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drawings/drawing46.xml" ContentType="application/vnd.openxmlformats-officedocument.drawing+xml"/>
  <Override PartName="/xl/drawings/drawing47.xml" ContentType="application/vnd.openxmlformats-officedocument.drawing+xml"/>
  <Override PartName="/xl/drawings/drawing48.xml" ContentType="application/vnd.openxmlformats-officedocument.drawing+xml"/>
  <Override PartName="/xl/drawings/drawing49.xml" ContentType="application/vnd.openxmlformats-officedocument.drawing+xml"/>
  <Override PartName="/xl/drawings/drawing50.xml" ContentType="application/vnd.openxmlformats-officedocument.drawing+xml"/>
  <Override PartName="/xl/drawings/drawing51.xml" ContentType="application/vnd.openxmlformats-officedocument.drawing+xml"/>
  <Override PartName="/xl/drawings/drawing52.xml" ContentType="application/vnd.openxmlformats-officedocument.drawing+xml"/>
  <Override PartName="/xl/drawings/drawing53.xml" ContentType="application/vnd.openxmlformats-officedocument.drawing+xml"/>
  <Override PartName="/xl/drawings/drawing54.xml" ContentType="application/vnd.openxmlformats-officedocument.drawing+xml"/>
  <Override PartName="/xl/drawings/drawing55.xml" ContentType="application/vnd.openxmlformats-officedocument.drawing+xml"/>
  <Override PartName="/xl/drawings/drawing56.xml" ContentType="application/vnd.openxmlformats-officedocument.drawing+xml"/>
  <Override PartName="/xl/drawings/drawing57.xml" ContentType="application/vnd.openxmlformats-officedocument.drawing+xml"/>
  <Override PartName="/xl/drawings/drawing58.xml" ContentType="application/vnd.openxmlformats-officedocument.drawing+xml"/>
  <Override PartName="/xl/drawings/drawing59.xml" ContentType="application/vnd.openxmlformats-officedocument.drawing+xml"/>
  <Override PartName="/xl/drawings/drawing60.xml" ContentType="application/vnd.openxmlformats-officedocument.drawing+xml"/>
  <Override PartName="/xl/drawings/drawing61.xml" ContentType="application/vnd.openxmlformats-officedocument.drawing+xml"/>
  <Override PartName="/xl/drawings/drawing62.xml" ContentType="application/vnd.openxmlformats-officedocument.drawing+xml"/>
  <Override PartName="/xl/drawings/drawing63.xml" ContentType="application/vnd.openxmlformats-officedocument.drawing+xml"/>
  <Override PartName="/xl/drawings/drawing64.xml" ContentType="application/vnd.openxmlformats-officedocument.drawing+xml"/>
  <Override PartName="/xl/drawings/drawing65.xml" ContentType="application/vnd.openxmlformats-officedocument.drawing+xml"/>
  <Override PartName="/xl/drawings/drawing66.xml" ContentType="application/vnd.openxmlformats-officedocument.drawing+xml"/>
  <Override PartName="/xl/drawings/drawing67.xml" ContentType="application/vnd.openxmlformats-officedocument.drawing+xml"/>
  <Override PartName="/xl/drawings/drawing68.xml" ContentType="application/vnd.openxmlformats-officedocument.drawing+xml"/>
  <Override PartName="/xl/ink/ink1.xml" ContentType="application/inkml+xml"/>
  <Override PartName="/xl/ink/ink2.xml" ContentType="application/inkml+xml"/>
  <Override PartName="/xl/ink/ink3.xml" ContentType="application/inkml+xml"/>
  <Override PartName="/xl/drawings/drawing69.xml" ContentType="application/vnd.openxmlformats-officedocument.drawing+xml"/>
  <Override PartName="/xl/ink/ink4.xml" ContentType="application/inkml+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defaultThemeVersion="124226"/>
  <mc:AlternateContent xmlns:mc="http://schemas.openxmlformats.org/markup-compatibility/2006">
    <mc:Choice Requires="x15">
      <x15ac:absPath xmlns:x15ac="http://schemas.microsoft.com/office/spreadsheetml/2010/11/ac" url="G:\AIA\Output\"/>
    </mc:Choice>
  </mc:AlternateContent>
  <xr:revisionPtr revIDLastSave="0" documentId="8_{EF97C307-3F45-427B-BEC4-DE0C9CDF9D5E}" xr6:coauthVersionLast="47" xr6:coauthVersionMax="47" xr10:uidLastSave="{00000000-0000-0000-0000-000000000000}"/>
  <bookViews>
    <workbookView xWindow="-110" yWindow="-110" windowWidth="19420" windowHeight="10420" tabRatio="958" xr2:uid="{00000000-000D-0000-FFFF-FFFF00000000}"/>
  </bookViews>
  <sheets>
    <sheet name="Start" sheetId="12" r:id="rId1"/>
    <sheet name="Gioithieubanthan" sheetId="81" r:id="rId2"/>
    <sheet name="Hoach dinh tai chinh" sheetId="13" r:id="rId3"/>
    <sheet name="Chitieu" sheetId="113" r:id="rId4"/>
    <sheet name="Tinh phi QL" sheetId="2" r:id="rId5"/>
    <sheet name="Hoavon" sheetId="114" r:id="rId6"/>
    <sheet name="Tom Tat QL" sheetId="10" r:id="rId7"/>
    <sheet name="Than so hoc" sheetId="25" r:id="rId8"/>
    <sheet name="VTLGTTKcamket" sheetId="55" r:id="rId9"/>
    <sheet name="VTLGTTKMH" sheetId="59" r:id="rId10"/>
    <sheet name="KBAGTTKcamket" sheetId="62" r:id="rId11"/>
    <sheet name="KBAGTTKMH" sheetId="66" r:id="rId12"/>
    <sheet name="KTVBVGTTKcamket" sheetId="92" r:id="rId13"/>
    <sheet name="KTVBVGTTKMH" sheetId="97" r:id="rId14"/>
    <sheet name="KTVTUGTTKcamket" sheetId="108" r:id="rId15"/>
    <sheet name="KTVTDGTTKcamket" sheetId="87" r:id="rId16"/>
    <sheet name="KTVTDGTTKMH" sheetId="90" r:id="rId17"/>
    <sheet name="KTVTUGTTKMH" sheetId="109" r:id="rId18"/>
    <sheet name="KTVTU20namcamket" sheetId="110" r:id="rId19"/>
    <sheet name="KTVTUCOI" sheetId="111" r:id="rId20"/>
    <sheet name="KTVBVPhi20nam" sheetId="95" r:id="rId21"/>
    <sheet name="KTVTU20namMH" sheetId="112" r:id="rId22"/>
    <sheet name="KTV" sheetId="85" r:id="rId23"/>
    <sheet name="LS" sheetId="88" r:id="rId24"/>
    <sheet name="VTLPhi" sheetId="75" r:id="rId25"/>
    <sheet name="Bao cao HDTC" sheetId="19" r:id="rId26"/>
    <sheet name="KTVTD20namMH" sheetId="91" r:id="rId27"/>
    <sheet name="KTVTRDGTTKcamket" sheetId="102" r:id="rId28"/>
    <sheet name="KTVTRDGTTKMH" sheetId="104" r:id="rId29"/>
    <sheet name="KTVTRDPhi" sheetId="106" r:id="rId30"/>
    <sheet name="KTVTRD20namMH" sheetId="105" r:id="rId31"/>
    <sheet name="KST" sheetId="45" r:id="rId32"/>
    <sheet name="KTVTRD20namcamket" sheetId="103" r:id="rId33"/>
    <sheet name="Giá Quỹ" sheetId="20" r:id="rId34"/>
    <sheet name="KTVBVPhi" sheetId="101" r:id="rId35"/>
    <sheet name="KTVCOI" sheetId="89" r:id="rId36"/>
    <sheet name="KTVTDPhi" sheetId="100" r:id="rId37"/>
    <sheet name="KTVBV20namMH" sheetId="98" r:id="rId38"/>
    <sheet name="KTVTDPhi20nam" sheetId="94" r:id="rId39"/>
    <sheet name="KTVBV20namcamket" sheetId="93" r:id="rId40"/>
    <sheet name="KTVTD20namcamket" sheetId="86" r:id="rId41"/>
    <sheet name="VTLPhi20nam" sheetId="82" r:id="rId42"/>
    <sheet name="TTD" sheetId="84" r:id="rId43"/>
    <sheet name="The" sheetId="83" r:id="rId44"/>
    <sheet name="BVTC" sheetId="78" r:id="rId45"/>
    <sheet name="Giaoduc" sheetId="107" r:id="rId46"/>
    <sheet name="Huu Tri" sheetId="79" r:id="rId47"/>
    <sheet name="Gia tang tai san" sheetId="80" r:id="rId48"/>
    <sheet name="Cham soc suc khoe" sheetId="18" r:id="rId49"/>
    <sheet name="TCYT" sheetId="50" r:id="rId50"/>
    <sheet name="Tuky" sheetId="74" r:id="rId51"/>
    <sheet name="BHN" sheetId="73" r:id="rId52"/>
    <sheet name="MTPNam" sheetId="71" r:id="rId53"/>
    <sheet name="MTPNu" sheetId="72" r:id="rId54"/>
    <sheet name="BGL" sheetId="49" r:id="rId55"/>
    <sheet name="KBAPhi" sheetId="76" r:id="rId56"/>
    <sheet name="KBA20namMH" sheetId="65" r:id="rId57"/>
    <sheet name="KBACOI" sheetId="60" r:id="rId58"/>
    <sheet name="KBA20namcamket" sheetId="61" r:id="rId59"/>
    <sheet name="VTL20namMH" sheetId="58" r:id="rId60"/>
    <sheet name="VTLCOI" sheetId="53" r:id="rId61"/>
    <sheet name="KBA" sheetId="6" r:id="rId62"/>
    <sheet name="VTL20namcamket" sheetId="54" r:id="rId63"/>
    <sheet name="Van hanh Quy &amp; so sanh" sheetId="40" r:id="rId64"/>
    <sheet name="Chi phi phong giuong" sheetId="22" r:id="rId65"/>
    <sheet name="Chi phi BHN" sheetId="21" r:id="rId66"/>
    <sheet name="CHUNG" sheetId="24" r:id="rId67"/>
    <sheet name="BIỂU ĐỒ TÊN" sheetId="37" r:id="rId68"/>
    <sheet name="BÀI HỌC NGHIỆP" sheetId="36" r:id="rId69"/>
    <sheet name="BIỂU ĐỒ" sheetId="35" r:id="rId70"/>
    <sheet name="ĐƯỜNG ĐỜI" sheetId="26" r:id="rId71"/>
    <sheet name="VẬN MỆNH" sheetId="27" r:id="rId72"/>
    <sheet name="LINH HỒN" sheetId="28" r:id="rId73"/>
    <sheet name="TÍNH CÁCH" sheetId="29" r:id="rId74"/>
    <sheet name="NGÀY SINH" sheetId="30" r:id="rId75"/>
    <sheet name="THÁI ĐỘ" sheetId="31" r:id="rId76"/>
    <sheet name="THÁNG CÁ NHÂN" sheetId="32" r:id="rId77"/>
    <sheet name="TRƯỞNG THÀNH" sheetId="33" r:id="rId78"/>
    <sheet name="NĂM CÁ NHÂN" sheetId="34" r:id="rId79"/>
    <sheet name="CĂNG THẲNG TÂM HỒN" sheetId="38" r:id="rId80"/>
    <sheet name="4 cach tinh STBH" sheetId="23" r:id="rId81"/>
    <sheet name="Result" sheetId="41" r:id="rId82"/>
    <sheet name="Data" sheetId="42" r:id="rId83"/>
  </sheets>
  <definedNames>
    <definedName name="_xlnm._FilterDatabase" localSheetId="81" hidden="1">Data!$L$2:$L$2</definedName>
    <definedName name="list1" localSheetId="1">#REF!</definedName>
    <definedName name="list1" localSheetId="20">#REF!</definedName>
    <definedName name="list1" localSheetId="38">#REF!</definedName>
    <definedName name="list1" localSheetId="41">#REF!</definedName>
    <definedName name="list1">#REF!</definedName>
    <definedName name="list2" localSheetId="1">#REF!</definedName>
    <definedName name="list2" localSheetId="20">#REF!</definedName>
    <definedName name="list2" localSheetId="38">#REF!</definedName>
    <definedName name="list2" localSheetId="41">#REF!</definedName>
    <definedName name="list2">#REF!</definedName>
    <definedName name="list3" localSheetId="1">#REF!</definedName>
    <definedName name="list3" localSheetId="20">#REF!</definedName>
    <definedName name="list3" localSheetId="38">#REF!</definedName>
    <definedName name="list3" localSheetId="41">#REF!</definedName>
    <definedName name="list3">#REF!</definedName>
    <definedName name="list4" localSheetId="1">#REF!</definedName>
    <definedName name="list4" localSheetId="20">#REF!</definedName>
    <definedName name="list4" localSheetId="38">#REF!</definedName>
    <definedName name="list4" localSheetId="41">#REF!</definedName>
    <definedName name="list4">#REF!</definedName>
    <definedName name="list5" localSheetId="1">#REF!</definedName>
    <definedName name="list5" localSheetId="20">#REF!</definedName>
    <definedName name="list5" localSheetId="38">#REF!</definedName>
    <definedName name="list5" localSheetId="41">#REF!</definedName>
    <definedName name="list5">#REF!</definedName>
    <definedName name="list6" localSheetId="1">#REF!</definedName>
    <definedName name="list6" localSheetId="20">#REF!</definedName>
    <definedName name="list6" localSheetId="38">#REF!</definedName>
    <definedName name="list6" localSheetId="41">#REF!</definedName>
    <definedName name="list6">#REF!</definedName>
    <definedName name="list7" localSheetId="1">#REF!</definedName>
    <definedName name="list7" localSheetId="20">#REF!</definedName>
    <definedName name="list7" localSheetId="38">#REF!</definedName>
    <definedName name="list7" localSheetId="41">#REF!</definedName>
    <definedName name="list7">#REF!</definedName>
    <definedName name="_xlnm.Print_Area" localSheetId="25">'Bao cao HDTC'!$A$1:$K$74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 i="12" l="1"/>
  <c r="G45" i="2"/>
  <c r="L3" i="20"/>
  <c r="G19" i="101"/>
  <c r="G20" i="101"/>
  <c r="G21" i="101"/>
  <c r="G22" i="101"/>
  <c r="G23" i="101"/>
  <c r="R6" i="114" l="1"/>
  <c r="R5" i="114"/>
  <c r="R4" i="114"/>
  <c r="D26" i="113"/>
  <c r="D22" i="113"/>
  <c r="D23" i="113" s="1"/>
  <c r="H12" i="113"/>
  <c r="H13" i="113" s="1"/>
  <c r="I22" i="113" s="1"/>
  <c r="M22" i="113" s="1"/>
  <c r="L10" i="113"/>
  <c r="L11" i="113" s="1"/>
  <c r="I24" i="113" s="1"/>
  <c r="M24" i="113" s="1"/>
  <c r="C5" i="94"/>
  <c r="C6" i="94"/>
  <c r="C7" i="94"/>
  <c r="C8" i="94"/>
  <c r="C9" i="94"/>
  <c r="C10" i="94"/>
  <c r="C11" i="94"/>
  <c r="C12" i="94"/>
  <c r="C13" i="94"/>
  <c r="C14" i="94"/>
  <c r="C15" i="94"/>
  <c r="C16" i="94"/>
  <c r="C17" i="94"/>
  <c r="C18" i="94"/>
  <c r="C19" i="94"/>
  <c r="D19" i="94" s="1"/>
  <c r="C20" i="94"/>
  <c r="D20" i="94" s="1"/>
  <c r="C21" i="94"/>
  <c r="D21" i="94" s="1"/>
  <c r="C22" i="94"/>
  <c r="D22" i="94" s="1"/>
  <c r="C23" i="94"/>
  <c r="D23" i="94" s="1"/>
  <c r="C4" i="94"/>
  <c r="C5" i="100"/>
  <c r="C6" i="100"/>
  <c r="C7" i="100"/>
  <c r="C8" i="100"/>
  <c r="C9" i="100"/>
  <c r="C10" i="100"/>
  <c r="C11" i="100"/>
  <c r="C12" i="100"/>
  <c r="C13" i="100"/>
  <c r="C14" i="100"/>
  <c r="C15" i="100"/>
  <c r="C16" i="100"/>
  <c r="C17" i="100"/>
  <c r="C18" i="100"/>
  <c r="C19" i="100"/>
  <c r="D19" i="100" s="1"/>
  <c r="C20" i="100"/>
  <c r="D20" i="100" s="1"/>
  <c r="C21" i="100"/>
  <c r="D21" i="100" s="1"/>
  <c r="C22" i="100"/>
  <c r="D22" i="100" s="1"/>
  <c r="C23" i="100"/>
  <c r="D23" i="100" s="1"/>
  <c r="C4" i="100"/>
  <c r="C5" i="106"/>
  <c r="C6" i="106"/>
  <c r="C7" i="106"/>
  <c r="C8" i="106"/>
  <c r="C9" i="106"/>
  <c r="C10" i="106"/>
  <c r="C11" i="106"/>
  <c r="C12" i="106"/>
  <c r="C13" i="106"/>
  <c r="C14" i="106"/>
  <c r="C15" i="106"/>
  <c r="C16" i="106"/>
  <c r="C17" i="106"/>
  <c r="C18" i="106"/>
  <c r="C19" i="106"/>
  <c r="D19" i="106" s="1"/>
  <c r="C20" i="106"/>
  <c r="D20" i="106" s="1"/>
  <c r="C21" i="106"/>
  <c r="D21" i="106" s="1"/>
  <c r="C22" i="106"/>
  <c r="D22" i="106" s="1"/>
  <c r="C23" i="106"/>
  <c r="D23" i="106" s="1"/>
  <c r="C4" i="106"/>
  <c r="C5" i="95"/>
  <c r="C6" i="95"/>
  <c r="C7" i="95"/>
  <c r="C8" i="95"/>
  <c r="C9" i="95"/>
  <c r="C10" i="95"/>
  <c r="C11" i="95"/>
  <c r="C12" i="95"/>
  <c r="C13" i="95"/>
  <c r="C14" i="95"/>
  <c r="C15" i="95"/>
  <c r="C16" i="95"/>
  <c r="C17" i="95"/>
  <c r="C18" i="95"/>
  <c r="C19" i="95"/>
  <c r="D19" i="95" s="1"/>
  <c r="C20" i="95"/>
  <c r="D20" i="95" s="1"/>
  <c r="C21" i="95"/>
  <c r="D21" i="95" s="1"/>
  <c r="C22" i="95"/>
  <c r="D22" i="95" s="1"/>
  <c r="C23" i="95"/>
  <c r="D23" i="95" s="1"/>
  <c r="C4" i="95"/>
  <c r="C26" i="109"/>
  <c r="E26" i="109" s="1"/>
  <c r="F26" i="109" s="1"/>
  <c r="C25" i="109"/>
  <c r="E25" i="109" s="1"/>
  <c r="F25" i="109" s="1"/>
  <c r="C24" i="109"/>
  <c r="E24" i="109" s="1"/>
  <c r="F24" i="109" s="1"/>
  <c r="C23" i="109"/>
  <c r="E23" i="109" s="1"/>
  <c r="F23" i="109" s="1"/>
  <c r="C22" i="109"/>
  <c r="E22" i="109" s="1"/>
  <c r="F22" i="109" s="1"/>
  <c r="C21" i="109"/>
  <c r="C20" i="109"/>
  <c r="C19" i="109"/>
  <c r="C18" i="109"/>
  <c r="C17" i="109"/>
  <c r="C16" i="109"/>
  <c r="C15" i="109"/>
  <c r="C14" i="109"/>
  <c r="C13" i="109"/>
  <c r="C12" i="109"/>
  <c r="C11" i="109"/>
  <c r="C10" i="109"/>
  <c r="C9" i="109"/>
  <c r="C8" i="109"/>
  <c r="C7" i="109"/>
  <c r="C8" i="108"/>
  <c r="C9" i="108"/>
  <c r="C10" i="108"/>
  <c r="C11" i="108"/>
  <c r="C12" i="108"/>
  <c r="C13" i="108"/>
  <c r="C14" i="108"/>
  <c r="C15" i="108"/>
  <c r="C16" i="108"/>
  <c r="C17" i="108"/>
  <c r="C18" i="108"/>
  <c r="C19" i="108"/>
  <c r="C20" i="108"/>
  <c r="C21" i="108"/>
  <c r="C22" i="108"/>
  <c r="E22" i="108" s="1"/>
  <c r="F22" i="108" s="1"/>
  <c r="C23" i="108"/>
  <c r="E23" i="108" s="1"/>
  <c r="F23" i="108" s="1"/>
  <c r="C24" i="108"/>
  <c r="E24" i="108" s="1"/>
  <c r="F24" i="108" s="1"/>
  <c r="C25" i="108"/>
  <c r="E25" i="108" s="1"/>
  <c r="F25" i="108" s="1"/>
  <c r="C26" i="108"/>
  <c r="E26" i="108" s="1"/>
  <c r="F26" i="108" s="1"/>
  <c r="C7" i="108"/>
  <c r="C26" i="104"/>
  <c r="C25" i="104"/>
  <c r="C24" i="104"/>
  <c r="C23" i="104"/>
  <c r="C22" i="104"/>
  <c r="C21" i="104"/>
  <c r="C20" i="104"/>
  <c r="C19" i="104"/>
  <c r="C18" i="104"/>
  <c r="C17" i="104"/>
  <c r="C16" i="104"/>
  <c r="C15" i="104"/>
  <c r="C14" i="104"/>
  <c r="C13" i="104"/>
  <c r="C12" i="104"/>
  <c r="C11" i="104"/>
  <c r="C10" i="104"/>
  <c r="C9" i="104"/>
  <c r="C8" i="104"/>
  <c r="C7" i="104"/>
  <c r="E26" i="104"/>
  <c r="E25" i="104"/>
  <c r="E24" i="104"/>
  <c r="E23" i="104"/>
  <c r="E22" i="104"/>
  <c r="C26" i="102"/>
  <c r="E26" i="102" s="1"/>
  <c r="C25" i="102"/>
  <c r="E25" i="102" s="1"/>
  <c r="C24" i="102"/>
  <c r="E24" i="102" s="1"/>
  <c r="C23" i="102"/>
  <c r="E23" i="102" s="1"/>
  <c r="C22" i="102"/>
  <c r="E22" i="102" s="1"/>
  <c r="C21" i="102"/>
  <c r="C20" i="102"/>
  <c r="C19" i="102"/>
  <c r="C18" i="102"/>
  <c r="C17" i="102"/>
  <c r="C16" i="102"/>
  <c r="C15" i="102"/>
  <c r="C14" i="102"/>
  <c r="C13" i="102"/>
  <c r="C12" i="102"/>
  <c r="C11" i="102"/>
  <c r="C10" i="102"/>
  <c r="C9" i="102"/>
  <c r="C8" i="102"/>
  <c r="C7" i="102"/>
  <c r="C26" i="90"/>
  <c r="E26" i="90" s="1"/>
  <c r="C25" i="90"/>
  <c r="E25" i="90" s="1"/>
  <c r="C24" i="90"/>
  <c r="E24" i="90" s="1"/>
  <c r="C23" i="90"/>
  <c r="E23" i="90" s="1"/>
  <c r="C22" i="90"/>
  <c r="E22" i="90" s="1"/>
  <c r="C21" i="90"/>
  <c r="C20" i="90"/>
  <c r="C19" i="90"/>
  <c r="C18" i="90"/>
  <c r="C17" i="90"/>
  <c r="C16" i="90"/>
  <c r="C15" i="90"/>
  <c r="C14" i="90"/>
  <c r="C13" i="90"/>
  <c r="C12" i="90"/>
  <c r="C11" i="90"/>
  <c r="C10" i="90"/>
  <c r="C9" i="90"/>
  <c r="C8" i="90"/>
  <c r="C7" i="90"/>
  <c r="C26" i="87"/>
  <c r="E26" i="87" s="1"/>
  <c r="C25" i="87"/>
  <c r="E25" i="87" s="1"/>
  <c r="C24" i="87"/>
  <c r="E24" i="87" s="1"/>
  <c r="C23" i="87"/>
  <c r="E23" i="87" s="1"/>
  <c r="C22" i="87"/>
  <c r="E22" i="87" s="1"/>
  <c r="C21" i="87"/>
  <c r="C20" i="87"/>
  <c r="C19" i="87"/>
  <c r="C18" i="87"/>
  <c r="C17" i="87"/>
  <c r="C16" i="87"/>
  <c r="C15" i="87"/>
  <c r="C14" i="87"/>
  <c r="C13" i="87"/>
  <c r="C12" i="87"/>
  <c r="C11" i="87"/>
  <c r="C10" i="87"/>
  <c r="C9" i="87"/>
  <c r="C8" i="87"/>
  <c r="C7" i="87"/>
  <c r="C26" i="97"/>
  <c r="E26" i="97" s="1"/>
  <c r="C25" i="97"/>
  <c r="E25" i="97" s="1"/>
  <c r="C24" i="97"/>
  <c r="E24" i="97" s="1"/>
  <c r="C23" i="97"/>
  <c r="E23" i="97" s="1"/>
  <c r="C22" i="97"/>
  <c r="E22" i="97" s="1"/>
  <c r="C21" i="97"/>
  <c r="C20" i="97"/>
  <c r="C19" i="97"/>
  <c r="C18" i="97"/>
  <c r="C17" i="97"/>
  <c r="C16" i="97"/>
  <c r="C15" i="97"/>
  <c r="C14" i="97"/>
  <c r="C13" i="97"/>
  <c r="C12" i="97"/>
  <c r="C11" i="97"/>
  <c r="C10" i="97"/>
  <c r="C9" i="97"/>
  <c r="C8" i="97"/>
  <c r="C7" i="97"/>
  <c r="C8" i="92"/>
  <c r="C5" i="101" s="1"/>
  <c r="C9" i="92"/>
  <c r="C6" i="101" s="1"/>
  <c r="C10" i="92"/>
  <c r="C7" i="101" s="1"/>
  <c r="C11" i="92"/>
  <c r="C8" i="101" s="1"/>
  <c r="C12" i="92"/>
  <c r="C9" i="101" s="1"/>
  <c r="C13" i="92"/>
  <c r="C10" i="101" s="1"/>
  <c r="C14" i="92"/>
  <c r="C11" i="101" s="1"/>
  <c r="C15" i="92"/>
  <c r="C12" i="101" s="1"/>
  <c r="C16" i="92"/>
  <c r="C13" i="101" s="1"/>
  <c r="C17" i="92"/>
  <c r="C14" i="101" s="1"/>
  <c r="C18" i="92"/>
  <c r="C19" i="92"/>
  <c r="C16" i="101" s="1"/>
  <c r="C20" i="92"/>
  <c r="C17" i="101" s="1"/>
  <c r="C21" i="92"/>
  <c r="C18" i="101" s="1"/>
  <c r="C22" i="92"/>
  <c r="E22" i="92" s="1"/>
  <c r="D19" i="101" s="1"/>
  <c r="C23" i="92"/>
  <c r="C20" i="101" s="1"/>
  <c r="C24" i="92"/>
  <c r="C21" i="101" s="1"/>
  <c r="C25" i="92"/>
  <c r="C22" i="101" s="1"/>
  <c r="C26" i="92"/>
  <c r="E26" i="92" s="1"/>
  <c r="D23" i="101" s="1"/>
  <c r="C7" i="92"/>
  <c r="C4" i="101" s="1"/>
  <c r="C5" i="76"/>
  <c r="C7" i="76"/>
  <c r="C9" i="76"/>
  <c r="C11" i="76"/>
  <c r="C13" i="76"/>
  <c r="C15" i="76"/>
  <c r="C17" i="76"/>
  <c r="C19" i="76"/>
  <c r="C21" i="76"/>
  <c r="C23" i="76"/>
  <c r="E7" i="55"/>
  <c r="D4" i="75" s="1"/>
  <c r="C5" i="75"/>
  <c r="C6" i="75"/>
  <c r="C8" i="75"/>
  <c r="C9" i="75"/>
  <c r="C10" i="75"/>
  <c r="C12" i="75"/>
  <c r="C13" i="75"/>
  <c r="C14" i="75"/>
  <c r="C16" i="75"/>
  <c r="C17" i="75"/>
  <c r="C18" i="75"/>
  <c r="C20" i="75"/>
  <c r="C21" i="75"/>
  <c r="C22" i="75"/>
  <c r="C4" i="75"/>
  <c r="C5" i="82"/>
  <c r="D5" i="82" s="1"/>
  <c r="C6" i="82"/>
  <c r="D6" i="82" s="1"/>
  <c r="C7" i="82"/>
  <c r="D7" i="82" s="1"/>
  <c r="C8" i="82"/>
  <c r="D8" i="82" s="1"/>
  <c r="C9" i="82"/>
  <c r="D9" i="82" s="1"/>
  <c r="C10" i="82"/>
  <c r="D10" i="82" s="1"/>
  <c r="C11" i="82"/>
  <c r="D11" i="82" s="1"/>
  <c r="C12" i="82"/>
  <c r="D12" i="82" s="1"/>
  <c r="C13" i="82"/>
  <c r="D13" i="82" s="1"/>
  <c r="C14" i="82"/>
  <c r="D14" i="82" s="1"/>
  <c r="C15" i="82"/>
  <c r="D15" i="82" s="1"/>
  <c r="C16" i="82"/>
  <c r="D16" i="82" s="1"/>
  <c r="C17" i="82"/>
  <c r="D17" i="82" s="1"/>
  <c r="C18" i="82"/>
  <c r="D18" i="82" s="1"/>
  <c r="C19" i="82"/>
  <c r="D19" i="82" s="1"/>
  <c r="C20" i="82"/>
  <c r="D20" i="82" s="1"/>
  <c r="C21" i="82"/>
  <c r="D21" i="82" s="1"/>
  <c r="C22" i="82"/>
  <c r="D22" i="82" s="1"/>
  <c r="C23" i="82"/>
  <c r="D23" i="82" s="1"/>
  <c r="C4" i="82"/>
  <c r="D4" i="82" s="1"/>
  <c r="C26" i="66"/>
  <c r="C25" i="66"/>
  <c r="C24" i="66"/>
  <c r="C23" i="66"/>
  <c r="C22" i="66"/>
  <c r="C21" i="66"/>
  <c r="C20" i="66"/>
  <c r="C19" i="66"/>
  <c r="C18" i="66"/>
  <c r="C17" i="66"/>
  <c r="C16" i="66"/>
  <c r="C15" i="66"/>
  <c r="C14" i="66"/>
  <c r="C13" i="66"/>
  <c r="C12" i="66"/>
  <c r="C11" i="66"/>
  <c r="C10" i="66"/>
  <c r="C9" i="66"/>
  <c r="C8" i="66"/>
  <c r="C7" i="66"/>
  <c r="E26" i="66"/>
  <c r="E25" i="66"/>
  <c r="E24" i="66"/>
  <c r="E23" i="66"/>
  <c r="E22" i="66"/>
  <c r="E21" i="66"/>
  <c r="E20" i="66"/>
  <c r="E19" i="66"/>
  <c r="E18" i="66"/>
  <c r="E17" i="66"/>
  <c r="E16" i="66"/>
  <c r="E15" i="66"/>
  <c r="E14" i="66"/>
  <c r="E13" i="66"/>
  <c r="E12" i="66"/>
  <c r="E11" i="66"/>
  <c r="E10" i="66"/>
  <c r="E9" i="66"/>
  <c r="E8" i="66"/>
  <c r="E7" i="66"/>
  <c r="C26" i="62"/>
  <c r="E26" i="62" s="1"/>
  <c r="D23" i="76" s="1"/>
  <c r="C25" i="62"/>
  <c r="C22" i="76" s="1"/>
  <c r="C24" i="62"/>
  <c r="E24" i="62" s="1"/>
  <c r="D21" i="76" s="1"/>
  <c r="C23" i="62"/>
  <c r="C20" i="76" s="1"/>
  <c r="C22" i="62"/>
  <c r="E22" i="62" s="1"/>
  <c r="D19" i="76" s="1"/>
  <c r="C21" i="62"/>
  <c r="C18" i="76" s="1"/>
  <c r="C20" i="62"/>
  <c r="E20" i="62" s="1"/>
  <c r="D17" i="76" s="1"/>
  <c r="C19" i="62"/>
  <c r="C16" i="76" s="1"/>
  <c r="C18" i="62"/>
  <c r="E18" i="62" s="1"/>
  <c r="D15" i="76" s="1"/>
  <c r="C17" i="62"/>
  <c r="C14" i="76" s="1"/>
  <c r="C16" i="62"/>
  <c r="E16" i="62" s="1"/>
  <c r="D13" i="76" s="1"/>
  <c r="C15" i="62"/>
  <c r="C12" i="76" s="1"/>
  <c r="C14" i="62"/>
  <c r="E14" i="62" s="1"/>
  <c r="D11" i="76" s="1"/>
  <c r="C13" i="62"/>
  <c r="C10" i="76" s="1"/>
  <c r="C12" i="62"/>
  <c r="E12" i="62" s="1"/>
  <c r="D9" i="76" s="1"/>
  <c r="C11" i="62"/>
  <c r="C8" i="76" s="1"/>
  <c r="C10" i="62"/>
  <c r="E10" i="62" s="1"/>
  <c r="D7" i="76" s="1"/>
  <c r="C9" i="62"/>
  <c r="C6" i="76" s="1"/>
  <c r="C8" i="62"/>
  <c r="E8" i="62" s="1"/>
  <c r="D5" i="76" s="1"/>
  <c r="C7" i="62"/>
  <c r="C4" i="76" s="1"/>
  <c r="E13" i="59"/>
  <c r="C26" i="59"/>
  <c r="E26" i="59" s="1"/>
  <c r="C25" i="59"/>
  <c r="E25" i="59" s="1"/>
  <c r="C24" i="59"/>
  <c r="E24" i="59" s="1"/>
  <c r="C23" i="59"/>
  <c r="E23" i="59" s="1"/>
  <c r="C22" i="59"/>
  <c r="E22" i="59" s="1"/>
  <c r="C21" i="59"/>
  <c r="E21" i="59" s="1"/>
  <c r="C20" i="59"/>
  <c r="E20" i="59" s="1"/>
  <c r="C19" i="59"/>
  <c r="E19" i="59" s="1"/>
  <c r="C18" i="59"/>
  <c r="E18" i="59" s="1"/>
  <c r="C17" i="59"/>
  <c r="E17" i="59" s="1"/>
  <c r="C16" i="59"/>
  <c r="E16" i="59" s="1"/>
  <c r="C15" i="59"/>
  <c r="E15" i="59" s="1"/>
  <c r="C14" i="59"/>
  <c r="E14" i="59" s="1"/>
  <c r="C13" i="59"/>
  <c r="C12" i="59"/>
  <c r="E12" i="59" s="1"/>
  <c r="C11" i="59"/>
  <c r="E11" i="59" s="1"/>
  <c r="C10" i="59"/>
  <c r="E10" i="59" s="1"/>
  <c r="C9" i="59"/>
  <c r="E9" i="59" s="1"/>
  <c r="C8" i="59"/>
  <c r="E8" i="59" s="1"/>
  <c r="C7" i="59"/>
  <c r="E7" i="59" s="1"/>
  <c r="E8" i="55"/>
  <c r="D5" i="75" s="1"/>
  <c r="E9" i="55"/>
  <c r="D6" i="75" s="1"/>
  <c r="E11" i="55"/>
  <c r="D8" i="75" s="1"/>
  <c r="E12" i="55"/>
  <c r="D9" i="75" s="1"/>
  <c r="E13" i="55"/>
  <c r="D10" i="75" s="1"/>
  <c r="E15" i="55"/>
  <c r="D12" i="75" s="1"/>
  <c r="E16" i="55"/>
  <c r="D13" i="75" s="1"/>
  <c r="E17" i="55"/>
  <c r="D14" i="75" s="1"/>
  <c r="E19" i="55"/>
  <c r="D16" i="75" s="1"/>
  <c r="E20" i="55"/>
  <c r="D17" i="75" s="1"/>
  <c r="E21" i="55"/>
  <c r="D18" i="75" s="1"/>
  <c r="E23" i="55"/>
  <c r="D20" i="75" s="1"/>
  <c r="E24" i="55"/>
  <c r="D21" i="75" s="1"/>
  <c r="E25" i="55"/>
  <c r="D22" i="75" s="1"/>
  <c r="C8" i="55"/>
  <c r="C9" i="55"/>
  <c r="C10" i="55"/>
  <c r="C7" i="75" s="1"/>
  <c r="C11" i="55"/>
  <c r="C12" i="55"/>
  <c r="C13" i="55"/>
  <c r="C14" i="55"/>
  <c r="C11" i="75" s="1"/>
  <c r="C15" i="55"/>
  <c r="C16" i="55"/>
  <c r="C17" i="55"/>
  <c r="C18" i="55"/>
  <c r="C15" i="75" s="1"/>
  <c r="C19" i="55"/>
  <c r="C20" i="55"/>
  <c r="C21" i="55"/>
  <c r="C22" i="55"/>
  <c r="C19" i="75" s="1"/>
  <c r="C23" i="55"/>
  <c r="C24" i="55"/>
  <c r="C25" i="55"/>
  <c r="C26" i="55"/>
  <c r="C23" i="75" s="1"/>
  <c r="C7" i="55"/>
  <c r="G23" i="80"/>
  <c r="F23" i="80"/>
  <c r="E23" i="80"/>
  <c r="G22" i="80"/>
  <c r="F22" i="80"/>
  <c r="E22" i="80"/>
  <c r="G21" i="80"/>
  <c r="F21" i="80"/>
  <c r="E21" i="80"/>
  <c r="G20" i="80"/>
  <c r="F20" i="80"/>
  <c r="E20" i="80"/>
  <c r="G19" i="80"/>
  <c r="F19" i="80"/>
  <c r="E19" i="80"/>
  <c r="G18" i="80"/>
  <c r="F18" i="80"/>
  <c r="E18" i="80"/>
  <c r="G17" i="80"/>
  <c r="F17" i="80"/>
  <c r="E17" i="80"/>
  <c r="G16" i="80"/>
  <c r="F16" i="80"/>
  <c r="E16" i="80"/>
  <c r="G15" i="80"/>
  <c r="F15" i="80"/>
  <c r="E15" i="80"/>
  <c r="G14" i="80"/>
  <c r="F14" i="80"/>
  <c r="E14" i="80"/>
  <c r="G13" i="80"/>
  <c r="F13" i="80"/>
  <c r="E13" i="80"/>
  <c r="G12" i="80"/>
  <c r="F12" i="80"/>
  <c r="E12" i="80"/>
  <c r="G11" i="80"/>
  <c r="F11" i="80"/>
  <c r="E11" i="80"/>
  <c r="G10" i="80"/>
  <c r="F10" i="80"/>
  <c r="E10" i="80"/>
  <c r="G9" i="80"/>
  <c r="F9" i="80"/>
  <c r="E9" i="80"/>
  <c r="G8" i="80"/>
  <c r="F8" i="80"/>
  <c r="E8" i="80"/>
  <c r="G7" i="80"/>
  <c r="F7" i="80"/>
  <c r="E7" i="80"/>
  <c r="G6" i="80"/>
  <c r="F6" i="80"/>
  <c r="E6" i="80"/>
  <c r="G5" i="80"/>
  <c r="F5" i="80"/>
  <c r="E5" i="80"/>
  <c r="G4" i="80"/>
  <c r="F4" i="80"/>
  <c r="E4" i="80"/>
  <c r="G33" i="79"/>
  <c r="F33" i="79"/>
  <c r="E33" i="79"/>
  <c r="G32" i="79"/>
  <c r="F32" i="79"/>
  <c r="E32" i="79"/>
  <c r="G31" i="79"/>
  <c r="F31" i="79"/>
  <c r="E31" i="79"/>
  <c r="G30" i="79"/>
  <c r="F30" i="79"/>
  <c r="E30" i="79"/>
  <c r="G29" i="79"/>
  <c r="F29" i="79"/>
  <c r="E29" i="79"/>
  <c r="G28" i="79"/>
  <c r="F28" i="79"/>
  <c r="E28" i="79"/>
  <c r="G27" i="79"/>
  <c r="F27" i="79"/>
  <c r="E27" i="79"/>
  <c r="G26" i="79"/>
  <c r="F26" i="79"/>
  <c r="E26" i="79"/>
  <c r="G25" i="79"/>
  <c r="F25" i="79"/>
  <c r="E25" i="79"/>
  <c r="G24" i="79"/>
  <c r="F24" i="79"/>
  <c r="E24" i="79"/>
  <c r="E23" i="79"/>
  <c r="E22" i="79"/>
  <c r="E21" i="79"/>
  <c r="E20" i="79"/>
  <c r="E19" i="79"/>
  <c r="E18" i="79"/>
  <c r="E17" i="79"/>
  <c r="E16" i="79"/>
  <c r="E15" i="79"/>
  <c r="E14" i="79"/>
  <c r="E13" i="79"/>
  <c r="E12" i="79"/>
  <c r="E11" i="79"/>
  <c r="E10" i="79"/>
  <c r="E9" i="79"/>
  <c r="E8" i="79"/>
  <c r="E7" i="79"/>
  <c r="E6" i="79"/>
  <c r="E5" i="79"/>
  <c r="E4" i="79"/>
  <c r="G89" i="107"/>
  <c r="F89" i="107"/>
  <c r="G88" i="107"/>
  <c r="F88" i="107"/>
  <c r="E88" i="107"/>
  <c r="G87" i="107"/>
  <c r="F87" i="107"/>
  <c r="E87" i="107"/>
  <c r="G86" i="107"/>
  <c r="F86" i="107"/>
  <c r="E86" i="107"/>
  <c r="G85" i="107"/>
  <c r="F85" i="107"/>
  <c r="E85" i="107"/>
  <c r="F84" i="107"/>
  <c r="G84" i="107" s="1"/>
  <c r="E84" i="107"/>
  <c r="F83" i="107"/>
  <c r="G83" i="107" s="1"/>
  <c r="E83" i="107"/>
  <c r="F82" i="107"/>
  <c r="G82" i="107" s="1"/>
  <c r="E82" i="107"/>
  <c r="G81" i="107"/>
  <c r="F81" i="107"/>
  <c r="E81" i="107"/>
  <c r="G70" i="107"/>
  <c r="F70" i="107"/>
  <c r="G69" i="107"/>
  <c r="F69" i="107"/>
  <c r="E69" i="107"/>
  <c r="G68" i="107"/>
  <c r="F68" i="107"/>
  <c r="E68" i="107"/>
  <c r="G67" i="107"/>
  <c r="F67" i="107"/>
  <c r="E67" i="107"/>
  <c r="G66" i="107"/>
  <c r="F66" i="107"/>
  <c r="E66" i="107"/>
  <c r="F65" i="107"/>
  <c r="G65" i="107" s="1"/>
  <c r="E65" i="107"/>
  <c r="G64" i="107"/>
  <c r="F64" i="107"/>
  <c r="E64" i="107"/>
  <c r="F63" i="107"/>
  <c r="G63" i="107" s="1"/>
  <c r="E63" i="107"/>
  <c r="G62" i="107"/>
  <c r="F62" i="107"/>
  <c r="E62" i="107"/>
  <c r="G51" i="107"/>
  <c r="F51" i="107"/>
  <c r="G50" i="107"/>
  <c r="F50" i="107"/>
  <c r="E50" i="107"/>
  <c r="G49" i="107"/>
  <c r="F49" i="107"/>
  <c r="E49" i="107"/>
  <c r="G48" i="107"/>
  <c r="F48" i="107"/>
  <c r="E48" i="107"/>
  <c r="G47" i="107"/>
  <c r="F47" i="107"/>
  <c r="E47" i="107"/>
  <c r="F46" i="107"/>
  <c r="G46" i="107" s="1"/>
  <c r="E46" i="107"/>
  <c r="G45" i="107"/>
  <c r="F45" i="107"/>
  <c r="E45" i="107"/>
  <c r="F44" i="107"/>
  <c r="G44" i="107" s="1"/>
  <c r="E44" i="107"/>
  <c r="G43" i="107"/>
  <c r="F43" i="107"/>
  <c r="E43" i="107"/>
  <c r="G32" i="107"/>
  <c r="F32" i="107"/>
  <c r="G31" i="107"/>
  <c r="F31" i="107"/>
  <c r="E31" i="107"/>
  <c r="G30" i="107"/>
  <c r="F30" i="107"/>
  <c r="E30" i="107"/>
  <c r="G29" i="107"/>
  <c r="F29" i="107"/>
  <c r="E29" i="107"/>
  <c r="G28" i="107"/>
  <c r="F28" i="107"/>
  <c r="E28" i="107"/>
  <c r="F27" i="107"/>
  <c r="G27" i="107" s="1"/>
  <c r="E27" i="107"/>
  <c r="G26" i="107"/>
  <c r="F26" i="107"/>
  <c r="E26" i="107"/>
  <c r="F25" i="107"/>
  <c r="G25" i="107" s="1"/>
  <c r="E25" i="107"/>
  <c r="F24" i="107"/>
  <c r="G24" i="107" s="1"/>
  <c r="E24" i="107"/>
  <c r="C93" i="107"/>
  <c r="C92" i="107"/>
  <c r="C94" i="107" s="1"/>
  <c r="C74" i="107"/>
  <c r="C73" i="107"/>
  <c r="C75" i="107" s="1"/>
  <c r="C55" i="107"/>
  <c r="C54" i="107"/>
  <c r="C56" i="107" s="1"/>
  <c r="C36" i="107"/>
  <c r="C35" i="107"/>
  <c r="C37" i="107" s="1"/>
  <c r="G13" i="107"/>
  <c r="F13" i="107"/>
  <c r="G12" i="107"/>
  <c r="F12" i="107"/>
  <c r="E12" i="107"/>
  <c r="G11" i="107"/>
  <c r="F11" i="107"/>
  <c r="E11" i="107"/>
  <c r="G10" i="107"/>
  <c r="F10" i="107"/>
  <c r="E10" i="107"/>
  <c r="G9" i="107"/>
  <c r="F9" i="107"/>
  <c r="E9" i="107"/>
  <c r="F8" i="107"/>
  <c r="G8" i="107" s="1"/>
  <c r="E8" i="107"/>
  <c r="G7" i="107"/>
  <c r="F7" i="107"/>
  <c r="E7" i="107"/>
  <c r="F6" i="107"/>
  <c r="G6" i="107" s="1"/>
  <c r="E6" i="107"/>
  <c r="F5" i="107"/>
  <c r="G5" i="107" s="1"/>
  <c r="E5" i="107"/>
  <c r="G23" i="78"/>
  <c r="F23" i="78"/>
  <c r="E23" i="78"/>
  <c r="G22" i="78"/>
  <c r="F22" i="78"/>
  <c r="E22" i="78"/>
  <c r="G21" i="78"/>
  <c r="F21" i="78"/>
  <c r="E21" i="78"/>
  <c r="G20" i="78"/>
  <c r="F20" i="78"/>
  <c r="E20" i="78"/>
  <c r="G19" i="78"/>
  <c r="F19" i="78"/>
  <c r="E19" i="78"/>
  <c r="G18" i="78"/>
  <c r="F18" i="78"/>
  <c r="E18" i="78"/>
  <c r="G17" i="78"/>
  <c r="F17" i="78"/>
  <c r="E17" i="78"/>
  <c r="G16" i="78"/>
  <c r="F16" i="78"/>
  <c r="E16" i="78"/>
  <c r="G15" i="78"/>
  <c r="F15" i="78"/>
  <c r="E15" i="78"/>
  <c r="G14" i="78"/>
  <c r="F14" i="78"/>
  <c r="E14" i="78"/>
  <c r="G13" i="78"/>
  <c r="F13" i="78"/>
  <c r="E13" i="78"/>
  <c r="G12" i="78"/>
  <c r="F12" i="78"/>
  <c r="E12" i="78"/>
  <c r="G11" i="78"/>
  <c r="F11" i="78"/>
  <c r="E11" i="78"/>
  <c r="G10" i="78"/>
  <c r="F10" i="78"/>
  <c r="E10" i="78"/>
  <c r="G9" i="78"/>
  <c r="F9" i="78"/>
  <c r="E9" i="78"/>
  <c r="G8" i="78"/>
  <c r="F8" i="78"/>
  <c r="E8" i="78"/>
  <c r="G7" i="78"/>
  <c r="F7" i="78"/>
  <c r="E7" i="78"/>
  <c r="G6" i="78"/>
  <c r="F6" i="78"/>
  <c r="E6" i="78"/>
  <c r="G5" i="78"/>
  <c r="F5" i="78"/>
  <c r="E5" i="78"/>
  <c r="G4" i="78"/>
  <c r="F4" i="78"/>
  <c r="E4" i="78"/>
  <c r="E9" i="62" l="1"/>
  <c r="D6" i="76" s="1"/>
  <c r="E13" i="62"/>
  <c r="D10" i="76" s="1"/>
  <c r="E17" i="62"/>
  <c r="D14" i="76" s="1"/>
  <c r="E21" i="62"/>
  <c r="D18" i="76" s="1"/>
  <c r="E25" i="62"/>
  <c r="D22" i="76" s="1"/>
  <c r="E7" i="62"/>
  <c r="D4" i="76" s="1"/>
  <c r="E11" i="62"/>
  <c r="D8" i="76" s="1"/>
  <c r="E15" i="62"/>
  <c r="D12" i="76" s="1"/>
  <c r="E19" i="62"/>
  <c r="D16" i="76" s="1"/>
  <c r="E23" i="62"/>
  <c r="D20" i="76" s="1"/>
  <c r="E26" i="55"/>
  <c r="D23" i="75" s="1"/>
  <c r="E22" i="55"/>
  <c r="D19" i="75" s="1"/>
  <c r="E18" i="55"/>
  <c r="D15" i="75" s="1"/>
  <c r="E14" i="55"/>
  <c r="D11" i="75" s="1"/>
  <c r="E10" i="55"/>
  <c r="D7" i="75" s="1"/>
  <c r="I20" i="113"/>
  <c r="M20" i="113" s="1"/>
  <c r="M5" i="113"/>
  <c r="D24" i="113"/>
  <c r="E25" i="92"/>
  <c r="D22" i="101" s="1"/>
  <c r="C23" i="101"/>
  <c r="E24" i="92"/>
  <c r="D21" i="101" s="1"/>
  <c r="C15" i="101"/>
  <c r="E23" i="92"/>
  <c r="D20" i="101" s="1"/>
  <c r="C19" i="101"/>
  <c r="D3" i="88" l="1"/>
  <c r="J2" i="112"/>
  <c r="B64" i="112"/>
  <c r="B76" i="112" s="1"/>
  <c r="B88" i="112" s="1"/>
  <c r="B100" i="112" s="1"/>
  <c r="B112" i="112" s="1"/>
  <c r="B124" i="112" s="1"/>
  <c r="B136" i="112" s="1"/>
  <c r="B148" i="112" s="1"/>
  <c r="B160" i="112" s="1"/>
  <c r="B172" i="112" s="1"/>
  <c r="B184" i="112" s="1"/>
  <c r="B196" i="112" s="1"/>
  <c r="B208" i="112" s="1"/>
  <c r="B220" i="112" s="1"/>
  <c r="B232" i="112" s="1"/>
  <c r="E4" i="112"/>
  <c r="E5" i="112" s="1"/>
  <c r="E6" i="112" s="1"/>
  <c r="E7" i="112" s="1"/>
  <c r="E8" i="112" s="1"/>
  <c r="E9" i="112" s="1"/>
  <c r="E10" i="112" s="1"/>
  <c r="E11" i="112" s="1"/>
  <c r="E12" i="112" s="1"/>
  <c r="E13" i="112" s="1"/>
  <c r="E14" i="112" s="1"/>
  <c r="E15" i="112" s="1"/>
  <c r="E16" i="112" s="1"/>
  <c r="E17" i="112" s="1"/>
  <c r="E18" i="112" s="1"/>
  <c r="E19" i="112" s="1"/>
  <c r="E20" i="112" s="1"/>
  <c r="E21" i="112" s="1"/>
  <c r="E22" i="112" s="1"/>
  <c r="E23" i="112" s="1"/>
  <c r="E24" i="112" s="1"/>
  <c r="E25" i="112" s="1"/>
  <c r="E26" i="112" s="1"/>
  <c r="E27" i="112" s="1"/>
  <c r="E28" i="112" s="1"/>
  <c r="E29" i="112" s="1"/>
  <c r="E30" i="112" s="1"/>
  <c r="E31" i="112" s="1"/>
  <c r="E32" i="112" s="1"/>
  <c r="E33" i="112" s="1"/>
  <c r="E34" i="112" s="1"/>
  <c r="E35" i="112" s="1"/>
  <c r="E36" i="112" s="1"/>
  <c r="E37" i="112" s="1"/>
  <c r="E38" i="112" s="1"/>
  <c r="E39" i="112" s="1"/>
  <c r="E40" i="112" s="1"/>
  <c r="E41" i="112" s="1"/>
  <c r="E42" i="112" s="1"/>
  <c r="E43" i="112" s="1"/>
  <c r="E44" i="112" s="1"/>
  <c r="E45" i="112" s="1"/>
  <c r="E46" i="112" s="1"/>
  <c r="E47" i="112" s="1"/>
  <c r="E48" i="112" s="1"/>
  <c r="E49" i="112" s="1"/>
  <c r="E50" i="112" s="1"/>
  <c r="E51" i="112" s="1"/>
  <c r="E52" i="112" s="1"/>
  <c r="E53" i="112" s="1"/>
  <c r="E54" i="112" s="1"/>
  <c r="E55" i="112" s="1"/>
  <c r="E56" i="112" s="1"/>
  <c r="E57" i="112" s="1"/>
  <c r="E58" i="112" s="1"/>
  <c r="E59" i="112" s="1"/>
  <c r="E60" i="112" s="1"/>
  <c r="E61" i="112" s="1"/>
  <c r="E62" i="112" s="1"/>
  <c r="E63" i="112" s="1"/>
  <c r="E64" i="112" s="1"/>
  <c r="E65" i="112" s="1"/>
  <c r="E66" i="112" s="1"/>
  <c r="E67" i="112" s="1"/>
  <c r="E68" i="112" s="1"/>
  <c r="E69" i="112" s="1"/>
  <c r="E70" i="112" s="1"/>
  <c r="E71" i="112" s="1"/>
  <c r="E72" i="112" s="1"/>
  <c r="E73" i="112" s="1"/>
  <c r="E74" i="112" s="1"/>
  <c r="E75" i="112" s="1"/>
  <c r="E76" i="112" s="1"/>
  <c r="E77" i="112" s="1"/>
  <c r="E78" i="112" s="1"/>
  <c r="E79" i="112" s="1"/>
  <c r="E80" i="112" s="1"/>
  <c r="E81" i="112" s="1"/>
  <c r="E82" i="112" s="1"/>
  <c r="E83" i="112" s="1"/>
  <c r="E84" i="112" s="1"/>
  <c r="E85" i="112" s="1"/>
  <c r="E86" i="112" s="1"/>
  <c r="E87" i="112" s="1"/>
  <c r="E88" i="112" s="1"/>
  <c r="E89" i="112" s="1"/>
  <c r="E90" i="112" s="1"/>
  <c r="E91" i="112" s="1"/>
  <c r="E92" i="112" s="1"/>
  <c r="E93" i="112" s="1"/>
  <c r="E94" i="112" s="1"/>
  <c r="E95" i="112" s="1"/>
  <c r="E96" i="112" s="1"/>
  <c r="E97" i="112" s="1"/>
  <c r="E98" i="112" s="1"/>
  <c r="E99" i="112" s="1"/>
  <c r="E100" i="112" s="1"/>
  <c r="E101" i="112" s="1"/>
  <c r="E102" i="112" s="1"/>
  <c r="E103" i="112" s="1"/>
  <c r="E104" i="112" s="1"/>
  <c r="E105" i="112" s="1"/>
  <c r="E106" i="112" s="1"/>
  <c r="E107" i="112" s="1"/>
  <c r="E108" i="112" s="1"/>
  <c r="E109" i="112" s="1"/>
  <c r="E110" i="112" s="1"/>
  <c r="E111" i="112" s="1"/>
  <c r="E112" i="112" s="1"/>
  <c r="E113" i="112" s="1"/>
  <c r="E114" i="112" s="1"/>
  <c r="E115" i="112" s="1"/>
  <c r="E116" i="112" s="1"/>
  <c r="E117" i="112" s="1"/>
  <c r="E118" i="112" s="1"/>
  <c r="E119" i="112" s="1"/>
  <c r="E120" i="112" s="1"/>
  <c r="E121" i="112" s="1"/>
  <c r="E122" i="112" s="1"/>
  <c r="E123" i="112" s="1"/>
  <c r="E124" i="112" s="1"/>
  <c r="E125" i="112" s="1"/>
  <c r="E126" i="112" s="1"/>
  <c r="E127" i="112" s="1"/>
  <c r="E128" i="112" s="1"/>
  <c r="E129" i="112" s="1"/>
  <c r="E130" i="112" s="1"/>
  <c r="E131" i="112" s="1"/>
  <c r="E132" i="112" s="1"/>
  <c r="E133" i="112" s="1"/>
  <c r="E134" i="112" s="1"/>
  <c r="E135" i="112" s="1"/>
  <c r="E136" i="112" s="1"/>
  <c r="E137" i="112" s="1"/>
  <c r="E138" i="112" s="1"/>
  <c r="E139" i="112" s="1"/>
  <c r="E140" i="112" s="1"/>
  <c r="E141" i="112" s="1"/>
  <c r="E142" i="112" s="1"/>
  <c r="E143" i="112" s="1"/>
  <c r="E144" i="112" s="1"/>
  <c r="E145" i="112" s="1"/>
  <c r="E146" i="112" s="1"/>
  <c r="E147" i="112" s="1"/>
  <c r="E148" i="112" s="1"/>
  <c r="E149" i="112" s="1"/>
  <c r="E150" i="112" s="1"/>
  <c r="E151" i="112" s="1"/>
  <c r="E152" i="112" s="1"/>
  <c r="E153" i="112" s="1"/>
  <c r="E154" i="112" s="1"/>
  <c r="E155" i="112" s="1"/>
  <c r="E156" i="112" s="1"/>
  <c r="E157" i="112" s="1"/>
  <c r="E158" i="112" s="1"/>
  <c r="E159" i="112" s="1"/>
  <c r="E160" i="112" s="1"/>
  <c r="E161" i="112" s="1"/>
  <c r="E162" i="112" s="1"/>
  <c r="E163" i="112" s="1"/>
  <c r="E164" i="112" s="1"/>
  <c r="E165" i="112" s="1"/>
  <c r="E166" i="112" s="1"/>
  <c r="E167" i="112" s="1"/>
  <c r="E168" i="112" s="1"/>
  <c r="E169" i="112" s="1"/>
  <c r="E170" i="112" s="1"/>
  <c r="E171" i="112" s="1"/>
  <c r="E172" i="112" s="1"/>
  <c r="E173" i="112" s="1"/>
  <c r="E174" i="112" s="1"/>
  <c r="E175" i="112" s="1"/>
  <c r="E176" i="112" s="1"/>
  <c r="E177" i="112" s="1"/>
  <c r="E178" i="112" s="1"/>
  <c r="E179" i="112" s="1"/>
  <c r="E180" i="112" s="1"/>
  <c r="E181" i="112" s="1"/>
  <c r="E182" i="112" s="1"/>
  <c r="E183" i="112" s="1"/>
  <c r="E184" i="112" s="1"/>
  <c r="E185" i="112" s="1"/>
  <c r="E186" i="112" s="1"/>
  <c r="E187" i="112" s="1"/>
  <c r="E188" i="112" s="1"/>
  <c r="E189" i="112" s="1"/>
  <c r="E190" i="112" s="1"/>
  <c r="E191" i="112" s="1"/>
  <c r="E192" i="112" s="1"/>
  <c r="E193" i="112" s="1"/>
  <c r="E194" i="112" s="1"/>
  <c r="E195" i="112" s="1"/>
  <c r="E196" i="112" s="1"/>
  <c r="E197" i="112" s="1"/>
  <c r="E198" i="112" s="1"/>
  <c r="E199" i="112" s="1"/>
  <c r="E200" i="112" s="1"/>
  <c r="E201" i="112" s="1"/>
  <c r="E202" i="112" s="1"/>
  <c r="E203" i="112" s="1"/>
  <c r="E204" i="112" s="1"/>
  <c r="E205" i="112" s="1"/>
  <c r="E206" i="112" s="1"/>
  <c r="E207" i="112" s="1"/>
  <c r="E208" i="112" s="1"/>
  <c r="E209" i="112" s="1"/>
  <c r="E210" i="112" s="1"/>
  <c r="E211" i="112" s="1"/>
  <c r="E212" i="112" s="1"/>
  <c r="E213" i="112" s="1"/>
  <c r="E214" i="112" s="1"/>
  <c r="E215" i="112" s="1"/>
  <c r="E216" i="112" s="1"/>
  <c r="E217" i="112" s="1"/>
  <c r="E218" i="112" s="1"/>
  <c r="E219" i="112" s="1"/>
  <c r="E220" i="112" s="1"/>
  <c r="E221" i="112" s="1"/>
  <c r="E222" i="112" s="1"/>
  <c r="E223" i="112" s="1"/>
  <c r="E224" i="112" s="1"/>
  <c r="E225" i="112" s="1"/>
  <c r="E226" i="112" s="1"/>
  <c r="E227" i="112" s="1"/>
  <c r="E228" i="112" s="1"/>
  <c r="E229" i="112" s="1"/>
  <c r="E230" i="112" s="1"/>
  <c r="E231" i="112" s="1"/>
  <c r="E232" i="112" s="1"/>
  <c r="E233" i="112" s="1"/>
  <c r="E234" i="112" s="1"/>
  <c r="E235" i="112" s="1"/>
  <c r="E236" i="112" s="1"/>
  <c r="E237" i="112" s="1"/>
  <c r="E238" i="112" s="1"/>
  <c r="E239" i="112" s="1"/>
  <c r="E240" i="112" s="1"/>
  <c r="E241" i="112" s="1"/>
  <c r="E242" i="112" s="1"/>
  <c r="E243" i="112" s="1"/>
  <c r="W3" i="112"/>
  <c r="V3" i="112"/>
  <c r="U3" i="112"/>
  <c r="T3" i="112"/>
  <c r="S3" i="112"/>
  <c r="R3" i="112"/>
  <c r="Q3" i="112"/>
  <c r="P3" i="112"/>
  <c r="O3" i="112"/>
  <c r="N3" i="112"/>
  <c r="U219" i="111"/>
  <c r="U207" i="111"/>
  <c r="U195" i="111"/>
  <c r="U183" i="111"/>
  <c r="U171" i="111"/>
  <c r="U159" i="111"/>
  <c r="U147" i="111"/>
  <c r="U135" i="111"/>
  <c r="U123" i="111"/>
  <c r="U99" i="111"/>
  <c r="U87" i="111"/>
  <c r="U75" i="111"/>
  <c r="U63" i="111"/>
  <c r="U51" i="111"/>
  <c r="J22" i="111"/>
  <c r="J21" i="111"/>
  <c r="J20" i="111"/>
  <c r="J19" i="111"/>
  <c r="J18" i="111"/>
  <c r="J17" i="111"/>
  <c r="J16" i="111"/>
  <c r="L15" i="111"/>
  <c r="L27" i="111" s="1"/>
  <c r="L39" i="111" s="1"/>
  <c r="L51" i="111" s="1"/>
  <c r="L63" i="111" s="1"/>
  <c r="L75" i="111" s="1"/>
  <c r="L87" i="111" s="1"/>
  <c r="L99" i="111" s="1"/>
  <c r="L111" i="111" s="1"/>
  <c r="L123" i="111" s="1"/>
  <c r="L135" i="111" s="1"/>
  <c r="L147" i="111" s="1"/>
  <c r="L159" i="111" s="1"/>
  <c r="L171" i="111" s="1"/>
  <c r="L183" i="111" s="1"/>
  <c r="L195" i="111" s="1"/>
  <c r="L207" i="111" s="1"/>
  <c r="L219" i="111" s="1"/>
  <c r="L231" i="111" s="1"/>
  <c r="J15" i="111"/>
  <c r="J14" i="111"/>
  <c r="J13" i="111"/>
  <c r="J12" i="111"/>
  <c r="J11" i="111"/>
  <c r="J10" i="111"/>
  <c r="J9" i="111"/>
  <c r="J8" i="111"/>
  <c r="J7" i="111"/>
  <c r="J6" i="111"/>
  <c r="J5" i="111"/>
  <c r="J4" i="111"/>
  <c r="C4" i="111"/>
  <c r="J3" i="111"/>
  <c r="C3" i="111"/>
  <c r="B64" i="110"/>
  <c r="B76" i="110" s="1"/>
  <c r="B88" i="110" s="1"/>
  <c r="B100" i="110" s="1"/>
  <c r="B112" i="110" s="1"/>
  <c r="B124" i="110" s="1"/>
  <c r="B136" i="110" s="1"/>
  <c r="B148" i="110" s="1"/>
  <c r="B160" i="110" s="1"/>
  <c r="B172" i="110" s="1"/>
  <c r="B184" i="110" s="1"/>
  <c r="B196" i="110" s="1"/>
  <c r="B208" i="110" s="1"/>
  <c r="B220" i="110" s="1"/>
  <c r="B232" i="110" s="1"/>
  <c r="E4" i="110"/>
  <c r="E5" i="110" s="1"/>
  <c r="E6" i="110" s="1"/>
  <c r="E7" i="110" s="1"/>
  <c r="E8" i="110" s="1"/>
  <c r="E9" i="110" s="1"/>
  <c r="E10" i="110" s="1"/>
  <c r="E11" i="110" s="1"/>
  <c r="E12" i="110" s="1"/>
  <c r="E13" i="110" s="1"/>
  <c r="E14" i="110" s="1"/>
  <c r="E15" i="110" s="1"/>
  <c r="E16" i="110" s="1"/>
  <c r="E17" i="110" s="1"/>
  <c r="E18" i="110" s="1"/>
  <c r="E19" i="110" s="1"/>
  <c r="E20" i="110" s="1"/>
  <c r="E21" i="110" s="1"/>
  <c r="E22" i="110" s="1"/>
  <c r="E23" i="110" s="1"/>
  <c r="E24" i="110" s="1"/>
  <c r="E25" i="110" s="1"/>
  <c r="E26" i="110" s="1"/>
  <c r="E27" i="110" s="1"/>
  <c r="E28" i="110" s="1"/>
  <c r="E29" i="110" s="1"/>
  <c r="E30" i="110" s="1"/>
  <c r="E31" i="110" s="1"/>
  <c r="E32" i="110" s="1"/>
  <c r="E33" i="110" s="1"/>
  <c r="E34" i="110" s="1"/>
  <c r="E35" i="110" s="1"/>
  <c r="E36" i="110" s="1"/>
  <c r="E37" i="110" s="1"/>
  <c r="E38" i="110" s="1"/>
  <c r="E39" i="110" s="1"/>
  <c r="E40" i="110" s="1"/>
  <c r="E41" i="110" s="1"/>
  <c r="E42" i="110" s="1"/>
  <c r="E43" i="110" s="1"/>
  <c r="E44" i="110" s="1"/>
  <c r="E45" i="110" s="1"/>
  <c r="E46" i="110" s="1"/>
  <c r="E47" i="110" s="1"/>
  <c r="E48" i="110" s="1"/>
  <c r="E49" i="110" s="1"/>
  <c r="E50" i="110" s="1"/>
  <c r="E51" i="110" s="1"/>
  <c r="E52" i="110" s="1"/>
  <c r="E53" i="110" s="1"/>
  <c r="E54" i="110" s="1"/>
  <c r="E55" i="110" s="1"/>
  <c r="E56" i="110" s="1"/>
  <c r="E57" i="110" s="1"/>
  <c r="E58" i="110" s="1"/>
  <c r="E59" i="110" s="1"/>
  <c r="E60" i="110" s="1"/>
  <c r="E61" i="110" s="1"/>
  <c r="E62" i="110" s="1"/>
  <c r="E63" i="110" s="1"/>
  <c r="E64" i="110" s="1"/>
  <c r="E65" i="110" s="1"/>
  <c r="E66" i="110" s="1"/>
  <c r="E67" i="110" s="1"/>
  <c r="E68" i="110" s="1"/>
  <c r="E69" i="110" s="1"/>
  <c r="E70" i="110" s="1"/>
  <c r="E71" i="110" s="1"/>
  <c r="E72" i="110" s="1"/>
  <c r="E73" i="110" s="1"/>
  <c r="E74" i="110" s="1"/>
  <c r="E75" i="110" s="1"/>
  <c r="E76" i="110" s="1"/>
  <c r="E77" i="110" s="1"/>
  <c r="E78" i="110" s="1"/>
  <c r="E79" i="110" s="1"/>
  <c r="E80" i="110" s="1"/>
  <c r="E81" i="110" s="1"/>
  <c r="E82" i="110" s="1"/>
  <c r="E83" i="110" s="1"/>
  <c r="E84" i="110" s="1"/>
  <c r="E85" i="110" s="1"/>
  <c r="E86" i="110" s="1"/>
  <c r="E87" i="110" s="1"/>
  <c r="E88" i="110" s="1"/>
  <c r="E89" i="110" s="1"/>
  <c r="E90" i="110" s="1"/>
  <c r="E91" i="110" s="1"/>
  <c r="E92" i="110" s="1"/>
  <c r="E93" i="110" s="1"/>
  <c r="E94" i="110" s="1"/>
  <c r="E95" i="110" s="1"/>
  <c r="E96" i="110" s="1"/>
  <c r="E97" i="110" s="1"/>
  <c r="E98" i="110" s="1"/>
  <c r="E99" i="110" s="1"/>
  <c r="E100" i="110" s="1"/>
  <c r="E101" i="110" s="1"/>
  <c r="E102" i="110" s="1"/>
  <c r="E103" i="110" s="1"/>
  <c r="E104" i="110" s="1"/>
  <c r="E105" i="110" s="1"/>
  <c r="E106" i="110" s="1"/>
  <c r="E107" i="110" s="1"/>
  <c r="E108" i="110" s="1"/>
  <c r="E109" i="110" s="1"/>
  <c r="E110" i="110" s="1"/>
  <c r="E111" i="110" s="1"/>
  <c r="E112" i="110" s="1"/>
  <c r="E113" i="110" s="1"/>
  <c r="E114" i="110" s="1"/>
  <c r="E115" i="110" s="1"/>
  <c r="E116" i="110" s="1"/>
  <c r="E117" i="110" s="1"/>
  <c r="E118" i="110" s="1"/>
  <c r="E119" i="110" s="1"/>
  <c r="E120" i="110" s="1"/>
  <c r="E121" i="110" s="1"/>
  <c r="E122" i="110" s="1"/>
  <c r="E123" i="110" s="1"/>
  <c r="E124" i="110" s="1"/>
  <c r="E125" i="110" s="1"/>
  <c r="E126" i="110" s="1"/>
  <c r="E127" i="110" s="1"/>
  <c r="E128" i="110" s="1"/>
  <c r="E129" i="110" s="1"/>
  <c r="E130" i="110" s="1"/>
  <c r="E131" i="110" s="1"/>
  <c r="E132" i="110" s="1"/>
  <c r="E133" i="110" s="1"/>
  <c r="E134" i="110" s="1"/>
  <c r="E135" i="110" s="1"/>
  <c r="E136" i="110" s="1"/>
  <c r="E137" i="110" s="1"/>
  <c r="E138" i="110" s="1"/>
  <c r="E139" i="110" s="1"/>
  <c r="E140" i="110" s="1"/>
  <c r="E141" i="110" s="1"/>
  <c r="E142" i="110" s="1"/>
  <c r="E143" i="110" s="1"/>
  <c r="E144" i="110" s="1"/>
  <c r="E145" i="110" s="1"/>
  <c r="E146" i="110" s="1"/>
  <c r="E147" i="110" s="1"/>
  <c r="E148" i="110" s="1"/>
  <c r="E149" i="110" s="1"/>
  <c r="E150" i="110" s="1"/>
  <c r="E151" i="110" s="1"/>
  <c r="E152" i="110" s="1"/>
  <c r="E153" i="110" s="1"/>
  <c r="E154" i="110" s="1"/>
  <c r="E155" i="110" s="1"/>
  <c r="E156" i="110" s="1"/>
  <c r="E157" i="110" s="1"/>
  <c r="E158" i="110" s="1"/>
  <c r="E159" i="110" s="1"/>
  <c r="E160" i="110" s="1"/>
  <c r="E161" i="110" s="1"/>
  <c r="E162" i="110" s="1"/>
  <c r="E163" i="110" s="1"/>
  <c r="E164" i="110" s="1"/>
  <c r="E165" i="110" s="1"/>
  <c r="E166" i="110" s="1"/>
  <c r="E167" i="110" s="1"/>
  <c r="E168" i="110" s="1"/>
  <c r="E169" i="110" s="1"/>
  <c r="E170" i="110" s="1"/>
  <c r="E171" i="110" s="1"/>
  <c r="E172" i="110" s="1"/>
  <c r="E173" i="110" s="1"/>
  <c r="E174" i="110" s="1"/>
  <c r="E175" i="110" s="1"/>
  <c r="E176" i="110" s="1"/>
  <c r="E177" i="110" s="1"/>
  <c r="E178" i="110" s="1"/>
  <c r="E179" i="110" s="1"/>
  <c r="E180" i="110" s="1"/>
  <c r="E181" i="110" s="1"/>
  <c r="E182" i="110" s="1"/>
  <c r="E183" i="110" s="1"/>
  <c r="E184" i="110" s="1"/>
  <c r="E185" i="110" s="1"/>
  <c r="E186" i="110" s="1"/>
  <c r="E187" i="110" s="1"/>
  <c r="E188" i="110" s="1"/>
  <c r="E189" i="110" s="1"/>
  <c r="E190" i="110" s="1"/>
  <c r="E191" i="110" s="1"/>
  <c r="E192" i="110" s="1"/>
  <c r="E193" i="110" s="1"/>
  <c r="E194" i="110" s="1"/>
  <c r="E195" i="110" s="1"/>
  <c r="E196" i="110" s="1"/>
  <c r="E197" i="110" s="1"/>
  <c r="E198" i="110" s="1"/>
  <c r="E199" i="110" s="1"/>
  <c r="E200" i="110" s="1"/>
  <c r="E201" i="110" s="1"/>
  <c r="E202" i="110" s="1"/>
  <c r="E203" i="110" s="1"/>
  <c r="E204" i="110" s="1"/>
  <c r="E205" i="110" s="1"/>
  <c r="E206" i="110" s="1"/>
  <c r="E207" i="110" s="1"/>
  <c r="E208" i="110" s="1"/>
  <c r="E209" i="110" s="1"/>
  <c r="E210" i="110" s="1"/>
  <c r="E211" i="110" s="1"/>
  <c r="E212" i="110" s="1"/>
  <c r="E213" i="110" s="1"/>
  <c r="E214" i="110" s="1"/>
  <c r="E215" i="110" s="1"/>
  <c r="E216" i="110" s="1"/>
  <c r="E217" i="110" s="1"/>
  <c r="E218" i="110" s="1"/>
  <c r="E219" i="110" s="1"/>
  <c r="E220" i="110" s="1"/>
  <c r="E221" i="110" s="1"/>
  <c r="E222" i="110" s="1"/>
  <c r="E223" i="110" s="1"/>
  <c r="E224" i="110" s="1"/>
  <c r="E225" i="110" s="1"/>
  <c r="E226" i="110" s="1"/>
  <c r="E227" i="110" s="1"/>
  <c r="E228" i="110" s="1"/>
  <c r="E229" i="110" s="1"/>
  <c r="E230" i="110" s="1"/>
  <c r="E231" i="110" s="1"/>
  <c r="E232" i="110" s="1"/>
  <c r="E233" i="110" s="1"/>
  <c r="E234" i="110" s="1"/>
  <c r="E235" i="110" s="1"/>
  <c r="E236" i="110" s="1"/>
  <c r="E237" i="110" s="1"/>
  <c r="E238" i="110" s="1"/>
  <c r="E239" i="110" s="1"/>
  <c r="E240" i="110" s="1"/>
  <c r="E241" i="110" s="1"/>
  <c r="E242" i="110" s="1"/>
  <c r="E243" i="110" s="1"/>
  <c r="W3" i="110"/>
  <c r="V3" i="110"/>
  <c r="U3" i="110"/>
  <c r="T3" i="110"/>
  <c r="S3" i="110"/>
  <c r="R3" i="110"/>
  <c r="Q3" i="110"/>
  <c r="P3" i="110"/>
  <c r="O3" i="110"/>
  <c r="N3" i="110"/>
  <c r="D1" i="10" l="1"/>
  <c r="D9" i="10" l="1"/>
  <c r="C4" i="53"/>
  <c r="C4" i="60"/>
  <c r="E4" i="58"/>
  <c r="E4" i="54"/>
  <c r="E124" i="61"/>
  <c r="E112" i="61"/>
  <c r="E100" i="61"/>
  <c r="E88" i="61"/>
  <c r="E76" i="61"/>
  <c r="E64" i="61"/>
  <c r="E52" i="61"/>
  <c r="E40" i="61"/>
  <c r="E28" i="61"/>
  <c r="E16" i="61"/>
  <c r="E4" i="61"/>
  <c r="E124" i="65"/>
  <c r="E112" i="65"/>
  <c r="E100" i="65"/>
  <c r="E88" i="65"/>
  <c r="E76" i="65"/>
  <c r="E64" i="65"/>
  <c r="E52" i="65"/>
  <c r="E40" i="65"/>
  <c r="E28" i="65"/>
  <c r="E16" i="65"/>
  <c r="E4" i="65"/>
  <c r="D12" i="10" l="1"/>
  <c r="H10" i="75"/>
  <c r="H15" i="75"/>
  <c r="H19" i="75"/>
  <c r="H23" i="75"/>
  <c r="H7" i="75"/>
  <c r="H12" i="75"/>
  <c r="H17" i="75"/>
  <c r="H21" i="75"/>
  <c r="H6" i="75"/>
  <c r="H11" i="75"/>
  <c r="H16" i="75"/>
  <c r="H20" i="75"/>
  <c r="H22" i="75"/>
  <c r="H18" i="75"/>
  <c r="H14" i="75"/>
  <c r="H8" i="75"/>
  <c r="H4" i="75"/>
  <c r="H5" i="75"/>
  <c r="H9" i="75"/>
  <c r="H13" i="75"/>
  <c r="H4" i="76"/>
  <c r="H5" i="76"/>
  <c r="H9" i="76"/>
  <c r="H13" i="76"/>
  <c r="H17" i="76"/>
  <c r="H21" i="76"/>
  <c r="H20" i="76"/>
  <c r="H16" i="76"/>
  <c r="H12" i="76"/>
  <c r="H8" i="76"/>
  <c r="H23" i="76"/>
  <c r="H19" i="76"/>
  <c r="H15" i="76"/>
  <c r="H11" i="76"/>
  <c r="H7" i="76"/>
  <c r="H22" i="76"/>
  <c r="H18" i="76"/>
  <c r="H14" i="76"/>
  <c r="H10" i="76"/>
  <c r="H6" i="76"/>
  <c r="C279" i="25"/>
  <c r="C278" i="25"/>
  <c r="C277" i="25"/>
  <c r="B257" i="25"/>
  <c r="B256" i="25"/>
  <c r="B255" i="25"/>
  <c r="B254" i="25"/>
  <c r="B253" i="25"/>
  <c r="B252" i="25"/>
  <c r="B251" i="25"/>
  <c r="B250" i="25"/>
  <c r="B249" i="25"/>
  <c r="C7" i="107" l="1"/>
  <c r="G33" i="19" s="1"/>
  <c r="C6" i="10"/>
  <c r="C5" i="10"/>
  <c r="F2" i="2"/>
  <c r="C4" i="10" s="1"/>
  <c r="C2" i="2"/>
  <c r="C3" i="10" s="1"/>
  <c r="F7" i="2"/>
  <c r="H9" i="2"/>
  <c r="J5" i="19"/>
  <c r="I5" i="19"/>
  <c r="G5" i="19"/>
  <c r="D5" i="19"/>
  <c r="K39" i="19"/>
  <c r="J39" i="19"/>
  <c r="I39" i="19"/>
  <c r="H39" i="19"/>
  <c r="G39" i="19"/>
  <c r="K38" i="19"/>
  <c r="J38" i="19"/>
  <c r="I38" i="19"/>
  <c r="H38" i="19"/>
  <c r="G38" i="19"/>
  <c r="K37" i="19"/>
  <c r="J37" i="19"/>
  <c r="I37" i="19"/>
  <c r="H37" i="19"/>
  <c r="G37" i="19"/>
  <c r="K36" i="19"/>
  <c r="J36" i="19"/>
  <c r="I36" i="19"/>
  <c r="H36" i="19"/>
  <c r="G36" i="19"/>
  <c r="K35" i="19"/>
  <c r="J35" i="19"/>
  <c r="I35" i="19"/>
  <c r="H35" i="19"/>
  <c r="G35" i="19"/>
  <c r="K34" i="19"/>
  <c r="J34" i="19"/>
  <c r="I34" i="19"/>
  <c r="H34" i="19"/>
  <c r="G34" i="19"/>
  <c r="K33" i="19"/>
  <c r="J33" i="19"/>
  <c r="I33" i="19"/>
  <c r="H33" i="19"/>
  <c r="K32" i="19"/>
  <c r="J32" i="19"/>
  <c r="I32" i="19"/>
  <c r="H32" i="19"/>
  <c r="G32" i="19"/>
  <c r="K31" i="19"/>
  <c r="J31" i="19"/>
  <c r="I31" i="19"/>
  <c r="H31" i="19"/>
  <c r="G31" i="19"/>
  <c r="C2" i="107"/>
  <c r="J81" i="107"/>
  <c r="C70" i="107"/>
  <c r="C89" i="107" s="1"/>
  <c r="J64" i="107"/>
  <c r="J62" i="107"/>
  <c r="C51" i="107"/>
  <c r="C50" i="107"/>
  <c r="C69" i="107" s="1"/>
  <c r="J45" i="107"/>
  <c r="J43" i="107"/>
  <c r="C32" i="107"/>
  <c r="C31" i="107"/>
  <c r="C28" i="107"/>
  <c r="C47" i="107" s="1"/>
  <c r="J26" i="107"/>
  <c r="J24" i="107"/>
  <c r="J7" i="107"/>
  <c r="H5" i="107"/>
  <c r="C17" i="107" s="1"/>
  <c r="J5" i="107"/>
  <c r="J6" i="107" l="1"/>
  <c r="F7" i="66"/>
  <c r="F18" i="66"/>
  <c r="F22" i="66"/>
  <c r="F26" i="66"/>
  <c r="F17" i="66"/>
  <c r="F23" i="66"/>
  <c r="F10" i="62"/>
  <c r="F25" i="66"/>
  <c r="F21" i="66"/>
  <c r="F16" i="66"/>
  <c r="F24" i="66"/>
  <c r="F20" i="66"/>
  <c r="F12" i="66"/>
  <c r="F19" i="66"/>
  <c r="F13" i="66"/>
  <c r="F15" i="66"/>
  <c r="F11" i="66"/>
  <c r="F14" i="66"/>
  <c r="F8" i="66"/>
  <c r="F10" i="66"/>
  <c r="F9" i="66"/>
  <c r="F19" i="59"/>
  <c r="F24" i="59"/>
  <c r="F22" i="59"/>
  <c r="F26" i="59"/>
  <c r="F23" i="59"/>
  <c r="F25" i="59"/>
  <c r="F18" i="59"/>
  <c r="F21" i="59"/>
  <c r="F17" i="59"/>
  <c r="F20" i="59"/>
  <c r="F13" i="59"/>
  <c r="F14" i="59"/>
  <c r="F12" i="59"/>
  <c r="F16" i="59"/>
  <c r="F15" i="59"/>
  <c r="F10" i="59"/>
  <c r="F11" i="59"/>
  <c r="F8" i="59"/>
  <c r="F9" i="59"/>
  <c r="C88" i="107"/>
  <c r="C45" i="107"/>
  <c r="C66" i="107"/>
  <c r="J83" i="107"/>
  <c r="C26" i="107"/>
  <c r="J8" i="107"/>
  <c r="C16" i="107" s="1"/>
  <c r="C18" i="107" s="1"/>
  <c r="H73" i="2"/>
  <c r="H54" i="2"/>
  <c r="H34" i="2"/>
  <c r="E6" i="106"/>
  <c r="I6" i="106" s="1"/>
  <c r="E5" i="106"/>
  <c r="I5" i="106" s="1"/>
  <c r="L5" i="106" s="1"/>
  <c r="I4" i="106"/>
  <c r="L4" i="106" s="1"/>
  <c r="B88" i="105"/>
  <c r="B100" i="105" s="1"/>
  <c r="B112" i="105" s="1"/>
  <c r="B124" i="105" s="1"/>
  <c r="B136" i="105" s="1"/>
  <c r="B148" i="105" s="1"/>
  <c r="B160" i="105" s="1"/>
  <c r="B172" i="105" s="1"/>
  <c r="B184" i="105" s="1"/>
  <c r="B196" i="105" s="1"/>
  <c r="B208" i="105" s="1"/>
  <c r="B220" i="105" s="1"/>
  <c r="B232" i="105" s="1"/>
  <c r="B64" i="105"/>
  <c r="B76" i="105" s="1"/>
  <c r="E4" i="105"/>
  <c r="E5" i="105" s="1"/>
  <c r="E6" i="105" s="1"/>
  <c r="E7" i="105" s="1"/>
  <c r="E8" i="105" s="1"/>
  <c r="E9" i="105" s="1"/>
  <c r="E10" i="105" s="1"/>
  <c r="E11" i="105" s="1"/>
  <c r="E12" i="105" s="1"/>
  <c r="E13" i="105" s="1"/>
  <c r="E14" i="105" s="1"/>
  <c r="E15" i="105" s="1"/>
  <c r="E16" i="105" s="1"/>
  <c r="E17" i="105" s="1"/>
  <c r="E18" i="105" s="1"/>
  <c r="E19" i="105" s="1"/>
  <c r="E20" i="105" s="1"/>
  <c r="E21" i="105" s="1"/>
  <c r="E22" i="105" s="1"/>
  <c r="E23" i="105" s="1"/>
  <c r="E24" i="105" s="1"/>
  <c r="E25" i="105" s="1"/>
  <c r="E26" i="105" s="1"/>
  <c r="E27" i="105" s="1"/>
  <c r="E28" i="105" s="1"/>
  <c r="E29" i="105" s="1"/>
  <c r="E30" i="105" s="1"/>
  <c r="E31" i="105" s="1"/>
  <c r="E32" i="105" s="1"/>
  <c r="E33" i="105" s="1"/>
  <c r="E34" i="105" s="1"/>
  <c r="E35" i="105" s="1"/>
  <c r="E36" i="105" s="1"/>
  <c r="E37" i="105" s="1"/>
  <c r="E38" i="105" s="1"/>
  <c r="E39" i="105" s="1"/>
  <c r="E40" i="105" s="1"/>
  <c r="E41" i="105" s="1"/>
  <c r="E42" i="105" s="1"/>
  <c r="E43" i="105" s="1"/>
  <c r="E44" i="105" s="1"/>
  <c r="E45" i="105" s="1"/>
  <c r="E46" i="105" s="1"/>
  <c r="E47" i="105" s="1"/>
  <c r="E48" i="105" s="1"/>
  <c r="E49" i="105" s="1"/>
  <c r="E50" i="105" s="1"/>
  <c r="E51" i="105" s="1"/>
  <c r="E52" i="105" s="1"/>
  <c r="E53" i="105" s="1"/>
  <c r="E54" i="105" s="1"/>
  <c r="E55" i="105" s="1"/>
  <c r="E56" i="105" s="1"/>
  <c r="E57" i="105" s="1"/>
  <c r="E58" i="105" s="1"/>
  <c r="E59" i="105" s="1"/>
  <c r="E60" i="105" s="1"/>
  <c r="E61" i="105" s="1"/>
  <c r="E62" i="105" s="1"/>
  <c r="E63" i="105" s="1"/>
  <c r="E64" i="105" s="1"/>
  <c r="E65" i="105" s="1"/>
  <c r="E66" i="105" s="1"/>
  <c r="E67" i="105" s="1"/>
  <c r="E68" i="105" s="1"/>
  <c r="E69" i="105" s="1"/>
  <c r="E70" i="105" s="1"/>
  <c r="E71" i="105" s="1"/>
  <c r="E72" i="105" s="1"/>
  <c r="E73" i="105" s="1"/>
  <c r="E74" i="105" s="1"/>
  <c r="E75" i="105" s="1"/>
  <c r="E76" i="105" s="1"/>
  <c r="E77" i="105" s="1"/>
  <c r="E78" i="105" s="1"/>
  <c r="E79" i="105" s="1"/>
  <c r="E80" i="105" s="1"/>
  <c r="E81" i="105" s="1"/>
  <c r="E82" i="105" s="1"/>
  <c r="E83" i="105" s="1"/>
  <c r="E84" i="105" s="1"/>
  <c r="E85" i="105" s="1"/>
  <c r="E86" i="105" s="1"/>
  <c r="E87" i="105" s="1"/>
  <c r="E88" i="105" s="1"/>
  <c r="E89" i="105" s="1"/>
  <c r="E90" i="105" s="1"/>
  <c r="E91" i="105" s="1"/>
  <c r="E92" i="105" s="1"/>
  <c r="E93" i="105" s="1"/>
  <c r="E94" i="105" s="1"/>
  <c r="E95" i="105" s="1"/>
  <c r="E96" i="105" s="1"/>
  <c r="E97" i="105" s="1"/>
  <c r="E98" i="105" s="1"/>
  <c r="E99" i="105" s="1"/>
  <c r="E100" i="105" s="1"/>
  <c r="E101" i="105" s="1"/>
  <c r="E102" i="105" s="1"/>
  <c r="E103" i="105" s="1"/>
  <c r="E104" i="105" s="1"/>
  <c r="E105" i="105" s="1"/>
  <c r="E106" i="105" s="1"/>
  <c r="E107" i="105" s="1"/>
  <c r="E108" i="105" s="1"/>
  <c r="E109" i="105" s="1"/>
  <c r="E110" i="105" s="1"/>
  <c r="E111" i="105" s="1"/>
  <c r="E112" i="105" s="1"/>
  <c r="E113" i="105" s="1"/>
  <c r="E114" i="105" s="1"/>
  <c r="E115" i="105" s="1"/>
  <c r="E116" i="105" s="1"/>
  <c r="E117" i="105" s="1"/>
  <c r="E118" i="105" s="1"/>
  <c r="E119" i="105" s="1"/>
  <c r="E120" i="105" s="1"/>
  <c r="E121" i="105" s="1"/>
  <c r="E122" i="105" s="1"/>
  <c r="E123" i="105" s="1"/>
  <c r="E124" i="105" s="1"/>
  <c r="E125" i="105" s="1"/>
  <c r="E126" i="105" s="1"/>
  <c r="E127" i="105" s="1"/>
  <c r="E128" i="105" s="1"/>
  <c r="E129" i="105" s="1"/>
  <c r="E130" i="105" s="1"/>
  <c r="E131" i="105" s="1"/>
  <c r="E132" i="105" s="1"/>
  <c r="E133" i="105" s="1"/>
  <c r="E134" i="105" s="1"/>
  <c r="E135" i="105" s="1"/>
  <c r="E136" i="105" s="1"/>
  <c r="E137" i="105" s="1"/>
  <c r="E138" i="105" s="1"/>
  <c r="E139" i="105" s="1"/>
  <c r="E140" i="105" s="1"/>
  <c r="E141" i="105" s="1"/>
  <c r="E142" i="105" s="1"/>
  <c r="E143" i="105" s="1"/>
  <c r="E144" i="105" s="1"/>
  <c r="E145" i="105" s="1"/>
  <c r="E146" i="105" s="1"/>
  <c r="E147" i="105" s="1"/>
  <c r="E148" i="105" s="1"/>
  <c r="E149" i="105" s="1"/>
  <c r="E150" i="105" s="1"/>
  <c r="E151" i="105" s="1"/>
  <c r="E152" i="105" s="1"/>
  <c r="E153" i="105" s="1"/>
  <c r="E154" i="105" s="1"/>
  <c r="E155" i="105" s="1"/>
  <c r="E156" i="105" s="1"/>
  <c r="E157" i="105" s="1"/>
  <c r="E158" i="105" s="1"/>
  <c r="E159" i="105" s="1"/>
  <c r="E160" i="105" s="1"/>
  <c r="E161" i="105" s="1"/>
  <c r="E162" i="105" s="1"/>
  <c r="E163" i="105" s="1"/>
  <c r="E164" i="105" s="1"/>
  <c r="E165" i="105" s="1"/>
  <c r="E166" i="105" s="1"/>
  <c r="E167" i="105" s="1"/>
  <c r="E168" i="105" s="1"/>
  <c r="E169" i="105" s="1"/>
  <c r="E170" i="105" s="1"/>
  <c r="E171" i="105" s="1"/>
  <c r="E172" i="105" s="1"/>
  <c r="E173" i="105" s="1"/>
  <c r="E174" i="105" s="1"/>
  <c r="E175" i="105" s="1"/>
  <c r="E176" i="105" s="1"/>
  <c r="E177" i="105" s="1"/>
  <c r="E178" i="105" s="1"/>
  <c r="E179" i="105" s="1"/>
  <c r="E180" i="105" s="1"/>
  <c r="E181" i="105" s="1"/>
  <c r="E182" i="105" s="1"/>
  <c r="E183" i="105" s="1"/>
  <c r="E184" i="105" s="1"/>
  <c r="E185" i="105" s="1"/>
  <c r="E186" i="105" s="1"/>
  <c r="E187" i="105" s="1"/>
  <c r="E188" i="105" s="1"/>
  <c r="E189" i="105" s="1"/>
  <c r="E190" i="105" s="1"/>
  <c r="E191" i="105" s="1"/>
  <c r="E192" i="105" s="1"/>
  <c r="E193" i="105" s="1"/>
  <c r="E194" i="105" s="1"/>
  <c r="E195" i="105" s="1"/>
  <c r="E196" i="105" s="1"/>
  <c r="E197" i="105" s="1"/>
  <c r="E198" i="105" s="1"/>
  <c r="E199" i="105" s="1"/>
  <c r="E200" i="105" s="1"/>
  <c r="E201" i="105" s="1"/>
  <c r="E202" i="105" s="1"/>
  <c r="E203" i="105" s="1"/>
  <c r="E204" i="105" s="1"/>
  <c r="E205" i="105" s="1"/>
  <c r="E206" i="105" s="1"/>
  <c r="E207" i="105" s="1"/>
  <c r="E208" i="105" s="1"/>
  <c r="E209" i="105" s="1"/>
  <c r="E210" i="105" s="1"/>
  <c r="E211" i="105" s="1"/>
  <c r="E212" i="105" s="1"/>
  <c r="E213" i="105" s="1"/>
  <c r="E214" i="105" s="1"/>
  <c r="E215" i="105" s="1"/>
  <c r="E216" i="105" s="1"/>
  <c r="E217" i="105" s="1"/>
  <c r="E218" i="105" s="1"/>
  <c r="E219" i="105" s="1"/>
  <c r="E220" i="105" s="1"/>
  <c r="E221" i="105" s="1"/>
  <c r="E222" i="105" s="1"/>
  <c r="E223" i="105" s="1"/>
  <c r="E224" i="105" s="1"/>
  <c r="E225" i="105" s="1"/>
  <c r="E226" i="105" s="1"/>
  <c r="E227" i="105" s="1"/>
  <c r="E228" i="105" s="1"/>
  <c r="E229" i="105" s="1"/>
  <c r="E230" i="105" s="1"/>
  <c r="E231" i="105" s="1"/>
  <c r="E232" i="105" s="1"/>
  <c r="E233" i="105" s="1"/>
  <c r="E234" i="105" s="1"/>
  <c r="E235" i="105" s="1"/>
  <c r="E236" i="105" s="1"/>
  <c r="E237" i="105" s="1"/>
  <c r="E238" i="105" s="1"/>
  <c r="E239" i="105" s="1"/>
  <c r="E240" i="105" s="1"/>
  <c r="E241" i="105" s="1"/>
  <c r="E242" i="105" s="1"/>
  <c r="E243" i="105" s="1"/>
  <c r="W3" i="105"/>
  <c r="V3" i="105"/>
  <c r="U3" i="105"/>
  <c r="T3" i="105"/>
  <c r="S3" i="105"/>
  <c r="R3" i="105"/>
  <c r="Q3" i="105"/>
  <c r="P3" i="105"/>
  <c r="O3" i="105"/>
  <c r="N3" i="105"/>
  <c r="J2" i="105"/>
  <c r="B64" i="103"/>
  <c r="B76" i="103" s="1"/>
  <c r="B88" i="103" s="1"/>
  <c r="B100" i="103" s="1"/>
  <c r="B112" i="103" s="1"/>
  <c r="B124" i="103" s="1"/>
  <c r="B136" i="103" s="1"/>
  <c r="B148" i="103" s="1"/>
  <c r="B160" i="103" s="1"/>
  <c r="B172" i="103" s="1"/>
  <c r="B184" i="103" s="1"/>
  <c r="B196" i="103" s="1"/>
  <c r="B208" i="103" s="1"/>
  <c r="B220" i="103" s="1"/>
  <c r="B232" i="103" s="1"/>
  <c r="E4" i="103"/>
  <c r="E5" i="103" s="1"/>
  <c r="E6" i="103" s="1"/>
  <c r="E7" i="103" s="1"/>
  <c r="E8" i="103" s="1"/>
  <c r="E9" i="103" s="1"/>
  <c r="E10" i="103" s="1"/>
  <c r="E11" i="103" s="1"/>
  <c r="E12" i="103" s="1"/>
  <c r="E13" i="103" s="1"/>
  <c r="E14" i="103" s="1"/>
  <c r="E15" i="103" s="1"/>
  <c r="E16" i="103" s="1"/>
  <c r="E17" i="103" s="1"/>
  <c r="E18" i="103" s="1"/>
  <c r="E19" i="103" s="1"/>
  <c r="E20" i="103" s="1"/>
  <c r="E21" i="103" s="1"/>
  <c r="E22" i="103" s="1"/>
  <c r="E23" i="103" s="1"/>
  <c r="E24" i="103" s="1"/>
  <c r="E25" i="103" s="1"/>
  <c r="E26" i="103" s="1"/>
  <c r="E27" i="103" s="1"/>
  <c r="E28" i="103" s="1"/>
  <c r="E29" i="103" s="1"/>
  <c r="E30" i="103" s="1"/>
  <c r="E31" i="103" s="1"/>
  <c r="E32" i="103" s="1"/>
  <c r="E33" i="103" s="1"/>
  <c r="E34" i="103" s="1"/>
  <c r="E35" i="103" s="1"/>
  <c r="E36" i="103" s="1"/>
  <c r="E37" i="103" s="1"/>
  <c r="E38" i="103" s="1"/>
  <c r="E39" i="103" s="1"/>
  <c r="E40" i="103" s="1"/>
  <c r="E41" i="103" s="1"/>
  <c r="E42" i="103" s="1"/>
  <c r="E43" i="103" s="1"/>
  <c r="E44" i="103" s="1"/>
  <c r="E45" i="103" s="1"/>
  <c r="E46" i="103" s="1"/>
  <c r="E47" i="103" s="1"/>
  <c r="E48" i="103" s="1"/>
  <c r="E49" i="103" s="1"/>
  <c r="E50" i="103" s="1"/>
  <c r="E51" i="103" s="1"/>
  <c r="E52" i="103" s="1"/>
  <c r="E53" i="103" s="1"/>
  <c r="E54" i="103" s="1"/>
  <c r="E55" i="103" s="1"/>
  <c r="E56" i="103" s="1"/>
  <c r="E57" i="103" s="1"/>
  <c r="E58" i="103" s="1"/>
  <c r="E59" i="103" s="1"/>
  <c r="E60" i="103" s="1"/>
  <c r="E61" i="103" s="1"/>
  <c r="E62" i="103" s="1"/>
  <c r="E63" i="103" s="1"/>
  <c r="E64" i="103" s="1"/>
  <c r="E65" i="103" s="1"/>
  <c r="E66" i="103" s="1"/>
  <c r="E67" i="103" s="1"/>
  <c r="E68" i="103" s="1"/>
  <c r="E69" i="103" s="1"/>
  <c r="E70" i="103" s="1"/>
  <c r="E71" i="103" s="1"/>
  <c r="E72" i="103" s="1"/>
  <c r="E73" i="103" s="1"/>
  <c r="E74" i="103" s="1"/>
  <c r="E75" i="103" s="1"/>
  <c r="E76" i="103" s="1"/>
  <c r="E77" i="103" s="1"/>
  <c r="E78" i="103" s="1"/>
  <c r="E79" i="103" s="1"/>
  <c r="E80" i="103" s="1"/>
  <c r="E81" i="103" s="1"/>
  <c r="E82" i="103" s="1"/>
  <c r="E83" i="103" s="1"/>
  <c r="E84" i="103" s="1"/>
  <c r="E85" i="103" s="1"/>
  <c r="E86" i="103" s="1"/>
  <c r="E87" i="103" s="1"/>
  <c r="E88" i="103" s="1"/>
  <c r="E89" i="103" s="1"/>
  <c r="E90" i="103" s="1"/>
  <c r="E91" i="103" s="1"/>
  <c r="E92" i="103" s="1"/>
  <c r="E93" i="103" s="1"/>
  <c r="E94" i="103" s="1"/>
  <c r="E95" i="103" s="1"/>
  <c r="E96" i="103" s="1"/>
  <c r="E97" i="103" s="1"/>
  <c r="E98" i="103" s="1"/>
  <c r="E99" i="103" s="1"/>
  <c r="E100" i="103" s="1"/>
  <c r="E101" i="103" s="1"/>
  <c r="E102" i="103" s="1"/>
  <c r="E103" i="103" s="1"/>
  <c r="E104" i="103" s="1"/>
  <c r="E105" i="103" s="1"/>
  <c r="E106" i="103" s="1"/>
  <c r="E107" i="103" s="1"/>
  <c r="E108" i="103" s="1"/>
  <c r="E109" i="103" s="1"/>
  <c r="E110" i="103" s="1"/>
  <c r="E111" i="103" s="1"/>
  <c r="E112" i="103" s="1"/>
  <c r="E113" i="103" s="1"/>
  <c r="E114" i="103" s="1"/>
  <c r="E115" i="103" s="1"/>
  <c r="E116" i="103" s="1"/>
  <c r="E117" i="103" s="1"/>
  <c r="E118" i="103" s="1"/>
  <c r="E119" i="103" s="1"/>
  <c r="E120" i="103" s="1"/>
  <c r="E121" i="103" s="1"/>
  <c r="E122" i="103" s="1"/>
  <c r="E123" i="103" s="1"/>
  <c r="E124" i="103" s="1"/>
  <c r="E125" i="103" s="1"/>
  <c r="E126" i="103" s="1"/>
  <c r="E127" i="103" s="1"/>
  <c r="E128" i="103" s="1"/>
  <c r="E129" i="103" s="1"/>
  <c r="E130" i="103" s="1"/>
  <c r="E131" i="103" s="1"/>
  <c r="E132" i="103" s="1"/>
  <c r="E133" i="103" s="1"/>
  <c r="E134" i="103" s="1"/>
  <c r="E135" i="103" s="1"/>
  <c r="E136" i="103" s="1"/>
  <c r="E137" i="103" s="1"/>
  <c r="E138" i="103" s="1"/>
  <c r="E139" i="103" s="1"/>
  <c r="E140" i="103" s="1"/>
  <c r="E141" i="103" s="1"/>
  <c r="E142" i="103" s="1"/>
  <c r="E143" i="103" s="1"/>
  <c r="E144" i="103" s="1"/>
  <c r="E145" i="103" s="1"/>
  <c r="E146" i="103" s="1"/>
  <c r="E147" i="103" s="1"/>
  <c r="E148" i="103" s="1"/>
  <c r="E149" i="103" s="1"/>
  <c r="E150" i="103" s="1"/>
  <c r="E151" i="103" s="1"/>
  <c r="E152" i="103" s="1"/>
  <c r="E153" i="103" s="1"/>
  <c r="E154" i="103" s="1"/>
  <c r="E155" i="103" s="1"/>
  <c r="E156" i="103" s="1"/>
  <c r="E157" i="103" s="1"/>
  <c r="E158" i="103" s="1"/>
  <c r="E159" i="103" s="1"/>
  <c r="E160" i="103" s="1"/>
  <c r="E161" i="103" s="1"/>
  <c r="E162" i="103" s="1"/>
  <c r="E163" i="103" s="1"/>
  <c r="E164" i="103" s="1"/>
  <c r="E165" i="103" s="1"/>
  <c r="E166" i="103" s="1"/>
  <c r="E167" i="103" s="1"/>
  <c r="E168" i="103" s="1"/>
  <c r="E169" i="103" s="1"/>
  <c r="E170" i="103" s="1"/>
  <c r="E171" i="103" s="1"/>
  <c r="E172" i="103" s="1"/>
  <c r="E173" i="103" s="1"/>
  <c r="E174" i="103" s="1"/>
  <c r="E175" i="103" s="1"/>
  <c r="E176" i="103" s="1"/>
  <c r="E177" i="103" s="1"/>
  <c r="E178" i="103" s="1"/>
  <c r="E179" i="103" s="1"/>
  <c r="E180" i="103" s="1"/>
  <c r="E181" i="103" s="1"/>
  <c r="E182" i="103" s="1"/>
  <c r="E183" i="103" s="1"/>
  <c r="E184" i="103" s="1"/>
  <c r="E185" i="103" s="1"/>
  <c r="E186" i="103" s="1"/>
  <c r="E187" i="103" s="1"/>
  <c r="E188" i="103" s="1"/>
  <c r="E189" i="103" s="1"/>
  <c r="E190" i="103" s="1"/>
  <c r="E191" i="103" s="1"/>
  <c r="E192" i="103" s="1"/>
  <c r="E193" i="103" s="1"/>
  <c r="E194" i="103" s="1"/>
  <c r="E195" i="103" s="1"/>
  <c r="E196" i="103" s="1"/>
  <c r="E197" i="103" s="1"/>
  <c r="E198" i="103" s="1"/>
  <c r="E199" i="103" s="1"/>
  <c r="E200" i="103" s="1"/>
  <c r="E201" i="103" s="1"/>
  <c r="E202" i="103" s="1"/>
  <c r="E203" i="103" s="1"/>
  <c r="E204" i="103" s="1"/>
  <c r="E205" i="103" s="1"/>
  <c r="E206" i="103" s="1"/>
  <c r="E207" i="103" s="1"/>
  <c r="E208" i="103" s="1"/>
  <c r="E209" i="103" s="1"/>
  <c r="E210" i="103" s="1"/>
  <c r="E211" i="103" s="1"/>
  <c r="E212" i="103" s="1"/>
  <c r="E213" i="103" s="1"/>
  <c r="E214" i="103" s="1"/>
  <c r="E215" i="103" s="1"/>
  <c r="E216" i="103" s="1"/>
  <c r="E217" i="103" s="1"/>
  <c r="E218" i="103" s="1"/>
  <c r="E219" i="103" s="1"/>
  <c r="E220" i="103" s="1"/>
  <c r="E221" i="103" s="1"/>
  <c r="E222" i="103" s="1"/>
  <c r="E223" i="103" s="1"/>
  <c r="E224" i="103" s="1"/>
  <c r="E225" i="103" s="1"/>
  <c r="E226" i="103" s="1"/>
  <c r="E227" i="103" s="1"/>
  <c r="E228" i="103" s="1"/>
  <c r="E229" i="103" s="1"/>
  <c r="E230" i="103" s="1"/>
  <c r="E231" i="103" s="1"/>
  <c r="E232" i="103" s="1"/>
  <c r="E233" i="103" s="1"/>
  <c r="E234" i="103" s="1"/>
  <c r="E235" i="103" s="1"/>
  <c r="E236" i="103" s="1"/>
  <c r="E237" i="103" s="1"/>
  <c r="E238" i="103" s="1"/>
  <c r="E239" i="103" s="1"/>
  <c r="E240" i="103" s="1"/>
  <c r="E241" i="103" s="1"/>
  <c r="E242" i="103" s="1"/>
  <c r="E243" i="103" s="1"/>
  <c r="W3" i="103"/>
  <c r="V3" i="103"/>
  <c r="U3" i="103"/>
  <c r="T3" i="103"/>
  <c r="S3" i="103"/>
  <c r="R3" i="103"/>
  <c r="Q3" i="103"/>
  <c r="P3" i="103"/>
  <c r="O3" i="103"/>
  <c r="N3" i="103"/>
  <c r="E6" i="101"/>
  <c r="I6" i="101" s="1"/>
  <c r="E5" i="101"/>
  <c r="I5" i="101" s="1"/>
  <c r="L5" i="101" s="1"/>
  <c r="I4" i="101"/>
  <c r="L4" i="101" s="1"/>
  <c r="E5" i="100"/>
  <c r="E6" i="100" s="1"/>
  <c r="E7" i="100" s="1"/>
  <c r="L4" i="100"/>
  <c r="I4" i="100"/>
  <c r="C4" i="89"/>
  <c r="J2" i="98"/>
  <c r="B64" i="98"/>
  <c r="B76" i="98" s="1"/>
  <c r="B88" i="98" s="1"/>
  <c r="B100" i="98" s="1"/>
  <c r="B112" i="98" s="1"/>
  <c r="B124" i="98" s="1"/>
  <c r="B136" i="98" s="1"/>
  <c r="B148" i="98" s="1"/>
  <c r="B160" i="98" s="1"/>
  <c r="B172" i="98" s="1"/>
  <c r="B184" i="98" s="1"/>
  <c r="B196" i="98" s="1"/>
  <c r="B208" i="98" s="1"/>
  <c r="B220" i="98" s="1"/>
  <c r="B232" i="98" s="1"/>
  <c r="E4" i="98"/>
  <c r="E5" i="98" s="1"/>
  <c r="E6" i="98" s="1"/>
  <c r="E7" i="98" s="1"/>
  <c r="E8" i="98" s="1"/>
  <c r="E9" i="98" s="1"/>
  <c r="E10" i="98" s="1"/>
  <c r="E11" i="98" s="1"/>
  <c r="E12" i="98" s="1"/>
  <c r="E13" i="98" s="1"/>
  <c r="E14" i="98" s="1"/>
  <c r="E15" i="98" s="1"/>
  <c r="E16" i="98" s="1"/>
  <c r="E17" i="98" s="1"/>
  <c r="E18" i="98" s="1"/>
  <c r="E19" i="98" s="1"/>
  <c r="E20" i="98" s="1"/>
  <c r="E21" i="98" s="1"/>
  <c r="E22" i="98" s="1"/>
  <c r="E23" i="98" s="1"/>
  <c r="E24" i="98" s="1"/>
  <c r="E25" i="98" s="1"/>
  <c r="E26" i="98" s="1"/>
  <c r="E27" i="98" s="1"/>
  <c r="E28" i="98" s="1"/>
  <c r="E29" i="98" s="1"/>
  <c r="E30" i="98" s="1"/>
  <c r="E31" i="98" s="1"/>
  <c r="E32" i="98" s="1"/>
  <c r="E33" i="98" s="1"/>
  <c r="E34" i="98" s="1"/>
  <c r="E35" i="98" s="1"/>
  <c r="E36" i="98" s="1"/>
  <c r="E37" i="98" s="1"/>
  <c r="E38" i="98" s="1"/>
  <c r="E39" i="98" s="1"/>
  <c r="E40" i="98" s="1"/>
  <c r="E41" i="98" s="1"/>
  <c r="E42" i="98" s="1"/>
  <c r="E43" i="98" s="1"/>
  <c r="E44" i="98" s="1"/>
  <c r="E45" i="98" s="1"/>
  <c r="E46" i="98" s="1"/>
  <c r="E47" i="98" s="1"/>
  <c r="E48" i="98" s="1"/>
  <c r="E49" i="98" s="1"/>
  <c r="E50" i="98" s="1"/>
  <c r="E51" i="98" s="1"/>
  <c r="E52" i="98" s="1"/>
  <c r="E53" i="98" s="1"/>
  <c r="E54" i="98" s="1"/>
  <c r="E55" i="98" s="1"/>
  <c r="E56" i="98" s="1"/>
  <c r="E57" i="98" s="1"/>
  <c r="E58" i="98" s="1"/>
  <c r="E59" i="98" s="1"/>
  <c r="E60" i="98" s="1"/>
  <c r="E61" i="98" s="1"/>
  <c r="E62" i="98" s="1"/>
  <c r="E63" i="98" s="1"/>
  <c r="E64" i="98" s="1"/>
  <c r="E65" i="98" s="1"/>
  <c r="E66" i="98" s="1"/>
  <c r="E67" i="98" s="1"/>
  <c r="E68" i="98" s="1"/>
  <c r="E69" i="98" s="1"/>
  <c r="E70" i="98" s="1"/>
  <c r="E71" i="98" s="1"/>
  <c r="E72" i="98" s="1"/>
  <c r="E73" i="98" s="1"/>
  <c r="E74" i="98" s="1"/>
  <c r="E75" i="98" s="1"/>
  <c r="E76" i="98" s="1"/>
  <c r="E77" i="98" s="1"/>
  <c r="E78" i="98" s="1"/>
  <c r="E79" i="98" s="1"/>
  <c r="E80" i="98" s="1"/>
  <c r="E81" i="98" s="1"/>
  <c r="E82" i="98" s="1"/>
  <c r="E83" i="98" s="1"/>
  <c r="E84" i="98" s="1"/>
  <c r="E85" i="98" s="1"/>
  <c r="E86" i="98" s="1"/>
  <c r="E87" i="98" s="1"/>
  <c r="E88" i="98" s="1"/>
  <c r="E89" i="98" s="1"/>
  <c r="E90" i="98" s="1"/>
  <c r="E91" i="98" s="1"/>
  <c r="E92" i="98" s="1"/>
  <c r="E93" i="98" s="1"/>
  <c r="E94" i="98" s="1"/>
  <c r="E95" i="98" s="1"/>
  <c r="E96" i="98" s="1"/>
  <c r="E97" i="98" s="1"/>
  <c r="E98" i="98" s="1"/>
  <c r="E99" i="98" s="1"/>
  <c r="E100" i="98" s="1"/>
  <c r="E101" i="98" s="1"/>
  <c r="E102" i="98" s="1"/>
  <c r="E103" i="98" s="1"/>
  <c r="E104" i="98" s="1"/>
  <c r="E105" i="98" s="1"/>
  <c r="E106" i="98" s="1"/>
  <c r="E107" i="98" s="1"/>
  <c r="E108" i="98" s="1"/>
  <c r="E109" i="98" s="1"/>
  <c r="E110" i="98" s="1"/>
  <c r="E111" i="98" s="1"/>
  <c r="E112" i="98" s="1"/>
  <c r="E113" i="98" s="1"/>
  <c r="E114" i="98" s="1"/>
  <c r="E115" i="98" s="1"/>
  <c r="E116" i="98" s="1"/>
  <c r="E117" i="98" s="1"/>
  <c r="E118" i="98" s="1"/>
  <c r="E119" i="98" s="1"/>
  <c r="E120" i="98" s="1"/>
  <c r="E121" i="98" s="1"/>
  <c r="E122" i="98" s="1"/>
  <c r="E123" i="98" s="1"/>
  <c r="E124" i="98" s="1"/>
  <c r="E125" i="98" s="1"/>
  <c r="E126" i="98" s="1"/>
  <c r="E127" i="98" s="1"/>
  <c r="E128" i="98" s="1"/>
  <c r="E129" i="98" s="1"/>
  <c r="E130" i="98" s="1"/>
  <c r="E131" i="98" s="1"/>
  <c r="E132" i="98" s="1"/>
  <c r="E133" i="98" s="1"/>
  <c r="E134" i="98" s="1"/>
  <c r="E135" i="98" s="1"/>
  <c r="E136" i="98" s="1"/>
  <c r="E137" i="98" s="1"/>
  <c r="E138" i="98" s="1"/>
  <c r="E139" i="98" s="1"/>
  <c r="E140" i="98" s="1"/>
  <c r="E141" i="98" s="1"/>
  <c r="E142" i="98" s="1"/>
  <c r="E143" i="98" s="1"/>
  <c r="E144" i="98" s="1"/>
  <c r="E145" i="98" s="1"/>
  <c r="E146" i="98" s="1"/>
  <c r="E147" i="98" s="1"/>
  <c r="E148" i="98" s="1"/>
  <c r="E149" i="98" s="1"/>
  <c r="E150" i="98" s="1"/>
  <c r="E151" i="98" s="1"/>
  <c r="E152" i="98" s="1"/>
  <c r="E153" i="98" s="1"/>
  <c r="E154" i="98" s="1"/>
  <c r="E155" i="98" s="1"/>
  <c r="E156" i="98" s="1"/>
  <c r="E157" i="98" s="1"/>
  <c r="E158" i="98" s="1"/>
  <c r="E159" i="98" s="1"/>
  <c r="E160" i="98" s="1"/>
  <c r="E161" i="98" s="1"/>
  <c r="E162" i="98" s="1"/>
  <c r="E163" i="98" s="1"/>
  <c r="E164" i="98" s="1"/>
  <c r="E165" i="98" s="1"/>
  <c r="E166" i="98" s="1"/>
  <c r="E167" i="98" s="1"/>
  <c r="E168" i="98" s="1"/>
  <c r="E169" i="98" s="1"/>
  <c r="E170" i="98" s="1"/>
  <c r="E171" i="98" s="1"/>
  <c r="E172" i="98" s="1"/>
  <c r="E173" i="98" s="1"/>
  <c r="E174" i="98" s="1"/>
  <c r="E175" i="98" s="1"/>
  <c r="E176" i="98" s="1"/>
  <c r="E177" i="98" s="1"/>
  <c r="E178" i="98" s="1"/>
  <c r="E179" i="98" s="1"/>
  <c r="E180" i="98" s="1"/>
  <c r="E181" i="98" s="1"/>
  <c r="E182" i="98" s="1"/>
  <c r="E183" i="98" s="1"/>
  <c r="E184" i="98" s="1"/>
  <c r="E185" i="98" s="1"/>
  <c r="E186" i="98" s="1"/>
  <c r="E187" i="98" s="1"/>
  <c r="E188" i="98" s="1"/>
  <c r="E189" i="98" s="1"/>
  <c r="E190" i="98" s="1"/>
  <c r="E191" i="98" s="1"/>
  <c r="E192" i="98" s="1"/>
  <c r="E193" i="98" s="1"/>
  <c r="E194" i="98" s="1"/>
  <c r="E195" i="98" s="1"/>
  <c r="E196" i="98" s="1"/>
  <c r="E197" i="98" s="1"/>
  <c r="E198" i="98" s="1"/>
  <c r="E199" i="98" s="1"/>
  <c r="E200" i="98" s="1"/>
  <c r="E201" i="98" s="1"/>
  <c r="E202" i="98" s="1"/>
  <c r="E203" i="98" s="1"/>
  <c r="E204" i="98" s="1"/>
  <c r="E205" i="98" s="1"/>
  <c r="E206" i="98" s="1"/>
  <c r="E207" i="98" s="1"/>
  <c r="E208" i="98" s="1"/>
  <c r="E209" i="98" s="1"/>
  <c r="E210" i="98" s="1"/>
  <c r="E211" i="98" s="1"/>
  <c r="E212" i="98" s="1"/>
  <c r="E213" i="98" s="1"/>
  <c r="E214" i="98" s="1"/>
  <c r="E215" i="98" s="1"/>
  <c r="E216" i="98" s="1"/>
  <c r="E217" i="98" s="1"/>
  <c r="E218" i="98" s="1"/>
  <c r="E219" i="98" s="1"/>
  <c r="E220" i="98" s="1"/>
  <c r="E221" i="98" s="1"/>
  <c r="E222" i="98" s="1"/>
  <c r="E223" i="98" s="1"/>
  <c r="E224" i="98" s="1"/>
  <c r="E225" i="98" s="1"/>
  <c r="E226" i="98" s="1"/>
  <c r="E227" i="98" s="1"/>
  <c r="E228" i="98" s="1"/>
  <c r="E229" i="98" s="1"/>
  <c r="E230" i="98" s="1"/>
  <c r="E231" i="98" s="1"/>
  <c r="E232" i="98" s="1"/>
  <c r="E233" i="98" s="1"/>
  <c r="E234" i="98" s="1"/>
  <c r="E235" i="98" s="1"/>
  <c r="E236" i="98" s="1"/>
  <c r="E237" i="98" s="1"/>
  <c r="E238" i="98" s="1"/>
  <c r="E239" i="98" s="1"/>
  <c r="E240" i="98" s="1"/>
  <c r="E241" i="98" s="1"/>
  <c r="E242" i="98" s="1"/>
  <c r="E243" i="98" s="1"/>
  <c r="W3" i="98"/>
  <c r="V3" i="98"/>
  <c r="U3" i="98"/>
  <c r="T3" i="98"/>
  <c r="S3" i="98"/>
  <c r="R3" i="98"/>
  <c r="Q3" i="98"/>
  <c r="P3" i="98"/>
  <c r="O3" i="98"/>
  <c r="N3" i="98"/>
  <c r="AG3" i="95"/>
  <c r="AF3" i="95"/>
  <c r="AE3" i="95"/>
  <c r="AD3" i="95"/>
  <c r="AC3" i="95"/>
  <c r="AB3" i="95"/>
  <c r="AA3" i="95"/>
  <c r="Z3" i="95"/>
  <c r="Y3" i="95"/>
  <c r="X3" i="95"/>
  <c r="W3" i="95"/>
  <c r="V3" i="95"/>
  <c r="U3" i="95"/>
  <c r="T3" i="95"/>
  <c r="S3" i="95"/>
  <c r="R3" i="95"/>
  <c r="Q3" i="95"/>
  <c r="P3" i="95"/>
  <c r="O3" i="95"/>
  <c r="N3" i="95"/>
  <c r="M3" i="95"/>
  <c r="L3" i="95"/>
  <c r="K3" i="95"/>
  <c r="J3" i="95"/>
  <c r="I3" i="95"/>
  <c r="H3" i="95"/>
  <c r="G3" i="95"/>
  <c r="F3" i="95"/>
  <c r="E3" i="95"/>
  <c r="AA2" i="95"/>
  <c r="T2" i="95"/>
  <c r="L2" i="95"/>
  <c r="B2" i="95"/>
  <c r="AG3" i="94"/>
  <c r="AF3" i="94"/>
  <c r="AE3" i="94"/>
  <c r="AD3" i="94"/>
  <c r="AC3" i="94"/>
  <c r="AB3" i="94"/>
  <c r="AA3" i="94"/>
  <c r="Z3" i="94"/>
  <c r="Y3" i="94"/>
  <c r="X3" i="94"/>
  <c r="W3" i="94"/>
  <c r="V3" i="94"/>
  <c r="U3" i="94"/>
  <c r="T3" i="94"/>
  <c r="S3" i="94"/>
  <c r="R3" i="94"/>
  <c r="Q3" i="94"/>
  <c r="P3" i="94"/>
  <c r="O3" i="94"/>
  <c r="N3" i="94"/>
  <c r="M3" i="94"/>
  <c r="L3" i="94"/>
  <c r="K3" i="94"/>
  <c r="J3" i="94"/>
  <c r="I3" i="94"/>
  <c r="H3" i="94"/>
  <c r="G3" i="94"/>
  <c r="F3" i="94"/>
  <c r="E3" i="94"/>
  <c r="AA2" i="94"/>
  <c r="T2" i="94"/>
  <c r="L2" i="94"/>
  <c r="B2" i="94"/>
  <c r="B64" i="93"/>
  <c r="B76" i="93" s="1"/>
  <c r="B88" i="93" s="1"/>
  <c r="B100" i="93" s="1"/>
  <c r="B112" i="93" s="1"/>
  <c r="B124" i="93" s="1"/>
  <c r="B136" i="93" s="1"/>
  <c r="B148" i="93" s="1"/>
  <c r="B160" i="93" s="1"/>
  <c r="B172" i="93" s="1"/>
  <c r="B184" i="93" s="1"/>
  <c r="B196" i="93" s="1"/>
  <c r="B208" i="93" s="1"/>
  <c r="B220" i="93" s="1"/>
  <c r="B232" i="93" s="1"/>
  <c r="E4" i="93"/>
  <c r="E5" i="93" s="1"/>
  <c r="E6" i="93" s="1"/>
  <c r="E7" i="93" s="1"/>
  <c r="E8" i="93" s="1"/>
  <c r="E9" i="93" s="1"/>
  <c r="E10" i="93" s="1"/>
  <c r="E11" i="93" s="1"/>
  <c r="E12" i="93" s="1"/>
  <c r="E13" i="93" s="1"/>
  <c r="E14" i="93" s="1"/>
  <c r="E15" i="93" s="1"/>
  <c r="E16" i="93" s="1"/>
  <c r="E17" i="93" s="1"/>
  <c r="E18" i="93" s="1"/>
  <c r="E19" i="93" s="1"/>
  <c r="E20" i="93" s="1"/>
  <c r="E21" i="93" s="1"/>
  <c r="E22" i="93" s="1"/>
  <c r="E23" i="93" s="1"/>
  <c r="E24" i="93" s="1"/>
  <c r="E25" i="93" s="1"/>
  <c r="E26" i="93" s="1"/>
  <c r="E27" i="93" s="1"/>
  <c r="E28" i="93" s="1"/>
  <c r="E29" i="93" s="1"/>
  <c r="E30" i="93" s="1"/>
  <c r="E31" i="93" s="1"/>
  <c r="E32" i="93" s="1"/>
  <c r="E33" i="93" s="1"/>
  <c r="E34" i="93" s="1"/>
  <c r="E35" i="93" s="1"/>
  <c r="E36" i="93" s="1"/>
  <c r="E37" i="93" s="1"/>
  <c r="E38" i="93" s="1"/>
  <c r="E39" i="93" s="1"/>
  <c r="E40" i="93" s="1"/>
  <c r="E41" i="93" s="1"/>
  <c r="E42" i="93" s="1"/>
  <c r="E43" i="93" s="1"/>
  <c r="E44" i="93" s="1"/>
  <c r="E45" i="93" s="1"/>
  <c r="E46" i="93" s="1"/>
  <c r="E47" i="93" s="1"/>
  <c r="E48" i="93" s="1"/>
  <c r="E49" i="93" s="1"/>
  <c r="E50" i="93" s="1"/>
  <c r="E51" i="93" s="1"/>
  <c r="E52" i="93" s="1"/>
  <c r="E53" i="93" s="1"/>
  <c r="E54" i="93" s="1"/>
  <c r="E55" i="93" s="1"/>
  <c r="E56" i="93" s="1"/>
  <c r="E57" i="93" s="1"/>
  <c r="E58" i="93" s="1"/>
  <c r="E59" i="93" s="1"/>
  <c r="E60" i="93" s="1"/>
  <c r="E61" i="93" s="1"/>
  <c r="E62" i="93" s="1"/>
  <c r="E63" i="93" s="1"/>
  <c r="E64" i="93" s="1"/>
  <c r="E65" i="93" s="1"/>
  <c r="E66" i="93" s="1"/>
  <c r="E67" i="93" s="1"/>
  <c r="E68" i="93" s="1"/>
  <c r="E69" i="93" s="1"/>
  <c r="E70" i="93" s="1"/>
  <c r="E71" i="93" s="1"/>
  <c r="E72" i="93" s="1"/>
  <c r="E73" i="93" s="1"/>
  <c r="E74" i="93" s="1"/>
  <c r="E75" i="93" s="1"/>
  <c r="E76" i="93" s="1"/>
  <c r="E77" i="93" s="1"/>
  <c r="E78" i="93" s="1"/>
  <c r="E79" i="93" s="1"/>
  <c r="E80" i="93" s="1"/>
  <c r="E81" i="93" s="1"/>
  <c r="E82" i="93" s="1"/>
  <c r="E83" i="93" s="1"/>
  <c r="E84" i="93" s="1"/>
  <c r="E85" i="93" s="1"/>
  <c r="E86" i="93" s="1"/>
  <c r="E87" i="93" s="1"/>
  <c r="E88" i="93" s="1"/>
  <c r="E89" i="93" s="1"/>
  <c r="E90" i="93" s="1"/>
  <c r="E91" i="93" s="1"/>
  <c r="E92" i="93" s="1"/>
  <c r="E93" i="93" s="1"/>
  <c r="E94" i="93" s="1"/>
  <c r="E95" i="93" s="1"/>
  <c r="E96" i="93" s="1"/>
  <c r="E97" i="93" s="1"/>
  <c r="E98" i="93" s="1"/>
  <c r="E99" i="93" s="1"/>
  <c r="E100" i="93" s="1"/>
  <c r="E101" i="93" s="1"/>
  <c r="E102" i="93" s="1"/>
  <c r="E103" i="93" s="1"/>
  <c r="E104" i="93" s="1"/>
  <c r="E105" i="93" s="1"/>
  <c r="E106" i="93" s="1"/>
  <c r="E107" i="93" s="1"/>
  <c r="E108" i="93" s="1"/>
  <c r="E109" i="93" s="1"/>
  <c r="E110" i="93" s="1"/>
  <c r="E111" i="93" s="1"/>
  <c r="E112" i="93" s="1"/>
  <c r="E113" i="93" s="1"/>
  <c r="E114" i="93" s="1"/>
  <c r="E115" i="93" s="1"/>
  <c r="E116" i="93" s="1"/>
  <c r="E117" i="93" s="1"/>
  <c r="E118" i="93" s="1"/>
  <c r="E119" i="93" s="1"/>
  <c r="E120" i="93" s="1"/>
  <c r="E121" i="93" s="1"/>
  <c r="E122" i="93" s="1"/>
  <c r="E123" i="93" s="1"/>
  <c r="E124" i="93" s="1"/>
  <c r="E125" i="93" s="1"/>
  <c r="E126" i="93" s="1"/>
  <c r="E127" i="93" s="1"/>
  <c r="E128" i="93" s="1"/>
  <c r="E129" i="93" s="1"/>
  <c r="E130" i="93" s="1"/>
  <c r="E131" i="93" s="1"/>
  <c r="E132" i="93" s="1"/>
  <c r="E133" i="93" s="1"/>
  <c r="E134" i="93" s="1"/>
  <c r="E135" i="93" s="1"/>
  <c r="E136" i="93" s="1"/>
  <c r="E137" i="93" s="1"/>
  <c r="E138" i="93" s="1"/>
  <c r="E139" i="93" s="1"/>
  <c r="E140" i="93" s="1"/>
  <c r="E141" i="93" s="1"/>
  <c r="E142" i="93" s="1"/>
  <c r="E143" i="93" s="1"/>
  <c r="E144" i="93" s="1"/>
  <c r="E145" i="93" s="1"/>
  <c r="E146" i="93" s="1"/>
  <c r="E147" i="93" s="1"/>
  <c r="E148" i="93" s="1"/>
  <c r="E149" i="93" s="1"/>
  <c r="E150" i="93" s="1"/>
  <c r="E151" i="93" s="1"/>
  <c r="E152" i="93" s="1"/>
  <c r="E153" i="93" s="1"/>
  <c r="E154" i="93" s="1"/>
  <c r="E155" i="93" s="1"/>
  <c r="E156" i="93" s="1"/>
  <c r="E157" i="93" s="1"/>
  <c r="E158" i="93" s="1"/>
  <c r="E159" i="93" s="1"/>
  <c r="E160" i="93" s="1"/>
  <c r="E161" i="93" s="1"/>
  <c r="E162" i="93" s="1"/>
  <c r="E163" i="93" s="1"/>
  <c r="E164" i="93" s="1"/>
  <c r="E165" i="93" s="1"/>
  <c r="E166" i="93" s="1"/>
  <c r="E167" i="93" s="1"/>
  <c r="E168" i="93" s="1"/>
  <c r="E169" i="93" s="1"/>
  <c r="E170" i="93" s="1"/>
  <c r="E171" i="93" s="1"/>
  <c r="E172" i="93" s="1"/>
  <c r="E173" i="93" s="1"/>
  <c r="E174" i="93" s="1"/>
  <c r="E175" i="93" s="1"/>
  <c r="E176" i="93" s="1"/>
  <c r="E177" i="93" s="1"/>
  <c r="E178" i="93" s="1"/>
  <c r="E179" i="93" s="1"/>
  <c r="E180" i="93" s="1"/>
  <c r="E181" i="93" s="1"/>
  <c r="E182" i="93" s="1"/>
  <c r="E183" i="93" s="1"/>
  <c r="E184" i="93" s="1"/>
  <c r="E185" i="93" s="1"/>
  <c r="E186" i="93" s="1"/>
  <c r="E187" i="93" s="1"/>
  <c r="E188" i="93" s="1"/>
  <c r="E189" i="93" s="1"/>
  <c r="E190" i="93" s="1"/>
  <c r="E191" i="93" s="1"/>
  <c r="E192" i="93" s="1"/>
  <c r="E193" i="93" s="1"/>
  <c r="E194" i="93" s="1"/>
  <c r="E195" i="93" s="1"/>
  <c r="E196" i="93" s="1"/>
  <c r="E197" i="93" s="1"/>
  <c r="E198" i="93" s="1"/>
  <c r="E199" i="93" s="1"/>
  <c r="E200" i="93" s="1"/>
  <c r="E201" i="93" s="1"/>
  <c r="E202" i="93" s="1"/>
  <c r="E203" i="93" s="1"/>
  <c r="E204" i="93" s="1"/>
  <c r="E205" i="93" s="1"/>
  <c r="E206" i="93" s="1"/>
  <c r="E207" i="93" s="1"/>
  <c r="E208" i="93" s="1"/>
  <c r="E209" i="93" s="1"/>
  <c r="E210" i="93" s="1"/>
  <c r="E211" i="93" s="1"/>
  <c r="E212" i="93" s="1"/>
  <c r="E213" i="93" s="1"/>
  <c r="E214" i="93" s="1"/>
  <c r="E215" i="93" s="1"/>
  <c r="E216" i="93" s="1"/>
  <c r="E217" i="93" s="1"/>
  <c r="E218" i="93" s="1"/>
  <c r="E219" i="93" s="1"/>
  <c r="E220" i="93" s="1"/>
  <c r="E221" i="93" s="1"/>
  <c r="E222" i="93" s="1"/>
  <c r="E223" i="93" s="1"/>
  <c r="E224" i="93" s="1"/>
  <c r="E225" i="93" s="1"/>
  <c r="E226" i="93" s="1"/>
  <c r="E227" i="93" s="1"/>
  <c r="E228" i="93" s="1"/>
  <c r="E229" i="93" s="1"/>
  <c r="E230" i="93" s="1"/>
  <c r="E231" i="93" s="1"/>
  <c r="E232" i="93" s="1"/>
  <c r="E233" i="93" s="1"/>
  <c r="E234" i="93" s="1"/>
  <c r="E235" i="93" s="1"/>
  <c r="E236" i="93" s="1"/>
  <c r="E237" i="93" s="1"/>
  <c r="E238" i="93" s="1"/>
  <c r="E239" i="93" s="1"/>
  <c r="E240" i="93" s="1"/>
  <c r="E241" i="93" s="1"/>
  <c r="E242" i="93" s="1"/>
  <c r="E243" i="93" s="1"/>
  <c r="W3" i="93"/>
  <c r="V3" i="93"/>
  <c r="U3" i="93"/>
  <c r="T3" i="93"/>
  <c r="S3" i="93"/>
  <c r="R3" i="93"/>
  <c r="Q3" i="93"/>
  <c r="P3" i="93"/>
  <c r="O3" i="93"/>
  <c r="N3" i="93"/>
  <c r="J2" i="91"/>
  <c r="B76" i="91"/>
  <c r="B88" i="91" s="1"/>
  <c r="B100" i="91" s="1"/>
  <c r="B112" i="91" s="1"/>
  <c r="B124" i="91" s="1"/>
  <c r="B136" i="91" s="1"/>
  <c r="B148" i="91" s="1"/>
  <c r="B160" i="91" s="1"/>
  <c r="B172" i="91" s="1"/>
  <c r="B184" i="91" s="1"/>
  <c r="B196" i="91" s="1"/>
  <c r="B208" i="91" s="1"/>
  <c r="B220" i="91" s="1"/>
  <c r="B232" i="91" s="1"/>
  <c r="B64" i="91"/>
  <c r="E4" i="91"/>
  <c r="E5" i="91" s="1"/>
  <c r="E6" i="91" s="1"/>
  <c r="E7" i="91" s="1"/>
  <c r="E8" i="91" s="1"/>
  <c r="E9" i="91" s="1"/>
  <c r="E10" i="91" s="1"/>
  <c r="E11" i="91" s="1"/>
  <c r="E12" i="91" s="1"/>
  <c r="E13" i="91" s="1"/>
  <c r="E14" i="91" s="1"/>
  <c r="E15" i="91" s="1"/>
  <c r="E16" i="91" s="1"/>
  <c r="E17" i="91" s="1"/>
  <c r="E18" i="91" s="1"/>
  <c r="E19" i="91" s="1"/>
  <c r="E20" i="91" s="1"/>
  <c r="E21" i="91" s="1"/>
  <c r="E22" i="91" s="1"/>
  <c r="E23" i="91" s="1"/>
  <c r="E24" i="91" s="1"/>
  <c r="E25" i="91" s="1"/>
  <c r="E26" i="91" s="1"/>
  <c r="E27" i="91" s="1"/>
  <c r="E28" i="91" s="1"/>
  <c r="E29" i="91" s="1"/>
  <c r="E30" i="91" s="1"/>
  <c r="E31" i="91" s="1"/>
  <c r="E32" i="91" s="1"/>
  <c r="E33" i="91" s="1"/>
  <c r="E34" i="91" s="1"/>
  <c r="E35" i="91" s="1"/>
  <c r="E36" i="91" s="1"/>
  <c r="E37" i="91" s="1"/>
  <c r="E38" i="91" s="1"/>
  <c r="E39" i="91" s="1"/>
  <c r="E40" i="91" s="1"/>
  <c r="E41" i="91" s="1"/>
  <c r="E42" i="91" s="1"/>
  <c r="E43" i="91" s="1"/>
  <c r="E44" i="91" s="1"/>
  <c r="E45" i="91" s="1"/>
  <c r="E46" i="91" s="1"/>
  <c r="E47" i="91" s="1"/>
  <c r="E48" i="91" s="1"/>
  <c r="E49" i="91" s="1"/>
  <c r="E50" i="91" s="1"/>
  <c r="E51" i="91" s="1"/>
  <c r="E52" i="91" s="1"/>
  <c r="E53" i="91" s="1"/>
  <c r="E54" i="91" s="1"/>
  <c r="E55" i="91" s="1"/>
  <c r="E56" i="91" s="1"/>
  <c r="E57" i="91" s="1"/>
  <c r="E58" i="91" s="1"/>
  <c r="E59" i="91" s="1"/>
  <c r="E60" i="91" s="1"/>
  <c r="E61" i="91" s="1"/>
  <c r="E62" i="91" s="1"/>
  <c r="E63" i="91" s="1"/>
  <c r="E64" i="91" s="1"/>
  <c r="E65" i="91" s="1"/>
  <c r="E66" i="91" s="1"/>
  <c r="E67" i="91" s="1"/>
  <c r="E68" i="91" s="1"/>
  <c r="E69" i="91" s="1"/>
  <c r="E70" i="91" s="1"/>
  <c r="E71" i="91" s="1"/>
  <c r="E72" i="91" s="1"/>
  <c r="E73" i="91" s="1"/>
  <c r="E74" i="91" s="1"/>
  <c r="E75" i="91" s="1"/>
  <c r="E76" i="91" s="1"/>
  <c r="E77" i="91" s="1"/>
  <c r="E78" i="91" s="1"/>
  <c r="E79" i="91" s="1"/>
  <c r="E80" i="91" s="1"/>
  <c r="E81" i="91" s="1"/>
  <c r="E82" i="91" s="1"/>
  <c r="E83" i="91" s="1"/>
  <c r="E84" i="91" s="1"/>
  <c r="E85" i="91" s="1"/>
  <c r="E86" i="91" s="1"/>
  <c r="E87" i="91" s="1"/>
  <c r="E88" i="91" s="1"/>
  <c r="E89" i="91" s="1"/>
  <c r="E90" i="91" s="1"/>
  <c r="E91" i="91" s="1"/>
  <c r="E92" i="91" s="1"/>
  <c r="E93" i="91" s="1"/>
  <c r="E94" i="91" s="1"/>
  <c r="E95" i="91" s="1"/>
  <c r="E96" i="91" s="1"/>
  <c r="E97" i="91" s="1"/>
  <c r="E98" i="91" s="1"/>
  <c r="E99" i="91" s="1"/>
  <c r="E100" i="91" s="1"/>
  <c r="E101" i="91" s="1"/>
  <c r="E102" i="91" s="1"/>
  <c r="E103" i="91" s="1"/>
  <c r="E104" i="91" s="1"/>
  <c r="E105" i="91" s="1"/>
  <c r="E106" i="91" s="1"/>
  <c r="E107" i="91" s="1"/>
  <c r="E108" i="91" s="1"/>
  <c r="E109" i="91" s="1"/>
  <c r="E110" i="91" s="1"/>
  <c r="E111" i="91" s="1"/>
  <c r="E112" i="91" s="1"/>
  <c r="E113" i="91" s="1"/>
  <c r="E114" i="91" s="1"/>
  <c r="E115" i="91" s="1"/>
  <c r="E116" i="91" s="1"/>
  <c r="E117" i="91" s="1"/>
  <c r="E118" i="91" s="1"/>
  <c r="E119" i="91" s="1"/>
  <c r="E120" i="91" s="1"/>
  <c r="E121" i="91" s="1"/>
  <c r="E122" i="91" s="1"/>
  <c r="E123" i="91" s="1"/>
  <c r="E124" i="91" s="1"/>
  <c r="E125" i="91" s="1"/>
  <c r="E126" i="91" s="1"/>
  <c r="E127" i="91" s="1"/>
  <c r="E128" i="91" s="1"/>
  <c r="E129" i="91" s="1"/>
  <c r="E130" i="91" s="1"/>
  <c r="E131" i="91" s="1"/>
  <c r="E132" i="91" s="1"/>
  <c r="E133" i="91" s="1"/>
  <c r="E134" i="91" s="1"/>
  <c r="E135" i="91" s="1"/>
  <c r="E136" i="91" s="1"/>
  <c r="E137" i="91" s="1"/>
  <c r="E138" i="91" s="1"/>
  <c r="E139" i="91" s="1"/>
  <c r="E140" i="91" s="1"/>
  <c r="E141" i="91" s="1"/>
  <c r="E142" i="91" s="1"/>
  <c r="E143" i="91" s="1"/>
  <c r="E144" i="91" s="1"/>
  <c r="E145" i="91" s="1"/>
  <c r="E146" i="91" s="1"/>
  <c r="E147" i="91" s="1"/>
  <c r="E148" i="91" s="1"/>
  <c r="E149" i="91" s="1"/>
  <c r="E150" i="91" s="1"/>
  <c r="E151" i="91" s="1"/>
  <c r="E152" i="91" s="1"/>
  <c r="E153" i="91" s="1"/>
  <c r="E154" i="91" s="1"/>
  <c r="E155" i="91" s="1"/>
  <c r="E156" i="91" s="1"/>
  <c r="E157" i="91" s="1"/>
  <c r="E158" i="91" s="1"/>
  <c r="E159" i="91" s="1"/>
  <c r="E160" i="91" s="1"/>
  <c r="E161" i="91" s="1"/>
  <c r="E162" i="91" s="1"/>
  <c r="E163" i="91" s="1"/>
  <c r="E164" i="91" s="1"/>
  <c r="E165" i="91" s="1"/>
  <c r="E166" i="91" s="1"/>
  <c r="E167" i="91" s="1"/>
  <c r="E168" i="91" s="1"/>
  <c r="E169" i="91" s="1"/>
  <c r="E170" i="91" s="1"/>
  <c r="E171" i="91" s="1"/>
  <c r="E172" i="91" s="1"/>
  <c r="E173" i="91" s="1"/>
  <c r="E174" i="91" s="1"/>
  <c r="E175" i="91" s="1"/>
  <c r="E176" i="91" s="1"/>
  <c r="E177" i="91" s="1"/>
  <c r="E178" i="91" s="1"/>
  <c r="E179" i="91" s="1"/>
  <c r="E180" i="91" s="1"/>
  <c r="E181" i="91" s="1"/>
  <c r="E182" i="91" s="1"/>
  <c r="E183" i="91" s="1"/>
  <c r="E184" i="91" s="1"/>
  <c r="E185" i="91" s="1"/>
  <c r="E186" i="91" s="1"/>
  <c r="E187" i="91" s="1"/>
  <c r="E188" i="91" s="1"/>
  <c r="E189" i="91" s="1"/>
  <c r="E190" i="91" s="1"/>
  <c r="E191" i="91" s="1"/>
  <c r="E192" i="91" s="1"/>
  <c r="E193" i="91" s="1"/>
  <c r="E194" i="91" s="1"/>
  <c r="E195" i="91" s="1"/>
  <c r="E196" i="91" s="1"/>
  <c r="E197" i="91" s="1"/>
  <c r="E198" i="91" s="1"/>
  <c r="E199" i="91" s="1"/>
  <c r="E200" i="91" s="1"/>
  <c r="E201" i="91" s="1"/>
  <c r="E202" i="91" s="1"/>
  <c r="E203" i="91" s="1"/>
  <c r="E204" i="91" s="1"/>
  <c r="E205" i="91" s="1"/>
  <c r="E206" i="91" s="1"/>
  <c r="E207" i="91" s="1"/>
  <c r="E208" i="91" s="1"/>
  <c r="E209" i="91" s="1"/>
  <c r="E210" i="91" s="1"/>
  <c r="E211" i="91" s="1"/>
  <c r="E212" i="91" s="1"/>
  <c r="E213" i="91" s="1"/>
  <c r="E214" i="91" s="1"/>
  <c r="E215" i="91" s="1"/>
  <c r="E216" i="91" s="1"/>
  <c r="E217" i="91" s="1"/>
  <c r="E218" i="91" s="1"/>
  <c r="E219" i="91" s="1"/>
  <c r="E220" i="91" s="1"/>
  <c r="E221" i="91" s="1"/>
  <c r="E222" i="91" s="1"/>
  <c r="E223" i="91" s="1"/>
  <c r="E224" i="91" s="1"/>
  <c r="E225" i="91" s="1"/>
  <c r="E226" i="91" s="1"/>
  <c r="E227" i="91" s="1"/>
  <c r="E228" i="91" s="1"/>
  <c r="E229" i="91" s="1"/>
  <c r="E230" i="91" s="1"/>
  <c r="E231" i="91" s="1"/>
  <c r="E232" i="91" s="1"/>
  <c r="E233" i="91" s="1"/>
  <c r="E234" i="91" s="1"/>
  <c r="E235" i="91" s="1"/>
  <c r="E236" i="91" s="1"/>
  <c r="E237" i="91" s="1"/>
  <c r="E238" i="91" s="1"/>
  <c r="E239" i="91" s="1"/>
  <c r="E240" i="91" s="1"/>
  <c r="E241" i="91" s="1"/>
  <c r="E242" i="91" s="1"/>
  <c r="E243" i="91" s="1"/>
  <c r="W3" i="91"/>
  <c r="V3" i="91"/>
  <c r="U3" i="91"/>
  <c r="T3" i="91"/>
  <c r="S3" i="91"/>
  <c r="R3" i="91"/>
  <c r="Q3" i="91"/>
  <c r="P3" i="91"/>
  <c r="O3" i="91"/>
  <c r="N3" i="91"/>
  <c r="I124" i="65" l="1"/>
  <c r="I17" i="66" s="1"/>
  <c r="E7" i="106"/>
  <c r="I7" i="106" s="1"/>
  <c r="E7" i="101"/>
  <c r="F17" i="55"/>
  <c r="F11" i="55"/>
  <c r="F24" i="55"/>
  <c r="F23" i="62"/>
  <c r="F21" i="62"/>
  <c r="F24" i="62"/>
  <c r="F8" i="62"/>
  <c r="F11" i="62"/>
  <c r="F21" i="55"/>
  <c r="F18" i="55"/>
  <c r="F15" i="55"/>
  <c r="F20" i="55"/>
  <c r="F18" i="62"/>
  <c r="F9" i="62"/>
  <c r="F25" i="62"/>
  <c r="F20" i="62"/>
  <c r="F14" i="55"/>
  <c r="F8" i="55"/>
  <c r="F14" i="62"/>
  <c r="F9" i="55"/>
  <c r="F25" i="55"/>
  <c r="F22" i="55"/>
  <c r="F19" i="55"/>
  <c r="F16" i="55"/>
  <c r="F22" i="62"/>
  <c r="F13" i="62"/>
  <c r="F19" i="62"/>
  <c r="F16" i="62"/>
  <c r="F13" i="55"/>
  <c r="F10" i="55"/>
  <c r="F26" i="55"/>
  <c r="F23" i="55"/>
  <c r="F12" i="55"/>
  <c r="F26" i="62"/>
  <c r="F17" i="62"/>
  <c r="F15" i="62"/>
  <c r="F12" i="62"/>
  <c r="I196" i="65"/>
  <c r="I23" i="66" s="1"/>
  <c r="I184" i="65"/>
  <c r="I22" i="66" s="1"/>
  <c r="I64" i="65"/>
  <c r="I12" i="66" s="1"/>
  <c r="I208" i="65"/>
  <c r="I24" i="66" s="1"/>
  <c r="I52" i="65"/>
  <c r="I11" i="66" s="1"/>
  <c r="I172" i="65"/>
  <c r="I21" i="66" s="1"/>
  <c r="I232" i="65"/>
  <c r="I26" i="66" s="1"/>
  <c r="I88" i="65"/>
  <c r="I14" i="66" s="1"/>
  <c r="I76" i="65"/>
  <c r="I13" i="66" s="1"/>
  <c r="I100" i="65"/>
  <c r="I15" i="66" s="1"/>
  <c r="I112" i="65"/>
  <c r="I16" i="66" s="1"/>
  <c r="I136" i="65"/>
  <c r="I18" i="66" s="1"/>
  <c r="I220" i="65"/>
  <c r="I25" i="66" s="1"/>
  <c r="I148" i="65"/>
  <c r="I19" i="66" s="1"/>
  <c r="I160" i="65"/>
  <c r="I20" i="66" s="1"/>
  <c r="I232" i="61"/>
  <c r="I26" i="62" s="1"/>
  <c r="I184" i="61"/>
  <c r="I22" i="62" s="1"/>
  <c r="I136" i="61"/>
  <c r="I18" i="62" s="1"/>
  <c r="I88" i="61"/>
  <c r="I14" i="62" s="1"/>
  <c r="I208" i="61"/>
  <c r="I24" i="62" s="1"/>
  <c r="I64" i="61"/>
  <c r="I12" i="62" s="1"/>
  <c r="I148" i="61"/>
  <c r="I19" i="62" s="1"/>
  <c r="I220" i="61"/>
  <c r="I25" i="62" s="1"/>
  <c r="I172" i="61"/>
  <c r="I21" i="62" s="1"/>
  <c r="I124" i="61"/>
  <c r="I17" i="62" s="1"/>
  <c r="I76" i="61"/>
  <c r="I13" i="62" s="1"/>
  <c r="I160" i="61"/>
  <c r="I20" i="62" s="1"/>
  <c r="I112" i="61"/>
  <c r="I16" i="62" s="1"/>
  <c r="I196" i="61"/>
  <c r="I23" i="62" s="1"/>
  <c r="I100" i="61"/>
  <c r="I15" i="62" s="1"/>
  <c r="F7" i="62"/>
  <c r="I52" i="61"/>
  <c r="I11" i="62" s="1"/>
  <c r="I208" i="54"/>
  <c r="I24" i="55" s="1"/>
  <c r="I160" i="54"/>
  <c r="I20" i="55" s="1"/>
  <c r="I112" i="54"/>
  <c r="I16" i="55" s="1"/>
  <c r="I52" i="54"/>
  <c r="I11" i="55" s="1"/>
  <c r="I196" i="54"/>
  <c r="I23" i="55" s="1"/>
  <c r="I148" i="54"/>
  <c r="I19" i="55" s="1"/>
  <c r="I100" i="54"/>
  <c r="I15" i="55" s="1"/>
  <c r="I232" i="54"/>
  <c r="I26" i="55" s="1"/>
  <c r="I184" i="54"/>
  <c r="I22" i="55" s="1"/>
  <c r="I136" i="54"/>
  <c r="I18" i="55" s="1"/>
  <c r="I88" i="54"/>
  <c r="I14" i="55" s="1"/>
  <c r="I64" i="54"/>
  <c r="I12" i="55" s="1"/>
  <c r="I124" i="54"/>
  <c r="I17" i="55" s="1"/>
  <c r="I220" i="54"/>
  <c r="I25" i="55" s="1"/>
  <c r="I172" i="54"/>
  <c r="I21" i="55" s="1"/>
  <c r="I76" i="54"/>
  <c r="I13" i="55" s="1"/>
  <c r="I232" i="58"/>
  <c r="I26" i="59" s="1"/>
  <c r="I184" i="58"/>
  <c r="I22" i="59" s="1"/>
  <c r="I136" i="58"/>
  <c r="I18" i="59" s="1"/>
  <c r="I88" i="58"/>
  <c r="I14" i="59" s="1"/>
  <c r="I220" i="58"/>
  <c r="I25" i="59" s="1"/>
  <c r="I172" i="58"/>
  <c r="I21" i="59" s="1"/>
  <c r="I124" i="58"/>
  <c r="I17" i="59" s="1"/>
  <c r="I76" i="58"/>
  <c r="I13" i="59" s="1"/>
  <c r="F7" i="59"/>
  <c r="I208" i="58"/>
  <c r="I24" i="59" s="1"/>
  <c r="I160" i="58"/>
  <c r="I20" i="59" s="1"/>
  <c r="I112" i="58"/>
  <c r="I16" i="59" s="1"/>
  <c r="I64" i="58"/>
  <c r="I12" i="59" s="1"/>
  <c r="I196" i="58"/>
  <c r="I23" i="59" s="1"/>
  <c r="I148" i="58"/>
  <c r="I19" i="59" s="1"/>
  <c r="I100" i="58"/>
  <c r="I15" i="59" s="1"/>
  <c r="I52" i="58"/>
  <c r="I11" i="59" s="1"/>
  <c r="F7" i="55"/>
  <c r="J44" i="107"/>
  <c r="J46" i="107" s="1"/>
  <c r="H43" i="107"/>
  <c r="J25" i="107"/>
  <c r="J27" i="107" s="1"/>
  <c r="H24" i="107"/>
  <c r="C34" i="107"/>
  <c r="C38" i="107" s="1"/>
  <c r="C39" i="107" s="1"/>
  <c r="C64" i="107"/>
  <c r="C85" i="107"/>
  <c r="C83" i="107" s="1"/>
  <c r="C15" i="107"/>
  <c r="C19" i="107" s="1"/>
  <c r="L7" i="106"/>
  <c r="E8" i="106"/>
  <c r="L6" i="106"/>
  <c r="I7" i="101"/>
  <c r="L7" i="101" s="1"/>
  <c r="E8" i="101"/>
  <c r="L6" i="101"/>
  <c r="E8" i="100"/>
  <c r="I7" i="100"/>
  <c r="L7" i="100" s="1"/>
  <c r="I6" i="100"/>
  <c r="L6" i="100" s="1"/>
  <c r="I5" i="100"/>
  <c r="L5" i="100" s="1"/>
  <c r="C72" i="107" l="1"/>
  <c r="C76" i="107" s="1"/>
  <c r="C77" i="107" s="1"/>
  <c r="C20" i="107"/>
  <c r="G41" i="19" s="1"/>
  <c r="G40" i="19"/>
  <c r="J82" i="107"/>
  <c r="J84" i="107" s="1"/>
  <c r="H81" i="107"/>
  <c r="H62" i="107"/>
  <c r="J63" i="107"/>
  <c r="J65" i="107" s="1"/>
  <c r="C53" i="107"/>
  <c r="C57" i="107" s="1"/>
  <c r="C58" i="107" s="1"/>
  <c r="C91" i="107"/>
  <c r="C95" i="107" s="1"/>
  <c r="C96" i="107" s="1"/>
  <c r="E9" i="106"/>
  <c r="I8" i="106"/>
  <c r="L8" i="106" s="1"/>
  <c r="E9" i="101"/>
  <c r="I8" i="101"/>
  <c r="L8" i="101" s="1"/>
  <c r="E9" i="100"/>
  <c r="I8" i="100"/>
  <c r="L8" i="100" s="1"/>
  <c r="J4" i="89"/>
  <c r="J5" i="89"/>
  <c r="J6" i="89"/>
  <c r="J7" i="89"/>
  <c r="J8" i="89"/>
  <c r="J9" i="89"/>
  <c r="J10" i="89"/>
  <c r="J11" i="89"/>
  <c r="J12" i="89"/>
  <c r="J13" i="89"/>
  <c r="J14" i="89"/>
  <c r="J15" i="89"/>
  <c r="J16" i="89"/>
  <c r="J17" i="89"/>
  <c r="J18" i="89"/>
  <c r="J19" i="89"/>
  <c r="J20" i="89"/>
  <c r="J21" i="89"/>
  <c r="J22" i="89"/>
  <c r="J3" i="89"/>
  <c r="E4" i="86"/>
  <c r="J41" i="19" l="1"/>
  <c r="J40" i="19"/>
  <c r="H41" i="19"/>
  <c r="H40" i="19"/>
  <c r="E10" i="106"/>
  <c r="I9" i="106"/>
  <c r="L9" i="106" s="1"/>
  <c r="E10" i="101"/>
  <c r="I9" i="101"/>
  <c r="L9" i="101"/>
  <c r="E10" i="100"/>
  <c r="I9" i="100"/>
  <c r="L9" i="100" s="1"/>
  <c r="L15" i="89"/>
  <c r="L27" i="89" s="1"/>
  <c r="L39" i="89" s="1"/>
  <c r="L51" i="89" s="1"/>
  <c r="L63" i="89" s="1"/>
  <c r="L75" i="89" s="1"/>
  <c r="L87" i="89" s="1"/>
  <c r="L99" i="89" s="1"/>
  <c r="L111" i="89" s="1"/>
  <c r="L123" i="89" s="1"/>
  <c r="L135" i="89" s="1"/>
  <c r="L147" i="89" s="1"/>
  <c r="L159" i="89" s="1"/>
  <c r="L171" i="89" s="1"/>
  <c r="L183" i="89" s="1"/>
  <c r="L195" i="89" s="1"/>
  <c r="L207" i="89" s="1"/>
  <c r="L219" i="89" s="1"/>
  <c r="L231" i="89" s="1"/>
  <c r="C3" i="89"/>
  <c r="E22" i="88"/>
  <c r="E21" i="88"/>
  <c r="E20" i="88"/>
  <c r="E19" i="88"/>
  <c r="E18" i="88"/>
  <c r="E17" i="88"/>
  <c r="E16" i="88"/>
  <c r="E15" i="88"/>
  <c r="E14" i="88"/>
  <c r="E13" i="88"/>
  <c r="E12" i="88"/>
  <c r="E11" i="88"/>
  <c r="E10" i="88"/>
  <c r="E9" i="88"/>
  <c r="E8" i="88"/>
  <c r="E7" i="88"/>
  <c r="E6" i="88"/>
  <c r="E5" i="88"/>
  <c r="E4" i="88"/>
  <c r="E3" i="88"/>
  <c r="F3" i="88"/>
  <c r="K41" i="19" l="1"/>
  <c r="K40" i="19"/>
  <c r="I41" i="19"/>
  <c r="I40" i="19"/>
  <c r="I10" i="106"/>
  <c r="L10" i="106"/>
  <c r="E11" i="106"/>
  <c r="I10" i="101"/>
  <c r="L10" i="101" s="1"/>
  <c r="E11" i="101"/>
  <c r="I10" i="100"/>
  <c r="L10" i="100" s="1"/>
  <c r="E11" i="100"/>
  <c r="U63" i="89"/>
  <c r="U51" i="89"/>
  <c r="D4" i="88"/>
  <c r="E12" i="106" l="1"/>
  <c r="I11" i="106"/>
  <c r="L11" i="106" s="1"/>
  <c r="E12" i="101"/>
  <c r="I11" i="101"/>
  <c r="L11" i="101" s="1"/>
  <c r="I11" i="100"/>
  <c r="L11" i="100" s="1"/>
  <c r="E12" i="100"/>
  <c r="U75" i="89"/>
  <c r="F4" i="88"/>
  <c r="D5" i="88"/>
  <c r="E13" i="106" l="1"/>
  <c r="I12" i="106"/>
  <c r="L12" i="106" s="1"/>
  <c r="E13" i="101"/>
  <c r="I12" i="101"/>
  <c r="L12" i="101" s="1"/>
  <c r="E13" i="100"/>
  <c r="I12" i="100"/>
  <c r="L12" i="100" s="1"/>
  <c r="U87" i="89"/>
  <c r="D6" i="88"/>
  <c r="F5" i="88"/>
  <c r="E14" i="106" l="1"/>
  <c r="I13" i="106"/>
  <c r="L13" i="106" s="1"/>
  <c r="E14" i="101"/>
  <c r="I13" i="101"/>
  <c r="L13" i="101" s="1"/>
  <c r="E14" i="100"/>
  <c r="I13" i="100"/>
  <c r="L13" i="100"/>
  <c r="U99" i="89"/>
  <c r="F6" i="88"/>
  <c r="D7" i="88"/>
  <c r="I14" i="106" l="1"/>
  <c r="L14" i="106"/>
  <c r="E15" i="106"/>
  <c r="I14" i="101"/>
  <c r="L14" i="101" s="1"/>
  <c r="E15" i="101"/>
  <c r="I14" i="100"/>
  <c r="L14" i="100" s="1"/>
  <c r="E15" i="100"/>
  <c r="F7" i="88"/>
  <c r="D8" i="88"/>
  <c r="E16" i="106" l="1"/>
  <c r="I15" i="106"/>
  <c r="L15" i="106" s="1"/>
  <c r="E16" i="101"/>
  <c r="I15" i="101"/>
  <c r="L15" i="101" s="1"/>
  <c r="I15" i="100"/>
  <c r="L15" i="100" s="1"/>
  <c r="E16" i="100"/>
  <c r="U123" i="89"/>
  <c r="F8" i="88"/>
  <c r="D9" i="88"/>
  <c r="E17" i="106" l="1"/>
  <c r="I16" i="106"/>
  <c r="L16" i="106" s="1"/>
  <c r="I16" i="101"/>
  <c r="L16" i="101" s="1"/>
  <c r="E17" i="101"/>
  <c r="E17" i="100"/>
  <c r="I16" i="100"/>
  <c r="L16" i="100" s="1"/>
  <c r="U135" i="89"/>
  <c r="D10" i="88"/>
  <c r="F9" i="88"/>
  <c r="E18" i="106" l="1"/>
  <c r="I17" i="106"/>
  <c r="L17" i="106" s="1"/>
  <c r="E18" i="101"/>
  <c r="I17" i="101"/>
  <c r="L17" i="101" s="1"/>
  <c r="E18" i="100"/>
  <c r="I17" i="100"/>
  <c r="L17" i="100"/>
  <c r="U147" i="89"/>
  <c r="F10" i="88"/>
  <c r="D11" i="88"/>
  <c r="I18" i="106" l="1"/>
  <c r="L18" i="106" s="1"/>
  <c r="E19" i="106"/>
  <c r="I18" i="101"/>
  <c r="L18" i="101" s="1"/>
  <c r="E19" i="101"/>
  <c r="I18" i="100"/>
  <c r="L18" i="100" s="1"/>
  <c r="E19" i="100"/>
  <c r="U159" i="89"/>
  <c r="F11" i="88"/>
  <c r="D12" i="88"/>
  <c r="E20" i="106" l="1"/>
  <c r="I19" i="106"/>
  <c r="L19" i="106" s="1"/>
  <c r="E20" i="101"/>
  <c r="I19" i="101"/>
  <c r="L19" i="101" s="1"/>
  <c r="L19" i="100"/>
  <c r="I19" i="100"/>
  <c r="E20" i="100"/>
  <c r="U171" i="89"/>
  <c r="D13" i="88"/>
  <c r="F12" i="88"/>
  <c r="E21" i="106" l="1"/>
  <c r="I20" i="106"/>
  <c r="L20" i="106"/>
  <c r="I20" i="101"/>
  <c r="L20" i="101" s="1"/>
  <c r="E21" i="101"/>
  <c r="E21" i="100"/>
  <c r="I20" i="100"/>
  <c r="L20" i="100" s="1"/>
  <c r="U183" i="89"/>
  <c r="D14" i="88"/>
  <c r="F13" i="88"/>
  <c r="E22" i="106" l="1"/>
  <c r="I21" i="106"/>
  <c r="L21" i="106"/>
  <c r="E22" i="101"/>
  <c r="I21" i="101"/>
  <c r="L21" i="101" s="1"/>
  <c r="E22" i="100"/>
  <c r="I21" i="100"/>
  <c r="L21" i="100"/>
  <c r="U195" i="89"/>
  <c r="F14" i="88"/>
  <c r="D15" i="88"/>
  <c r="I22" i="106" l="1"/>
  <c r="L22" i="106" s="1"/>
  <c r="E23" i="106"/>
  <c r="I22" i="101"/>
  <c r="L22" i="101" s="1"/>
  <c r="E23" i="101"/>
  <c r="I22" i="100"/>
  <c r="L22" i="100" s="1"/>
  <c r="E23" i="100"/>
  <c r="U207" i="89"/>
  <c r="F15" i="88"/>
  <c r="D16" i="88"/>
  <c r="I23" i="106" l="1"/>
  <c r="L23" i="106" s="1"/>
  <c r="I23" i="101"/>
  <c r="L23" i="101" s="1"/>
  <c r="I23" i="100"/>
  <c r="L23" i="100" s="1"/>
  <c r="U219" i="89"/>
  <c r="D17" i="88"/>
  <c r="F16" i="88"/>
  <c r="D18" i="88" l="1"/>
  <c r="F17" i="88"/>
  <c r="F18" i="88" l="1"/>
  <c r="D19" i="88"/>
  <c r="F19" i="88" l="1"/>
  <c r="D20" i="88"/>
  <c r="D21" i="88" l="1"/>
  <c r="F20" i="88"/>
  <c r="D22" i="88" l="1"/>
  <c r="F22" i="88" s="1"/>
  <c r="F21" i="88"/>
  <c r="B64" i="86" l="1"/>
  <c r="B76" i="86" s="1"/>
  <c r="B88" i="86" s="1"/>
  <c r="B100" i="86" s="1"/>
  <c r="B112" i="86" s="1"/>
  <c r="B124" i="86" s="1"/>
  <c r="B136" i="86" s="1"/>
  <c r="B148" i="86" s="1"/>
  <c r="B160" i="86" s="1"/>
  <c r="B172" i="86" s="1"/>
  <c r="B184" i="86" s="1"/>
  <c r="B196" i="86" s="1"/>
  <c r="B208" i="86" s="1"/>
  <c r="B220" i="86" s="1"/>
  <c r="B232" i="86" s="1"/>
  <c r="E5" i="86"/>
  <c r="E6" i="86" s="1"/>
  <c r="E7" i="86" s="1"/>
  <c r="E8" i="86" s="1"/>
  <c r="E9" i="86" s="1"/>
  <c r="E10" i="86" s="1"/>
  <c r="E11" i="86" s="1"/>
  <c r="E12" i="86" s="1"/>
  <c r="E13" i="86" s="1"/>
  <c r="E14" i="86" s="1"/>
  <c r="E15" i="86" s="1"/>
  <c r="E16" i="86" s="1"/>
  <c r="E17" i="86" s="1"/>
  <c r="E18" i="86" s="1"/>
  <c r="E19" i="86" s="1"/>
  <c r="E20" i="86" s="1"/>
  <c r="E21" i="86" s="1"/>
  <c r="E22" i="86" s="1"/>
  <c r="E23" i="86" s="1"/>
  <c r="E24" i="86" s="1"/>
  <c r="E25" i="86" s="1"/>
  <c r="E26" i="86" s="1"/>
  <c r="E27" i="86" s="1"/>
  <c r="E28" i="86" s="1"/>
  <c r="E29" i="86" s="1"/>
  <c r="E30" i="86" s="1"/>
  <c r="E31" i="86" s="1"/>
  <c r="E32" i="86" s="1"/>
  <c r="E33" i="86" s="1"/>
  <c r="E34" i="86" s="1"/>
  <c r="E35" i="86" s="1"/>
  <c r="E36" i="86" s="1"/>
  <c r="E37" i="86" s="1"/>
  <c r="E38" i="86" s="1"/>
  <c r="E39" i="86" s="1"/>
  <c r="E40" i="86" s="1"/>
  <c r="E41" i="86" s="1"/>
  <c r="E42" i="86" s="1"/>
  <c r="E43" i="86" s="1"/>
  <c r="E44" i="86" s="1"/>
  <c r="E45" i="86" s="1"/>
  <c r="E46" i="86" s="1"/>
  <c r="E47" i="86" s="1"/>
  <c r="E48" i="86" s="1"/>
  <c r="E49" i="86" s="1"/>
  <c r="E50" i="86" s="1"/>
  <c r="E51" i="86" s="1"/>
  <c r="E52" i="86" s="1"/>
  <c r="E53" i="86" s="1"/>
  <c r="E54" i="86" s="1"/>
  <c r="E55" i="86" s="1"/>
  <c r="E56" i="86" s="1"/>
  <c r="E57" i="86" s="1"/>
  <c r="E58" i="86" s="1"/>
  <c r="E59" i="86" s="1"/>
  <c r="E60" i="86" s="1"/>
  <c r="E61" i="86" s="1"/>
  <c r="E62" i="86" s="1"/>
  <c r="E63" i="86" s="1"/>
  <c r="E64" i="86" s="1"/>
  <c r="E65" i="86" s="1"/>
  <c r="E66" i="86" s="1"/>
  <c r="E67" i="86" s="1"/>
  <c r="E68" i="86" s="1"/>
  <c r="E69" i="86" s="1"/>
  <c r="E70" i="86" s="1"/>
  <c r="E71" i="86" s="1"/>
  <c r="E72" i="86" s="1"/>
  <c r="E73" i="86" s="1"/>
  <c r="E74" i="86" s="1"/>
  <c r="E75" i="86" s="1"/>
  <c r="E76" i="86" s="1"/>
  <c r="E77" i="86" s="1"/>
  <c r="E78" i="86" s="1"/>
  <c r="E79" i="86" s="1"/>
  <c r="E80" i="86" s="1"/>
  <c r="E81" i="86" s="1"/>
  <c r="E82" i="86" s="1"/>
  <c r="E83" i="86" s="1"/>
  <c r="E84" i="86" s="1"/>
  <c r="E85" i="86" s="1"/>
  <c r="E86" i="86" s="1"/>
  <c r="E87" i="86" s="1"/>
  <c r="E88" i="86" s="1"/>
  <c r="E89" i="86" s="1"/>
  <c r="E90" i="86" s="1"/>
  <c r="E91" i="86" s="1"/>
  <c r="E92" i="86" s="1"/>
  <c r="E93" i="86" s="1"/>
  <c r="E94" i="86" s="1"/>
  <c r="E95" i="86" s="1"/>
  <c r="E96" i="86" s="1"/>
  <c r="E97" i="86" s="1"/>
  <c r="E98" i="86" s="1"/>
  <c r="E99" i="86" s="1"/>
  <c r="E100" i="86" s="1"/>
  <c r="E101" i="86" s="1"/>
  <c r="E102" i="86" s="1"/>
  <c r="E103" i="86" s="1"/>
  <c r="E104" i="86" s="1"/>
  <c r="E105" i="86" s="1"/>
  <c r="E106" i="86" s="1"/>
  <c r="E107" i="86" s="1"/>
  <c r="E108" i="86" s="1"/>
  <c r="E109" i="86" s="1"/>
  <c r="E110" i="86" s="1"/>
  <c r="E111" i="86" s="1"/>
  <c r="E112" i="86" s="1"/>
  <c r="E113" i="86" s="1"/>
  <c r="E114" i="86" s="1"/>
  <c r="E115" i="86" s="1"/>
  <c r="E116" i="86" s="1"/>
  <c r="E117" i="86" s="1"/>
  <c r="E118" i="86" s="1"/>
  <c r="E119" i="86" s="1"/>
  <c r="E120" i="86" s="1"/>
  <c r="E121" i="86" s="1"/>
  <c r="E122" i="86" s="1"/>
  <c r="E123" i="86" s="1"/>
  <c r="E124" i="86" s="1"/>
  <c r="E125" i="86" s="1"/>
  <c r="E126" i="86" s="1"/>
  <c r="E127" i="86" s="1"/>
  <c r="E128" i="86" s="1"/>
  <c r="E129" i="86" s="1"/>
  <c r="E130" i="86" s="1"/>
  <c r="E131" i="86" s="1"/>
  <c r="E132" i="86" s="1"/>
  <c r="E133" i="86" s="1"/>
  <c r="E134" i="86" s="1"/>
  <c r="E135" i="86" s="1"/>
  <c r="E136" i="86" s="1"/>
  <c r="E137" i="86" s="1"/>
  <c r="E138" i="86" s="1"/>
  <c r="E139" i="86" s="1"/>
  <c r="E140" i="86" s="1"/>
  <c r="E141" i="86" s="1"/>
  <c r="E142" i="86" s="1"/>
  <c r="E143" i="86" s="1"/>
  <c r="E144" i="86" s="1"/>
  <c r="E145" i="86" s="1"/>
  <c r="E146" i="86" s="1"/>
  <c r="E147" i="86" s="1"/>
  <c r="E148" i="86" s="1"/>
  <c r="E149" i="86" s="1"/>
  <c r="E150" i="86" s="1"/>
  <c r="E151" i="86" s="1"/>
  <c r="E152" i="86" s="1"/>
  <c r="E153" i="86" s="1"/>
  <c r="E154" i="86" s="1"/>
  <c r="E155" i="86" s="1"/>
  <c r="E156" i="86" s="1"/>
  <c r="E157" i="86" s="1"/>
  <c r="E158" i="86" s="1"/>
  <c r="E159" i="86" s="1"/>
  <c r="E160" i="86" s="1"/>
  <c r="E161" i="86" s="1"/>
  <c r="E162" i="86" s="1"/>
  <c r="E163" i="86" s="1"/>
  <c r="E164" i="86" s="1"/>
  <c r="E165" i="86" s="1"/>
  <c r="E166" i="86" s="1"/>
  <c r="E167" i="86" s="1"/>
  <c r="E168" i="86" s="1"/>
  <c r="E169" i="86" s="1"/>
  <c r="E170" i="86" s="1"/>
  <c r="E171" i="86" s="1"/>
  <c r="E172" i="86" s="1"/>
  <c r="E173" i="86" s="1"/>
  <c r="E174" i="86" s="1"/>
  <c r="E175" i="86" s="1"/>
  <c r="E176" i="86" s="1"/>
  <c r="E177" i="86" s="1"/>
  <c r="E178" i="86" s="1"/>
  <c r="E179" i="86" s="1"/>
  <c r="E180" i="86" s="1"/>
  <c r="E181" i="86" s="1"/>
  <c r="E182" i="86" s="1"/>
  <c r="E183" i="86" s="1"/>
  <c r="E184" i="86" s="1"/>
  <c r="E185" i="86" s="1"/>
  <c r="E186" i="86" s="1"/>
  <c r="E187" i="86" s="1"/>
  <c r="E188" i="86" s="1"/>
  <c r="E189" i="86" s="1"/>
  <c r="E190" i="86" s="1"/>
  <c r="E191" i="86" s="1"/>
  <c r="E192" i="86" s="1"/>
  <c r="E193" i="86" s="1"/>
  <c r="E194" i="86" s="1"/>
  <c r="E195" i="86" s="1"/>
  <c r="E196" i="86" s="1"/>
  <c r="E197" i="86" s="1"/>
  <c r="E198" i="86" s="1"/>
  <c r="E199" i="86" s="1"/>
  <c r="E200" i="86" s="1"/>
  <c r="E201" i="86" s="1"/>
  <c r="E202" i="86" s="1"/>
  <c r="E203" i="86" s="1"/>
  <c r="E204" i="86" s="1"/>
  <c r="E205" i="86" s="1"/>
  <c r="E206" i="86" s="1"/>
  <c r="E207" i="86" s="1"/>
  <c r="E208" i="86" s="1"/>
  <c r="E209" i="86" s="1"/>
  <c r="E210" i="86" s="1"/>
  <c r="E211" i="86" s="1"/>
  <c r="E212" i="86" s="1"/>
  <c r="E213" i="86" s="1"/>
  <c r="E214" i="86" s="1"/>
  <c r="E215" i="86" s="1"/>
  <c r="E216" i="86" s="1"/>
  <c r="E217" i="86" s="1"/>
  <c r="E218" i="86" s="1"/>
  <c r="E219" i="86" s="1"/>
  <c r="E220" i="86" s="1"/>
  <c r="E221" i="86" s="1"/>
  <c r="E222" i="86" s="1"/>
  <c r="E223" i="86" s="1"/>
  <c r="E224" i="86" s="1"/>
  <c r="E225" i="86" s="1"/>
  <c r="E226" i="86" s="1"/>
  <c r="E227" i="86" s="1"/>
  <c r="E228" i="86" s="1"/>
  <c r="E229" i="86" s="1"/>
  <c r="E230" i="86" s="1"/>
  <c r="E231" i="86" s="1"/>
  <c r="E232" i="86" s="1"/>
  <c r="E233" i="86" s="1"/>
  <c r="E234" i="86" s="1"/>
  <c r="E235" i="86" s="1"/>
  <c r="E236" i="86" s="1"/>
  <c r="E237" i="86" s="1"/>
  <c r="E238" i="86" s="1"/>
  <c r="E239" i="86" s="1"/>
  <c r="E240" i="86" s="1"/>
  <c r="E241" i="86" s="1"/>
  <c r="E242" i="86" s="1"/>
  <c r="E243" i="86" s="1"/>
  <c r="W3" i="86"/>
  <c r="V3" i="86"/>
  <c r="U3" i="86"/>
  <c r="T3" i="86"/>
  <c r="S3" i="86"/>
  <c r="R3" i="86"/>
  <c r="Q3" i="86"/>
  <c r="P3" i="86"/>
  <c r="O3" i="86"/>
  <c r="N3" i="86"/>
  <c r="H45" i="2" l="1"/>
  <c r="G53" i="10" l="1"/>
  <c r="G52" i="10"/>
  <c r="G51" i="10"/>
  <c r="G81" i="2"/>
  <c r="G62" i="2"/>
  <c r="G42" i="2"/>
  <c r="AA2" i="82" l="1"/>
  <c r="T2" i="82"/>
  <c r="L2" i="82"/>
  <c r="C2" i="78" l="1"/>
  <c r="C2" i="80"/>
  <c r="C2" i="79"/>
  <c r="F52" i="10"/>
  <c r="F51" i="10"/>
  <c r="E53" i="10"/>
  <c r="E51" i="10"/>
  <c r="D53" i="10"/>
  <c r="D51" i="10"/>
  <c r="G61" i="10"/>
  <c r="G62" i="10" s="1"/>
  <c r="F61" i="10"/>
  <c r="F63" i="10" s="1"/>
  <c r="E61" i="10"/>
  <c r="E63" i="10" s="1"/>
  <c r="D61" i="10"/>
  <c r="D62" i="10" s="1"/>
  <c r="B60" i="10"/>
  <c r="B59" i="10"/>
  <c r="B58" i="10"/>
  <c r="B57" i="10"/>
  <c r="B56" i="10"/>
  <c r="B55" i="10"/>
  <c r="B53" i="10"/>
  <c r="B52" i="10"/>
  <c r="B50" i="10"/>
  <c r="B49" i="10"/>
  <c r="C21" i="83"/>
  <c r="D52" i="10" s="1"/>
  <c r="C20" i="83"/>
  <c r="E52" i="10" s="1"/>
  <c r="C19" i="83"/>
  <c r="F53" i="10" s="1"/>
  <c r="C18" i="83"/>
  <c r="R8" i="83"/>
  <c r="R7" i="83"/>
  <c r="R6" i="83"/>
  <c r="G31" i="10"/>
  <c r="F31" i="10"/>
  <c r="E31" i="10"/>
  <c r="D31" i="10"/>
  <c r="D55" i="10" l="1"/>
  <c r="D54" i="10"/>
  <c r="D47" i="10"/>
  <c r="D56" i="10"/>
  <c r="G55" i="10"/>
  <c r="G47" i="10"/>
  <c r="G56" i="10"/>
  <c r="G54" i="10"/>
  <c r="F54" i="10"/>
  <c r="F55" i="10"/>
  <c r="F56" i="10"/>
  <c r="F47" i="10"/>
  <c r="E56" i="10"/>
  <c r="E55" i="10"/>
  <c r="E47" i="10"/>
  <c r="E54" i="10"/>
  <c r="G60" i="10"/>
  <c r="G36" i="10"/>
  <c r="E58" i="10"/>
  <c r="E36" i="10"/>
  <c r="D60" i="10"/>
  <c r="D36" i="10"/>
  <c r="F59" i="10"/>
  <c r="F36" i="10"/>
  <c r="G63" i="10"/>
  <c r="G32" i="10"/>
  <c r="G34" i="10"/>
  <c r="G39" i="10"/>
  <c r="G43" i="10"/>
  <c r="G48" i="10"/>
  <c r="G35" i="10"/>
  <c r="G40" i="10"/>
  <c r="G44" i="10"/>
  <c r="G49" i="10"/>
  <c r="G37" i="10"/>
  <c r="G41" i="10"/>
  <c r="G45" i="10"/>
  <c r="G50" i="10"/>
  <c r="G33" i="10"/>
  <c r="G38" i="10"/>
  <c r="G42" i="10"/>
  <c r="G46" i="10"/>
  <c r="F34" i="10"/>
  <c r="F39" i="10"/>
  <c r="F43" i="10"/>
  <c r="F48" i="10"/>
  <c r="F33" i="10"/>
  <c r="F35" i="10"/>
  <c r="F40" i="10"/>
  <c r="F44" i="10"/>
  <c r="F49" i="10"/>
  <c r="F37" i="10"/>
  <c r="F41" i="10"/>
  <c r="F45" i="10"/>
  <c r="F50" i="10"/>
  <c r="F32" i="10"/>
  <c r="F38" i="10"/>
  <c r="F42" i="10"/>
  <c r="F46" i="10"/>
  <c r="D37" i="10"/>
  <c r="D59" i="10"/>
  <c r="D33" i="10"/>
  <c r="D38" i="10"/>
  <c r="D43" i="10"/>
  <c r="D50" i="10"/>
  <c r="D48" i="10"/>
  <c r="D32" i="10"/>
  <c r="D39" i="10"/>
  <c r="D45" i="10"/>
  <c r="D42" i="10"/>
  <c r="D34" i="10"/>
  <c r="D41" i="10"/>
  <c r="D46" i="10"/>
  <c r="D35" i="10"/>
  <c r="D40" i="10"/>
  <c r="D44" i="10"/>
  <c r="D49" i="10"/>
  <c r="E33" i="10"/>
  <c r="E39" i="10"/>
  <c r="E43" i="10"/>
  <c r="E48" i="10"/>
  <c r="E32" i="10"/>
  <c r="E35" i="10"/>
  <c r="E40" i="10"/>
  <c r="E44" i="10"/>
  <c r="E49" i="10"/>
  <c r="E37" i="10"/>
  <c r="E41" i="10"/>
  <c r="E45" i="10"/>
  <c r="E50" i="10"/>
  <c r="E60" i="10"/>
  <c r="E59" i="10"/>
  <c r="E34" i="10"/>
  <c r="E38" i="10"/>
  <c r="E42" i="10"/>
  <c r="E46" i="10"/>
  <c r="D57" i="10"/>
  <c r="D58" i="10"/>
  <c r="D63" i="10"/>
  <c r="F57" i="10"/>
  <c r="G59" i="10"/>
  <c r="F58" i="10"/>
  <c r="F62" i="10"/>
  <c r="F60" i="10"/>
  <c r="G57" i="10"/>
  <c r="G58" i="10"/>
  <c r="E57" i="10"/>
  <c r="E62" i="10"/>
  <c r="B64" i="10" l="1"/>
  <c r="G30" i="10"/>
  <c r="F30" i="10"/>
  <c r="E30" i="10"/>
  <c r="D30" i="10"/>
  <c r="B30" i="10"/>
  <c r="G24" i="10"/>
  <c r="G29" i="10" s="1"/>
  <c r="F24" i="10"/>
  <c r="F29" i="10" s="1"/>
  <c r="E24" i="10"/>
  <c r="E29" i="10" s="1"/>
  <c r="D24" i="10"/>
  <c r="D26" i="10" s="1"/>
  <c r="D28" i="10" s="1"/>
  <c r="B24" i="10"/>
  <c r="G20" i="10"/>
  <c r="G23" i="10" s="1"/>
  <c r="F20" i="10"/>
  <c r="F23" i="10" s="1"/>
  <c r="E20" i="10"/>
  <c r="E23" i="10" s="1"/>
  <c r="D20" i="10"/>
  <c r="D23" i="10" s="1"/>
  <c r="B20" i="10"/>
  <c r="G16" i="10"/>
  <c r="G17" i="10" s="1"/>
  <c r="F16" i="10"/>
  <c r="F17" i="10" s="1"/>
  <c r="E16" i="10"/>
  <c r="E17" i="10" s="1"/>
  <c r="B16" i="10"/>
  <c r="AG3" i="82"/>
  <c r="AF3" i="82"/>
  <c r="AE3" i="82"/>
  <c r="AD3" i="82"/>
  <c r="AC3" i="82"/>
  <c r="AB3" i="82"/>
  <c r="AA3" i="82"/>
  <c r="Z3" i="82"/>
  <c r="Y3" i="82"/>
  <c r="X3" i="82"/>
  <c r="W3" i="82"/>
  <c r="V3" i="82"/>
  <c r="U3" i="82"/>
  <c r="T3" i="82"/>
  <c r="S3" i="82"/>
  <c r="R3" i="82"/>
  <c r="Q3" i="82"/>
  <c r="P3" i="82"/>
  <c r="O3" i="82"/>
  <c r="N3" i="82"/>
  <c r="M3" i="82"/>
  <c r="L3" i="82"/>
  <c r="K3" i="82"/>
  <c r="J3" i="82"/>
  <c r="I3" i="82"/>
  <c r="H3" i="82"/>
  <c r="G3" i="82"/>
  <c r="F3" i="82"/>
  <c r="E3" i="82"/>
  <c r="F8" i="2"/>
  <c r="J66" i="19"/>
  <c r="J67" i="19"/>
  <c r="B67" i="19"/>
  <c r="G62" i="19"/>
  <c r="G61" i="19"/>
  <c r="G60" i="19"/>
  <c r="G59" i="19"/>
  <c r="G58" i="19"/>
  <c r="G57" i="19"/>
  <c r="G51" i="19"/>
  <c r="G50" i="19"/>
  <c r="G49" i="19"/>
  <c r="G48" i="19"/>
  <c r="G47" i="19"/>
  <c r="G46" i="19"/>
  <c r="G45" i="19"/>
  <c r="G26" i="19"/>
  <c r="G25" i="19"/>
  <c r="G24" i="19"/>
  <c r="G23" i="19"/>
  <c r="G22" i="19"/>
  <c r="G20" i="19"/>
  <c r="I6" i="80"/>
  <c r="I7" i="80" s="1"/>
  <c r="C13" i="80" s="1"/>
  <c r="I5" i="80"/>
  <c r="I4" i="80"/>
  <c r="G24" i="80"/>
  <c r="C12" i="80" s="1"/>
  <c r="C15" i="80" s="1"/>
  <c r="F24" i="80"/>
  <c r="C11" i="80" s="1"/>
  <c r="J6" i="79"/>
  <c r="J4" i="79"/>
  <c r="C4" i="79"/>
  <c r="C15" i="78"/>
  <c r="C13" i="78"/>
  <c r="C5" i="78"/>
  <c r="C7" i="78" s="1"/>
  <c r="G21" i="19" s="1"/>
  <c r="G19" i="19" l="1"/>
  <c r="G21" i="10"/>
  <c r="G22" i="10" s="1"/>
  <c r="D25" i="10"/>
  <c r="D29" i="10"/>
  <c r="F21" i="10"/>
  <c r="F22" i="10" s="1"/>
  <c r="G25" i="10"/>
  <c r="G26" i="10"/>
  <c r="G28" i="10" s="1"/>
  <c r="G27" i="10"/>
  <c r="D27" i="10"/>
  <c r="E21" i="10"/>
  <c r="E22" i="10" s="1"/>
  <c r="F25" i="10"/>
  <c r="F26" i="10"/>
  <c r="F28" i="10" s="1"/>
  <c r="F27" i="10"/>
  <c r="D21" i="10"/>
  <c r="D22" i="10" s="1"/>
  <c r="E25" i="10"/>
  <c r="E26" i="10"/>
  <c r="E28" i="10" s="1"/>
  <c r="E27" i="10"/>
  <c r="C14" i="78"/>
  <c r="C16" i="78" s="1"/>
  <c r="G24" i="78"/>
  <c r="C22" i="78" s="1"/>
  <c r="C23" i="78" s="1"/>
  <c r="G27" i="19" s="1"/>
  <c r="F24" i="78"/>
  <c r="C21" i="78" s="1"/>
  <c r="C16" i="80"/>
  <c r="C17" i="80" s="1"/>
  <c r="C19" i="80" l="1"/>
  <c r="I63" i="19" s="1"/>
  <c r="E5" i="76" l="1"/>
  <c r="I4" i="76"/>
  <c r="L4" i="76" s="1"/>
  <c r="E5" i="75"/>
  <c r="E6" i="75" s="1"/>
  <c r="E7" i="75" s="1"/>
  <c r="I4" i="75"/>
  <c r="L4" i="75" s="1"/>
  <c r="K17" i="2"/>
  <c r="K18" i="2"/>
  <c r="K19" i="2"/>
  <c r="K20" i="2"/>
  <c r="K21" i="2"/>
  <c r="K23" i="2"/>
  <c r="K24" i="2"/>
  <c r="K25" i="2"/>
  <c r="K26" i="2"/>
  <c r="K27" i="2"/>
  <c r="K28" i="2"/>
  <c r="K29" i="2"/>
  <c r="K30" i="2"/>
  <c r="K31" i="2"/>
  <c r="K32" i="2"/>
  <c r="K33" i="2"/>
  <c r="K34" i="2"/>
  <c r="K35" i="2"/>
  <c r="K36" i="2"/>
  <c r="K37" i="2"/>
  <c r="K38" i="2"/>
  <c r="K39" i="2"/>
  <c r="K40" i="2"/>
  <c r="K42" i="2"/>
  <c r="K43" i="2"/>
  <c r="K45" i="2"/>
  <c r="K46" i="2"/>
  <c r="K47" i="2"/>
  <c r="K48" i="2"/>
  <c r="K49" i="2"/>
  <c r="K50" i="2"/>
  <c r="K51" i="2"/>
  <c r="K52" i="2"/>
  <c r="K53" i="2"/>
  <c r="K54" i="2"/>
  <c r="K55" i="2"/>
  <c r="K56" i="2"/>
  <c r="K57" i="2"/>
  <c r="K58" i="2"/>
  <c r="K59" i="2"/>
  <c r="K60" i="2"/>
  <c r="K62" i="2"/>
  <c r="K63" i="2"/>
  <c r="K64" i="2"/>
  <c r="K65" i="2"/>
  <c r="K66" i="2"/>
  <c r="K67" i="2"/>
  <c r="K68" i="2"/>
  <c r="K69" i="2"/>
  <c r="K70" i="2"/>
  <c r="K71" i="2"/>
  <c r="K72" i="2"/>
  <c r="K73" i="2"/>
  <c r="K74" i="2"/>
  <c r="K75" i="2"/>
  <c r="K76" i="2"/>
  <c r="K77" i="2"/>
  <c r="K78" i="2"/>
  <c r="K79" i="2"/>
  <c r="K81" i="2"/>
  <c r="K82" i="2"/>
  <c r="K83" i="2"/>
  <c r="K84" i="2"/>
  <c r="K16" i="2"/>
  <c r="I5" i="76" l="1"/>
  <c r="L5" i="76" s="1"/>
  <c r="J40" i="2"/>
  <c r="J38" i="2"/>
  <c r="J21" i="2"/>
  <c r="J19" i="2"/>
  <c r="J79" i="2"/>
  <c r="J60" i="2"/>
  <c r="E6" i="76"/>
  <c r="F6" i="76" s="1"/>
  <c r="F4" i="76"/>
  <c r="J4" i="76" s="1"/>
  <c r="F5" i="76"/>
  <c r="F4" i="75"/>
  <c r="J4" i="75" s="1"/>
  <c r="I7" i="75"/>
  <c r="L7" i="75" s="1"/>
  <c r="E8" i="75"/>
  <c r="F5" i="75"/>
  <c r="K5" i="75" s="1"/>
  <c r="I6" i="75"/>
  <c r="L6" i="75" s="1"/>
  <c r="I5" i="75"/>
  <c r="L5" i="75" s="1"/>
  <c r="J77" i="2"/>
  <c r="J58" i="2"/>
  <c r="J5" i="76" l="1"/>
  <c r="K5" i="76"/>
  <c r="M5" i="76" s="1"/>
  <c r="K4" i="76"/>
  <c r="M4" i="76" s="1"/>
  <c r="K6" i="76"/>
  <c r="I6" i="76"/>
  <c r="J6" i="76" s="1"/>
  <c r="E7" i="76"/>
  <c r="F7" i="76" s="1"/>
  <c r="M5" i="75"/>
  <c r="K4" i="75"/>
  <c r="M4" i="75" s="1"/>
  <c r="E9" i="75"/>
  <c r="I8" i="75"/>
  <c r="L8" i="75" s="1"/>
  <c r="F6" i="75"/>
  <c r="J6" i="75" s="1"/>
  <c r="J5" i="75"/>
  <c r="L6" i="76" l="1"/>
  <c r="M6" i="76" s="1"/>
  <c r="K7" i="76"/>
  <c r="E8" i="76"/>
  <c r="F8" i="76" s="1"/>
  <c r="I7" i="76"/>
  <c r="J7" i="76" s="1"/>
  <c r="F7" i="75"/>
  <c r="J7" i="75" s="1"/>
  <c r="E10" i="75"/>
  <c r="I9" i="75"/>
  <c r="L9" i="75" s="1"/>
  <c r="K6" i="75"/>
  <c r="M6" i="75" s="1"/>
  <c r="L7" i="76" l="1"/>
  <c r="M7" i="76" s="1"/>
  <c r="I8" i="76"/>
  <c r="J8" i="76" s="1"/>
  <c r="E9" i="76"/>
  <c r="K8" i="76"/>
  <c r="K7" i="75"/>
  <c r="M7" i="75" s="1"/>
  <c r="F8" i="75"/>
  <c r="I10" i="75"/>
  <c r="L10" i="75" s="1"/>
  <c r="E11" i="75"/>
  <c r="I9" i="76" l="1"/>
  <c r="L9" i="76" s="1"/>
  <c r="E10" i="76"/>
  <c r="L8" i="76"/>
  <c r="M8" i="76" s="1"/>
  <c r="F9" i="76"/>
  <c r="J8" i="75"/>
  <c r="F9" i="75"/>
  <c r="I11" i="75"/>
  <c r="L11" i="75" s="1"/>
  <c r="E12" i="75"/>
  <c r="K8" i="75" l="1"/>
  <c r="M8" i="75" s="1"/>
  <c r="J9" i="76"/>
  <c r="K9" i="76"/>
  <c r="M9" i="76" s="1"/>
  <c r="I10" i="76"/>
  <c r="L10" i="76" s="1"/>
  <c r="E11" i="76"/>
  <c r="F11" i="76" s="1"/>
  <c r="F10" i="76"/>
  <c r="J9" i="75"/>
  <c r="F10" i="75"/>
  <c r="E13" i="75"/>
  <c r="I12" i="75"/>
  <c r="L12" i="75" s="1"/>
  <c r="K11" i="76" l="1"/>
  <c r="J10" i="76"/>
  <c r="K10" i="76"/>
  <c r="M10" i="76" s="1"/>
  <c r="I11" i="76"/>
  <c r="J11" i="76" s="1"/>
  <c r="E12" i="76"/>
  <c r="J10" i="75"/>
  <c r="K9" i="75"/>
  <c r="M9" i="75" s="1"/>
  <c r="E14" i="75"/>
  <c r="I13" i="75"/>
  <c r="L13" i="75" s="1"/>
  <c r="F11" i="75"/>
  <c r="L11" i="76" l="1"/>
  <c r="M11" i="76" s="1"/>
  <c r="K10" i="75"/>
  <c r="M10" i="75" s="1"/>
  <c r="I12" i="76"/>
  <c r="L12" i="76" s="1"/>
  <c r="E13" i="76"/>
  <c r="F12" i="76"/>
  <c r="J11" i="75"/>
  <c r="F12" i="75"/>
  <c r="E15" i="75"/>
  <c r="I14" i="75"/>
  <c r="L14" i="75" s="1"/>
  <c r="J12" i="76" l="1"/>
  <c r="K12" i="76"/>
  <c r="M12" i="76" s="1"/>
  <c r="I13" i="76"/>
  <c r="L13" i="76" s="1"/>
  <c r="E14" i="76"/>
  <c r="F13" i="76"/>
  <c r="K11" i="75"/>
  <c r="M11" i="75" s="1"/>
  <c r="J12" i="75"/>
  <c r="F13" i="75"/>
  <c r="I15" i="75"/>
  <c r="L15" i="75" s="1"/>
  <c r="E16" i="75"/>
  <c r="K12" i="75" l="1"/>
  <c r="M12" i="75" s="1"/>
  <c r="I14" i="76"/>
  <c r="L14" i="76" s="1"/>
  <c r="E15" i="76"/>
  <c r="F14" i="76"/>
  <c r="J13" i="76"/>
  <c r="K13" i="76"/>
  <c r="M13" i="76" s="1"/>
  <c r="F15" i="76"/>
  <c r="K15" i="76" s="1"/>
  <c r="J13" i="75"/>
  <c r="F14" i="75"/>
  <c r="J14" i="75" s="1"/>
  <c r="E17" i="75"/>
  <c r="I16" i="75"/>
  <c r="L16" i="75" s="1"/>
  <c r="J14" i="76" l="1"/>
  <c r="K14" i="76"/>
  <c r="M14" i="76" s="1"/>
  <c r="E16" i="76"/>
  <c r="F16" i="76" s="1"/>
  <c r="K16" i="76" s="1"/>
  <c r="I15" i="76"/>
  <c r="J15" i="76" s="1"/>
  <c r="K13" i="75"/>
  <c r="M13" i="75" s="1"/>
  <c r="K14" i="75"/>
  <c r="M14" i="75" s="1"/>
  <c r="E18" i="75"/>
  <c r="I17" i="75"/>
  <c r="L17" i="75" s="1"/>
  <c r="F15" i="75"/>
  <c r="J15" i="75" s="1"/>
  <c r="L15" i="76" l="1"/>
  <c r="M15" i="76" s="1"/>
  <c r="I16" i="76"/>
  <c r="J16" i="76" s="1"/>
  <c r="E17" i="76"/>
  <c r="F17" i="76" s="1"/>
  <c r="K15" i="75"/>
  <c r="M15" i="75" s="1"/>
  <c r="F16" i="75"/>
  <c r="J16" i="75" s="1"/>
  <c r="E19" i="75"/>
  <c r="I18" i="75"/>
  <c r="L18" i="75" s="1"/>
  <c r="L16" i="76" l="1"/>
  <c r="M16" i="76" s="1"/>
  <c r="K17" i="76"/>
  <c r="I17" i="76"/>
  <c r="J17" i="76" s="1"/>
  <c r="E18" i="76"/>
  <c r="F18" i="76" s="1"/>
  <c r="I19" i="75"/>
  <c r="L19" i="75" s="1"/>
  <c r="E20" i="75"/>
  <c r="F17" i="75"/>
  <c r="J17" i="75" s="1"/>
  <c r="K16" i="75"/>
  <c r="M16" i="75" s="1"/>
  <c r="K18" i="76" l="1"/>
  <c r="L17" i="76"/>
  <c r="M17" i="76" s="1"/>
  <c r="I18" i="76"/>
  <c r="J18" i="76" s="1"/>
  <c r="E19" i="76"/>
  <c r="F19" i="76" s="1"/>
  <c r="K17" i="75"/>
  <c r="M17" i="75" s="1"/>
  <c r="E21" i="75"/>
  <c r="I20" i="75"/>
  <c r="L20" i="75" s="1"/>
  <c r="F18" i="75"/>
  <c r="J18" i="75" s="1"/>
  <c r="L18" i="76" l="1"/>
  <c r="M18" i="76" s="1"/>
  <c r="K19" i="76"/>
  <c r="I19" i="76"/>
  <c r="J19" i="76" s="1"/>
  <c r="E20" i="76"/>
  <c r="F20" i="76" s="1"/>
  <c r="F19" i="75"/>
  <c r="J19" i="75" s="1"/>
  <c r="E22" i="75"/>
  <c r="I21" i="75"/>
  <c r="L21" i="75" s="1"/>
  <c r="K18" i="75"/>
  <c r="M18" i="75" s="1"/>
  <c r="K20" i="76" l="1"/>
  <c r="L19" i="76"/>
  <c r="M19" i="76"/>
  <c r="E21" i="76"/>
  <c r="I20" i="76"/>
  <c r="J20" i="76" s="1"/>
  <c r="E23" i="75"/>
  <c r="I22" i="75"/>
  <c r="L22" i="75" s="1"/>
  <c r="K19" i="75"/>
  <c r="M19" i="75" s="1"/>
  <c r="F20" i="75"/>
  <c r="J20" i="75" s="1"/>
  <c r="L20" i="76" l="1"/>
  <c r="E22" i="76"/>
  <c r="F22" i="76" s="1"/>
  <c r="I21" i="76"/>
  <c r="L21" i="76" s="1"/>
  <c r="M20" i="76"/>
  <c r="F21" i="76"/>
  <c r="F21" i="75"/>
  <c r="J21" i="75" s="1"/>
  <c r="K20" i="75"/>
  <c r="M20" i="75" s="1"/>
  <c r="I23" i="75"/>
  <c r="L23" i="75" s="1"/>
  <c r="I22" i="76" l="1"/>
  <c r="J22" i="76" s="1"/>
  <c r="E23" i="76"/>
  <c r="J21" i="76"/>
  <c r="K21" i="76"/>
  <c r="M21" i="76" s="1"/>
  <c r="K22" i="76"/>
  <c r="F22" i="75"/>
  <c r="J22" i="75" s="1"/>
  <c r="K21" i="75"/>
  <c r="M21" i="75" s="1"/>
  <c r="L22" i="76" l="1"/>
  <c r="M22" i="76"/>
  <c r="I23" i="76"/>
  <c r="L23" i="76" s="1"/>
  <c r="F23" i="76"/>
  <c r="K22" i="75"/>
  <c r="M22" i="75" s="1"/>
  <c r="F23" i="75"/>
  <c r="J23" i="75" s="1"/>
  <c r="J23" i="76" l="1"/>
  <c r="K23" i="76"/>
  <c r="M23" i="76" s="1"/>
  <c r="K23" i="75"/>
  <c r="M23" i="75" s="1"/>
  <c r="K80" i="2" l="1"/>
  <c r="F74" i="2"/>
  <c r="H72" i="2"/>
  <c r="K61" i="2"/>
  <c r="F55" i="2"/>
  <c r="H53" i="2"/>
  <c r="H33" i="2"/>
  <c r="K41" i="2"/>
  <c r="F35" i="2"/>
  <c r="L4" i="95" l="1"/>
  <c r="L5" i="95" s="1"/>
  <c r="L6" i="95" s="1"/>
  <c r="L7" i="95" s="1"/>
  <c r="L8" i="95" s="1"/>
  <c r="L9" i="95" s="1"/>
  <c r="L10" i="95" s="1"/>
  <c r="L11" i="95" s="1"/>
  <c r="L12" i="95" s="1"/>
  <c r="L13" i="95" s="1"/>
  <c r="L14" i="95" s="1"/>
  <c r="L15" i="95" s="1"/>
  <c r="L16" i="95" s="1"/>
  <c r="L17" i="95" s="1"/>
  <c r="L18" i="95" s="1"/>
  <c r="L19" i="95" s="1"/>
  <c r="L20" i="95" s="1"/>
  <c r="L21" i="95" s="1"/>
  <c r="L22" i="95" s="1"/>
  <c r="L23" i="95" s="1"/>
  <c r="L4" i="94"/>
  <c r="L5" i="94" s="1"/>
  <c r="L6" i="94" s="1"/>
  <c r="L7" i="94" s="1"/>
  <c r="L8" i="94" s="1"/>
  <c r="L9" i="94" s="1"/>
  <c r="L10" i="94" s="1"/>
  <c r="L11" i="94" s="1"/>
  <c r="L12" i="94" s="1"/>
  <c r="L13" i="94" s="1"/>
  <c r="L14" i="94" s="1"/>
  <c r="L15" i="94" s="1"/>
  <c r="L16" i="94" s="1"/>
  <c r="L17" i="94" s="1"/>
  <c r="L18" i="94" s="1"/>
  <c r="L19" i="94" s="1"/>
  <c r="L20" i="94" s="1"/>
  <c r="L21" i="94" s="1"/>
  <c r="L22" i="94" s="1"/>
  <c r="L23" i="94" s="1"/>
  <c r="AA4" i="95"/>
  <c r="AA5" i="95" s="1"/>
  <c r="AA6" i="95" s="1"/>
  <c r="AA7" i="95" s="1"/>
  <c r="AA8" i="95" s="1"/>
  <c r="AA9" i="95" s="1"/>
  <c r="AA10" i="95" s="1"/>
  <c r="AA11" i="95" s="1"/>
  <c r="AA12" i="95" s="1"/>
  <c r="AA13" i="95" s="1"/>
  <c r="AA14" i="95" s="1"/>
  <c r="AA15" i="95" s="1"/>
  <c r="AA16" i="95" s="1"/>
  <c r="AA17" i="95" s="1"/>
  <c r="AA18" i="95" s="1"/>
  <c r="AA19" i="95" s="1"/>
  <c r="AA20" i="95" s="1"/>
  <c r="AA21" i="95" s="1"/>
  <c r="AA22" i="95" s="1"/>
  <c r="AA23" i="95" s="1"/>
  <c r="AA4" i="94"/>
  <c r="AA5" i="94" s="1"/>
  <c r="AA6" i="94" s="1"/>
  <c r="AA7" i="94" s="1"/>
  <c r="AA8" i="94" s="1"/>
  <c r="AA9" i="94" s="1"/>
  <c r="AA10" i="94" s="1"/>
  <c r="AA11" i="94" s="1"/>
  <c r="AA12" i="94" s="1"/>
  <c r="AA13" i="94" s="1"/>
  <c r="AA14" i="94" s="1"/>
  <c r="AA15" i="94" s="1"/>
  <c r="AA16" i="94" s="1"/>
  <c r="AA17" i="94" s="1"/>
  <c r="AA18" i="94" s="1"/>
  <c r="AA19" i="94" s="1"/>
  <c r="AA20" i="94" s="1"/>
  <c r="AA21" i="94" s="1"/>
  <c r="AA22" i="94" s="1"/>
  <c r="AA23" i="94" s="1"/>
  <c r="T4" i="95"/>
  <c r="T5" i="95" s="1"/>
  <c r="T6" i="95" s="1"/>
  <c r="T7" i="95" s="1"/>
  <c r="T8" i="95" s="1"/>
  <c r="T9" i="95" s="1"/>
  <c r="T10" i="95" s="1"/>
  <c r="T11" i="95" s="1"/>
  <c r="T12" i="95" s="1"/>
  <c r="T13" i="95" s="1"/>
  <c r="T14" i="95" s="1"/>
  <c r="T15" i="95" s="1"/>
  <c r="T16" i="95" s="1"/>
  <c r="T17" i="95" s="1"/>
  <c r="T18" i="95" s="1"/>
  <c r="T19" i="95" s="1"/>
  <c r="T20" i="95" s="1"/>
  <c r="T21" i="95" s="1"/>
  <c r="T22" i="95" s="1"/>
  <c r="T23" i="95" s="1"/>
  <c r="T4" i="94"/>
  <c r="T5" i="94" s="1"/>
  <c r="T6" i="94" s="1"/>
  <c r="T7" i="94" s="1"/>
  <c r="T8" i="94" s="1"/>
  <c r="T9" i="94" s="1"/>
  <c r="T10" i="94" s="1"/>
  <c r="T11" i="94" s="1"/>
  <c r="T12" i="94" s="1"/>
  <c r="T13" i="94" s="1"/>
  <c r="T14" i="94" s="1"/>
  <c r="T15" i="94" s="1"/>
  <c r="T16" i="94" s="1"/>
  <c r="T17" i="94" s="1"/>
  <c r="T18" i="94" s="1"/>
  <c r="T19" i="94" s="1"/>
  <c r="T20" i="94" s="1"/>
  <c r="T21" i="94" s="1"/>
  <c r="T22" i="94" s="1"/>
  <c r="T23" i="94" s="1"/>
  <c r="AA4" i="82"/>
  <c r="AA5" i="82" s="1"/>
  <c r="AA6" i="82" s="1"/>
  <c r="AA7" i="82" s="1"/>
  <c r="AA8" i="82" s="1"/>
  <c r="AA9" i="82" s="1"/>
  <c r="AA10" i="82" s="1"/>
  <c r="AA11" i="82" s="1"/>
  <c r="AA12" i="82" s="1"/>
  <c r="AA13" i="82" s="1"/>
  <c r="AA14" i="82" s="1"/>
  <c r="AA15" i="82" s="1"/>
  <c r="AA16" i="82" s="1"/>
  <c r="AA17" i="82" s="1"/>
  <c r="AA18" i="82" s="1"/>
  <c r="AA19" i="82" s="1"/>
  <c r="AA20" i="82" s="1"/>
  <c r="AA21" i="82" s="1"/>
  <c r="AA22" i="82" s="1"/>
  <c r="AA23" i="82" s="1"/>
  <c r="T4" i="82"/>
  <c r="T5" i="82" s="1"/>
  <c r="T6" i="82" s="1"/>
  <c r="T7" i="82" s="1"/>
  <c r="T8" i="82" s="1"/>
  <c r="T9" i="82" s="1"/>
  <c r="T10" i="82" s="1"/>
  <c r="T11" i="82" s="1"/>
  <c r="T12" i="82" s="1"/>
  <c r="T13" i="82" s="1"/>
  <c r="T14" i="82" s="1"/>
  <c r="T15" i="82" s="1"/>
  <c r="T16" i="82" s="1"/>
  <c r="T17" i="82" s="1"/>
  <c r="T18" i="82" s="1"/>
  <c r="T19" i="82" s="1"/>
  <c r="T20" i="82" s="1"/>
  <c r="T21" i="82" s="1"/>
  <c r="T22" i="82" s="1"/>
  <c r="T23" i="82" s="1"/>
  <c r="L4" i="82"/>
  <c r="L5" i="82" s="1"/>
  <c r="L6" i="82" s="1"/>
  <c r="L7" i="82" s="1"/>
  <c r="L8" i="82" s="1"/>
  <c r="L9" i="82" s="1"/>
  <c r="L10" i="82" s="1"/>
  <c r="L11" i="82" s="1"/>
  <c r="L12" i="82" s="1"/>
  <c r="L13" i="82" s="1"/>
  <c r="L14" i="82" s="1"/>
  <c r="L15" i="82" s="1"/>
  <c r="L16" i="82" s="1"/>
  <c r="L17" i="82" s="1"/>
  <c r="L18" i="82" s="1"/>
  <c r="L19" i="82" s="1"/>
  <c r="L20" i="82" s="1"/>
  <c r="L21" i="82" s="1"/>
  <c r="L22" i="82" s="1"/>
  <c r="L23" i="82" s="1"/>
  <c r="I2" i="65"/>
  <c r="P2" i="65" l="1"/>
  <c r="Q2" i="65" s="1"/>
  <c r="B196" i="65"/>
  <c r="B208" i="65" s="1"/>
  <c r="B220" i="65" s="1"/>
  <c r="B232" i="65" s="1"/>
  <c r="B64" i="65"/>
  <c r="B76" i="65" s="1"/>
  <c r="B88" i="65" s="1"/>
  <c r="B100" i="65" s="1"/>
  <c r="B112" i="65" s="1"/>
  <c r="B124" i="65" s="1"/>
  <c r="B136" i="65" s="1"/>
  <c r="B148" i="65" s="1"/>
  <c r="B160" i="65" s="1"/>
  <c r="B172" i="65" s="1"/>
  <c r="B184" i="65" s="1"/>
  <c r="O3" i="65"/>
  <c r="N3" i="65"/>
  <c r="B64" i="61"/>
  <c r="B76" i="61" s="1"/>
  <c r="B88" i="61" s="1"/>
  <c r="B100" i="61" s="1"/>
  <c r="B112" i="61" s="1"/>
  <c r="B124" i="61" s="1"/>
  <c r="B136" i="61" s="1"/>
  <c r="B148" i="61" s="1"/>
  <c r="B160" i="61" s="1"/>
  <c r="B172" i="61" s="1"/>
  <c r="B184" i="61" s="1"/>
  <c r="B196" i="61" s="1"/>
  <c r="B208" i="61" s="1"/>
  <c r="B220" i="61" s="1"/>
  <c r="B232" i="61" s="1"/>
  <c r="W3" i="61"/>
  <c r="V3" i="61"/>
  <c r="U3" i="61"/>
  <c r="T3" i="61"/>
  <c r="S3" i="61"/>
  <c r="R3" i="61"/>
  <c r="Q3" i="61"/>
  <c r="P3" i="61"/>
  <c r="O3" i="61"/>
  <c r="N3" i="61"/>
  <c r="K39" i="60"/>
  <c r="K51" i="60" s="1"/>
  <c r="K63" i="60" s="1"/>
  <c r="K75" i="60" s="1"/>
  <c r="K87" i="60" s="1"/>
  <c r="K99" i="60" s="1"/>
  <c r="K111" i="60" s="1"/>
  <c r="K123" i="60" s="1"/>
  <c r="K135" i="60" s="1"/>
  <c r="K147" i="60" s="1"/>
  <c r="K159" i="60" s="1"/>
  <c r="K171" i="60" s="1"/>
  <c r="K183" i="60" s="1"/>
  <c r="K195" i="60" s="1"/>
  <c r="K207" i="60" s="1"/>
  <c r="K219" i="60" s="1"/>
  <c r="K231" i="60" s="1"/>
  <c r="K15" i="60"/>
  <c r="K27" i="60" s="1"/>
  <c r="C3" i="60"/>
  <c r="P2" i="58"/>
  <c r="Q2" i="58" s="1"/>
  <c r="I2" i="58"/>
  <c r="B64" i="58"/>
  <c r="B76" i="58" s="1"/>
  <c r="B88" i="58" s="1"/>
  <c r="B100" i="58" s="1"/>
  <c r="B112" i="58" s="1"/>
  <c r="B124" i="58" s="1"/>
  <c r="B136" i="58" s="1"/>
  <c r="B148" i="58" s="1"/>
  <c r="B160" i="58" s="1"/>
  <c r="B172" i="58" s="1"/>
  <c r="B184" i="58" s="1"/>
  <c r="B196" i="58" s="1"/>
  <c r="B208" i="58" s="1"/>
  <c r="B220" i="58" s="1"/>
  <c r="B232" i="58" s="1"/>
  <c r="O3" i="58"/>
  <c r="N3" i="58"/>
  <c r="P3" i="65" l="1"/>
  <c r="Q3" i="65"/>
  <c r="R2" i="65"/>
  <c r="P3" i="58"/>
  <c r="Q3" i="58"/>
  <c r="R2" i="58"/>
  <c r="V3" i="54"/>
  <c r="W3" i="54"/>
  <c r="C3" i="53"/>
  <c r="P51" i="60" l="1"/>
  <c r="S2" i="65"/>
  <c r="R3" i="65"/>
  <c r="S2" i="58"/>
  <c r="R3" i="58"/>
  <c r="Q51" i="53"/>
  <c r="Q3" i="54"/>
  <c r="R3" i="54"/>
  <c r="S3" i="54"/>
  <c r="T3" i="54"/>
  <c r="U3" i="54"/>
  <c r="P3" i="54"/>
  <c r="B64" i="54"/>
  <c r="O3" i="54"/>
  <c r="N3" i="54"/>
  <c r="K15" i="53"/>
  <c r="K27" i="53" s="1"/>
  <c r="K39" i="53" s="1"/>
  <c r="K51" i="53" s="1"/>
  <c r="K63" i="53" s="1"/>
  <c r="K75" i="53" s="1"/>
  <c r="K87" i="53" s="1"/>
  <c r="K99" i="53" s="1"/>
  <c r="K111" i="53" s="1"/>
  <c r="K123" i="53" s="1"/>
  <c r="K135" i="53" s="1"/>
  <c r="K147" i="53" s="1"/>
  <c r="K159" i="53" s="1"/>
  <c r="K171" i="53" s="1"/>
  <c r="K183" i="53" s="1"/>
  <c r="K195" i="53" s="1"/>
  <c r="K207" i="53" s="1"/>
  <c r="K219" i="53" s="1"/>
  <c r="K231" i="53" s="1"/>
  <c r="T51" i="60" l="1"/>
  <c r="P63" i="60"/>
  <c r="U51" i="53"/>
  <c r="Q63" i="53"/>
  <c r="T2" i="65"/>
  <c r="S3" i="65"/>
  <c r="S3" i="58"/>
  <c r="T2" i="58"/>
  <c r="B76" i="54"/>
  <c r="B88" i="54" s="1"/>
  <c r="B100" i="54" s="1"/>
  <c r="B112" i="54" s="1"/>
  <c r="B124" i="54" s="1"/>
  <c r="B136" i="54" s="1"/>
  <c r="B148" i="54" s="1"/>
  <c r="B160" i="54" s="1"/>
  <c r="B172" i="54" s="1"/>
  <c r="B184" i="54" s="1"/>
  <c r="B196" i="54" s="1"/>
  <c r="B208" i="54" s="1"/>
  <c r="B220" i="54" s="1"/>
  <c r="B232" i="54" s="1"/>
  <c r="Q75" i="53" l="1"/>
  <c r="U63" i="53"/>
  <c r="P75" i="60"/>
  <c r="T63" i="60"/>
  <c r="T3" i="65"/>
  <c r="U2" i="65"/>
  <c r="T3" i="58"/>
  <c r="U2" i="58"/>
  <c r="G23" i="2"/>
  <c r="E8" i="10"/>
  <c r="G18" i="10"/>
  <c r="G19" i="10" s="1"/>
  <c r="F18" i="10"/>
  <c r="F19" i="10" s="1"/>
  <c r="E18" i="10"/>
  <c r="E19" i="10" s="1"/>
  <c r="D16" i="10"/>
  <c r="D17" i="10" s="1"/>
  <c r="C7" i="41"/>
  <c r="C9" i="41"/>
  <c r="C11" i="41"/>
  <c r="C13" i="41"/>
  <c r="C15" i="41"/>
  <c r="C17" i="41"/>
  <c r="C19" i="41"/>
  <c r="C21" i="41"/>
  <c r="C5" i="41"/>
  <c r="K22" i="2" l="1"/>
  <c r="P87" i="60"/>
  <c r="T75" i="60"/>
  <c r="Q87" i="53"/>
  <c r="U75" i="53"/>
  <c r="U3" i="65"/>
  <c r="V2" i="65"/>
  <c r="V2" i="58"/>
  <c r="U3" i="58"/>
  <c r="Q99" i="53" l="1"/>
  <c r="U87" i="53"/>
  <c r="P99" i="60"/>
  <c r="T87" i="60"/>
  <c r="W2" i="65"/>
  <c r="W3" i="65" s="1"/>
  <c r="V3" i="65"/>
  <c r="W2" i="58"/>
  <c r="W3" i="58" s="1"/>
  <c r="V3" i="58"/>
  <c r="K8" i="20"/>
  <c r="I8" i="20"/>
  <c r="L8" i="20" s="1"/>
  <c r="I7" i="20"/>
  <c r="L7" i="20" s="1"/>
  <c r="I6" i="20"/>
  <c r="L6" i="20" s="1"/>
  <c r="I5" i="20"/>
  <c r="L5" i="20" s="1"/>
  <c r="P111" i="60" l="1"/>
  <c r="T99" i="60"/>
  <c r="Q111" i="53"/>
  <c r="U99" i="53"/>
  <c r="B2" i="82" l="1"/>
  <c r="Q123" i="53"/>
  <c r="U111" i="53"/>
  <c r="P123" i="60"/>
  <c r="T111" i="60"/>
  <c r="J7" i="20"/>
  <c r="M7" i="20" s="1"/>
  <c r="J6" i="20"/>
  <c r="M6" i="20" s="1"/>
  <c r="J5" i="20"/>
  <c r="M5" i="20" s="1"/>
  <c r="J8" i="20"/>
  <c r="M8" i="20" s="1"/>
  <c r="P135" i="60" l="1"/>
  <c r="T123" i="60"/>
  <c r="Q135" i="53"/>
  <c r="U123" i="53"/>
  <c r="C22" i="41"/>
  <c r="C23" i="41" s="1"/>
  <c r="B24" i="41" s="1"/>
  <c r="Q147" i="53" l="1"/>
  <c r="U135" i="53"/>
  <c r="P147" i="60"/>
  <c r="T135" i="60"/>
  <c r="J72" i="19"/>
  <c r="J71" i="19"/>
  <c r="J70" i="19"/>
  <c r="J69" i="19"/>
  <c r="J68" i="19"/>
  <c r="P159" i="60" l="1"/>
  <c r="T147" i="60"/>
  <c r="Q159" i="53"/>
  <c r="U147" i="53"/>
  <c r="I262" i="25"/>
  <c r="H262" i="25"/>
  <c r="G262" i="25"/>
  <c r="F262" i="25"/>
  <c r="E262" i="25"/>
  <c r="D262" i="25"/>
  <c r="AT4" i="24"/>
  <c r="AW5" i="24" s="1"/>
  <c r="EE5" i="24" s="1"/>
  <c r="EE6" i="24" s="1"/>
  <c r="AM4" i="24"/>
  <c r="AP5" i="24" s="1"/>
  <c r="AF4" i="24"/>
  <c r="AK5" i="24" s="1"/>
  <c r="DS5" i="24" s="1"/>
  <c r="DS6" i="24" s="1"/>
  <c r="Y4" i="24"/>
  <c r="AE5" i="24" s="1"/>
  <c r="AE6" i="24" s="1"/>
  <c r="R4" i="24"/>
  <c r="X5" i="24" s="1"/>
  <c r="X6" i="24" s="1"/>
  <c r="K4" i="24"/>
  <c r="O5" i="24" s="1"/>
  <c r="H4" i="24"/>
  <c r="F10" i="25" s="1"/>
  <c r="F24" i="25" s="1"/>
  <c r="E4" i="24"/>
  <c r="D5" i="24" s="1"/>
  <c r="D6" i="24" s="1"/>
  <c r="D7" i="24" s="1"/>
  <c r="C4" i="24"/>
  <c r="B5" i="24" s="1"/>
  <c r="H2" i="2"/>
  <c r="C257" i="25"/>
  <c r="C256" i="25"/>
  <c r="C255" i="25"/>
  <c r="C254" i="25"/>
  <c r="C253" i="25"/>
  <c r="C252" i="25"/>
  <c r="C251" i="25"/>
  <c r="C250" i="25"/>
  <c r="C249" i="25"/>
  <c r="H7" i="25"/>
  <c r="EH23" i="24"/>
  <c r="EH24" i="24" s="1"/>
  <c r="EH25" i="24" s="1"/>
  <c r="EG23" i="24"/>
  <c r="EF23" i="24"/>
  <c r="EE23" i="24"/>
  <c r="ED23" i="24"/>
  <c r="ED24" i="24" s="1"/>
  <c r="ED25" i="24" s="1"/>
  <c r="EC23" i="24"/>
  <c r="EB23" i="24"/>
  <c r="EA23" i="24"/>
  <c r="DZ23" i="24"/>
  <c r="DZ24" i="24" s="1"/>
  <c r="DZ25" i="24" s="1"/>
  <c r="DY23" i="24"/>
  <c r="DX23" i="24"/>
  <c r="DW23" i="24"/>
  <c r="DV23" i="24"/>
  <c r="DU23" i="24"/>
  <c r="DT23" i="24"/>
  <c r="DS23" i="24"/>
  <c r="DR23" i="24"/>
  <c r="DQ23" i="24"/>
  <c r="DP23" i="24"/>
  <c r="DO23" i="24"/>
  <c r="DN23" i="24"/>
  <c r="DM23" i="24"/>
  <c r="DL23" i="24"/>
  <c r="DK23" i="24"/>
  <c r="DJ23" i="24"/>
  <c r="DI23" i="24"/>
  <c r="DH23" i="24"/>
  <c r="DH24" i="24" s="1"/>
  <c r="DH25" i="24" s="1"/>
  <c r="DG23" i="24"/>
  <c r="DF23" i="24"/>
  <c r="DE23" i="24"/>
  <c r="DD23" i="24"/>
  <c r="DC23" i="24"/>
  <c r="DB23" i="24"/>
  <c r="DA23" i="24"/>
  <c r="CZ23" i="24"/>
  <c r="CY23" i="24"/>
  <c r="CX23" i="24"/>
  <c r="CW23" i="24"/>
  <c r="CV23" i="24"/>
  <c r="CU23" i="24"/>
  <c r="CT23" i="24"/>
  <c r="CS23" i="24"/>
  <c r="CS24" i="24" s="1"/>
  <c r="CS25" i="24" s="1"/>
  <c r="BW20" i="24"/>
  <c r="D198" i="25" s="1"/>
  <c r="AE20" i="24"/>
  <c r="AO5" i="24"/>
  <c r="DW5" i="24" s="1"/>
  <c r="DW6" i="24" s="1"/>
  <c r="CD4" i="24"/>
  <c r="DU4" i="24" s="1"/>
  <c r="U5" i="24" l="1"/>
  <c r="U6" i="24" s="1"/>
  <c r="Q171" i="53"/>
  <c r="U159" i="53"/>
  <c r="P171" i="60"/>
  <c r="T159" i="60"/>
  <c r="CU24" i="24"/>
  <c r="CU25" i="24" s="1"/>
  <c r="DA24" i="24"/>
  <c r="DA25" i="24" s="1"/>
  <c r="EB24" i="24"/>
  <c r="EB25" i="24" s="1"/>
  <c r="CV24" i="24"/>
  <c r="CV25" i="24" s="1"/>
  <c r="DD24" i="24"/>
  <c r="DD25" i="24" s="1"/>
  <c r="CW24" i="24"/>
  <c r="CW25" i="24" s="1"/>
  <c r="DE24" i="24"/>
  <c r="DE25" i="24" s="1"/>
  <c r="DI24" i="24"/>
  <c r="DI25" i="24" s="1"/>
  <c r="DM24" i="24"/>
  <c r="DM25" i="24" s="1"/>
  <c r="DQ24" i="24"/>
  <c r="DQ25" i="24" s="1"/>
  <c r="DY24" i="24"/>
  <c r="DY25" i="24" s="1"/>
  <c r="EC24" i="24"/>
  <c r="EC25" i="24" s="1"/>
  <c r="EG24" i="24"/>
  <c r="EG25" i="24" s="1"/>
  <c r="V5" i="24"/>
  <c r="V6" i="24" s="1"/>
  <c r="I9" i="25"/>
  <c r="I23" i="25" s="1"/>
  <c r="DR24" i="24"/>
  <c r="DR25" i="24" s="1"/>
  <c r="DV24" i="24"/>
  <c r="DV25" i="24" s="1"/>
  <c r="BB4" i="24"/>
  <c r="CS4" i="24" s="1"/>
  <c r="Q5" i="24"/>
  <c r="Q6" i="24" s="1"/>
  <c r="G9" i="25"/>
  <c r="G23" i="25" s="1"/>
  <c r="CT24" i="24"/>
  <c r="CT25" i="24" s="1"/>
  <c r="H9" i="25"/>
  <c r="H23" i="25" s="1"/>
  <c r="CX24" i="24"/>
  <c r="CX25" i="24" s="1"/>
  <c r="DC24" i="24"/>
  <c r="DC25" i="24" s="1"/>
  <c r="DK24" i="24"/>
  <c r="DK25" i="24" s="1"/>
  <c r="DW24" i="24"/>
  <c r="DW25" i="24" s="1"/>
  <c r="EA24" i="24"/>
  <c r="EA25" i="24" s="1"/>
  <c r="EE24" i="24"/>
  <c r="EE25" i="24" s="1"/>
  <c r="DU24" i="24"/>
  <c r="DU25" i="24" s="1"/>
  <c r="D9" i="25"/>
  <c r="D23" i="25" s="1"/>
  <c r="Z5" i="24"/>
  <c r="Z6" i="24" s="1"/>
  <c r="F9" i="25"/>
  <c r="F23" i="25" s="1"/>
  <c r="S5" i="24"/>
  <c r="DA5" i="24" s="1"/>
  <c r="DA6" i="24" s="1"/>
  <c r="E9" i="25"/>
  <c r="E23" i="25" s="1"/>
  <c r="AQ20" i="24"/>
  <c r="D204" i="25"/>
  <c r="G5" i="24"/>
  <c r="I5" i="24"/>
  <c r="BA5" i="24" s="1"/>
  <c r="D10" i="25"/>
  <c r="D24" i="25" s="1"/>
  <c r="E10" i="25"/>
  <c r="E24" i="25" s="1"/>
  <c r="R5" i="24"/>
  <c r="R6" i="24" s="1"/>
  <c r="W5" i="24"/>
  <c r="DE5" i="24" s="1"/>
  <c r="DE6" i="24" s="1"/>
  <c r="BP4" i="24"/>
  <c r="DG4" i="24" s="1"/>
  <c r="AC5" i="24"/>
  <c r="DK5" i="24" s="1"/>
  <c r="DK6" i="24" s="1"/>
  <c r="AB5" i="24"/>
  <c r="AB6" i="24" s="1"/>
  <c r="H5" i="24"/>
  <c r="Y5" i="24"/>
  <c r="Y6" i="24" s="1"/>
  <c r="AD5" i="24"/>
  <c r="DL5" i="24" s="1"/>
  <c r="DL6" i="24" s="1"/>
  <c r="DS24" i="24"/>
  <c r="DS25" i="24" s="1"/>
  <c r="DT24" i="24"/>
  <c r="DT25" i="24" s="1"/>
  <c r="DO24" i="24"/>
  <c r="DO25" i="24" s="1"/>
  <c r="DL24" i="24"/>
  <c r="DL25" i="24" s="1"/>
  <c r="DJ24" i="24"/>
  <c r="DJ25" i="24" s="1"/>
  <c r="DN24" i="24"/>
  <c r="DN25" i="24" s="1"/>
  <c r="DB24" i="24"/>
  <c r="DB25" i="24" s="1"/>
  <c r="DF24" i="24"/>
  <c r="DF25" i="24" s="1"/>
  <c r="DG24" i="24"/>
  <c r="DG25" i="24" s="1"/>
  <c r="CY24" i="24"/>
  <c r="CY25" i="24" s="1"/>
  <c r="AX5" i="24"/>
  <c r="AX6" i="24" s="1"/>
  <c r="AQ5" i="24"/>
  <c r="DY5" i="24" s="1"/>
  <c r="DY6" i="24" s="1"/>
  <c r="AM5" i="24"/>
  <c r="DU5" i="24" s="1"/>
  <c r="DU6" i="24" s="1"/>
  <c r="AS5" i="24"/>
  <c r="EA5" i="24" s="1"/>
  <c r="EA6" i="24" s="1"/>
  <c r="AL5" i="24"/>
  <c r="CC5" i="24" s="1"/>
  <c r="CC6" i="24" s="1"/>
  <c r="AH5" i="24"/>
  <c r="AH6" i="24" s="1"/>
  <c r="AA5" i="24"/>
  <c r="DI5" i="24" s="1"/>
  <c r="DI6" i="24" s="1"/>
  <c r="BI4" i="24"/>
  <c r="CZ4" i="24" s="1"/>
  <c r="T5" i="24"/>
  <c r="T6" i="24" s="1"/>
  <c r="P5" i="24"/>
  <c r="P6" i="24" s="1"/>
  <c r="L5" i="24"/>
  <c r="L6" i="24" s="1"/>
  <c r="BW4" i="24"/>
  <c r="DN4" i="24" s="1"/>
  <c r="AG5" i="24"/>
  <c r="DO5" i="24" s="1"/>
  <c r="DO6" i="24" s="1"/>
  <c r="AT5" i="24"/>
  <c r="AT6" i="24" s="1"/>
  <c r="AZ5" i="24"/>
  <c r="AZ6" i="24" s="1"/>
  <c r="CK4" i="24"/>
  <c r="EB4" i="24" s="1"/>
  <c r="AV5" i="24"/>
  <c r="AV6" i="24" s="1"/>
  <c r="AY5" i="24"/>
  <c r="EG5" i="24" s="1"/>
  <c r="EG6" i="24" s="1"/>
  <c r="AN5" i="24"/>
  <c r="AN6" i="24" s="1"/>
  <c r="AR5" i="24"/>
  <c r="AR6" i="24" s="1"/>
  <c r="AQ6" i="24"/>
  <c r="AU5" i="24"/>
  <c r="AU6" i="24" s="1"/>
  <c r="CH5" i="24"/>
  <c r="CH6" i="24" s="1"/>
  <c r="AW6" i="24"/>
  <c r="AI5" i="24"/>
  <c r="AF5" i="24"/>
  <c r="AF6" i="24" s="1"/>
  <c r="AJ5" i="24"/>
  <c r="AJ6" i="24" s="1"/>
  <c r="DC5" i="24"/>
  <c r="DC6" i="24" s="1"/>
  <c r="M5" i="24"/>
  <c r="BD5" i="24" s="1"/>
  <c r="BD6" i="24" s="1"/>
  <c r="N5" i="24"/>
  <c r="N6" i="24" s="1"/>
  <c r="K5" i="24"/>
  <c r="K6" i="24" s="1"/>
  <c r="CY5" i="24"/>
  <c r="CY6" i="24" s="1"/>
  <c r="F5" i="24"/>
  <c r="O6" i="24"/>
  <c r="CW5" i="24"/>
  <c r="CW6" i="24" s="1"/>
  <c r="AV20" i="24"/>
  <c r="AP20" i="24"/>
  <c r="AL20" i="24"/>
  <c r="AO20" i="24"/>
  <c r="AT20" i="24"/>
  <c r="AM20" i="24"/>
  <c r="AU20" i="24"/>
  <c r="AN20" i="24"/>
  <c r="AP6" i="24"/>
  <c r="CG5" i="24"/>
  <c r="CG6" i="24" s="1"/>
  <c r="CZ5" i="24"/>
  <c r="CZ6" i="24" s="1"/>
  <c r="DM5" i="24"/>
  <c r="DM6" i="24" s="1"/>
  <c r="DX5" i="24"/>
  <c r="DX6" i="24" s="1"/>
  <c r="AO6" i="24"/>
  <c r="CZ24" i="24"/>
  <c r="CZ25" i="24" s="1"/>
  <c r="DP24" i="24"/>
  <c r="DP25" i="24" s="1"/>
  <c r="DX24" i="24"/>
  <c r="DX25" i="24" s="1"/>
  <c r="EF24" i="24"/>
  <c r="EF25" i="24" s="1"/>
  <c r="B6" i="24"/>
  <c r="B7" i="24" s="1"/>
  <c r="DB5" i="24"/>
  <c r="DB6" i="24" s="1"/>
  <c r="DF5" i="24"/>
  <c r="DF6" i="24" s="1"/>
  <c r="AK6" i="24"/>
  <c r="DH5" i="24" l="1"/>
  <c r="DH6" i="24" s="1"/>
  <c r="BQ5" i="24"/>
  <c r="BQ6" i="24" s="1"/>
  <c r="BN5" i="24"/>
  <c r="BN6" i="24" s="1"/>
  <c r="S6" i="24"/>
  <c r="BI5" i="24"/>
  <c r="BI6" i="24" s="1"/>
  <c r="P183" i="60"/>
  <c r="T171" i="60"/>
  <c r="Q183" i="53"/>
  <c r="U171" i="53"/>
  <c r="BM5" i="24"/>
  <c r="BM6" i="24" s="1"/>
  <c r="DD5" i="24"/>
  <c r="DD6" i="24" s="1"/>
  <c r="W6" i="24"/>
  <c r="ED5" i="24"/>
  <c r="ED6" i="24" s="1"/>
  <c r="CL5" i="24"/>
  <c r="CL6" i="24" s="1"/>
  <c r="BO5" i="24"/>
  <c r="BO6" i="24" s="1"/>
  <c r="AD6" i="24"/>
  <c r="DN5" i="24"/>
  <c r="DN6" i="24" s="1"/>
  <c r="EC5" i="24"/>
  <c r="EC6" i="24" s="1"/>
  <c r="BU5" i="24"/>
  <c r="BU6" i="24" s="1"/>
  <c r="BH5" i="24"/>
  <c r="BH6" i="24" s="1"/>
  <c r="F6" i="24"/>
  <c r="F7" i="24" s="1"/>
  <c r="B8" i="24" s="1"/>
  <c r="B9" i="24" s="1"/>
  <c r="B10" i="24" s="1"/>
  <c r="BT5" i="24"/>
  <c r="BT6" i="24" s="1"/>
  <c r="AA6" i="24"/>
  <c r="DG5" i="24"/>
  <c r="DG6" i="24" s="1"/>
  <c r="BJ5" i="24"/>
  <c r="BJ6" i="24" s="1"/>
  <c r="CT5" i="24"/>
  <c r="CT6" i="24" s="1"/>
  <c r="F27" i="24"/>
  <c r="AT27" i="24" s="1"/>
  <c r="BP5" i="24"/>
  <c r="BP6" i="24" s="1"/>
  <c r="DT5" i="24"/>
  <c r="DT6" i="24" s="1"/>
  <c r="BW5" i="24"/>
  <c r="BW6" i="24" s="1"/>
  <c r="BY5" i="24"/>
  <c r="BY6" i="24" s="1"/>
  <c r="CO5" i="24"/>
  <c r="CO6" i="24" s="1"/>
  <c r="CK5" i="24"/>
  <c r="CK6" i="24" s="1"/>
  <c r="CX5" i="24"/>
  <c r="CX6" i="24" s="1"/>
  <c r="CD5" i="24"/>
  <c r="CD6" i="24" s="1"/>
  <c r="EB5" i="24"/>
  <c r="EB6" i="24" s="1"/>
  <c r="BG5" i="24"/>
  <c r="BG6" i="24" s="1"/>
  <c r="BR5" i="24"/>
  <c r="BR6" i="24" s="1"/>
  <c r="AM6" i="24"/>
  <c r="DJ5" i="24"/>
  <c r="DJ6" i="24" s="1"/>
  <c r="BL5" i="24"/>
  <c r="BL6" i="24" s="1"/>
  <c r="DP5" i="24"/>
  <c r="DP6" i="24" s="1"/>
  <c r="BV5" i="24"/>
  <c r="BV6" i="24" s="1"/>
  <c r="CU5" i="24"/>
  <c r="CU6" i="24" s="1"/>
  <c r="BK5" i="24"/>
  <c r="BK6" i="24" s="1"/>
  <c r="BX5" i="24"/>
  <c r="BX6" i="24" s="1"/>
  <c r="AL6" i="24"/>
  <c r="EF5" i="24"/>
  <c r="EF6" i="24" s="1"/>
  <c r="AC6" i="24"/>
  <c r="BZ5" i="24"/>
  <c r="BZ6" i="24" s="1"/>
  <c r="CP5" i="24"/>
  <c r="CP6" i="24" s="1"/>
  <c r="BS5" i="24"/>
  <c r="BS6" i="24" s="1"/>
  <c r="CS26" i="24"/>
  <c r="CS27" i="24" s="1"/>
  <c r="CS28" i="24" s="1"/>
  <c r="CS29" i="24" s="1"/>
  <c r="CS30" i="24" s="1"/>
  <c r="AY6" i="24"/>
  <c r="AS6" i="24"/>
  <c r="CB5" i="24"/>
  <c r="CB6" i="24" s="1"/>
  <c r="CF5" i="24"/>
  <c r="CF6" i="24" s="1"/>
  <c r="EH5" i="24"/>
  <c r="EH6" i="24" s="1"/>
  <c r="CE5" i="24"/>
  <c r="CE6" i="24" s="1"/>
  <c r="DV5" i="24"/>
  <c r="DV6" i="24" s="1"/>
  <c r="CQ5" i="24"/>
  <c r="CQ6" i="24" s="1"/>
  <c r="DZ5" i="24"/>
  <c r="DZ6" i="24" s="1"/>
  <c r="CJ5" i="24"/>
  <c r="CJ6" i="24" s="1"/>
  <c r="CI5" i="24"/>
  <c r="CI6" i="24" s="1"/>
  <c r="AG6" i="24"/>
  <c r="M6" i="24"/>
  <c r="DR5" i="24"/>
  <c r="DR6" i="24" s="1"/>
  <c r="CN5" i="24"/>
  <c r="CN6" i="24" s="1"/>
  <c r="CM5" i="24"/>
  <c r="CM6" i="24" s="1"/>
  <c r="CA5" i="24"/>
  <c r="CA6" i="24" s="1"/>
  <c r="AI6" i="24"/>
  <c r="DQ5" i="24"/>
  <c r="DQ6" i="24" s="1"/>
  <c r="CV5" i="24"/>
  <c r="CV6" i="24" s="1"/>
  <c r="BE5" i="24"/>
  <c r="BE6" i="24" s="1"/>
  <c r="BF5" i="24"/>
  <c r="BF6" i="24" s="1"/>
  <c r="CS5" i="24"/>
  <c r="CS6" i="24" s="1"/>
  <c r="F34" i="24"/>
  <c r="F50" i="24" s="1"/>
  <c r="BC5" i="24"/>
  <c r="BC6" i="24" s="1"/>
  <c r="BB5" i="24"/>
  <c r="BB6" i="24" s="1"/>
  <c r="AL17" i="24"/>
  <c r="H17" i="24"/>
  <c r="AW20" i="24"/>
  <c r="AL21" i="24" s="1"/>
  <c r="Q195" i="53" l="1"/>
  <c r="U183" i="53"/>
  <c r="P195" i="60"/>
  <c r="T183" i="60"/>
  <c r="CS31" i="24"/>
  <c r="CA27" i="24"/>
  <c r="AT30" i="24"/>
  <c r="C9" i="35" s="1"/>
  <c r="F29" i="24"/>
  <c r="C3" i="35" s="1"/>
  <c r="CA31" i="24"/>
  <c r="C17" i="35" s="1"/>
  <c r="F30" i="24"/>
  <c r="C5" i="35" s="1"/>
  <c r="AT29" i="24"/>
  <c r="C7" i="35" s="1"/>
  <c r="AT31" i="24"/>
  <c r="C13" i="35" s="1"/>
  <c r="CA30" i="24"/>
  <c r="C15" i="35" s="1"/>
  <c r="CA29" i="24"/>
  <c r="C11" i="35" s="1"/>
  <c r="C2" i="31"/>
  <c r="A161" i="25" s="1"/>
  <c r="B160" i="25"/>
  <c r="I31" i="25"/>
  <c r="B140" i="25"/>
  <c r="I30" i="25"/>
  <c r="C2" i="30"/>
  <c r="A142" i="25" s="1"/>
  <c r="CA50" i="24"/>
  <c r="AT46" i="24"/>
  <c r="C20" i="37" s="1"/>
  <c r="F46" i="24"/>
  <c r="C11" i="37" s="1"/>
  <c r="CA45" i="24"/>
  <c r="C27" i="37" s="1"/>
  <c r="K7" i="24"/>
  <c r="K8" i="24" s="1"/>
  <c r="K9" i="24" s="1"/>
  <c r="K10" i="24" s="1"/>
  <c r="K11" i="24" s="1"/>
  <c r="K12" i="24" s="1"/>
  <c r="CA46" i="24"/>
  <c r="C30" i="37" s="1"/>
  <c r="AT45" i="24"/>
  <c r="C18" i="37" s="1"/>
  <c r="AT44" i="24"/>
  <c r="C14" i="37" s="1"/>
  <c r="F45" i="24"/>
  <c r="C7" i="37" s="1"/>
  <c r="F44" i="24"/>
  <c r="C3" i="37" s="1"/>
  <c r="CA44" i="24"/>
  <c r="C24" i="37" s="1"/>
  <c r="AT36" i="24"/>
  <c r="C6" i="36" s="1"/>
  <c r="A239" i="25" s="1"/>
  <c r="AT37" i="24"/>
  <c r="C7" i="36" s="1"/>
  <c r="A240" i="25" s="1"/>
  <c r="CS7" i="24"/>
  <c r="CS8" i="24" s="1"/>
  <c r="CS9" i="24" s="1"/>
  <c r="CS10" i="24" s="1"/>
  <c r="CS11" i="24" s="1"/>
  <c r="CS12" i="24" s="1"/>
  <c r="CB36" i="24"/>
  <c r="C9" i="36" s="1"/>
  <c r="A242" i="25" s="1"/>
  <c r="F36" i="24"/>
  <c r="C3" i="36" s="1"/>
  <c r="A236" i="25" s="1"/>
  <c r="AT38" i="24"/>
  <c r="C8" i="36" s="1"/>
  <c r="A241" i="25" s="1"/>
  <c r="F37" i="24"/>
  <c r="C4" i="36" s="1"/>
  <c r="A237" i="25" s="1"/>
  <c r="CB38" i="24"/>
  <c r="C11" i="36" s="1"/>
  <c r="A244" i="25" s="1"/>
  <c r="CB34" i="24"/>
  <c r="F38" i="24"/>
  <c r="C5" i="36" s="1"/>
  <c r="A238" i="25" s="1"/>
  <c r="AT34" i="24"/>
  <c r="CB37" i="24"/>
  <c r="C10" i="36" s="1"/>
  <c r="A243" i="25" s="1"/>
  <c r="BB7" i="24"/>
  <c r="BB8" i="24" s="1"/>
  <c r="BB9" i="24" s="1"/>
  <c r="BB10" i="24" s="1"/>
  <c r="BB11" i="24" s="1"/>
  <c r="BB12" i="24" s="1"/>
  <c r="AL22" i="24"/>
  <c r="CA54" i="24"/>
  <c r="D17" i="35" s="1"/>
  <c r="F53" i="24"/>
  <c r="D5" i="35" s="1"/>
  <c r="AT54" i="24"/>
  <c r="D13" i="35" s="1"/>
  <c r="CA52" i="24"/>
  <c r="D11" i="35" s="1"/>
  <c r="AT50" i="24"/>
  <c r="CA53" i="24"/>
  <c r="D15" i="35" s="1"/>
  <c r="AT52" i="24"/>
  <c r="D7" i="35" s="1"/>
  <c r="AT53" i="24"/>
  <c r="D9" i="35" s="1"/>
  <c r="F52" i="24"/>
  <c r="D3" i="35" s="1"/>
  <c r="B11" i="24"/>
  <c r="B12" i="24" s="1"/>
  <c r="CT36" i="24"/>
  <c r="CS32" i="24"/>
  <c r="P207" i="60" l="1"/>
  <c r="T195" i="60"/>
  <c r="Q207" i="53"/>
  <c r="U195" i="53"/>
  <c r="A216" i="25"/>
  <c r="A213" i="25"/>
  <c r="A231" i="25"/>
  <c r="I19" i="24"/>
  <c r="I20" i="24" s="1"/>
  <c r="H22" i="24" s="1"/>
  <c r="C2" i="33" s="1"/>
  <c r="A181" i="25" s="1"/>
  <c r="A225" i="25"/>
  <c r="A227" i="25"/>
  <c r="A220" i="25"/>
  <c r="A214" i="25"/>
  <c r="CS13" i="24"/>
  <c r="E116" i="25" s="1"/>
  <c r="D2" i="29"/>
  <c r="A118" i="25" s="1"/>
  <c r="B116" i="25"/>
  <c r="I29" i="25"/>
  <c r="K13" i="24"/>
  <c r="E69" i="25" s="1"/>
  <c r="D2" i="27"/>
  <c r="A71" i="25" s="1"/>
  <c r="I27" i="25"/>
  <c r="B69" i="25"/>
  <c r="CT35" i="24"/>
  <c r="EC37" i="24" s="1"/>
  <c r="I28" i="25"/>
  <c r="B95" i="25"/>
  <c r="D2" i="28"/>
  <c r="A97" i="25" s="1"/>
  <c r="A226" i="25"/>
  <c r="A215" i="25"/>
  <c r="A224" i="25"/>
  <c r="A217" i="25"/>
  <c r="A228" i="25"/>
  <c r="A229" i="25"/>
  <c r="A218" i="25"/>
  <c r="A219" i="25"/>
  <c r="A230" i="25"/>
  <c r="B13" i="24"/>
  <c r="E49" i="25" s="1"/>
  <c r="D2" i="26"/>
  <c r="A51" i="25" s="1"/>
  <c r="I26" i="25"/>
  <c r="I25" i="25" s="1"/>
  <c r="G36" i="25" s="1"/>
  <c r="G25" i="25" s="1"/>
  <c r="B49" i="25"/>
  <c r="D2" i="34"/>
  <c r="A207" i="25" s="1"/>
  <c r="B205" i="25"/>
  <c r="CA20" i="24"/>
  <c r="CA22" i="24" s="1"/>
  <c r="C2" i="32" s="1"/>
  <c r="A201" i="25" s="1"/>
  <c r="I33" i="25"/>
  <c r="BB13" i="24"/>
  <c r="E95" i="25" s="1"/>
  <c r="B72" i="19"/>
  <c r="B71" i="19"/>
  <c r="B70" i="19"/>
  <c r="B69" i="19"/>
  <c r="B68" i="19"/>
  <c r="B66" i="19"/>
  <c r="K13" i="19"/>
  <c r="K12" i="19"/>
  <c r="K11" i="19"/>
  <c r="K10" i="19"/>
  <c r="K9" i="19"/>
  <c r="J4" i="23"/>
  <c r="I4" i="23"/>
  <c r="H4" i="23"/>
  <c r="G4" i="23"/>
  <c r="F4" i="23"/>
  <c r="Q219" i="53" l="1"/>
  <c r="U207" i="53"/>
  <c r="P219" i="60"/>
  <c r="T207" i="60"/>
  <c r="I32" i="25"/>
  <c r="B180" i="25"/>
  <c r="C2" i="38"/>
  <c r="A264" i="25" s="1"/>
  <c r="B262" i="25"/>
  <c r="G37" i="25"/>
  <c r="G38" i="25" s="1"/>
  <c r="G39" i="25" s="1"/>
  <c r="I34" i="25"/>
  <c r="B199" i="25"/>
  <c r="C2" i="18"/>
  <c r="J4" i="19"/>
  <c r="J3" i="13"/>
  <c r="C2" i="111" l="1"/>
  <c r="D4" i="112"/>
  <c r="D4" i="105"/>
  <c r="F4" i="105" s="1"/>
  <c r="D4" i="110"/>
  <c r="D4" i="98"/>
  <c r="D5" i="98" s="1"/>
  <c r="D4" i="103"/>
  <c r="D4" i="54"/>
  <c r="D4" i="93"/>
  <c r="D4" i="61"/>
  <c r="F4" i="61" s="1"/>
  <c r="D4" i="58"/>
  <c r="D4" i="91"/>
  <c r="D5" i="91" s="1"/>
  <c r="D4" i="65"/>
  <c r="C2" i="89"/>
  <c r="D4" i="86"/>
  <c r="P231" i="60"/>
  <c r="T231" i="60" s="1"/>
  <c r="T219" i="60"/>
  <c r="Q231" i="53"/>
  <c r="U231" i="53" s="1"/>
  <c r="U219" i="53"/>
  <c r="C2" i="60"/>
  <c r="J7" i="13"/>
  <c r="C5" i="111" s="1"/>
  <c r="C2" i="53"/>
  <c r="I36" i="25"/>
  <c r="I37" i="25" s="1"/>
  <c r="I38" i="25" s="1"/>
  <c r="I39" i="25" s="1"/>
  <c r="D5" i="105" l="1"/>
  <c r="F5" i="105" s="1"/>
  <c r="D5" i="112"/>
  <c r="F4" i="112"/>
  <c r="C6" i="111"/>
  <c r="I3" i="111"/>
  <c r="D5" i="110"/>
  <c r="F4" i="110"/>
  <c r="F4" i="98"/>
  <c r="D5" i="103"/>
  <c r="F4" i="103"/>
  <c r="D6" i="98"/>
  <c r="F5" i="98"/>
  <c r="D5" i="93"/>
  <c r="F4" i="93"/>
  <c r="D5" i="61"/>
  <c r="F5" i="61" s="1"/>
  <c r="F4" i="91"/>
  <c r="O3" i="111" s="1"/>
  <c r="F4" i="58"/>
  <c r="D5" i="58"/>
  <c r="D5" i="65"/>
  <c r="F4" i="65"/>
  <c r="D6" i="91"/>
  <c r="F5" i="91"/>
  <c r="D5" i="86"/>
  <c r="F4" i="86"/>
  <c r="C5" i="79"/>
  <c r="C5" i="89"/>
  <c r="C5" i="60"/>
  <c r="I3" i="60" s="1"/>
  <c r="I4" i="60" s="1"/>
  <c r="C5" i="53"/>
  <c r="H33" i="79" l="1"/>
  <c r="H32" i="79"/>
  <c r="H31" i="79"/>
  <c r="H30" i="79"/>
  <c r="H29" i="79"/>
  <c r="H28" i="79"/>
  <c r="H27" i="79"/>
  <c r="H26" i="79"/>
  <c r="H25" i="79"/>
  <c r="H24" i="79"/>
  <c r="H23" i="79"/>
  <c r="H22" i="79"/>
  <c r="H21" i="79"/>
  <c r="H20" i="79"/>
  <c r="H19" i="79"/>
  <c r="H18" i="79"/>
  <c r="H17" i="79"/>
  <c r="H16" i="79"/>
  <c r="H15" i="79"/>
  <c r="H14" i="79"/>
  <c r="H13" i="79"/>
  <c r="H12" i="79"/>
  <c r="H11" i="79"/>
  <c r="H10" i="79"/>
  <c r="H9" i="79"/>
  <c r="H8" i="79"/>
  <c r="H7" i="79"/>
  <c r="H6" i="79"/>
  <c r="H5" i="79"/>
  <c r="H4" i="79"/>
  <c r="F23" i="79"/>
  <c r="G23" i="79" s="1"/>
  <c r="F22" i="79"/>
  <c r="G22" i="79" s="1"/>
  <c r="F21" i="79"/>
  <c r="G21" i="79" s="1"/>
  <c r="F20" i="79"/>
  <c r="G20" i="79" s="1"/>
  <c r="F19" i="79"/>
  <c r="G19" i="79" s="1"/>
  <c r="F18" i="79"/>
  <c r="G18" i="79" s="1"/>
  <c r="F17" i="79"/>
  <c r="G17" i="79" s="1"/>
  <c r="F16" i="79"/>
  <c r="G16" i="79" s="1"/>
  <c r="F15" i="79"/>
  <c r="G15" i="79" s="1"/>
  <c r="F14" i="79"/>
  <c r="G14" i="79" s="1"/>
  <c r="F13" i="79"/>
  <c r="G13" i="79" s="1"/>
  <c r="F12" i="79"/>
  <c r="G12" i="79" s="1"/>
  <c r="F11" i="79"/>
  <c r="G11" i="79" s="1"/>
  <c r="F10" i="79"/>
  <c r="G10" i="79" s="1"/>
  <c r="F9" i="79"/>
  <c r="G9" i="79" s="1"/>
  <c r="F8" i="79"/>
  <c r="G8" i="79" s="1"/>
  <c r="F7" i="79"/>
  <c r="G7" i="79" s="1"/>
  <c r="F6" i="79"/>
  <c r="G6" i="79" s="1"/>
  <c r="F5" i="79"/>
  <c r="G5" i="79" s="1"/>
  <c r="F4" i="79"/>
  <c r="G4" i="79" s="1"/>
  <c r="D6" i="105"/>
  <c r="F6" i="105" s="1"/>
  <c r="D6" i="112"/>
  <c r="F5" i="112"/>
  <c r="I4" i="111"/>
  <c r="O4" i="89"/>
  <c r="O4" i="111"/>
  <c r="D6" i="110"/>
  <c r="F5" i="110"/>
  <c r="D6" i="103"/>
  <c r="F5" i="103"/>
  <c r="O3" i="89"/>
  <c r="D7" i="98"/>
  <c r="F6" i="98"/>
  <c r="D6" i="61"/>
  <c r="F6" i="61" s="1"/>
  <c r="D6" i="93"/>
  <c r="F5" i="93"/>
  <c r="F5" i="58"/>
  <c r="D6" i="58"/>
  <c r="D6" i="65"/>
  <c r="F5" i="65"/>
  <c r="D7" i="91"/>
  <c r="F6" i="91"/>
  <c r="G44" i="19"/>
  <c r="J5" i="79"/>
  <c r="J7" i="79" s="1"/>
  <c r="C16" i="79" s="1"/>
  <c r="D6" i="86"/>
  <c r="F5" i="86"/>
  <c r="C6" i="89"/>
  <c r="I3" i="89"/>
  <c r="C6" i="60"/>
  <c r="I5" i="60"/>
  <c r="D7" i="105" l="1"/>
  <c r="D8" i="105" s="1"/>
  <c r="F6" i="112"/>
  <c r="D7" i="112"/>
  <c r="O5" i="89"/>
  <c r="O5" i="111"/>
  <c r="I5" i="111"/>
  <c r="D7" i="110"/>
  <c r="F6" i="110"/>
  <c r="H34" i="79"/>
  <c r="C15" i="79" s="1"/>
  <c r="C17" i="79" s="1"/>
  <c r="D7" i="103"/>
  <c r="F6" i="103"/>
  <c r="D7" i="61"/>
  <c r="D8" i="61" s="1"/>
  <c r="F7" i="98"/>
  <c r="D8" i="98"/>
  <c r="D7" i="93"/>
  <c r="F6" i="93"/>
  <c r="F6" i="58"/>
  <c r="D7" i="58"/>
  <c r="D7" i="65"/>
  <c r="F6" i="65"/>
  <c r="D8" i="91"/>
  <c r="F7" i="91"/>
  <c r="D7" i="86"/>
  <c r="F6" i="86"/>
  <c r="I4" i="89"/>
  <c r="I6" i="60"/>
  <c r="F7" i="105" l="1"/>
  <c r="D8" i="112"/>
  <c r="F7" i="112"/>
  <c r="O6" i="89"/>
  <c r="O6" i="111"/>
  <c r="I6" i="111"/>
  <c r="D8" i="110"/>
  <c r="F7" i="110"/>
  <c r="F34" i="79"/>
  <c r="F8" i="105"/>
  <c r="D9" i="105"/>
  <c r="D8" i="103"/>
  <c r="F7" i="103"/>
  <c r="F7" i="61"/>
  <c r="D9" i="98"/>
  <c r="F8" i="98"/>
  <c r="D8" i="93"/>
  <c r="F7" i="93"/>
  <c r="D8" i="58"/>
  <c r="F7" i="58"/>
  <c r="F8" i="61"/>
  <c r="D9" i="61"/>
  <c r="F7" i="65"/>
  <c r="D8" i="65"/>
  <c r="F8" i="91"/>
  <c r="D9" i="91"/>
  <c r="D8" i="86"/>
  <c r="F7" i="86"/>
  <c r="I5" i="89"/>
  <c r="I7" i="60"/>
  <c r="D9" i="112" l="1"/>
  <c r="F8" i="112"/>
  <c r="I7" i="111"/>
  <c r="O7" i="89"/>
  <c r="O7" i="111"/>
  <c r="D9" i="110"/>
  <c r="F8" i="110"/>
  <c r="G34" i="79"/>
  <c r="C18" i="79" s="1"/>
  <c r="C19" i="79" s="1"/>
  <c r="D10" i="105"/>
  <c r="F9" i="105"/>
  <c r="D9" i="103"/>
  <c r="F8" i="103"/>
  <c r="D10" i="98"/>
  <c r="F9" i="98"/>
  <c r="D9" i="93"/>
  <c r="F8" i="93"/>
  <c r="F8" i="58"/>
  <c r="D9" i="58"/>
  <c r="D10" i="61"/>
  <c r="F9" i="61"/>
  <c r="D9" i="65"/>
  <c r="F8" i="65"/>
  <c r="D10" i="91"/>
  <c r="F9" i="91"/>
  <c r="D9" i="86"/>
  <c r="F8" i="86"/>
  <c r="I6" i="89"/>
  <c r="I8" i="60"/>
  <c r="D10" i="112" l="1"/>
  <c r="F9" i="112"/>
  <c r="O8" i="89"/>
  <c r="O8" i="111"/>
  <c r="I8" i="111"/>
  <c r="D10" i="110"/>
  <c r="F9" i="110"/>
  <c r="G52" i="19"/>
  <c r="C22" i="79"/>
  <c r="G53" i="19" s="1"/>
  <c r="C20" i="79"/>
  <c r="D11" i="105"/>
  <c r="F10" i="105"/>
  <c r="D10" i="103"/>
  <c r="F9" i="103"/>
  <c r="D11" i="98"/>
  <c r="F10" i="98"/>
  <c r="D10" i="93"/>
  <c r="F9" i="93"/>
  <c r="D10" i="58"/>
  <c r="F9" i="58"/>
  <c r="F10" i="61"/>
  <c r="D11" i="61"/>
  <c r="F9" i="65"/>
  <c r="D10" i="65"/>
  <c r="D11" i="91"/>
  <c r="F10" i="91"/>
  <c r="F9" i="86"/>
  <c r="D10" i="86"/>
  <c r="I7" i="89"/>
  <c r="I9" i="60"/>
  <c r="F10" i="112" l="1"/>
  <c r="D11" i="112"/>
  <c r="I9" i="111"/>
  <c r="O9" i="89"/>
  <c r="O9" i="111"/>
  <c r="D11" i="110"/>
  <c r="F10" i="110"/>
  <c r="D12" i="105"/>
  <c r="F11" i="105"/>
  <c r="F10" i="103"/>
  <c r="D11" i="103"/>
  <c r="F11" i="98"/>
  <c r="D12" i="98"/>
  <c r="D11" i="93"/>
  <c r="F10" i="93"/>
  <c r="F10" i="58"/>
  <c r="D11" i="58"/>
  <c r="D12" i="61"/>
  <c r="F11" i="61"/>
  <c r="D11" i="65"/>
  <c r="F10" i="65"/>
  <c r="D12" i="91"/>
  <c r="F11" i="91"/>
  <c r="D11" i="86"/>
  <c r="F10" i="86"/>
  <c r="I8" i="89"/>
  <c r="I10" i="60"/>
  <c r="D12" i="112" l="1"/>
  <c r="F11" i="112"/>
  <c r="I10" i="111"/>
  <c r="O10" i="89"/>
  <c r="O10" i="111"/>
  <c r="D12" i="110"/>
  <c r="F11" i="110"/>
  <c r="D13" i="105"/>
  <c r="F12" i="105"/>
  <c r="D12" i="103"/>
  <c r="F11" i="103"/>
  <c r="D13" i="98"/>
  <c r="F12" i="98"/>
  <c r="D12" i="93"/>
  <c r="F11" i="93"/>
  <c r="F11" i="58"/>
  <c r="D12" i="58"/>
  <c r="D13" i="61"/>
  <c r="F12" i="61"/>
  <c r="D12" i="65"/>
  <c r="F11" i="65"/>
  <c r="D13" i="91"/>
  <c r="F12" i="91"/>
  <c r="D12" i="86"/>
  <c r="F11" i="86"/>
  <c r="I9" i="89"/>
  <c r="I11" i="60"/>
  <c r="D13" i="112" l="1"/>
  <c r="F12" i="112"/>
  <c r="O11" i="89"/>
  <c r="O11" i="111"/>
  <c r="I11" i="111"/>
  <c r="D13" i="110"/>
  <c r="F12" i="110"/>
  <c r="D14" i="105"/>
  <c r="F13" i="105"/>
  <c r="F12" i="103"/>
  <c r="D13" i="103"/>
  <c r="D14" i="98"/>
  <c r="F13" i="98"/>
  <c r="D13" i="93"/>
  <c r="F12" i="93"/>
  <c r="F12" i="58"/>
  <c r="D13" i="58"/>
  <c r="D14" i="61"/>
  <c r="F13" i="61"/>
  <c r="D13" i="65"/>
  <c r="F12" i="65"/>
  <c r="D14" i="91"/>
  <c r="F13" i="91"/>
  <c r="D13" i="86"/>
  <c r="F12" i="86"/>
  <c r="I10" i="89"/>
  <c r="I12" i="60"/>
  <c r="D14" i="112" l="1"/>
  <c r="F13" i="112"/>
  <c r="O12" i="89"/>
  <c r="O12" i="111"/>
  <c r="I12" i="111"/>
  <c r="D14" i="110"/>
  <c r="F13" i="110"/>
  <c r="D15" i="105"/>
  <c r="F14" i="105"/>
  <c r="D14" i="103"/>
  <c r="F13" i="103"/>
  <c r="D15" i="98"/>
  <c r="F14" i="98"/>
  <c r="D14" i="93"/>
  <c r="F13" i="93"/>
  <c r="F13" i="58"/>
  <c r="D14" i="58"/>
  <c r="D15" i="61"/>
  <c r="F14" i="61"/>
  <c r="D14" i="65"/>
  <c r="F13" i="65"/>
  <c r="D15" i="91"/>
  <c r="F14" i="91"/>
  <c r="D14" i="86"/>
  <c r="F13" i="86"/>
  <c r="I11" i="89"/>
  <c r="I13" i="60"/>
  <c r="F14" i="112" l="1"/>
  <c r="D15" i="112"/>
  <c r="I13" i="111"/>
  <c r="O13" i="89"/>
  <c r="O13" i="111"/>
  <c r="D15" i="110"/>
  <c r="F14" i="110"/>
  <c r="D16" i="105"/>
  <c r="F15" i="105"/>
  <c r="X4" i="105" s="1"/>
  <c r="D15" i="103"/>
  <c r="F14" i="103"/>
  <c r="F15" i="98"/>
  <c r="X4" i="98" s="1"/>
  <c r="D16" i="98"/>
  <c r="D15" i="93"/>
  <c r="F14" i="93"/>
  <c r="F14" i="58"/>
  <c r="D15" i="58"/>
  <c r="F15" i="61"/>
  <c r="D16" i="61"/>
  <c r="D15" i="65"/>
  <c r="F14" i="65"/>
  <c r="D16" i="91"/>
  <c r="F15" i="91"/>
  <c r="O14" i="111" s="1"/>
  <c r="D15" i="86"/>
  <c r="F14" i="86"/>
  <c r="I12" i="89"/>
  <c r="I14" i="60"/>
  <c r="F15" i="112" l="1"/>
  <c r="X4" i="112" s="1"/>
  <c r="D16" i="112"/>
  <c r="I14" i="111"/>
  <c r="D16" i="110"/>
  <c r="F15" i="110"/>
  <c r="X4" i="110" s="1"/>
  <c r="D17" i="105"/>
  <c r="F16" i="105"/>
  <c r="F15" i="103"/>
  <c r="X4" i="103" s="1"/>
  <c r="N4" i="106" s="1"/>
  <c r="D16" i="103"/>
  <c r="O14" i="89"/>
  <c r="X4" i="91"/>
  <c r="F16" i="98"/>
  <c r="D17" i="98"/>
  <c r="D16" i="93"/>
  <c r="F15" i="93"/>
  <c r="X4" i="93" s="1"/>
  <c r="D16" i="58"/>
  <c r="F15" i="58"/>
  <c r="F16" i="61"/>
  <c r="D17" i="61"/>
  <c r="D16" i="65"/>
  <c r="F15" i="65"/>
  <c r="P4" i="65" s="1"/>
  <c r="N4" i="76" s="1"/>
  <c r="D17" i="91"/>
  <c r="F16" i="91"/>
  <c r="O15" i="111" s="1"/>
  <c r="D16" i="86"/>
  <c r="F15" i="86"/>
  <c r="X4" i="86" s="1"/>
  <c r="N4" i="100" s="1"/>
  <c r="I13" i="89"/>
  <c r="I15" i="60"/>
  <c r="D17" i="112" l="1"/>
  <c r="F16" i="112"/>
  <c r="I15" i="111"/>
  <c r="D17" i="110"/>
  <c r="F16" i="110"/>
  <c r="D18" i="105"/>
  <c r="F17" i="105"/>
  <c r="F16" i="103"/>
  <c r="D17" i="103"/>
  <c r="N4" i="101"/>
  <c r="O15" i="89"/>
  <c r="D18" i="98"/>
  <c r="F17" i="98"/>
  <c r="D17" i="93"/>
  <c r="F16" i="93"/>
  <c r="D17" i="58"/>
  <c r="F16" i="58"/>
  <c r="F17" i="61"/>
  <c r="D18" i="61"/>
  <c r="D17" i="65"/>
  <c r="F16" i="65"/>
  <c r="F17" i="91"/>
  <c r="D18" i="91"/>
  <c r="F16" i="86"/>
  <c r="D17" i="86"/>
  <c r="I14" i="89"/>
  <c r="I16" i="60"/>
  <c r="F17" i="112" l="1"/>
  <c r="D18" i="112"/>
  <c r="I16" i="111"/>
  <c r="O16" i="89"/>
  <c r="O16" i="111"/>
  <c r="D18" i="110"/>
  <c r="F17" i="110"/>
  <c r="D19" i="105"/>
  <c r="F18" i="105"/>
  <c r="D18" i="103"/>
  <c r="F17" i="103"/>
  <c r="F18" i="98"/>
  <c r="D19" i="98"/>
  <c r="F17" i="93"/>
  <c r="D18" i="93"/>
  <c r="F17" i="58"/>
  <c r="D18" i="58"/>
  <c r="D19" i="61"/>
  <c r="F18" i="61"/>
  <c r="D18" i="65"/>
  <c r="F17" i="65"/>
  <c r="D19" i="91"/>
  <c r="F18" i="91"/>
  <c r="F17" i="86"/>
  <c r="D18" i="86"/>
  <c r="I15" i="89"/>
  <c r="I17" i="60"/>
  <c r="D19" i="112" l="1"/>
  <c r="F18" i="112"/>
  <c r="O17" i="89"/>
  <c r="O17" i="111"/>
  <c r="I17" i="111"/>
  <c r="D19" i="110"/>
  <c r="F18" i="110"/>
  <c r="D20" i="105"/>
  <c r="F19" i="105"/>
  <c r="F18" i="103"/>
  <c r="D19" i="103"/>
  <c r="D20" i="98"/>
  <c r="F19" i="98"/>
  <c r="D19" i="93"/>
  <c r="F18" i="93"/>
  <c r="D19" i="58"/>
  <c r="F18" i="58"/>
  <c r="D20" i="61"/>
  <c r="F19" i="61"/>
  <c r="F18" i="65"/>
  <c r="D19" i="65"/>
  <c r="F19" i="91"/>
  <c r="D20" i="91"/>
  <c r="D19" i="86"/>
  <c r="F18" i="86"/>
  <c r="I16" i="89"/>
  <c r="I18" i="60"/>
  <c r="D20" i="112" l="1"/>
  <c r="F19" i="112"/>
  <c r="O18" i="89"/>
  <c r="O18" i="111"/>
  <c r="I18" i="111"/>
  <c r="D20" i="110"/>
  <c r="F19" i="110"/>
  <c r="D21" i="105"/>
  <c r="F20" i="105"/>
  <c r="F19" i="103"/>
  <c r="D20" i="103"/>
  <c r="F20" i="98"/>
  <c r="D21" i="98"/>
  <c r="F19" i="93"/>
  <c r="D20" i="93"/>
  <c r="F19" i="58"/>
  <c r="D20" i="58"/>
  <c r="D21" i="61"/>
  <c r="F20" i="61"/>
  <c r="D20" i="65"/>
  <c r="F19" i="65"/>
  <c r="D21" i="91"/>
  <c r="F20" i="91"/>
  <c r="D20" i="86"/>
  <c r="F19" i="86"/>
  <c r="I17" i="89"/>
  <c r="I19" i="60"/>
  <c r="D21" i="112" l="1"/>
  <c r="F20" i="112"/>
  <c r="I19" i="111"/>
  <c r="O19" i="89"/>
  <c r="O19" i="111"/>
  <c r="D21" i="110"/>
  <c r="F20" i="110"/>
  <c r="D22" i="105"/>
  <c r="F21" i="105"/>
  <c r="F20" i="103"/>
  <c r="D21" i="103"/>
  <c r="D22" i="98"/>
  <c r="F21" i="98"/>
  <c r="D21" i="93"/>
  <c r="F20" i="93"/>
  <c r="F20" i="58"/>
  <c r="D21" i="58"/>
  <c r="F21" i="61"/>
  <c r="D22" i="61"/>
  <c r="F20" i="65"/>
  <c r="D21" i="65"/>
  <c r="F21" i="91"/>
  <c r="D22" i="91"/>
  <c r="F20" i="86"/>
  <c r="D21" i="86"/>
  <c r="I18" i="89"/>
  <c r="I20" i="60"/>
  <c r="F21" i="112" l="1"/>
  <c r="D22" i="112"/>
  <c r="O20" i="89"/>
  <c r="O20" i="111"/>
  <c r="I20" i="111"/>
  <c r="D22" i="110"/>
  <c r="F21" i="110"/>
  <c r="D23" i="105"/>
  <c r="F22" i="105"/>
  <c r="F21" i="103"/>
  <c r="D22" i="103"/>
  <c r="F22" i="98"/>
  <c r="D23" i="98"/>
  <c r="D22" i="93"/>
  <c r="F21" i="93"/>
  <c r="F21" i="58"/>
  <c r="D22" i="58"/>
  <c r="F22" i="61"/>
  <c r="D23" i="61"/>
  <c r="F21" i="65"/>
  <c r="D22" i="65"/>
  <c r="D23" i="91"/>
  <c r="F22" i="91"/>
  <c r="D22" i="86"/>
  <c r="F21" i="86"/>
  <c r="I19" i="89"/>
  <c r="I21" i="60"/>
  <c r="I22" i="60" s="1"/>
  <c r="D23" i="112" l="1"/>
  <c r="F22" i="112"/>
  <c r="I21" i="111"/>
  <c r="O21" i="89"/>
  <c r="O21" i="111"/>
  <c r="D23" i="110"/>
  <c r="F22" i="110"/>
  <c r="D24" i="105"/>
  <c r="F23" i="105"/>
  <c r="D23" i="103"/>
  <c r="F22" i="103"/>
  <c r="D24" i="98"/>
  <c r="F23" i="98"/>
  <c r="D23" i="93"/>
  <c r="F22" i="93"/>
  <c r="F22" i="58"/>
  <c r="D23" i="58"/>
  <c r="D24" i="61"/>
  <c r="F23" i="61"/>
  <c r="D23" i="65"/>
  <c r="F22" i="65"/>
  <c r="F23" i="91"/>
  <c r="D24" i="91"/>
  <c r="D23" i="86"/>
  <c r="F22" i="86"/>
  <c r="I20" i="89"/>
  <c r="I23" i="60"/>
  <c r="D24" i="112" l="1"/>
  <c r="F23" i="112"/>
  <c r="O22" i="89"/>
  <c r="O22" i="111"/>
  <c r="I22" i="111"/>
  <c r="D24" i="110"/>
  <c r="F23" i="110"/>
  <c r="D25" i="105"/>
  <c r="F24" i="105"/>
  <c r="D24" i="103"/>
  <c r="F23" i="103"/>
  <c r="D25" i="98"/>
  <c r="F24" i="98"/>
  <c r="D24" i="93"/>
  <c r="F23" i="93"/>
  <c r="D24" i="58"/>
  <c r="F23" i="58"/>
  <c r="F24" i="61"/>
  <c r="D25" i="61"/>
  <c r="F23" i="65"/>
  <c r="D24" i="65"/>
  <c r="D25" i="91"/>
  <c r="F24" i="91"/>
  <c r="D24" i="86"/>
  <c r="F23" i="86"/>
  <c r="I21" i="89"/>
  <c r="I24" i="60"/>
  <c r="I25" i="60" s="1"/>
  <c r="I26" i="60" s="1"/>
  <c r="I27" i="60" s="1"/>
  <c r="I28" i="60" s="1"/>
  <c r="I29" i="60" s="1"/>
  <c r="I30" i="60" s="1"/>
  <c r="I31" i="60" s="1"/>
  <c r="I32" i="60" s="1"/>
  <c r="I33" i="60" s="1"/>
  <c r="I34" i="60" s="1"/>
  <c r="I35" i="60" s="1"/>
  <c r="I36" i="60" s="1"/>
  <c r="I37" i="60" s="1"/>
  <c r="I38" i="60" s="1"/>
  <c r="I39" i="60" s="1"/>
  <c r="I40" i="60" s="1"/>
  <c r="I41" i="60" s="1"/>
  <c r="I42" i="60" s="1"/>
  <c r="I43" i="60" s="1"/>
  <c r="I44" i="60" s="1"/>
  <c r="I45" i="60" s="1"/>
  <c r="I46" i="60" s="1"/>
  <c r="I47" i="60" s="1"/>
  <c r="I48" i="60" s="1"/>
  <c r="I49" i="60" s="1"/>
  <c r="I50" i="60" s="1"/>
  <c r="I51" i="60" s="1"/>
  <c r="I52" i="60" s="1"/>
  <c r="I53" i="60" s="1"/>
  <c r="I54" i="60" s="1"/>
  <c r="I55" i="60" s="1"/>
  <c r="I56" i="60" s="1"/>
  <c r="I57" i="60" s="1"/>
  <c r="I58" i="60" s="1"/>
  <c r="I59" i="60" s="1"/>
  <c r="I60" i="60" s="1"/>
  <c r="I61" i="60" s="1"/>
  <c r="I62" i="60" s="1"/>
  <c r="I63" i="60" s="1"/>
  <c r="I64" i="60" s="1"/>
  <c r="I65" i="60" s="1"/>
  <c r="I66" i="60" s="1"/>
  <c r="I67" i="60" s="1"/>
  <c r="I68" i="60" s="1"/>
  <c r="I69" i="60" s="1"/>
  <c r="I70" i="60" s="1"/>
  <c r="I71" i="60" s="1"/>
  <c r="I72" i="60" s="1"/>
  <c r="I73" i="60" s="1"/>
  <c r="I74" i="60" s="1"/>
  <c r="I75" i="60" s="1"/>
  <c r="I76" i="60" s="1"/>
  <c r="I77" i="60" s="1"/>
  <c r="I78" i="60" s="1"/>
  <c r="I79" i="60" s="1"/>
  <c r="I80" i="60" s="1"/>
  <c r="I81" i="60" s="1"/>
  <c r="I82" i="60" s="1"/>
  <c r="I83" i="60" s="1"/>
  <c r="I84" i="60" s="1"/>
  <c r="I85" i="60" s="1"/>
  <c r="I86" i="60" s="1"/>
  <c r="I87" i="60" s="1"/>
  <c r="I88" i="60" s="1"/>
  <c r="I89" i="60" s="1"/>
  <c r="I90" i="60" s="1"/>
  <c r="I91" i="60" s="1"/>
  <c r="I92" i="60" s="1"/>
  <c r="I93" i="60" s="1"/>
  <c r="I94" i="60" s="1"/>
  <c r="I95" i="60" s="1"/>
  <c r="I96" i="60" s="1"/>
  <c r="I97" i="60" s="1"/>
  <c r="I98" i="60" s="1"/>
  <c r="I99" i="60" s="1"/>
  <c r="I100" i="60" s="1"/>
  <c r="I101" i="60" s="1"/>
  <c r="I102" i="60" s="1"/>
  <c r="I103" i="60" s="1"/>
  <c r="D25" i="112" l="1"/>
  <c r="F24" i="112"/>
  <c r="I23" i="111"/>
  <c r="I24" i="111" s="1"/>
  <c r="I25" i="111" s="1"/>
  <c r="I26" i="111" s="1"/>
  <c r="I27" i="111" s="1"/>
  <c r="I28" i="111" s="1"/>
  <c r="I29" i="111" s="1"/>
  <c r="I30" i="111" s="1"/>
  <c r="I31" i="111" s="1"/>
  <c r="I32" i="111" s="1"/>
  <c r="I33" i="111" s="1"/>
  <c r="I34" i="111" s="1"/>
  <c r="I35" i="111" s="1"/>
  <c r="I36" i="111" s="1"/>
  <c r="I37" i="111" s="1"/>
  <c r="I38" i="111" s="1"/>
  <c r="I39" i="111" s="1"/>
  <c r="I40" i="111" s="1"/>
  <c r="I41" i="111" s="1"/>
  <c r="I42" i="111" s="1"/>
  <c r="I43" i="111" s="1"/>
  <c r="I44" i="111" s="1"/>
  <c r="I45" i="111" s="1"/>
  <c r="I46" i="111" s="1"/>
  <c r="I47" i="111" s="1"/>
  <c r="I48" i="111" s="1"/>
  <c r="I49" i="111" s="1"/>
  <c r="I50" i="111" s="1"/>
  <c r="I51" i="111" s="1"/>
  <c r="I52" i="111" s="1"/>
  <c r="I53" i="111" s="1"/>
  <c r="I54" i="111" s="1"/>
  <c r="I55" i="111" s="1"/>
  <c r="I56" i="111" s="1"/>
  <c r="I57" i="111" s="1"/>
  <c r="I58" i="111" s="1"/>
  <c r="I59" i="111" s="1"/>
  <c r="I60" i="111" s="1"/>
  <c r="I61" i="111" s="1"/>
  <c r="I62" i="111" s="1"/>
  <c r="I63" i="111" s="1"/>
  <c r="I64" i="111" s="1"/>
  <c r="I65" i="111" s="1"/>
  <c r="I66" i="111" s="1"/>
  <c r="I67" i="111" s="1"/>
  <c r="I68" i="111" s="1"/>
  <c r="I69" i="111" s="1"/>
  <c r="I70" i="111" s="1"/>
  <c r="I71" i="111" s="1"/>
  <c r="I72" i="111" s="1"/>
  <c r="I73" i="111" s="1"/>
  <c r="I74" i="111" s="1"/>
  <c r="I75" i="111" s="1"/>
  <c r="I76" i="111" s="1"/>
  <c r="I77" i="111" s="1"/>
  <c r="I78" i="111" s="1"/>
  <c r="I79" i="111" s="1"/>
  <c r="I80" i="111" s="1"/>
  <c r="I81" i="111" s="1"/>
  <c r="I82" i="111" s="1"/>
  <c r="I83" i="111" s="1"/>
  <c r="I84" i="111" s="1"/>
  <c r="I85" i="111" s="1"/>
  <c r="I86" i="111" s="1"/>
  <c r="I87" i="111" s="1"/>
  <c r="I88" i="111" s="1"/>
  <c r="I89" i="111" s="1"/>
  <c r="I90" i="111" s="1"/>
  <c r="I91" i="111" s="1"/>
  <c r="I92" i="111" s="1"/>
  <c r="I93" i="111" s="1"/>
  <c r="I94" i="111" s="1"/>
  <c r="I95" i="111" s="1"/>
  <c r="I96" i="111" s="1"/>
  <c r="I97" i="111" s="1"/>
  <c r="I98" i="111" s="1"/>
  <c r="I99" i="111" s="1"/>
  <c r="I100" i="111" s="1"/>
  <c r="I101" i="111" s="1"/>
  <c r="I102" i="111" s="1"/>
  <c r="I103" i="111" s="1"/>
  <c r="O23" i="89"/>
  <c r="O23" i="111"/>
  <c r="D25" i="110"/>
  <c r="F24" i="110"/>
  <c r="D26" i="105"/>
  <c r="F25" i="105"/>
  <c r="D25" i="103"/>
  <c r="F24" i="103"/>
  <c r="D26" i="98"/>
  <c r="F25" i="98"/>
  <c r="D25" i="93"/>
  <c r="F24" i="93"/>
  <c r="F24" i="58"/>
  <c r="D25" i="58"/>
  <c r="D26" i="61"/>
  <c r="F25" i="61"/>
  <c r="F24" i="65"/>
  <c r="D25" i="65"/>
  <c r="D26" i="91"/>
  <c r="F25" i="91"/>
  <c r="F24" i="86"/>
  <c r="D25" i="86"/>
  <c r="I22" i="89"/>
  <c r="F25" i="112" l="1"/>
  <c r="D26" i="112"/>
  <c r="O24" i="89"/>
  <c r="O24" i="111"/>
  <c r="D26" i="110"/>
  <c r="F25" i="110"/>
  <c r="D27" i="105"/>
  <c r="F26" i="105"/>
  <c r="D26" i="103"/>
  <c r="F25" i="103"/>
  <c r="D27" i="98"/>
  <c r="F26" i="98"/>
  <c r="D26" i="93"/>
  <c r="F25" i="93"/>
  <c r="D26" i="58"/>
  <c r="F25" i="58"/>
  <c r="D27" i="61"/>
  <c r="F26" i="61"/>
  <c r="D26" i="65"/>
  <c r="F25" i="65"/>
  <c r="D27" i="91"/>
  <c r="F26" i="91"/>
  <c r="D26" i="86"/>
  <c r="F25" i="86"/>
  <c r="I23" i="89"/>
  <c r="I24" i="89" s="1"/>
  <c r="I25" i="89" s="1"/>
  <c r="I26" i="89" s="1"/>
  <c r="I27" i="89" s="1"/>
  <c r="I28" i="89" s="1"/>
  <c r="I29" i="89" s="1"/>
  <c r="I30" i="89" s="1"/>
  <c r="I31" i="89" s="1"/>
  <c r="I32" i="89" s="1"/>
  <c r="I33" i="89" s="1"/>
  <c r="I34" i="89" s="1"/>
  <c r="I35" i="89" s="1"/>
  <c r="I36" i="89" s="1"/>
  <c r="I37" i="89" s="1"/>
  <c r="I38" i="89" s="1"/>
  <c r="I39" i="89" s="1"/>
  <c r="I40" i="89" s="1"/>
  <c r="I41" i="89" s="1"/>
  <c r="I42" i="89" s="1"/>
  <c r="I43" i="89" s="1"/>
  <c r="I44" i="89" s="1"/>
  <c r="I45" i="89" s="1"/>
  <c r="I46" i="89" s="1"/>
  <c r="I47" i="89" s="1"/>
  <c r="I48" i="89" s="1"/>
  <c r="I49" i="89" s="1"/>
  <c r="I50" i="89" s="1"/>
  <c r="I51" i="89" s="1"/>
  <c r="I52" i="89" s="1"/>
  <c r="I53" i="89" s="1"/>
  <c r="I54" i="89" s="1"/>
  <c r="I55" i="89" s="1"/>
  <c r="I56" i="89" s="1"/>
  <c r="I57" i="89" s="1"/>
  <c r="I58" i="89" s="1"/>
  <c r="I59" i="89" s="1"/>
  <c r="I60" i="89" s="1"/>
  <c r="I61" i="89" s="1"/>
  <c r="I62" i="89" s="1"/>
  <c r="I63" i="89" s="1"/>
  <c r="I64" i="89" s="1"/>
  <c r="I65" i="89" s="1"/>
  <c r="I66" i="89" s="1"/>
  <c r="I67" i="89" s="1"/>
  <c r="I68" i="89" s="1"/>
  <c r="I69" i="89" s="1"/>
  <c r="I70" i="89" s="1"/>
  <c r="I71" i="89" s="1"/>
  <c r="I72" i="89" s="1"/>
  <c r="I73" i="89" s="1"/>
  <c r="I74" i="89" s="1"/>
  <c r="I75" i="89" s="1"/>
  <c r="I76" i="89" s="1"/>
  <c r="I77" i="89" s="1"/>
  <c r="I78" i="89" s="1"/>
  <c r="I79" i="89" s="1"/>
  <c r="I80" i="89" s="1"/>
  <c r="I81" i="89" s="1"/>
  <c r="I82" i="89" s="1"/>
  <c r="I83" i="89" s="1"/>
  <c r="I84" i="89" s="1"/>
  <c r="I85" i="89" s="1"/>
  <c r="I86" i="89" s="1"/>
  <c r="I87" i="89" s="1"/>
  <c r="I88" i="89" s="1"/>
  <c r="I89" i="89" s="1"/>
  <c r="I90" i="89" s="1"/>
  <c r="I91" i="89" s="1"/>
  <c r="I92" i="89" s="1"/>
  <c r="I93" i="89" s="1"/>
  <c r="I94" i="89" s="1"/>
  <c r="I95" i="89" s="1"/>
  <c r="I96" i="89" s="1"/>
  <c r="I97" i="89" s="1"/>
  <c r="I98" i="89" s="1"/>
  <c r="I99" i="89" s="1"/>
  <c r="I100" i="89" s="1"/>
  <c r="I101" i="89" s="1"/>
  <c r="I102" i="89" s="1"/>
  <c r="I103" i="89" s="1"/>
  <c r="D27" i="112" l="1"/>
  <c r="F26" i="112"/>
  <c r="O25" i="89"/>
  <c r="O25" i="111"/>
  <c r="D27" i="110"/>
  <c r="F26" i="110"/>
  <c r="F27" i="105"/>
  <c r="X16" i="105" s="1"/>
  <c r="D28" i="105"/>
  <c r="F26" i="103"/>
  <c r="D27" i="103"/>
  <c r="F27" i="98"/>
  <c r="X16" i="98" s="1"/>
  <c r="D28" i="98"/>
  <c r="D27" i="93"/>
  <c r="F26" i="93"/>
  <c r="F26" i="58"/>
  <c r="D27" i="58"/>
  <c r="D28" i="61"/>
  <c r="F27" i="61"/>
  <c r="D27" i="65"/>
  <c r="F26" i="65"/>
  <c r="F27" i="91"/>
  <c r="O26" i="111" s="1"/>
  <c r="D28" i="91"/>
  <c r="D27" i="86"/>
  <c r="F26" i="86"/>
  <c r="D28" i="112" l="1"/>
  <c r="F27" i="112"/>
  <c r="X16" i="112" s="1"/>
  <c r="D28" i="110"/>
  <c r="F27" i="110"/>
  <c r="X16" i="110" s="1"/>
  <c r="F28" i="105"/>
  <c r="D29" i="105"/>
  <c r="D28" i="103"/>
  <c r="F27" i="103"/>
  <c r="X16" i="103" s="1"/>
  <c r="N5" i="106" s="1"/>
  <c r="O26" i="89"/>
  <c r="X16" i="91"/>
  <c r="F28" i="98"/>
  <c r="D29" i="98"/>
  <c r="D28" i="93"/>
  <c r="F27" i="93"/>
  <c r="X16" i="93" s="1"/>
  <c r="D28" i="58"/>
  <c r="F27" i="58"/>
  <c r="D29" i="61"/>
  <c r="F28" i="61"/>
  <c r="F27" i="65"/>
  <c r="P16" i="65" s="1"/>
  <c r="N5" i="76" s="1"/>
  <c r="D28" i="65"/>
  <c r="D29" i="91"/>
  <c r="F28" i="91"/>
  <c r="O27" i="111" s="1"/>
  <c r="D28" i="86"/>
  <c r="F27" i="86"/>
  <c r="X16" i="86" s="1"/>
  <c r="N5" i="100" s="1"/>
  <c r="I8" i="2"/>
  <c r="I29" i="2"/>
  <c r="I49" i="2"/>
  <c r="I68" i="2"/>
  <c r="G8" i="10"/>
  <c r="F8" i="10"/>
  <c r="D8" i="10"/>
  <c r="H14" i="2"/>
  <c r="C4" i="110" l="1"/>
  <c r="C16" i="110" s="1"/>
  <c r="C28" i="110" s="1"/>
  <c r="C40" i="110" s="1"/>
  <c r="C52" i="110" s="1"/>
  <c r="C64" i="110" s="1"/>
  <c r="C76" i="110" s="1"/>
  <c r="C88" i="110" s="1"/>
  <c r="C100" i="110" s="1"/>
  <c r="C112" i="110" s="1"/>
  <c r="C124" i="110" s="1"/>
  <c r="C136" i="110" s="1"/>
  <c r="C148" i="110" s="1"/>
  <c r="C160" i="110" s="1"/>
  <c r="C172" i="110" s="1"/>
  <c r="C184" i="110" s="1"/>
  <c r="C196" i="110" s="1"/>
  <c r="C208" i="110" s="1"/>
  <c r="C220" i="110" s="1"/>
  <c r="C232" i="110" s="1"/>
  <c r="C4" i="112"/>
  <c r="C16" i="112" s="1"/>
  <c r="C28" i="112" s="1"/>
  <c r="C40" i="112" s="1"/>
  <c r="C52" i="112" s="1"/>
  <c r="C64" i="112" s="1"/>
  <c r="C76" i="112" s="1"/>
  <c r="C88" i="112" s="1"/>
  <c r="C100" i="112" s="1"/>
  <c r="C112" i="112" s="1"/>
  <c r="C124" i="112" s="1"/>
  <c r="C136" i="112" s="1"/>
  <c r="C148" i="112" s="1"/>
  <c r="C160" i="112" s="1"/>
  <c r="C172" i="112" s="1"/>
  <c r="C184" i="112" s="1"/>
  <c r="C196" i="112" s="1"/>
  <c r="C208" i="112" s="1"/>
  <c r="C220" i="112" s="1"/>
  <c r="C232" i="112" s="1"/>
  <c r="D29" i="112"/>
  <c r="F28" i="112"/>
  <c r="D29" i="110"/>
  <c r="F28" i="110"/>
  <c r="D7" i="108"/>
  <c r="D8" i="108" s="1"/>
  <c r="D9" i="108" s="1"/>
  <c r="D10" i="108" s="1"/>
  <c r="D11" i="108" s="1"/>
  <c r="D12" i="108" s="1"/>
  <c r="D13" i="108" s="1"/>
  <c r="D14" i="108" s="1"/>
  <c r="D15" i="108" s="1"/>
  <c r="D16" i="108" s="1"/>
  <c r="D17" i="108" s="1"/>
  <c r="D18" i="108" s="1"/>
  <c r="D19" i="108" s="1"/>
  <c r="D20" i="108" s="1"/>
  <c r="D21" i="108" s="1"/>
  <c r="D22" i="108" s="1"/>
  <c r="D23" i="108" s="1"/>
  <c r="D24" i="108" s="1"/>
  <c r="D25" i="108" s="1"/>
  <c r="D26" i="108" s="1"/>
  <c r="D7" i="109"/>
  <c r="D8" i="109" s="1"/>
  <c r="D9" i="109" s="1"/>
  <c r="D10" i="109" s="1"/>
  <c r="D11" i="109" s="1"/>
  <c r="D12" i="109" s="1"/>
  <c r="D13" i="109" s="1"/>
  <c r="D14" i="109" s="1"/>
  <c r="D15" i="109" s="1"/>
  <c r="D16" i="109" s="1"/>
  <c r="D17" i="109" s="1"/>
  <c r="D18" i="109" s="1"/>
  <c r="D19" i="109" s="1"/>
  <c r="D20" i="109" s="1"/>
  <c r="D21" i="109" s="1"/>
  <c r="D22" i="109" s="1"/>
  <c r="D23" i="109" s="1"/>
  <c r="D24" i="109" s="1"/>
  <c r="D25" i="109" s="1"/>
  <c r="D26" i="109" s="1"/>
  <c r="G13" i="2"/>
  <c r="H12" i="2"/>
  <c r="D7" i="104"/>
  <c r="D8" i="104" s="1"/>
  <c r="D9" i="104" s="1"/>
  <c r="D10" i="104" s="1"/>
  <c r="D11" i="104" s="1"/>
  <c r="D12" i="104" s="1"/>
  <c r="D13" i="104" s="1"/>
  <c r="D14" i="104" s="1"/>
  <c r="D15" i="104" s="1"/>
  <c r="D16" i="104" s="1"/>
  <c r="D17" i="104" s="1"/>
  <c r="D18" i="104" s="1"/>
  <c r="D19" i="104" s="1"/>
  <c r="D20" i="104" s="1"/>
  <c r="D21" i="104" s="1"/>
  <c r="D22" i="104" s="1"/>
  <c r="D23" i="104" s="1"/>
  <c r="D24" i="104" s="1"/>
  <c r="D25" i="104" s="1"/>
  <c r="D26" i="104" s="1"/>
  <c r="F13" i="2"/>
  <c r="D7" i="59"/>
  <c r="D8" i="59" s="1"/>
  <c r="D9" i="59" s="1"/>
  <c r="D10" i="59" s="1"/>
  <c r="D11" i="59" s="1"/>
  <c r="D12" i="59" s="1"/>
  <c r="D13" i="59" s="1"/>
  <c r="D14" i="59" s="1"/>
  <c r="D15" i="59" s="1"/>
  <c r="D16" i="59" s="1"/>
  <c r="D17" i="59" s="1"/>
  <c r="D18" i="59" s="1"/>
  <c r="D19" i="59" s="1"/>
  <c r="D20" i="59" s="1"/>
  <c r="D21" i="59" s="1"/>
  <c r="D22" i="59" s="1"/>
  <c r="D23" i="59" s="1"/>
  <c r="D24" i="59" s="1"/>
  <c r="D25" i="59" s="1"/>
  <c r="D26" i="59" s="1"/>
  <c r="D7" i="97"/>
  <c r="D8" i="97" s="1"/>
  <c r="D9" i="97" s="1"/>
  <c r="D10" i="97" s="1"/>
  <c r="D11" i="97" s="1"/>
  <c r="D12" i="97" s="1"/>
  <c r="D13" i="97" s="1"/>
  <c r="D14" i="97" s="1"/>
  <c r="D15" i="97" s="1"/>
  <c r="D16" i="97" s="1"/>
  <c r="D17" i="97" s="1"/>
  <c r="D18" i="97" s="1"/>
  <c r="D19" i="97" s="1"/>
  <c r="D20" i="97" s="1"/>
  <c r="D21" i="97" s="1"/>
  <c r="D22" i="97" s="1"/>
  <c r="D23" i="97" s="1"/>
  <c r="D24" i="97" s="1"/>
  <c r="D25" i="97" s="1"/>
  <c r="D26" i="97" s="1"/>
  <c r="H15" i="2"/>
  <c r="E4" i="95"/>
  <c r="E5" i="95" s="1"/>
  <c r="E6" i="95" s="1"/>
  <c r="E7" i="95" s="1"/>
  <c r="E8" i="95" s="1"/>
  <c r="E9" i="95" s="1"/>
  <c r="E10" i="95" s="1"/>
  <c r="E11" i="95" s="1"/>
  <c r="E12" i="95" s="1"/>
  <c r="E13" i="95" s="1"/>
  <c r="E14" i="95" s="1"/>
  <c r="E15" i="95" s="1"/>
  <c r="E16" i="95" s="1"/>
  <c r="E17" i="95" s="1"/>
  <c r="E18" i="95" s="1"/>
  <c r="E19" i="95" s="1"/>
  <c r="E20" i="95" s="1"/>
  <c r="E21" i="95" s="1"/>
  <c r="E22" i="95" s="1"/>
  <c r="E23" i="95" s="1"/>
  <c r="E4" i="94"/>
  <c r="E5" i="94" s="1"/>
  <c r="E6" i="94" s="1"/>
  <c r="E7" i="94" s="1"/>
  <c r="E8" i="94" s="1"/>
  <c r="E9" i="94" s="1"/>
  <c r="E10" i="94" s="1"/>
  <c r="E11" i="94" s="1"/>
  <c r="E12" i="94" s="1"/>
  <c r="E13" i="94" s="1"/>
  <c r="E14" i="94" s="1"/>
  <c r="E15" i="94" s="1"/>
  <c r="E16" i="94" s="1"/>
  <c r="E17" i="94" s="1"/>
  <c r="E18" i="94" s="1"/>
  <c r="E19" i="94" s="1"/>
  <c r="E20" i="94" s="1"/>
  <c r="E21" i="94" s="1"/>
  <c r="E22" i="94" s="1"/>
  <c r="E23" i="94" s="1"/>
  <c r="C4" i="105"/>
  <c r="C16" i="105" s="1"/>
  <c r="C28" i="105" s="1"/>
  <c r="C40" i="105" s="1"/>
  <c r="C52" i="105" s="1"/>
  <c r="C64" i="105" s="1"/>
  <c r="C76" i="105" s="1"/>
  <c r="C88" i="105" s="1"/>
  <c r="C100" i="105" s="1"/>
  <c r="C112" i="105" s="1"/>
  <c r="C124" i="105" s="1"/>
  <c r="C136" i="105" s="1"/>
  <c r="C148" i="105" s="1"/>
  <c r="C160" i="105" s="1"/>
  <c r="C172" i="105" s="1"/>
  <c r="C184" i="105" s="1"/>
  <c r="C196" i="105" s="1"/>
  <c r="C208" i="105" s="1"/>
  <c r="C220" i="105" s="1"/>
  <c r="C232" i="105" s="1"/>
  <c r="D30" i="105"/>
  <c r="F29" i="105"/>
  <c r="C4" i="103"/>
  <c r="C16" i="103" s="1"/>
  <c r="C28" i="103" s="1"/>
  <c r="C40" i="103" s="1"/>
  <c r="C52" i="103" s="1"/>
  <c r="C64" i="103" s="1"/>
  <c r="C76" i="103" s="1"/>
  <c r="C88" i="103" s="1"/>
  <c r="C100" i="103" s="1"/>
  <c r="C112" i="103" s="1"/>
  <c r="C124" i="103" s="1"/>
  <c r="C136" i="103" s="1"/>
  <c r="C148" i="103" s="1"/>
  <c r="C160" i="103" s="1"/>
  <c r="C172" i="103" s="1"/>
  <c r="C184" i="103" s="1"/>
  <c r="C196" i="103" s="1"/>
  <c r="C208" i="103" s="1"/>
  <c r="C220" i="103" s="1"/>
  <c r="C232" i="103" s="1"/>
  <c r="D29" i="103"/>
  <c r="F28" i="103"/>
  <c r="D7" i="102"/>
  <c r="D8" i="102" s="1"/>
  <c r="D9" i="102" s="1"/>
  <c r="D10" i="102" s="1"/>
  <c r="D11" i="102" s="1"/>
  <c r="D12" i="102" s="1"/>
  <c r="D13" i="102" s="1"/>
  <c r="D14" i="102" s="1"/>
  <c r="D15" i="102" s="1"/>
  <c r="D16" i="102" s="1"/>
  <c r="D17" i="102" s="1"/>
  <c r="D18" i="102" s="1"/>
  <c r="D19" i="102" s="1"/>
  <c r="D20" i="102" s="1"/>
  <c r="D21" i="102" s="1"/>
  <c r="D22" i="102" s="1"/>
  <c r="D23" i="102" s="1"/>
  <c r="D24" i="102" s="1"/>
  <c r="D25" i="102" s="1"/>
  <c r="D26" i="102" s="1"/>
  <c r="N5" i="101"/>
  <c r="O27" i="89"/>
  <c r="C4" i="98"/>
  <c r="C16" i="98" s="1"/>
  <c r="C28" i="98" s="1"/>
  <c r="C40" i="98" s="1"/>
  <c r="C52" i="98" s="1"/>
  <c r="C64" i="98" s="1"/>
  <c r="C76" i="98" s="1"/>
  <c r="C88" i="98" s="1"/>
  <c r="C100" i="98" s="1"/>
  <c r="C112" i="98" s="1"/>
  <c r="C124" i="98" s="1"/>
  <c r="C136" i="98" s="1"/>
  <c r="C148" i="98" s="1"/>
  <c r="C160" i="98" s="1"/>
  <c r="C172" i="98" s="1"/>
  <c r="C184" i="98" s="1"/>
  <c r="C196" i="98" s="1"/>
  <c r="C208" i="98" s="1"/>
  <c r="C220" i="98" s="1"/>
  <c r="C232" i="98" s="1"/>
  <c r="D30" i="98"/>
  <c r="F29" i="98"/>
  <c r="AG21" i="95"/>
  <c r="AC21" i="95"/>
  <c r="AB20" i="95"/>
  <c r="AG17" i="95"/>
  <c r="AC17" i="95"/>
  <c r="AB16" i="95"/>
  <c r="AG13" i="95"/>
  <c r="AC13" i="95"/>
  <c r="AG22" i="95"/>
  <c r="AC22" i="95"/>
  <c r="AB21" i="95"/>
  <c r="AG18" i="95"/>
  <c r="AC18" i="95"/>
  <c r="AB17" i="95"/>
  <c r="AG14" i="95"/>
  <c r="AC14" i="95"/>
  <c r="AB13" i="95"/>
  <c r="AG23" i="95"/>
  <c r="AC23" i="95"/>
  <c r="AB22" i="95"/>
  <c r="AG19" i="95"/>
  <c r="AC19" i="95"/>
  <c r="AB18" i="95"/>
  <c r="AG15" i="95"/>
  <c r="AC15" i="95"/>
  <c r="AB14" i="95"/>
  <c r="AC16" i="95"/>
  <c r="AG11" i="95"/>
  <c r="AC11" i="95"/>
  <c r="AB10" i="95"/>
  <c r="AG7" i="95"/>
  <c r="AC7" i="95"/>
  <c r="AB6" i="95"/>
  <c r="AB23" i="95"/>
  <c r="AG20" i="95"/>
  <c r="AB15" i="95"/>
  <c r="AC12" i="95"/>
  <c r="AB11" i="95"/>
  <c r="AG8" i="95"/>
  <c r="AC8" i="95"/>
  <c r="AB7" i="95"/>
  <c r="AC20" i="95"/>
  <c r="AB12" i="95"/>
  <c r="AG9" i="95"/>
  <c r="AC9" i="95"/>
  <c r="AB8" i="95"/>
  <c r="AG5" i="95"/>
  <c r="AC5" i="95"/>
  <c r="AB4" i="95"/>
  <c r="AB19" i="95"/>
  <c r="AB9" i="95"/>
  <c r="AG6" i="95"/>
  <c r="AG16" i="95"/>
  <c r="AC6" i="95"/>
  <c r="AC10" i="95"/>
  <c r="AG12" i="95"/>
  <c r="AG10" i="95"/>
  <c r="AG4" i="95"/>
  <c r="AC4" i="95"/>
  <c r="AB5" i="95"/>
  <c r="Z22" i="95"/>
  <c r="V22" i="95"/>
  <c r="U21" i="95"/>
  <c r="Z18" i="95"/>
  <c r="V18" i="95"/>
  <c r="U17" i="95"/>
  <c r="Z14" i="95"/>
  <c r="V14" i="95"/>
  <c r="Z23" i="95"/>
  <c r="V23" i="95"/>
  <c r="U22" i="95"/>
  <c r="Z19" i="95"/>
  <c r="V19" i="95"/>
  <c r="U18" i="95"/>
  <c r="Z15" i="95"/>
  <c r="V15" i="95"/>
  <c r="U14" i="95"/>
  <c r="U23" i="95"/>
  <c r="Z20" i="95"/>
  <c r="V20" i="95"/>
  <c r="U19" i="95"/>
  <c r="Z16" i="95"/>
  <c r="V16" i="95"/>
  <c r="U15" i="95"/>
  <c r="U20" i="95"/>
  <c r="Z17" i="95"/>
  <c r="V13" i="95"/>
  <c r="Z12" i="95"/>
  <c r="V12" i="95"/>
  <c r="U11" i="95"/>
  <c r="Z8" i="95"/>
  <c r="V8" i="95"/>
  <c r="U7" i="95"/>
  <c r="Z4" i="95"/>
  <c r="V4" i="95"/>
  <c r="V17" i="95"/>
  <c r="U13" i="95"/>
  <c r="U12" i="95"/>
  <c r="Z9" i="95"/>
  <c r="V9" i="95"/>
  <c r="U8" i="95"/>
  <c r="Z5" i="95"/>
  <c r="V5" i="95"/>
  <c r="Z21" i="95"/>
  <c r="U16" i="95"/>
  <c r="Z13" i="95"/>
  <c r="Z10" i="95"/>
  <c r="V10" i="95"/>
  <c r="U9" i="95"/>
  <c r="Z6" i="95"/>
  <c r="V6" i="95"/>
  <c r="U5" i="95"/>
  <c r="V11" i="95"/>
  <c r="U6" i="95"/>
  <c r="U10" i="95"/>
  <c r="Z7" i="95"/>
  <c r="Z11" i="95"/>
  <c r="V21" i="95"/>
  <c r="V7" i="95"/>
  <c r="U4" i="95"/>
  <c r="R22" i="95"/>
  <c r="N22" i="95"/>
  <c r="M21" i="95"/>
  <c r="R18" i="95"/>
  <c r="N18" i="95"/>
  <c r="M17" i="95"/>
  <c r="R14" i="95"/>
  <c r="N14" i="95"/>
  <c r="R23" i="95"/>
  <c r="N23" i="95"/>
  <c r="M22" i="95"/>
  <c r="R19" i="95"/>
  <c r="N19" i="95"/>
  <c r="M18" i="95"/>
  <c r="R15" i="95"/>
  <c r="N15" i="95"/>
  <c r="M14" i="95"/>
  <c r="M23" i="95"/>
  <c r="R20" i="95"/>
  <c r="N20" i="95"/>
  <c r="M19" i="95"/>
  <c r="R16" i="95"/>
  <c r="N16" i="95"/>
  <c r="M15" i="95"/>
  <c r="N17" i="95"/>
  <c r="R12" i="95"/>
  <c r="N12" i="95"/>
  <c r="M11" i="95"/>
  <c r="R8" i="95"/>
  <c r="N8" i="95"/>
  <c r="M7" i="95"/>
  <c r="R4" i="95"/>
  <c r="N4" i="95"/>
  <c r="R21" i="95"/>
  <c r="M16" i="95"/>
  <c r="N13" i="95"/>
  <c r="M12" i="95"/>
  <c r="R9" i="95"/>
  <c r="N9" i="95"/>
  <c r="M8" i="95"/>
  <c r="R5" i="95"/>
  <c r="N21" i="95"/>
  <c r="M13" i="95"/>
  <c r="R10" i="95"/>
  <c r="N10" i="95"/>
  <c r="M9" i="95"/>
  <c r="R6" i="95"/>
  <c r="N6" i="95"/>
  <c r="M5" i="95"/>
  <c r="R17" i="95"/>
  <c r="R13" i="95"/>
  <c r="M10" i="95"/>
  <c r="R7" i="95"/>
  <c r="N5" i="95"/>
  <c r="M20" i="95"/>
  <c r="N11" i="95"/>
  <c r="N7" i="95"/>
  <c r="M4" i="95"/>
  <c r="R11" i="95"/>
  <c r="M6" i="95"/>
  <c r="K23" i="95"/>
  <c r="G23" i="95"/>
  <c r="F22" i="95"/>
  <c r="K19" i="95"/>
  <c r="G19" i="95"/>
  <c r="F18" i="95"/>
  <c r="K15" i="95"/>
  <c r="G15" i="95"/>
  <c r="F14" i="95"/>
  <c r="F23" i="95"/>
  <c r="K20" i="95"/>
  <c r="G20" i="95"/>
  <c r="F19" i="95"/>
  <c r="K16" i="95"/>
  <c r="G16" i="95"/>
  <c r="F15" i="95"/>
  <c r="K21" i="95"/>
  <c r="G21" i="95"/>
  <c r="F20" i="95"/>
  <c r="K17" i="95"/>
  <c r="G17" i="95"/>
  <c r="F16" i="95"/>
  <c r="K13" i="95"/>
  <c r="G13" i="95"/>
  <c r="F21" i="95"/>
  <c r="K18" i="95"/>
  <c r="F12" i="95"/>
  <c r="K9" i="95"/>
  <c r="G9" i="95"/>
  <c r="F8" i="95"/>
  <c r="K5" i="95"/>
  <c r="G5" i="95"/>
  <c r="G18" i="95"/>
  <c r="F13" i="95"/>
  <c r="K10" i="95"/>
  <c r="G10" i="95"/>
  <c r="F9" i="95"/>
  <c r="K6" i="95"/>
  <c r="G6" i="95"/>
  <c r="K22" i="95"/>
  <c r="F17" i="95"/>
  <c r="K14" i="95"/>
  <c r="K11" i="95"/>
  <c r="G11" i="95"/>
  <c r="F10" i="95"/>
  <c r="K7" i="95"/>
  <c r="G7" i="95"/>
  <c r="F6" i="95"/>
  <c r="G12" i="95"/>
  <c r="F5" i="95"/>
  <c r="K12" i="95"/>
  <c r="F4" i="95"/>
  <c r="G22" i="95"/>
  <c r="G14" i="95"/>
  <c r="F11" i="95"/>
  <c r="K8" i="95"/>
  <c r="G8" i="95"/>
  <c r="G4" i="95"/>
  <c r="F7" i="95"/>
  <c r="K4" i="95"/>
  <c r="H60" i="2"/>
  <c r="Z22" i="94"/>
  <c r="V22" i="94"/>
  <c r="U21" i="94"/>
  <c r="Z18" i="94"/>
  <c r="V18" i="94"/>
  <c r="U17" i="94"/>
  <c r="Z14" i="94"/>
  <c r="V14" i="94"/>
  <c r="U13" i="94"/>
  <c r="Z23" i="94"/>
  <c r="V23" i="94"/>
  <c r="U22" i="94"/>
  <c r="Z19" i="94"/>
  <c r="V19" i="94"/>
  <c r="U18" i="94"/>
  <c r="Z15" i="94"/>
  <c r="V15" i="94"/>
  <c r="U14" i="94"/>
  <c r="U23" i="94"/>
  <c r="Z20" i="94"/>
  <c r="V20" i="94"/>
  <c r="U19" i="94"/>
  <c r="Z16" i="94"/>
  <c r="V16" i="94"/>
  <c r="U15" i="94"/>
  <c r="Z12" i="94"/>
  <c r="Z21" i="94"/>
  <c r="V21" i="94"/>
  <c r="U20" i="94"/>
  <c r="Z17" i="94"/>
  <c r="V17" i="94"/>
  <c r="U16" i="94"/>
  <c r="Z13" i="94"/>
  <c r="V13" i="94"/>
  <c r="Z10" i="94"/>
  <c r="V10" i="94"/>
  <c r="U9" i="94"/>
  <c r="Z6" i="94"/>
  <c r="V6" i="94"/>
  <c r="U5" i="94"/>
  <c r="Z9" i="94"/>
  <c r="U8" i="94"/>
  <c r="Z5" i="94"/>
  <c r="U4" i="94"/>
  <c r="Z11" i="94"/>
  <c r="V11" i="94"/>
  <c r="U10" i="94"/>
  <c r="Z7" i="94"/>
  <c r="V7" i="94"/>
  <c r="U6" i="94"/>
  <c r="V12" i="94"/>
  <c r="U11" i="94"/>
  <c r="Z8" i="94"/>
  <c r="V8" i="94"/>
  <c r="U7" i="94"/>
  <c r="Z4" i="94"/>
  <c r="V4" i="94"/>
  <c r="U12" i="94"/>
  <c r="V9" i="94"/>
  <c r="V5" i="94"/>
  <c r="H79" i="2"/>
  <c r="AG21" i="94"/>
  <c r="AC21" i="94"/>
  <c r="AB20" i="94"/>
  <c r="AG17" i="94"/>
  <c r="AC17" i="94"/>
  <c r="AB16" i="94"/>
  <c r="AG13" i="94"/>
  <c r="AC13" i="94"/>
  <c r="AB12" i="94"/>
  <c r="AG22" i="94"/>
  <c r="AC22" i="94"/>
  <c r="AB21" i="94"/>
  <c r="AG18" i="94"/>
  <c r="AC18" i="94"/>
  <c r="AB17" i="94"/>
  <c r="AG14" i="94"/>
  <c r="AC14" i="94"/>
  <c r="AB13" i="94"/>
  <c r="AG23" i="94"/>
  <c r="AC23" i="94"/>
  <c r="AB22" i="94"/>
  <c r="AG19" i="94"/>
  <c r="AC19" i="94"/>
  <c r="AB18" i="94"/>
  <c r="AG15" i="94"/>
  <c r="AC15" i="94"/>
  <c r="AB14" i="94"/>
  <c r="AB23" i="94"/>
  <c r="AG20" i="94"/>
  <c r="AC20" i="94"/>
  <c r="AB19" i="94"/>
  <c r="AG16" i="94"/>
  <c r="AC16" i="94"/>
  <c r="AB15" i="94"/>
  <c r="AG12" i="94"/>
  <c r="AC12" i="94"/>
  <c r="AG9" i="94"/>
  <c r="AC9" i="94"/>
  <c r="AB8" i="94"/>
  <c r="AG5" i="94"/>
  <c r="AC5" i="94"/>
  <c r="AB4" i="94"/>
  <c r="AB7" i="94"/>
  <c r="AG10" i="94"/>
  <c r="AC10" i="94"/>
  <c r="AB9" i="94"/>
  <c r="AG6" i="94"/>
  <c r="AC6" i="94"/>
  <c r="AB5" i="94"/>
  <c r="AC8" i="94"/>
  <c r="AC4" i="94"/>
  <c r="AG11" i="94"/>
  <c r="AC11" i="94"/>
  <c r="AB10" i="94"/>
  <c r="AG7" i="94"/>
  <c r="AC7" i="94"/>
  <c r="AB6" i="94"/>
  <c r="AB11" i="94"/>
  <c r="AG8" i="94"/>
  <c r="AG4" i="94"/>
  <c r="H40" i="2"/>
  <c r="R22" i="94"/>
  <c r="N22" i="94"/>
  <c r="M21" i="94"/>
  <c r="R18" i="94"/>
  <c r="N18" i="94"/>
  <c r="M17" i="94"/>
  <c r="R14" i="94"/>
  <c r="N14" i="94"/>
  <c r="M13" i="94"/>
  <c r="R23" i="94"/>
  <c r="N23" i="94"/>
  <c r="M22" i="94"/>
  <c r="R19" i="94"/>
  <c r="N19" i="94"/>
  <c r="M18" i="94"/>
  <c r="R15" i="94"/>
  <c r="N15" i="94"/>
  <c r="M14" i="94"/>
  <c r="M23" i="94"/>
  <c r="R20" i="94"/>
  <c r="N20" i="94"/>
  <c r="M19" i="94"/>
  <c r="R16" i="94"/>
  <c r="N16" i="94"/>
  <c r="M15" i="94"/>
  <c r="R21" i="94"/>
  <c r="N21" i="94"/>
  <c r="M20" i="94"/>
  <c r="R17" i="94"/>
  <c r="N17" i="94"/>
  <c r="M16" i="94"/>
  <c r="R13" i="94"/>
  <c r="N13" i="94"/>
  <c r="R10" i="94"/>
  <c r="N10" i="94"/>
  <c r="M9" i="94"/>
  <c r="R6" i="94"/>
  <c r="N6" i="94"/>
  <c r="M5" i="94"/>
  <c r="R9" i="94"/>
  <c r="M8" i="94"/>
  <c r="R5" i="94"/>
  <c r="M4" i="94"/>
  <c r="R11" i="94"/>
  <c r="N11" i="94"/>
  <c r="M10" i="94"/>
  <c r="R7" i="94"/>
  <c r="N7" i="94"/>
  <c r="M6" i="94"/>
  <c r="R12" i="94"/>
  <c r="N12" i="94"/>
  <c r="M11" i="94"/>
  <c r="R8" i="94"/>
  <c r="N8" i="94"/>
  <c r="M7" i="94"/>
  <c r="R4" i="94"/>
  <c r="N4" i="94"/>
  <c r="M12" i="94"/>
  <c r="N9" i="94"/>
  <c r="N5" i="94"/>
  <c r="K23" i="94"/>
  <c r="G23" i="94"/>
  <c r="F22" i="94"/>
  <c r="K19" i="94"/>
  <c r="G19" i="94"/>
  <c r="F18" i="94"/>
  <c r="K15" i="94"/>
  <c r="G15" i="94"/>
  <c r="F14" i="94"/>
  <c r="F23" i="94"/>
  <c r="K20" i="94"/>
  <c r="G20" i="94"/>
  <c r="F19" i="94"/>
  <c r="K16" i="94"/>
  <c r="G16" i="94"/>
  <c r="F15" i="94"/>
  <c r="K21" i="94"/>
  <c r="G21" i="94"/>
  <c r="F20" i="94"/>
  <c r="K17" i="94"/>
  <c r="G17" i="94"/>
  <c r="F16" i="94"/>
  <c r="K13" i="94"/>
  <c r="G13" i="94"/>
  <c r="K22" i="94"/>
  <c r="G22" i="94"/>
  <c r="F21" i="94"/>
  <c r="K18" i="94"/>
  <c r="G18" i="94"/>
  <c r="F17" i="94"/>
  <c r="K14" i="94"/>
  <c r="G14" i="94"/>
  <c r="F13" i="94"/>
  <c r="K11" i="94"/>
  <c r="G11" i="94"/>
  <c r="F10" i="94"/>
  <c r="K7" i="94"/>
  <c r="G7" i="94"/>
  <c r="F6" i="94"/>
  <c r="K10" i="94"/>
  <c r="F9" i="94"/>
  <c r="G6" i="94"/>
  <c r="F5" i="94"/>
  <c r="K12" i="94"/>
  <c r="G12" i="94"/>
  <c r="F11" i="94"/>
  <c r="K8" i="94"/>
  <c r="G8" i="94"/>
  <c r="F7" i="94"/>
  <c r="K4" i="94"/>
  <c r="G4" i="94"/>
  <c r="F12" i="94"/>
  <c r="K9" i="94"/>
  <c r="G9" i="94"/>
  <c r="F8" i="94"/>
  <c r="K5" i="94"/>
  <c r="G5" i="94"/>
  <c r="F4" i="94"/>
  <c r="G10" i="94"/>
  <c r="K6" i="94"/>
  <c r="C4" i="93"/>
  <c r="C16" i="93" s="1"/>
  <c r="C28" i="93" s="1"/>
  <c r="C40" i="93" s="1"/>
  <c r="C52" i="93" s="1"/>
  <c r="C64" i="93" s="1"/>
  <c r="C76" i="93" s="1"/>
  <c r="C88" i="93" s="1"/>
  <c r="C100" i="93" s="1"/>
  <c r="C112" i="93" s="1"/>
  <c r="C124" i="93" s="1"/>
  <c r="C136" i="93" s="1"/>
  <c r="C148" i="93" s="1"/>
  <c r="C160" i="93" s="1"/>
  <c r="C172" i="93" s="1"/>
  <c r="C184" i="93" s="1"/>
  <c r="C196" i="93" s="1"/>
  <c r="C208" i="93" s="1"/>
  <c r="C220" i="93" s="1"/>
  <c r="C232" i="93" s="1"/>
  <c r="F28" i="93"/>
  <c r="D29" i="93"/>
  <c r="C4" i="91"/>
  <c r="C16" i="91" s="1"/>
  <c r="C28" i="91" s="1"/>
  <c r="C40" i="91" s="1"/>
  <c r="C52" i="91" s="1"/>
  <c r="C64" i="91" s="1"/>
  <c r="C76" i="91" s="1"/>
  <c r="C88" i="91" s="1"/>
  <c r="C100" i="91" s="1"/>
  <c r="C112" i="91" s="1"/>
  <c r="C124" i="91" s="1"/>
  <c r="C136" i="91" s="1"/>
  <c r="C148" i="91" s="1"/>
  <c r="C160" i="91" s="1"/>
  <c r="C172" i="91" s="1"/>
  <c r="C184" i="91" s="1"/>
  <c r="C196" i="91" s="1"/>
  <c r="C208" i="91" s="1"/>
  <c r="C220" i="91" s="1"/>
  <c r="C232" i="91" s="1"/>
  <c r="D7" i="92"/>
  <c r="D8" i="92" s="1"/>
  <c r="D9" i="92" s="1"/>
  <c r="D10" i="92" s="1"/>
  <c r="D11" i="92" s="1"/>
  <c r="D12" i="92" s="1"/>
  <c r="D13" i="92" s="1"/>
  <c r="D14" i="92" s="1"/>
  <c r="D15" i="92" s="1"/>
  <c r="D16" i="92" s="1"/>
  <c r="D17" i="92" s="1"/>
  <c r="D18" i="92" s="1"/>
  <c r="D19" i="92" s="1"/>
  <c r="D20" i="92" s="1"/>
  <c r="D21" i="92" s="1"/>
  <c r="D22" i="92" s="1"/>
  <c r="D23" i="92" s="1"/>
  <c r="D24" i="92" s="1"/>
  <c r="D25" i="92" s="1"/>
  <c r="D26" i="92" s="1"/>
  <c r="F28" i="58"/>
  <c r="D29" i="58"/>
  <c r="F29" i="61"/>
  <c r="D30" i="61"/>
  <c r="D29" i="65"/>
  <c r="F28" i="65"/>
  <c r="D30" i="91"/>
  <c r="F29" i="91"/>
  <c r="D7" i="87"/>
  <c r="D8" i="87" s="1"/>
  <c r="D9" i="87" s="1"/>
  <c r="D10" i="87" s="1"/>
  <c r="D11" i="87" s="1"/>
  <c r="D12" i="87" s="1"/>
  <c r="D13" i="87" s="1"/>
  <c r="D14" i="87" s="1"/>
  <c r="D15" i="87" s="1"/>
  <c r="D16" i="87" s="1"/>
  <c r="D17" i="87" s="1"/>
  <c r="D18" i="87" s="1"/>
  <c r="D19" i="87" s="1"/>
  <c r="D20" i="87" s="1"/>
  <c r="D21" i="87" s="1"/>
  <c r="D22" i="87" s="1"/>
  <c r="D23" i="87" s="1"/>
  <c r="D24" i="87" s="1"/>
  <c r="D25" i="87" s="1"/>
  <c r="D26" i="87" s="1"/>
  <c r="D7" i="90"/>
  <c r="D8" i="90" s="1"/>
  <c r="D9" i="90" s="1"/>
  <c r="D10" i="90" s="1"/>
  <c r="D11" i="90" s="1"/>
  <c r="D12" i="90" s="1"/>
  <c r="D13" i="90" s="1"/>
  <c r="D14" i="90" s="1"/>
  <c r="D15" i="90" s="1"/>
  <c r="D16" i="90" s="1"/>
  <c r="D17" i="90" s="1"/>
  <c r="D18" i="90" s="1"/>
  <c r="D19" i="90" s="1"/>
  <c r="D20" i="90" s="1"/>
  <c r="D21" i="90" s="1"/>
  <c r="D22" i="90" s="1"/>
  <c r="D23" i="90" s="1"/>
  <c r="D24" i="90" s="1"/>
  <c r="D25" i="90" s="1"/>
  <c r="D26" i="90" s="1"/>
  <c r="D29" i="86"/>
  <c r="F28" i="86"/>
  <c r="C4" i="86"/>
  <c r="C16" i="86" s="1"/>
  <c r="C28" i="86" s="1"/>
  <c r="C40" i="86" s="1"/>
  <c r="C52" i="86" s="1"/>
  <c r="C64" i="86" s="1"/>
  <c r="C76" i="86" s="1"/>
  <c r="C88" i="86" s="1"/>
  <c r="C100" i="86" s="1"/>
  <c r="C112" i="86" s="1"/>
  <c r="C124" i="86" s="1"/>
  <c r="C136" i="86" s="1"/>
  <c r="C148" i="86" s="1"/>
  <c r="C160" i="86" s="1"/>
  <c r="C172" i="86" s="1"/>
  <c r="C184" i="86" s="1"/>
  <c r="C196" i="86" s="1"/>
  <c r="C208" i="86" s="1"/>
  <c r="C220" i="86" s="1"/>
  <c r="C232" i="86" s="1"/>
  <c r="H21" i="2"/>
  <c r="H17" i="2"/>
  <c r="H75" i="2"/>
  <c r="H77" i="2"/>
  <c r="H58" i="2"/>
  <c r="H56" i="2"/>
  <c r="H36" i="2"/>
  <c r="H38" i="2"/>
  <c r="H19" i="2"/>
  <c r="E4" i="82"/>
  <c r="E5" i="82" s="1"/>
  <c r="E6" i="82" s="1"/>
  <c r="E7" i="82" s="1"/>
  <c r="E8" i="82" s="1"/>
  <c r="E9" i="82" s="1"/>
  <c r="E10" i="82" s="1"/>
  <c r="E11" i="82" s="1"/>
  <c r="E12" i="82" s="1"/>
  <c r="E13" i="82" s="1"/>
  <c r="E14" i="82" s="1"/>
  <c r="E15" i="82" s="1"/>
  <c r="E16" i="82" s="1"/>
  <c r="E17" i="82" s="1"/>
  <c r="E18" i="82" s="1"/>
  <c r="E19" i="82" s="1"/>
  <c r="E20" i="82" s="1"/>
  <c r="E21" i="82" s="1"/>
  <c r="E22" i="82" s="1"/>
  <c r="E23" i="82" s="1"/>
  <c r="R22" i="82"/>
  <c r="N22" i="82"/>
  <c r="M21" i="82"/>
  <c r="R18" i="82"/>
  <c r="N18" i="82"/>
  <c r="M17" i="82"/>
  <c r="R14" i="82"/>
  <c r="N14" i="82"/>
  <c r="M13" i="82"/>
  <c r="R10" i="82"/>
  <c r="N10" i="82"/>
  <c r="M9" i="82"/>
  <c r="R23" i="82"/>
  <c r="N23" i="82"/>
  <c r="M22" i="82"/>
  <c r="R19" i="82"/>
  <c r="N19" i="82"/>
  <c r="M18" i="82"/>
  <c r="R15" i="82"/>
  <c r="N15" i="82"/>
  <c r="M14" i="82"/>
  <c r="R11" i="82"/>
  <c r="N11" i="82"/>
  <c r="M10" i="82"/>
  <c r="M23" i="82"/>
  <c r="R20" i="82"/>
  <c r="N20" i="82"/>
  <c r="M19" i="82"/>
  <c r="R16" i="82"/>
  <c r="N16" i="82"/>
  <c r="M15" i="82"/>
  <c r="R12" i="82"/>
  <c r="N12" i="82"/>
  <c r="M11" i="82"/>
  <c r="R8" i="82"/>
  <c r="N8" i="82"/>
  <c r="R21" i="82"/>
  <c r="N21" i="82"/>
  <c r="M20" i="82"/>
  <c r="R17" i="82"/>
  <c r="N17" i="82"/>
  <c r="M16" i="82"/>
  <c r="R13" i="82"/>
  <c r="N13" i="82"/>
  <c r="M12" i="82"/>
  <c r="R9" i="82"/>
  <c r="N9" i="82"/>
  <c r="M8" i="82"/>
  <c r="R6" i="82"/>
  <c r="N6" i="82"/>
  <c r="M5" i="82"/>
  <c r="R7" i="82"/>
  <c r="N7" i="82"/>
  <c r="M6" i="82"/>
  <c r="R5" i="82"/>
  <c r="M4" i="82"/>
  <c r="M7" i="82"/>
  <c r="R4" i="82"/>
  <c r="N4" i="82"/>
  <c r="N5" i="82"/>
  <c r="K23" i="82"/>
  <c r="G23" i="82"/>
  <c r="F22" i="82"/>
  <c r="K19" i="82"/>
  <c r="G19" i="82"/>
  <c r="F18" i="82"/>
  <c r="K15" i="82"/>
  <c r="G15" i="82"/>
  <c r="F14" i="82"/>
  <c r="K11" i="82"/>
  <c r="G11" i="82"/>
  <c r="F10" i="82"/>
  <c r="F23" i="82"/>
  <c r="K20" i="82"/>
  <c r="G20" i="82"/>
  <c r="F19" i="82"/>
  <c r="K16" i="82"/>
  <c r="G16" i="82"/>
  <c r="F15" i="82"/>
  <c r="K12" i="82"/>
  <c r="G12" i="82"/>
  <c r="F11" i="82"/>
  <c r="K8" i="82"/>
  <c r="G8" i="82"/>
  <c r="K21" i="82"/>
  <c r="G21" i="82"/>
  <c r="F20" i="82"/>
  <c r="K17" i="82"/>
  <c r="G17" i="82"/>
  <c r="F16" i="82"/>
  <c r="K13" i="82"/>
  <c r="G13" i="82"/>
  <c r="F12" i="82"/>
  <c r="K9" i="82"/>
  <c r="G9" i="82"/>
  <c r="F8" i="82"/>
  <c r="K22" i="82"/>
  <c r="G22" i="82"/>
  <c r="F21" i="82"/>
  <c r="K18" i="82"/>
  <c r="G18" i="82"/>
  <c r="F17" i="82"/>
  <c r="K14" i="82"/>
  <c r="G14" i="82"/>
  <c r="F13" i="82"/>
  <c r="K10" i="82"/>
  <c r="G10" i="82"/>
  <c r="F9" i="82"/>
  <c r="K7" i="82"/>
  <c r="G7" i="82"/>
  <c r="F6" i="82"/>
  <c r="G6" i="82"/>
  <c r="F5" i="82"/>
  <c r="F7" i="82"/>
  <c r="K4" i="82"/>
  <c r="G4" i="82"/>
  <c r="K5" i="82"/>
  <c r="G5" i="82"/>
  <c r="F4" i="82"/>
  <c r="K6" i="82"/>
  <c r="J73" i="2"/>
  <c r="AG21" i="82"/>
  <c r="AC21" i="82"/>
  <c r="AB20" i="82"/>
  <c r="AG17" i="82"/>
  <c r="AC17" i="82"/>
  <c r="AB16" i="82"/>
  <c r="AG13" i="82"/>
  <c r="AC13" i="82"/>
  <c r="AB12" i="82"/>
  <c r="AG9" i="82"/>
  <c r="AC9" i="82"/>
  <c r="AB8" i="82"/>
  <c r="AG22" i="82"/>
  <c r="AC22" i="82"/>
  <c r="AB21" i="82"/>
  <c r="AG18" i="82"/>
  <c r="AC18" i="82"/>
  <c r="AB17" i="82"/>
  <c r="AG14" i="82"/>
  <c r="AC14" i="82"/>
  <c r="AB13" i="82"/>
  <c r="AG10" i="82"/>
  <c r="AC10" i="82"/>
  <c r="AB9" i="82"/>
  <c r="AG23" i="82"/>
  <c r="AC23" i="82"/>
  <c r="AB22" i="82"/>
  <c r="AG19" i="82"/>
  <c r="AC19" i="82"/>
  <c r="AB18" i="82"/>
  <c r="AG15" i="82"/>
  <c r="AC15" i="82"/>
  <c r="AB14" i="82"/>
  <c r="AG11" i="82"/>
  <c r="AC11" i="82"/>
  <c r="AB10" i="82"/>
  <c r="AG7" i="82"/>
  <c r="AB23" i="82"/>
  <c r="AG20" i="82"/>
  <c r="AC20" i="82"/>
  <c r="AB19" i="82"/>
  <c r="AG16" i="82"/>
  <c r="AC16" i="82"/>
  <c r="AB15" i="82"/>
  <c r="AG12" i="82"/>
  <c r="AC12" i="82"/>
  <c r="AB11" i="82"/>
  <c r="AG8" i="82"/>
  <c r="AC8" i="82"/>
  <c r="AB7" i="82"/>
  <c r="AG5" i="82"/>
  <c r="AC5" i="82"/>
  <c r="AB4" i="82"/>
  <c r="AG4" i="82"/>
  <c r="AG6" i="82"/>
  <c r="AC6" i="82"/>
  <c r="AB5" i="82"/>
  <c r="AB6" i="82"/>
  <c r="AC7" i="82"/>
  <c r="AC4" i="82"/>
  <c r="J54" i="2"/>
  <c r="Z22" i="82"/>
  <c r="V22" i="82"/>
  <c r="U21" i="82"/>
  <c r="Z18" i="82"/>
  <c r="V18" i="82"/>
  <c r="U17" i="82"/>
  <c r="Z14" i="82"/>
  <c r="V14" i="82"/>
  <c r="U13" i="82"/>
  <c r="Z10" i="82"/>
  <c r="V10" i="82"/>
  <c r="U9" i="82"/>
  <c r="Z23" i="82"/>
  <c r="V23" i="82"/>
  <c r="U22" i="82"/>
  <c r="Z19" i="82"/>
  <c r="V19" i="82"/>
  <c r="U18" i="82"/>
  <c r="Z15" i="82"/>
  <c r="V15" i="82"/>
  <c r="U14" i="82"/>
  <c r="Z11" i="82"/>
  <c r="V11" i="82"/>
  <c r="U10" i="82"/>
  <c r="U23" i="82"/>
  <c r="Z20" i="82"/>
  <c r="V20" i="82"/>
  <c r="U19" i="82"/>
  <c r="Z16" i="82"/>
  <c r="V16" i="82"/>
  <c r="U15" i="82"/>
  <c r="Z12" i="82"/>
  <c r="V12" i="82"/>
  <c r="U11" i="82"/>
  <c r="Z8" i="82"/>
  <c r="V8" i="82"/>
  <c r="Z21" i="82"/>
  <c r="V21" i="82"/>
  <c r="U20" i="82"/>
  <c r="Z17" i="82"/>
  <c r="V17" i="82"/>
  <c r="U16" i="82"/>
  <c r="Z13" i="82"/>
  <c r="V13" i="82"/>
  <c r="U12" i="82"/>
  <c r="Z9" i="82"/>
  <c r="V9" i="82"/>
  <c r="U8" i="82"/>
  <c r="Z6" i="82"/>
  <c r="V6" i="82"/>
  <c r="U5" i="82"/>
  <c r="V5" i="82"/>
  <c r="U4" i="82"/>
  <c r="Z7" i="82"/>
  <c r="V7" i="82"/>
  <c r="U6" i="82"/>
  <c r="U7" i="82"/>
  <c r="Z4" i="82"/>
  <c r="V4" i="82"/>
  <c r="Z5" i="82"/>
  <c r="J34" i="2"/>
  <c r="J15" i="2"/>
  <c r="H44" i="2"/>
  <c r="H83" i="2"/>
  <c r="H64" i="2"/>
  <c r="H74" i="2"/>
  <c r="H55" i="2"/>
  <c r="H35" i="2"/>
  <c r="E45" i="2"/>
  <c r="H16" i="2"/>
  <c r="H25" i="2"/>
  <c r="F16" i="2"/>
  <c r="C4" i="65"/>
  <c r="C16" i="65" s="1"/>
  <c r="C28" i="65" s="1"/>
  <c r="C40" i="65" s="1"/>
  <c r="C52" i="65" s="1"/>
  <c r="C64" i="65" s="1"/>
  <c r="C76" i="65" s="1"/>
  <c r="C88" i="65" s="1"/>
  <c r="C100" i="65" s="1"/>
  <c r="C112" i="65" s="1"/>
  <c r="C124" i="65" s="1"/>
  <c r="C136" i="65" s="1"/>
  <c r="C148" i="65" s="1"/>
  <c r="C160" i="65" s="1"/>
  <c r="C172" i="65" s="1"/>
  <c r="C184" i="65" s="1"/>
  <c r="C196" i="65" s="1"/>
  <c r="C208" i="65" s="1"/>
  <c r="C220" i="65" s="1"/>
  <c r="C232" i="65" s="1"/>
  <c r="D7" i="66"/>
  <c r="D8" i="66" s="1"/>
  <c r="D9" i="66" s="1"/>
  <c r="D10" i="66" s="1"/>
  <c r="D11" i="66" s="1"/>
  <c r="D12" i="66" s="1"/>
  <c r="D13" i="66" s="1"/>
  <c r="D14" i="66" s="1"/>
  <c r="D15" i="66" s="1"/>
  <c r="D16" i="66" s="1"/>
  <c r="D17" i="66" s="1"/>
  <c r="D18" i="66" s="1"/>
  <c r="D19" i="66" s="1"/>
  <c r="D20" i="66" s="1"/>
  <c r="D21" i="66" s="1"/>
  <c r="D22" i="66" s="1"/>
  <c r="D23" i="66" s="1"/>
  <c r="D24" i="66" s="1"/>
  <c r="D25" i="66" s="1"/>
  <c r="D26" i="66" s="1"/>
  <c r="C4" i="61"/>
  <c r="C16" i="61" s="1"/>
  <c r="C28" i="61" s="1"/>
  <c r="C40" i="61" s="1"/>
  <c r="C52" i="61" s="1"/>
  <c r="C64" i="61" s="1"/>
  <c r="C76" i="61" s="1"/>
  <c r="C88" i="61" s="1"/>
  <c r="C100" i="61" s="1"/>
  <c r="C112" i="61" s="1"/>
  <c r="C124" i="61" s="1"/>
  <c r="C136" i="61" s="1"/>
  <c r="C148" i="61" s="1"/>
  <c r="C160" i="61" s="1"/>
  <c r="C172" i="61" s="1"/>
  <c r="C184" i="61" s="1"/>
  <c r="C196" i="61" s="1"/>
  <c r="C208" i="61" s="1"/>
  <c r="C220" i="61" s="1"/>
  <c r="C232" i="61" s="1"/>
  <c r="D7" i="62"/>
  <c r="D8" i="62" s="1"/>
  <c r="D9" i="62" s="1"/>
  <c r="D10" i="62" s="1"/>
  <c r="D11" i="62" s="1"/>
  <c r="D12" i="62" s="1"/>
  <c r="D13" i="62" s="1"/>
  <c r="D14" i="62" s="1"/>
  <c r="D15" i="62" s="1"/>
  <c r="D16" i="62" s="1"/>
  <c r="D17" i="62" s="1"/>
  <c r="D18" i="62" s="1"/>
  <c r="D19" i="62" s="1"/>
  <c r="D20" i="62" s="1"/>
  <c r="D21" i="62" s="1"/>
  <c r="D22" i="62" s="1"/>
  <c r="D23" i="62" s="1"/>
  <c r="D24" i="62" s="1"/>
  <c r="D25" i="62" s="1"/>
  <c r="D26" i="62" s="1"/>
  <c r="D7" i="55"/>
  <c r="C4" i="54"/>
  <c r="C4" i="58"/>
  <c r="C16" i="58" s="1"/>
  <c r="C28" i="58" s="1"/>
  <c r="C40" i="58" s="1"/>
  <c r="C52" i="58" s="1"/>
  <c r="C64" i="58" s="1"/>
  <c r="C76" i="58" s="1"/>
  <c r="C88" i="58" s="1"/>
  <c r="C100" i="58" s="1"/>
  <c r="C112" i="58" s="1"/>
  <c r="C124" i="58" s="1"/>
  <c r="C136" i="58" s="1"/>
  <c r="C148" i="58" s="1"/>
  <c r="C160" i="58" s="1"/>
  <c r="C172" i="58" s="1"/>
  <c r="C184" i="58" s="1"/>
  <c r="C196" i="58" s="1"/>
  <c r="C208" i="58" s="1"/>
  <c r="C220" i="58" s="1"/>
  <c r="C232" i="58" s="1"/>
  <c r="J4" i="2"/>
  <c r="J12" i="2" l="1"/>
  <c r="E18" i="109"/>
  <c r="F18" i="109" s="1"/>
  <c r="D17" i="94"/>
  <c r="D14" i="100"/>
  <c r="H14" i="100" s="1"/>
  <c r="D17" i="106"/>
  <c r="H17" i="106" s="1"/>
  <c r="E19" i="108"/>
  <c r="F19" i="108" s="1"/>
  <c r="D16" i="94"/>
  <c r="E21" i="109"/>
  <c r="F21" i="109" s="1"/>
  <c r="D18" i="94"/>
  <c r="D15" i="106"/>
  <c r="H15" i="106" s="1"/>
  <c r="D15" i="94"/>
  <c r="E17" i="108"/>
  <c r="F17" i="108" s="1"/>
  <c r="D14" i="106"/>
  <c r="H14" i="106" s="1"/>
  <c r="E20" i="108"/>
  <c r="F20" i="108" s="1"/>
  <c r="D18" i="100"/>
  <c r="H18" i="100" s="1"/>
  <c r="D16" i="100"/>
  <c r="H16" i="100" s="1"/>
  <c r="D15" i="95"/>
  <c r="E19" i="109"/>
  <c r="F19" i="109" s="1"/>
  <c r="E18" i="108"/>
  <c r="F18" i="108" s="1"/>
  <c r="D17" i="100"/>
  <c r="H17" i="100" s="1"/>
  <c r="D18" i="95"/>
  <c r="E21" i="108"/>
  <c r="F21" i="108" s="1"/>
  <c r="D16" i="95"/>
  <c r="D14" i="94"/>
  <c r="D14" i="95"/>
  <c r="E20" i="109"/>
  <c r="F20" i="109" s="1"/>
  <c r="D18" i="106"/>
  <c r="H18" i="106" s="1"/>
  <c r="D16" i="106"/>
  <c r="H16" i="106" s="1"/>
  <c r="D15" i="100"/>
  <c r="H15" i="100" s="1"/>
  <c r="D17" i="95"/>
  <c r="E17" i="109"/>
  <c r="F17" i="109" s="1"/>
  <c r="D9" i="94"/>
  <c r="D13" i="106"/>
  <c r="H13" i="106" s="1"/>
  <c r="E10" i="109"/>
  <c r="F10" i="109" s="1"/>
  <c r="D13" i="94"/>
  <c r="D8" i="100"/>
  <c r="H8" i="100" s="1"/>
  <c r="D9" i="106"/>
  <c r="H9" i="106" s="1"/>
  <c r="D6" i="95"/>
  <c r="E14" i="109"/>
  <c r="F14" i="109" s="1"/>
  <c r="E13" i="108"/>
  <c r="F13" i="108" s="1"/>
  <c r="D5" i="94"/>
  <c r="D12" i="100"/>
  <c r="H12" i="100" s="1"/>
  <c r="D5" i="106"/>
  <c r="H5" i="106" s="1"/>
  <c r="D10" i="95"/>
  <c r="E9" i="108"/>
  <c r="F9" i="108" s="1"/>
  <c r="E15" i="108"/>
  <c r="F15" i="108" s="1"/>
  <c r="E14" i="108"/>
  <c r="F14" i="108" s="1"/>
  <c r="D8" i="106"/>
  <c r="H8" i="106" s="1"/>
  <c r="D8" i="95"/>
  <c r="D9" i="100"/>
  <c r="H9" i="100" s="1"/>
  <c r="E16" i="109"/>
  <c r="F16" i="109" s="1"/>
  <c r="E9" i="109"/>
  <c r="F9" i="109" s="1"/>
  <c r="D6" i="94"/>
  <c r="E11" i="109"/>
  <c r="F11" i="109" s="1"/>
  <c r="D10" i="106"/>
  <c r="H10" i="106" s="1"/>
  <c r="E12" i="109"/>
  <c r="F12" i="109" s="1"/>
  <c r="E13" i="109"/>
  <c r="F13" i="109" s="1"/>
  <c r="D10" i="100"/>
  <c r="H10" i="100" s="1"/>
  <c r="D11" i="106"/>
  <c r="H11" i="106" s="1"/>
  <c r="D5" i="100"/>
  <c r="H5" i="100" s="1"/>
  <c r="D11" i="100"/>
  <c r="H11" i="100" s="1"/>
  <c r="D9" i="95"/>
  <c r="E16" i="108"/>
  <c r="F16" i="108" s="1"/>
  <c r="E15" i="109"/>
  <c r="F15" i="109" s="1"/>
  <c r="D6" i="106"/>
  <c r="H6" i="106" s="1"/>
  <c r="D7" i="100"/>
  <c r="H7" i="100" s="1"/>
  <c r="D13" i="95"/>
  <c r="D10" i="94"/>
  <c r="D7" i="106"/>
  <c r="H7" i="106" s="1"/>
  <c r="E11" i="108"/>
  <c r="F11" i="108" s="1"/>
  <c r="D11" i="94"/>
  <c r="D12" i="106"/>
  <c r="H12" i="106" s="1"/>
  <c r="E12" i="108"/>
  <c r="F12" i="108" s="1"/>
  <c r="D11" i="95"/>
  <c r="D12" i="94"/>
  <c r="D7" i="94"/>
  <c r="D5" i="95"/>
  <c r="D12" i="95"/>
  <c r="D13" i="100"/>
  <c r="H13" i="100" s="1"/>
  <c r="E8" i="109"/>
  <c r="F8" i="109" s="1"/>
  <c r="E10" i="108"/>
  <c r="F10" i="108" s="1"/>
  <c r="D6" i="100"/>
  <c r="H6" i="100" s="1"/>
  <c r="E8" i="108"/>
  <c r="F8" i="108" s="1"/>
  <c r="D7" i="95"/>
  <c r="D8" i="94"/>
  <c r="C4" i="114"/>
  <c r="C8" i="114"/>
  <c r="C12" i="114"/>
  <c r="C16" i="114"/>
  <c r="C20" i="114"/>
  <c r="C11" i="114"/>
  <c r="C19" i="114"/>
  <c r="C5" i="114"/>
  <c r="C9" i="114"/>
  <c r="C13" i="114"/>
  <c r="C17" i="114"/>
  <c r="C21" i="114"/>
  <c r="C15" i="114"/>
  <c r="C6" i="114"/>
  <c r="C10" i="114"/>
  <c r="C14" i="114"/>
  <c r="C18" i="114"/>
  <c r="C22" i="114"/>
  <c r="C7" i="114"/>
  <c r="C3" i="114"/>
  <c r="D3" i="114" s="1"/>
  <c r="D7" i="10"/>
  <c r="D4" i="100"/>
  <c r="D4" i="94"/>
  <c r="D4" i="95"/>
  <c r="D4" i="106"/>
  <c r="H4" i="106" s="1"/>
  <c r="E7" i="108"/>
  <c r="E7" i="109"/>
  <c r="E20" i="104"/>
  <c r="E17" i="104"/>
  <c r="E18" i="104"/>
  <c r="E17" i="97"/>
  <c r="E17" i="90"/>
  <c r="E18" i="87"/>
  <c r="E21" i="104"/>
  <c r="E19" i="102"/>
  <c r="E19" i="87"/>
  <c r="E20" i="92"/>
  <c r="D17" i="101" s="1"/>
  <c r="H17" i="101" s="1"/>
  <c r="E20" i="102"/>
  <c r="E20" i="87"/>
  <c r="E18" i="92"/>
  <c r="D15" i="101" s="1"/>
  <c r="H15" i="101" s="1"/>
  <c r="E21" i="87"/>
  <c r="E21" i="102"/>
  <c r="E20" i="90"/>
  <c r="E17" i="92"/>
  <c r="D14" i="101" s="1"/>
  <c r="H14" i="101" s="1"/>
  <c r="E19" i="92"/>
  <c r="D16" i="101" s="1"/>
  <c r="H16" i="101" s="1"/>
  <c r="E18" i="97"/>
  <c r="E21" i="90"/>
  <c r="E18" i="90"/>
  <c r="E21" i="97"/>
  <c r="E19" i="104"/>
  <c r="E19" i="90"/>
  <c r="E21" i="92"/>
  <c r="D18" i="101" s="1"/>
  <c r="H18" i="101" s="1"/>
  <c r="E17" i="87"/>
  <c r="E17" i="102"/>
  <c r="E18" i="102"/>
  <c r="E19" i="97"/>
  <c r="E20" i="97"/>
  <c r="E14" i="104"/>
  <c r="E10" i="104"/>
  <c r="E15" i="104"/>
  <c r="E13" i="104"/>
  <c r="E9" i="104"/>
  <c r="E11" i="104"/>
  <c r="E16" i="104"/>
  <c r="E12" i="104"/>
  <c r="E8" i="104"/>
  <c r="E7" i="104"/>
  <c r="E14" i="102"/>
  <c r="E10" i="102"/>
  <c r="E7" i="102"/>
  <c r="E13" i="102"/>
  <c r="E9" i="102"/>
  <c r="E15" i="102"/>
  <c r="E16" i="102"/>
  <c r="E12" i="102"/>
  <c r="E8" i="102"/>
  <c r="E11" i="102"/>
  <c r="E14" i="90"/>
  <c r="E10" i="90"/>
  <c r="E15" i="90"/>
  <c r="E7" i="90"/>
  <c r="E13" i="90"/>
  <c r="E9" i="90"/>
  <c r="E16" i="90"/>
  <c r="E12" i="90"/>
  <c r="E8" i="90"/>
  <c r="E11" i="90"/>
  <c r="E14" i="87"/>
  <c r="E10" i="87"/>
  <c r="E16" i="87"/>
  <c r="E12" i="87"/>
  <c r="E15" i="87"/>
  <c r="E7" i="87"/>
  <c r="E13" i="87"/>
  <c r="E9" i="87"/>
  <c r="E8" i="87"/>
  <c r="E11" i="87"/>
  <c r="E14" i="97"/>
  <c r="E10" i="97"/>
  <c r="E7" i="97"/>
  <c r="E13" i="97"/>
  <c r="E9" i="97"/>
  <c r="E15" i="97"/>
  <c r="E16" i="97"/>
  <c r="E12" i="97"/>
  <c r="E8" i="97"/>
  <c r="E11" i="97"/>
  <c r="E7" i="92"/>
  <c r="D4" i="101" s="1"/>
  <c r="H4" i="101" s="1"/>
  <c r="E8" i="92"/>
  <c r="D5" i="101" s="1"/>
  <c r="H5" i="101" s="1"/>
  <c r="E12" i="92"/>
  <c r="D9" i="101" s="1"/>
  <c r="H9" i="101" s="1"/>
  <c r="E16" i="92"/>
  <c r="D13" i="101" s="1"/>
  <c r="H13" i="101" s="1"/>
  <c r="E9" i="92"/>
  <c r="D6" i="101" s="1"/>
  <c r="H6" i="101" s="1"/>
  <c r="E13" i="92"/>
  <c r="D10" i="101" s="1"/>
  <c r="H10" i="101" s="1"/>
  <c r="E15" i="92"/>
  <c r="D12" i="101" s="1"/>
  <c r="H12" i="101" s="1"/>
  <c r="E10" i="92"/>
  <c r="D7" i="101" s="1"/>
  <c r="H7" i="101" s="1"/>
  <c r="E14" i="92"/>
  <c r="D11" i="101" s="1"/>
  <c r="H11" i="101" s="1"/>
  <c r="E11" i="92"/>
  <c r="D8" i="101" s="1"/>
  <c r="H8" i="101" s="1"/>
  <c r="D30" i="112"/>
  <c r="F29" i="112"/>
  <c r="I112" i="110"/>
  <c r="I16" i="108" s="1"/>
  <c r="I112" i="112"/>
  <c r="I16" i="109" s="1"/>
  <c r="O28" i="89"/>
  <c r="O28" i="111"/>
  <c r="D30" i="110"/>
  <c r="F29" i="110"/>
  <c r="H21" i="106"/>
  <c r="H21" i="101"/>
  <c r="H19" i="100"/>
  <c r="H23" i="100"/>
  <c r="H23" i="106"/>
  <c r="H23" i="101"/>
  <c r="H22" i="106"/>
  <c r="H22" i="101"/>
  <c r="H22" i="100"/>
  <c r="H20" i="106"/>
  <c r="H20" i="101"/>
  <c r="H20" i="100"/>
  <c r="H19" i="106"/>
  <c r="H19" i="101"/>
  <c r="H21" i="100"/>
  <c r="J56" i="2"/>
  <c r="J75" i="2"/>
  <c r="J17" i="2"/>
  <c r="J36" i="2"/>
  <c r="J13" i="2"/>
  <c r="E17" i="65"/>
  <c r="E18" i="65" s="1"/>
  <c r="E19" i="65" s="1"/>
  <c r="E20" i="65" s="1"/>
  <c r="E21" i="65" s="1"/>
  <c r="E22" i="65" s="1"/>
  <c r="E23" i="65" s="1"/>
  <c r="E24" i="65" s="1"/>
  <c r="E25" i="65" s="1"/>
  <c r="E26" i="65" s="1"/>
  <c r="E27" i="65" s="1"/>
  <c r="E17" i="61"/>
  <c r="E18" i="61" s="1"/>
  <c r="E19" i="61" s="1"/>
  <c r="E20" i="61" s="1"/>
  <c r="E21" i="61" s="1"/>
  <c r="E22" i="61" s="1"/>
  <c r="E23" i="61" s="1"/>
  <c r="E24" i="61" s="1"/>
  <c r="E25" i="61" s="1"/>
  <c r="E26" i="61" s="1"/>
  <c r="E27" i="61" s="1"/>
  <c r="H46" i="2"/>
  <c r="I4" i="95"/>
  <c r="I21" i="95" s="1"/>
  <c r="D66" i="10"/>
  <c r="Q4" i="82"/>
  <c r="Q4" i="95"/>
  <c r="Q4" i="94"/>
  <c r="P4" i="82"/>
  <c r="P10" i="82" s="1"/>
  <c r="P4" i="94"/>
  <c r="P4" i="95"/>
  <c r="AF4" i="82"/>
  <c r="AF4" i="95"/>
  <c r="AF4" i="94"/>
  <c r="O4" i="82"/>
  <c r="O14" i="82" s="1"/>
  <c r="O4" i="95"/>
  <c r="O4" i="94"/>
  <c r="AD4" i="82"/>
  <c r="AD10" i="82" s="1"/>
  <c r="AD4" i="95"/>
  <c r="AD4" i="94"/>
  <c r="Y4" i="82"/>
  <c r="Y4" i="95"/>
  <c r="Y4" i="94"/>
  <c r="X4" i="82"/>
  <c r="X14" i="82" s="1"/>
  <c r="X4" i="94"/>
  <c r="X4" i="95"/>
  <c r="AE4" i="82"/>
  <c r="AE5" i="82" s="1"/>
  <c r="AE4" i="94"/>
  <c r="AE4" i="95"/>
  <c r="W4" i="82"/>
  <c r="W14" i="82" s="1"/>
  <c r="W4" i="95"/>
  <c r="W4" i="94"/>
  <c r="H84" i="2"/>
  <c r="H65" i="2"/>
  <c r="H26" i="2"/>
  <c r="F30" i="105"/>
  <c r="D31" i="105"/>
  <c r="D30" i="103"/>
  <c r="F29" i="103"/>
  <c r="F30" i="98"/>
  <c r="D31" i="98"/>
  <c r="J4" i="94"/>
  <c r="J18" i="94" s="1"/>
  <c r="J4" i="95"/>
  <c r="H4" i="94"/>
  <c r="H21" i="94" s="1"/>
  <c r="H4" i="95"/>
  <c r="I4" i="82"/>
  <c r="I10" i="82" s="1"/>
  <c r="I4" i="94"/>
  <c r="D30" i="93"/>
  <c r="F29" i="93"/>
  <c r="F29" i="58"/>
  <c r="D30" i="58"/>
  <c r="D31" i="61"/>
  <c r="F30" i="61"/>
  <c r="F29" i="65"/>
  <c r="D30" i="65"/>
  <c r="D31" i="91"/>
  <c r="F30" i="91"/>
  <c r="D30" i="86"/>
  <c r="F29" i="86"/>
  <c r="J4" i="82"/>
  <c r="AE8" i="82"/>
  <c r="AE9" i="82"/>
  <c r="O10" i="82"/>
  <c r="H4" i="82"/>
  <c r="H3" i="2" l="1"/>
  <c r="O21" i="82"/>
  <c r="O17" i="82"/>
  <c r="O19" i="82"/>
  <c r="D4" i="114"/>
  <c r="D5" i="114" s="1"/>
  <c r="D6" i="114" s="1"/>
  <c r="D7" i="114" s="1"/>
  <c r="D8" i="114" s="1"/>
  <c r="D9" i="114" s="1"/>
  <c r="D10" i="114" s="1"/>
  <c r="D11" i="114" s="1"/>
  <c r="D12" i="114" s="1"/>
  <c r="D13" i="114" s="1"/>
  <c r="D14" i="114" s="1"/>
  <c r="D15" i="114" s="1"/>
  <c r="D16" i="114" s="1"/>
  <c r="D17" i="114" s="1"/>
  <c r="D18" i="114" s="1"/>
  <c r="D19" i="114" s="1"/>
  <c r="D20" i="114" s="1"/>
  <c r="D21" i="114" s="1"/>
  <c r="D22" i="114" s="1"/>
  <c r="I232" i="112"/>
  <c r="I26" i="109" s="1"/>
  <c r="F7" i="109"/>
  <c r="D31" i="112"/>
  <c r="F30" i="112"/>
  <c r="F7" i="108"/>
  <c r="O29" i="89"/>
  <c r="O29" i="111"/>
  <c r="I232" i="110"/>
  <c r="I26" i="108" s="1"/>
  <c r="D31" i="110"/>
  <c r="F30" i="110"/>
  <c r="F4" i="100"/>
  <c r="H4" i="100"/>
  <c r="K4" i="100" s="1"/>
  <c r="M4" i="100" s="1"/>
  <c r="X19" i="82"/>
  <c r="X22" i="82"/>
  <c r="X17" i="82"/>
  <c r="X6" i="82"/>
  <c r="X16" i="82"/>
  <c r="X20" i="82"/>
  <c r="X7" i="82"/>
  <c r="X21" i="82"/>
  <c r="X23" i="82"/>
  <c r="X10" i="82"/>
  <c r="O16" i="82"/>
  <c r="AE11" i="82"/>
  <c r="AE14" i="82"/>
  <c r="O13" i="82"/>
  <c r="O12" i="82"/>
  <c r="O15" i="82"/>
  <c r="O22" i="82"/>
  <c r="O6" i="82"/>
  <c r="AE21" i="82"/>
  <c r="AE20" i="82"/>
  <c r="AE23" i="82"/>
  <c r="AE10" i="82"/>
  <c r="O11" i="82"/>
  <c r="AE17" i="82"/>
  <c r="AE16" i="82"/>
  <c r="AE19" i="82"/>
  <c r="AE22" i="82"/>
  <c r="AE6" i="82"/>
  <c r="AE7" i="82"/>
  <c r="O9" i="82"/>
  <c r="O8" i="82"/>
  <c r="O18" i="82"/>
  <c r="O5" i="82"/>
  <c r="O20" i="82"/>
  <c r="O23" i="82"/>
  <c r="O7" i="82"/>
  <c r="AE13" i="82"/>
  <c r="AE12" i="82"/>
  <c r="AE15" i="82"/>
  <c r="AE18" i="82"/>
  <c r="W16" i="82"/>
  <c r="AD22" i="82"/>
  <c r="AD13" i="82"/>
  <c r="AD6" i="82"/>
  <c r="AD12" i="82"/>
  <c r="AD15" i="82"/>
  <c r="W17" i="82"/>
  <c r="W19" i="82"/>
  <c r="W21" i="82"/>
  <c r="W10" i="82"/>
  <c r="P17" i="82"/>
  <c r="P16" i="82"/>
  <c r="P6" i="82"/>
  <c r="I15" i="95"/>
  <c r="E5" i="61"/>
  <c r="E6" i="61" s="1"/>
  <c r="E7" i="61" s="1"/>
  <c r="E8" i="61" s="1"/>
  <c r="E9" i="61" s="1"/>
  <c r="E10" i="61" s="1"/>
  <c r="E11" i="61" s="1"/>
  <c r="E12" i="61" s="1"/>
  <c r="E13" i="61" s="1"/>
  <c r="E14" i="61" s="1"/>
  <c r="E15" i="61" s="1"/>
  <c r="I6" i="95"/>
  <c r="E5" i="54"/>
  <c r="E6" i="54" s="1"/>
  <c r="E7" i="54" s="1"/>
  <c r="E8" i="54" s="1"/>
  <c r="E9" i="54" s="1"/>
  <c r="E10" i="54" s="1"/>
  <c r="E11" i="54" s="1"/>
  <c r="E12" i="54" s="1"/>
  <c r="E13" i="54" s="1"/>
  <c r="E14" i="54" s="1"/>
  <c r="E15" i="54" s="1"/>
  <c r="E16" i="54" s="1"/>
  <c r="E17" i="54" s="1"/>
  <c r="E18" i="54" s="1"/>
  <c r="E19" i="54" s="1"/>
  <c r="E20" i="54" s="1"/>
  <c r="E21" i="54" s="1"/>
  <c r="E22" i="54" s="1"/>
  <c r="E23" i="54" s="1"/>
  <c r="E24" i="54" s="1"/>
  <c r="E25" i="54" s="1"/>
  <c r="E26" i="54" s="1"/>
  <c r="E27" i="54" s="1"/>
  <c r="E28" i="54" s="1"/>
  <c r="E29" i="54" s="1"/>
  <c r="E30" i="54" s="1"/>
  <c r="E31" i="54" s="1"/>
  <c r="E32" i="54" s="1"/>
  <c r="E33" i="54" s="1"/>
  <c r="E34" i="54" s="1"/>
  <c r="E35" i="54" s="1"/>
  <c r="E36" i="54" s="1"/>
  <c r="E37" i="54" s="1"/>
  <c r="E38" i="54" s="1"/>
  <c r="E39" i="54" s="1"/>
  <c r="E40" i="54" s="1"/>
  <c r="E41" i="54" s="1"/>
  <c r="E42" i="54" s="1"/>
  <c r="E43" i="54" s="1"/>
  <c r="E44" i="54" s="1"/>
  <c r="E45" i="54" s="1"/>
  <c r="E46" i="54" s="1"/>
  <c r="E47" i="54" s="1"/>
  <c r="E48" i="54" s="1"/>
  <c r="E49" i="54" s="1"/>
  <c r="E50" i="54" s="1"/>
  <c r="E51" i="54" s="1"/>
  <c r="E52" i="54" s="1"/>
  <c r="E53" i="54" s="1"/>
  <c r="E54" i="54" s="1"/>
  <c r="E55" i="54" s="1"/>
  <c r="E56" i="54" s="1"/>
  <c r="E57" i="54" s="1"/>
  <c r="E58" i="54" s="1"/>
  <c r="E59" i="54" s="1"/>
  <c r="E60" i="54" s="1"/>
  <c r="E61" i="54" s="1"/>
  <c r="E62" i="54" s="1"/>
  <c r="E63" i="54" s="1"/>
  <c r="E64" i="54" s="1"/>
  <c r="E65" i="54" s="1"/>
  <c r="E66" i="54" s="1"/>
  <c r="E67" i="54" s="1"/>
  <c r="E68" i="54" s="1"/>
  <c r="E69" i="54" s="1"/>
  <c r="E70" i="54" s="1"/>
  <c r="E71" i="54" s="1"/>
  <c r="E72" i="54" s="1"/>
  <c r="E73" i="54" s="1"/>
  <c r="E74" i="54" s="1"/>
  <c r="E75" i="54" s="1"/>
  <c r="E76" i="54" s="1"/>
  <c r="E77" i="54" s="1"/>
  <c r="E78" i="54" s="1"/>
  <c r="E79" i="54" s="1"/>
  <c r="E80" i="54" s="1"/>
  <c r="E81" i="54" s="1"/>
  <c r="E82" i="54" s="1"/>
  <c r="E83" i="54" s="1"/>
  <c r="E84" i="54" s="1"/>
  <c r="E85" i="54" s="1"/>
  <c r="E86" i="54" s="1"/>
  <c r="E87" i="54" s="1"/>
  <c r="E88" i="54" s="1"/>
  <c r="E89" i="54" s="1"/>
  <c r="E90" i="54" s="1"/>
  <c r="E91" i="54" s="1"/>
  <c r="E92" i="54" s="1"/>
  <c r="E93" i="54" s="1"/>
  <c r="E94" i="54" s="1"/>
  <c r="E95" i="54" s="1"/>
  <c r="E96" i="54" s="1"/>
  <c r="E97" i="54" s="1"/>
  <c r="E98" i="54" s="1"/>
  <c r="E99" i="54" s="1"/>
  <c r="E100" i="54" s="1"/>
  <c r="E101" i="54" s="1"/>
  <c r="E102" i="54" s="1"/>
  <c r="E103" i="54" s="1"/>
  <c r="E104" i="54" s="1"/>
  <c r="E105" i="54" s="1"/>
  <c r="E106" i="54" s="1"/>
  <c r="E107" i="54" s="1"/>
  <c r="E108" i="54" s="1"/>
  <c r="E109" i="54" s="1"/>
  <c r="E110" i="54" s="1"/>
  <c r="E111" i="54" s="1"/>
  <c r="E112" i="54" s="1"/>
  <c r="E113" i="54" s="1"/>
  <c r="E114" i="54" s="1"/>
  <c r="E115" i="54" s="1"/>
  <c r="E116" i="54" s="1"/>
  <c r="E117" i="54" s="1"/>
  <c r="E118" i="54" s="1"/>
  <c r="E119" i="54" s="1"/>
  <c r="E120" i="54" s="1"/>
  <c r="E121" i="54" s="1"/>
  <c r="E122" i="54" s="1"/>
  <c r="E123" i="54" s="1"/>
  <c r="E124" i="54" s="1"/>
  <c r="E125" i="54" s="1"/>
  <c r="E126" i="54" s="1"/>
  <c r="E127" i="54" s="1"/>
  <c r="E128" i="54" s="1"/>
  <c r="E129" i="54" s="1"/>
  <c r="E130" i="54" s="1"/>
  <c r="E131" i="54" s="1"/>
  <c r="E132" i="54" s="1"/>
  <c r="E133" i="54" s="1"/>
  <c r="E134" i="54" s="1"/>
  <c r="E135" i="54" s="1"/>
  <c r="E136" i="54" s="1"/>
  <c r="E137" i="54" s="1"/>
  <c r="E138" i="54" s="1"/>
  <c r="E139" i="54" s="1"/>
  <c r="E140" i="54" s="1"/>
  <c r="E141" i="54" s="1"/>
  <c r="E142" i="54" s="1"/>
  <c r="E143" i="54" s="1"/>
  <c r="E144" i="54" s="1"/>
  <c r="E145" i="54" s="1"/>
  <c r="E146" i="54" s="1"/>
  <c r="E147" i="54" s="1"/>
  <c r="E148" i="54" s="1"/>
  <c r="E149" i="54" s="1"/>
  <c r="E150" i="54" s="1"/>
  <c r="E151" i="54" s="1"/>
  <c r="E152" i="54" s="1"/>
  <c r="E153" i="54" s="1"/>
  <c r="E154" i="54" s="1"/>
  <c r="E155" i="54" s="1"/>
  <c r="E156" i="54" s="1"/>
  <c r="E157" i="54" s="1"/>
  <c r="E158" i="54" s="1"/>
  <c r="E159" i="54" s="1"/>
  <c r="E160" i="54" s="1"/>
  <c r="E161" i="54" s="1"/>
  <c r="E162" i="54" s="1"/>
  <c r="E163" i="54" s="1"/>
  <c r="E164" i="54" s="1"/>
  <c r="E165" i="54" s="1"/>
  <c r="E166" i="54" s="1"/>
  <c r="E167" i="54" s="1"/>
  <c r="E168" i="54" s="1"/>
  <c r="E169" i="54" s="1"/>
  <c r="E170" i="54" s="1"/>
  <c r="E171" i="54" s="1"/>
  <c r="E172" i="54" s="1"/>
  <c r="E173" i="54" s="1"/>
  <c r="E174" i="54" s="1"/>
  <c r="E175" i="54" s="1"/>
  <c r="E176" i="54" s="1"/>
  <c r="E177" i="54" s="1"/>
  <c r="E178" i="54" s="1"/>
  <c r="E179" i="54" s="1"/>
  <c r="E180" i="54" s="1"/>
  <c r="E181" i="54" s="1"/>
  <c r="E182" i="54" s="1"/>
  <c r="E183" i="54" s="1"/>
  <c r="E184" i="54" s="1"/>
  <c r="E185" i="54" s="1"/>
  <c r="E186" i="54" s="1"/>
  <c r="E187" i="54" s="1"/>
  <c r="E188" i="54" s="1"/>
  <c r="E189" i="54" s="1"/>
  <c r="E190" i="54" s="1"/>
  <c r="E191" i="54" s="1"/>
  <c r="E192" i="54" s="1"/>
  <c r="E193" i="54" s="1"/>
  <c r="E194" i="54" s="1"/>
  <c r="E195" i="54" s="1"/>
  <c r="E196" i="54" s="1"/>
  <c r="E197" i="54" s="1"/>
  <c r="E198" i="54" s="1"/>
  <c r="E199" i="54" s="1"/>
  <c r="E200" i="54" s="1"/>
  <c r="E201" i="54" s="1"/>
  <c r="E202" i="54" s="1"/>
  <c r="E203" i="54" s="1"/>
  <c r="E204" i="54" s="1"/>
  <c r="E205" i="54" s="1"/>
  <c r="E206" i="54" s="1"/>
  <c r="E207" i="54" s="1"/>
  <c r="E208" i="54" s="1"/>
  <c r="E209" i="54" s="1"/>
  <c r="E210" i="54" s="1"/>
  <c r="E211" i="54" s="1"/>
  <c r="E212" i="54" s="1"/>
  <c r="E213" i="54" s="1"/>
  <c r="E214" i="54" s="1"/>
  <c r="E215" i="54" s="1"/>
  <c r="E216" i="54" s="1"/>
  <c r="E217" i="54" s="1"/>
  <c r="E218" i="54" s="1"/>
  <c r="E219" i="54" s="1"/>
  <c r="E220" i="54" s="1"/>
  <c r="E221" i="54" s="1"/>
  <c r="E222" i="54" s="1"/>
  <c r="E223" i="54" s="1"/>
  <c r="E224" i="54" s="1"/>
  <c r="E225" i="54" s="1"/>
  <c r="E226" i="54" s="1"/>
  <c r="E227" i="54" s="1"/>
  <c r="E228" i="54" s="1"/>
  <c r="E229" i="54" s="1"/>
  <c r="E230" i="54" s="1"/>
  <c r="E231" i="54" s="1"/>
  <c r="E232" i="54" s="1"/>
  <c r="E233" i="54" s="1"/>
  <c r="E234" i="54" s="1"/>
  <c r="E235" i="54" s="1"/>
  <c r="E236" i="54" s="1"/>
  <c r="E237" i="54" s="1"/>
  <c r="E238" i="54" s="1"/>
  <c r="E239" i="54" s="1"/>
  <c r="E240" i="54" s="1"/>
  <c r="E241" i="54" s="1"/>
  <c r="E242" i="54" s="1"/>
  <c r="E243" i="54" s="1"/>
  <c r="I22" i="95"/>
  <c r="I8" i="95"/>
  <c r="I7" i="95"/>
  <c r="I9" i="95"/>
  <c r="I11" i="95"/>
  <c r="I23" i="95"/>
  <c r="E113" i="65"/>
  <c r="E114" i="65" s="1"/>
  <c r="E115" i="65" s="1"/>
  <c r="E116" i="65" s="1"/>
  <c r="E117" i="65" s="1"/>
  <c r="E118" i="65" s="1"/>
  <c r="E119" i="65" s="1"/>
  <c r="E120" i="65" s="1"/>
  <c r="E121" i="65" s="1"/>
  <c r="E122" i="65" s="1"/>
  <c r="E123" i="65" s="1"/>
  <c r="I10" i="95"/>
  <c r="I19" i="95"/>
  <c r="I17" i="95"/>
  <c r="I16" i="95"/>
  <c r="I13" i="95"/>
  <c r="I18" i="95"/>
  <c r="E53" i="65"/>
  <c r="E54" i="65" s="1"/>
  <c r="E55" i="65" s="1"/>
  <c r="E56" i="65" s="1"/>
  <c r="E57" i="65" s="1"/>
  <c r="E58" i="65" s="1"/>
  <c r="E59" i="65" s="1"/>
  <c r="E60" i="65" s="1"/>
  <c r="E61" i="65" s="1"/>
  <c r="E62" i="65" s="1"/>
  <c r="E63" i="65" s="1"/>
  <c r="E41" i="65"/>
  <c r="E42" i="65" s="1"/>
  <c r="E43" i="65" s="1"/>
  <c r="E44" i="65" s="1"/>
  <c r="E45" i="65" s="1"/>
  <c r="E46" i="65" s="1"/>
  <c r="E47" i="65" s="1"/>
  <c r="E48" i="65" s="1"/>
  <c r="E49" i="65" s="1"/>
  <c r="E50" i="65" s="1"/>
  <c r="E51" i="65" s="1"/>
  <c r="E125" i="65"/>
  <c r="E126" i="65" s="1"/>
  <c r="E127" i="65" s="1"/>
  <c r="E128" i="65" s="1"/>
  <c r="E129" i="65" s="1"/>
  <c r="E130" i="65" s="1"/>
  <c r="E131" i="65" s="1"/>
  <c r="E132" i="65" s="1"/>
  <c r="E133" i="65" s="1"/>
  <c r="E134" i="65" s="1"/>
  <c r="E135" i="65" s="1"/>
  <c r="E136" i="65" s="1"/>
  <c r="E137" i="65" s="1"/>
  <c r="E138" i="65" s="1"/>
  <c r="E139" i="65" s="1"/>
  <c r="E140" i="65" s="1"/>
  <c r="E141" i="65" s="1"/>
  <c r="E142" i="65" s="1"/>
  <c r="E143" i="65" s="1"/>
  <c r="E144" i="65" s="1"/>
  <c r="E145" i="65" s="1"/>
  <c r="E146" i="65" s="1"/>
  <c r="E147" i="65" s="1"/>
  <c r="E148" i="65" s="1"/>
  <c r="E149" i="65" s="1"/>
  <c r="E150" i="65" s="1"/>
  <c r="E151" i="65" s="1"/>
  <c r="E152" i="65" s="1"/>
  <c r="E153" i="65" s="1"/>
  <c r="E154" i="65" s="1"/>
  <c r="E155" i="65" s="1"/>
  <c r="E156" i="65" s="1"/>
  <c r="E157" i="65" s="1"/>
  <c r="E158" i="65" s="1"/>
  <c r="E159" i="65" s="1"/>
  <c r="E160" i="65" s="1"/>
  <c r="E161" i="65" s="1"/>
  <c r="E162" i="65" s="1"/>
  <c r="E163" i="65" s="1"/>
  <c r="E164" i="65" s="1"/>
  <c r="E165" i="65" s="1"/>
  <c r="E166" i="65" s="1"/>
  <c r="E167" i="65" s="1"/>
  <c r="E168" i="65" s="1"/>
  <c r="E169" i="65" s="1"/>
  <c r="E170" i="65" s="1"/>
  <c r="E171" i="65" s="1"/>
  <c r="E172" i="65" s="1"/>
  <c r="E173" i="65" s="1"/>
  <c r="E174" i="65" s="1"/>
  <c r="E175" i="65" s="1"/>
  <c r="E176" i="65" s="1"/>
  <c r="E177" i="65" s="1"/>
  <c r="E178" i="65" s="1"/>
  <c r="E179" i="65" s="1"/>
  <c r="E180" i="65" s="1"/>
  <c r="E181" i="65" s="1"/>
  <c r="E182" i="65" s="1"/>
  <c r="E183" i="65" s="1"/>
  <c r="E184" i="65" s="1"/>
  <c r="E185" i="65" s="1"/>
  <c r="E186" i="65" s="1"/>
  <c r="E187" i="65" s="1"/>
  <c r="E188" i="65" s="1"/>
  <c r="E189" i="65" s="1"/>
  <c r="E190" i="65" s="1"/>
  <c r="E191" i="65" s="1"/>
  <c r="E192" i="65" s="1"/>
  <c r="E193" i="65" s="1"/>
  <c r="E194" i="65" s="1"/>
  <c r="E195" i="65" s="1"/>
  <c r="E196" i="65" s="1"/>
  <c r="E197" i="65" s="1"/>
  <c r="E198" i="65" s="1"/>
  <c r="E199" i="65" s="1"/>
  <c r="E200" i="65" s="1"/>
  <c r="E201" i="65" s="1"/>
  <c r="E202" i="65" s="1"/>
  <c r="E203" i="65" s="1"/>
  <c r="E204" i="65" s="1"/>
  <c r="E205" i="65" s="1"/>
  <c r="E206" i="65" s="1"/>
  <c r="E207" i="65" s="1"/>
  <c r="E208" i="65" s="1"/>
  <c r="E209" i="65" s="1"/>
  <c r="E210" i="65" s="1"/>
  <c r="E211" i="65" s="1"/>
  <c r="E212" i="65" s="1"/>
  <c r="E213" i="65" s="1"/>
  <c r="E214" i="65" s="1"/>
  <c r="E215" i="65" s="1"/>
  <c r="E216" i="65" s="1"/>
  <c r="E217" i="65" s="1"/>
  <c r="E218" i="65" s="1"/>
  <c r="E219" i="65" s="1"/>
  <c r="E220" i="65" s="1"/>
  <c r="E221" i="65" s="1"/>
  <c r="E222" i="65" s="1"/>
  <c r="E223" i="65" s="1"/>
  <c r="E224" i="65" s="1"/>
  <c r="E225" i="65" s="1"/>
  <c r="E226" i="65" s="1"/>
  <c r="E227" i="65" s="1"/>
  <c r="E228" i="65" s="1"/>
  <c r="E229" i="65" s="1"/>
  <c r="E230" i="65" s="1"/>
  <c r="E231" i="65" s="1"/>
  <c r="E232" i="65" s="1"/>
  <c r="E233" i="65" s="1"/>
  <c r="E234" i="65" s="1"/>
  <c r="E235" i="65" s="1"/>
  <c r="E236" i="65" s="1"/>
  <c r="E237" i="65" s="1"/>
  <c r="E238" i="65" s="1"/>
  <c r="E239" i="65" s="1"/>
  <c r="E240" i="65" s="1"/>
  <c r="E241" i="65" s="1"/>
  <c r="E242" i="65" s="1"/>
  <c r="E243" i="65" s="1"/>
  <c r="E89" i="65"/>
  <c r="E90" i="65" s="1"/>
  <c r="E91" i="65" s="1"/>
  <c r="E92" i="65" s="1"/>
  <c r="E93" i="65" s="1"/>
  <c r="E94" i="65" s="1"/>
  <c r="E95" i="65" s="1"/>
  <c r="E96" i="65" s="1"/>
  <c r="E97" i="65" s="1"/>
  <c r="E98" i="65" s="1"/>
  <c r="E99" i="65" s="1"/>
  <c r="E29" i="61"/>
  <c r="E30" i="61" s="1"/>
  <c r="E31" i="61" s="1"/>
  <c r="E32" i="61" s="1"/>
  <c r="E33" i="61" s="1"/>
  <c r="E34" i="61" s="1"/>
  <c r="E35" i="61" s="1"/>
  <c r="E36" i="61" s="1"/>
  <c r="E37" i="61" s="1"/>
  <c r="E38" i="61" s="1"/>
  <c r="E39" i="61" s="1"/>
  <c r="E41" i="61"/>
  <c r="E42" i="61" s="1"/>
  <c r="E43" i="61" s="1"/>
  <c r="E44" i="61" s="1"/>
  <c r="E45" i="61" s="1"/>
  <c r="E46" i="61" s="1"/>
  <c r="E47" i="61" s="1"/>
  <c r="E48" i="61" s="1"/>
  <c r="E49" i="61" s="1"/>
  <c r="E50" i="61" s="1"/>
  <c r="E51" i="61" s="1"/>
  <c r="E53" i="61" s="1"/>
  <c r="E54" i="61" s="1"/>
  <c r="E55" i="61" s="1"/>
  <c r="E56" i="61" s="1"/>
  <c r="E57" i="61" s="1"/>
  <c r="E58" i="61" s="1"/>
  <c r="E59" i="61" s="1"/>
  <c r="E60" i="61" s="1"/>
  <c r="E61" i="61" s="1"/>
  <c r="E62" i="61" s="1"/>
  <c r="E63" i="61" s="1"/>
  <c r="E65" i="61" s="1"/>
  <c r="E66" i="61" s="1"/>
  <c r="E67" i="61" s="1"/>
  <c r="E68" i="61" s="1"/>
  <c r="E69" i="61" s="1"/>
  <c r="E70" i="61" s="1"/>
  <c r="E71" i="61" s="1"/>
  <c r="E72" i="61" s="1"/>
  <c r="E73" i="61" s="1"/>
  <c r="E74" i="61" s="1"/>
  <c r="E75" i="61" s="1"/>
  <c r="E77" i="65"/>
  <c r="E78" i="65" s="1"/>
  <c r="E79" i="65" s="1"/>
  <c r="E80" i="65" s="1"/>
  <c r="E81" i="65" s="1"/>
  <c r="E82" i="65" s="1"/>
  <c r="E83" i="65" s="1"/>
  <c r="E84" i="65" s="1"/>
  <c r="E85" i="65" s="1"/>
  <c r="E86" i="65" s="1"/>
  <c r="E87" i="65" s="1"/>
  <c r="E65" i="65"/>
  <c r="E66" i="65" s="1"/>
  <c r="E67" i="65" s="1"/>
  <c r="E68" i="65" s="1"/>
  <c r="E69" i="65" s="1"/>
  <c r="E70" i="65" s="1"/>
  <c r="E71" i="65" s="1"/>
  <c r="E72" i="65" s="1"/>
  <c r="E73" i="65" s="1"/>
  <c r="E74" i="65" s="1"/>
  <c r="E75" i="65" s="1"/>
  <c r="E101" i="65"/>
  <c r="E102" i="65" s="1"/>
  <c r="E103" i="65" s="1"/>
  <c r="E104" i="65" s="1"/>
  <c r="E105" i="65" s="1"/>
  <c r="E106" i="65" s="1"/>
  <c r="E107" i="65" s="1"/>
  <c r="E108" i="65" s="1"/>
  <c r="E109" i="65" s="1"/>
  <c r="E110" i="65" s="1"/>
  <c r="E111" i="65" s="1"/>
  <c r="E5" i="58"/>
  <c r="E6" i="58" s="1"/>
  <c r="E7" i="58" s="1"/>
  <c r="E8" i="58" s="1"/>
  <c r="E9" i="58" s="1"/>
  <c r="E10" i="58" s="1"/>
  <c r="E11" i="58" s="1"/>
  <c r="E12" i="58" s="1"/>
  <c r="E13" i="58" s="1"/>
  <c r="E14" i="58" s="1"/>
  <c r="E15" i="58" s="1"/>
  <c r="E16" i="58" s="1"/>
  <c r="E17" i="58" s="1"/>
  <c r="E18" i="58" s="1"/>
  <c r="E19" i="58" s="1"/>
  <c r="E20" i="58" s="1"/>
  <c r="E21" i="58" s="1"/>
  <c r="E22" i="58" s="1"/>
  <c r="E23" i="58" s="1"/>
  <c r="E24" i="58" s="1"/>
  <c r="E25" i="58" s="1"/>
  <c r="E26" i="58" s="1"/>
  <c r="E27" i="58" s="1"/>
  <c r="E28" i="58" s="1"/>
  <c r="E29" i="58" s="1"/>
  <c r="E30" i="58" s="1"/>
  <c r="E31" i="58" s="1"/>
  <c r="E32" i="58" s="1"/>
  <c r="E33" i="58" s="1"/>
  <c r="E34" i="58" s="1"/>
  <c r="E35" i="58" s="1"/>
  <c r="E36" i="58" s="1"/>
  <c r="E37" i="58" s="1"/>
  <c r="E38" i="58" s="1"/>
  <c r="E39" i="58" s="1"/>
  <c r="E40" i="58" s="1"/>
  <c r="E41" i="58" s="1"/>
  <c r="E42" i="58" s="1"/>
  <c r="E43" i="58" s="1"/>
  <c r="E44" i="58" s="1"/>
  <c r="E45" i="58" s="1"/>
  <c r="E46" i="58" s="1"/>
  <c r="E47" i="58" s="1"/>
  <c r="E48" i="58" s="1"/>
  <c r="E49" i="58" s="1"/>
  <c r="E50" i="58" s="1"/>
  <c r="E51" i="58" s="1"/>
  <c r="E52" i="58" s="1"/>
  <c r="E53" i="58" s="1"/>
  <c r="E54" i="58" s="1"/>
  <c r="E55" i="58" s="1"/>
  <c r="E56" i="58" s="1"/>
  <c r="E57" i="58" s="1"/>
  <c r="E58" i="58" s="1"/>
  <c r="E59" i="58" s="1"/>
  <c r="E60" i="58" s="1"/>
  <c r="E61" i="58" s="1"/>
  <c r="E62" i="58" s="1"/>
  <c r="E63" i="58" s="1"/>
  <c r="E64" i="58" s="1"/>
  <c r="E65" i="58" s="1"/>
  <c r="E66" i="58" s="1"/>
  <c r="E67" i="58" s="1"/>
  <c r="E68" i="58" s="1"/>
  <c r="E69" i="58" s="1"/>
  <c r="E70" i="58" s="1"/>
  <c r="E71" i="58" s="1"/>
  <c r="E72" i="58" s="1"/>
  <c r="E73" i="58" s="1"/>
  <c r="E74" i="58" s="1"/>
  <c r="E75" i="58" s="1"/>
  <c r="E76" i="58" s="1"/>
  <c r="E77" i="58" s="1"/>
  <c r="E78" i="58" s="1"/>
  <c r="E79" i="58" s="1"/>
  <c r="E80" i="58" s="1"/>
  <c r="E81" i="58" s="1"/>
  <c r="E82" i="58" s="1"/>
  <c r="E83" i="58" s="1"/>
  <c r="E84" i="58" s="1"/>
  <c r="E85" i="58" s="1"/>
  <c r="E86" i="58" s="1"/>
  <c r="E87" i="58" s="1"/>
  <c r="E88" i="58" s="1"/>
  <c r="E89" i="58" s="1"/>
  <c r="E90" i="58" s="1"/>
  <c r="E91" i="58" s="1"/>
  <c r="E92" i="58" s="1"/>
  <c r="E93" i="58" s="1"/>
  <c r="E94" i="58" s="1"/>
  <c r="E95" i="58" s="1"/>
  <c r="E96" i="58" s="1"/>
  <c r="E97" i="58" s="1"/>
  <c r="E98" i="58" s="1"/>
  <c r="E99" i="58" s="1"/>
  <c r="E100" i="58" s="1"/>
  <c r="E101" i="58" s="1"/>
  <c r="E102" i="58" s="1"/>
  <c r="E103" i="58" s="1"/>
  <c r="E104" i="58" s="1"/>
  <c r="E105" i="58" s="1"/>
  <c r="E106" i="58" s="1"/>
  <c r="E107" i="58" s="1"/>
  <c r="E108" i="58" s="1"/>
  <c r="E109" i="58" s="1"/>
  <c r="E110" i="58" s="1"/>
  <c r="E111" i="58" s="1"/>
  <c r="E112" i="58" s="1"/>
  <c r="E113" i="58" s="1"/>
  <c r="E114" i="58" s="1"/>
  <c r="E115" i="58" s="1"/>
  <c r="E116" i="58" s="1"/>
  <c r="E117" i="58" s="1"/>
  <c r="E118" i="58" s="1"/>
  <c r="E119" i="58" s="1"/>
  <c r="E120" i="58" s="1"/>
  <c r="E121" i="58" s="1"/>
  <c r="E122" i="58" s="1"/>
  <c r="E123" i="58" s="1"/>
  <c r="E124" i="58" s="1"/>
  <c r="E125" i="58" s="1"/>
  <c r="E126" i="58" s="1"/>
  <c r="E127" i="58" s="1"/>
  <c r="E128" i="58" s="1"/>
  <c r="E129" i="58" s="1"/>
  <c r="E130" i="58" s="1"/>
  <c r="E131" i="58" s="1"/>
  <c r="E132" i="58" s="1"/>
  <c r="E133" i="58" s="1"/>
  <c r="E134" i="58" s="1"/>
  <c r="E135" i="58" s="1"/>
  <c r="E136" i="58" s="1"/>
  <c r="E137" i="58" s="1"/>
  <c r="E138" i="58" s="1"/>
  <c r="E139" i="58" s="1"/>
  <c r="E140" i="58" s="1"/>
  <c r="E141" i="58" s="1"/>
  <c r="E142" i="58" s="1"/>
  <c r="E143" i="58" s="1"/>
  <c r="E144" i="58" s="1"/>
  <c r="E145" i="58" s="1"/>
  <c r="E146" i="58" s="1"/>
  <c r="E147" i="58" s="1"/>
  <c r="E148" i="58" s="1"/>
  <c r="E149" i="58" s="1"/>
  <c r="E150" i="58" s="1"/>
  <c r="E151" i="58" s="1"/>
  <c r="E152" i="58" s="1"/>
  <c r="E153" i="58" s="1"/>
  <c r="E154" i="58" s="1"/>
  <c r="E155" i="58" s="1"/>
  <c r="E156" i="58" s="1"/>
  <c r="E157" i="58" s="1"/>
  <c r="E158" i="58" s="1"/>
  <c r="E159" i="58" s="1"/>
  <c r="E160" i="58" s="1"/>
  <c r="E161" i="58" s="1"/>
  <c r="E162" i="58" s="1"/>
  <c r="E163" i="58" s="1"/>
  <c r="E164" i="58" s="1"/>
  <c r="E165" i="58" s="1"/>
  <c r="E166" i="58" s="1"/>
  <c r="E167" i="58" s="1"/>
  <c r="E168" i="58" s="1"/>
  <c r="E169" i="58" s="1"/>
  <c r="E170" i="58" s="1"/>
  <c r="E171" i="58" s="1"/>
  <c r="E172" i="58" s="1"/>
  <c r="E173" i="58" s="1"/>
  <c r="E174" i="58" s="1"/>
  <c r="E175" i="58" s="1"/>
  <c r="E176" i="58" s="1"/>
  <c r="E177" i="58" s="1"/>
  <c r="E178" i="58" s="1"/>
  <c r="E179" i="58" s="1"/>
  <c r="E180" i="58" s="1"/>
  <c r="E181" i="58" s="1"/>
  <c r="E182" i="58" s="1"/>
  <c r="E183" i="58" s="1"/>
  <c r="E184" i="58" s="1"/>
  <c r="E185" i="58" s="1"/>
  <c r="E186" i="58" s="1"/>
  <c r="E187" i="58" s="1"/>
  <c r="E188" i="58" s="1"/>
  <c r="E189" i="58" s="1"/>
  <c r="E190" i="58" s="1"/>
  <c r="E191" i="58" s="1"/>
  <c r="E192" i="58" s="1"/>
  <c r="E193" i="58" s="1"/>
  <c r="E194" i="58" s="1"/>
  <c r="E195" i="58" s="1"/>
  <c r="E196" i="58" s="1"/>
  <c r="E197" i="58" s="1"/>
  <c r="E198" i="58" s="1"/>
  <c r="E199" i="58" s="1"/>
  <c r="E200" i="58" s="1"/>
  <c r="E201" i="58" s="1"/>
  <c r="E202" i="58" s="1"/>
  <c r="E203" i="58" s="1"/>
  <c r="E204" i="58" s="1"/>
  <c r="E205" i="58" s="1"/>
  <c r="E206" i="58" s="1"/>
  <c r="E207" i="58" s="1"/>
  <c r="E208" i="58" s="1"/>
  <c r="E209" i="58" s="1"/>
  <c r="E210" i="58" s="1"/>
  <c r="E211" i="58" s="1"/>
  <c r="E212" i="58" s="1"/>
  <c r="E213" i="58" s="1"/>
  <c r="E214" i="58" s="1"/>
  <c r="E215" i="58" s="1"/>
  <c r="E216" i="58" s="1"/>
  <c r="E217" i="58" s="1"/>
  <c r="E218" i="58" s="1"/>
  <c r="E219" i="58" s="1"/>
  <c r="E220" i="58" s="1"/>
  <c r="E221" i="58" s="1"/>
  <c r="E222" i="58" s="1"/>
  <c r="E223" i="58" s="1"/>
  <c r="E224" i="58" s="1"/>
  <c r="E225" i="58" s="1"/>
  <c r="E226" i="58" s="1"/>
  <c r="E227" i="58" s="1"/>
  <c r="E228" i="58" s="1"/>
  <c r="E229" i="58" s="1"/>
  <c r="E230" i="58" s="1"/>
  <c r="E231" i="58" s="1"/>
  <c r="E232" i="58" s="1"/>
  <c r="E233" i="58" s="1"/>
  <c r="E234" i="58" s="1"/>
  <c r="E235" i="58" s="1"/>
  <c r="E236" i="58" s="1"/>
  <c r="E237" i="58" s="1"/>
  <c r="E238" i="58" s="1"/>
  <c r="E239" i="58" s="1"/>
  <c r="E240" i="58" s="1"/>
  <c r="E241" i="58" s="1"/>
  <c r="E242" i="58" s="1"/>
  <c r="E243" i="58" s="1"/>
  <c r="E5" i="65"/>
  <c r="E6" i="65" s="1"/>
  <c r="E7" i="65" s="1"/>
  <c r="E8" i="65" s="1"/>
  <c r="E9" i="65" s="1"/>
  <c r="E10" i="65" s="1"/>
  <c r="E11" i="65" s="1"/>
  <c r="E12" i="65" s="1"/>
  <c r="E13" i="65" s="1"/>
  <c r="E14" i="65" s="1"/>
  <c r="E15" i="65" s="1"/>
  <c r="E29" i="65"/>
  <c r="E30" i="65" s="1"/>
  <c r="E31" i="65" s="1"/>
  <c r="E32" i="65" s="1"/>
  <c r="E33" i="65" s="1"/>
  <c r="E34" i="65" s="1"/>
  <c r="E35" i="65" s="1"/>
  <c r="E36" i="65" s="1"/>
  <c r="E37" i="65" s="1"/>
  <c r="E38" i="65" s="1"/>
  <c r="E39" i="65" s="1"/>
  <c r="M3" i="60"/>
  <c r="O3" i="60" s="1"/>
  <c r="G4" i="61" s="1"/>
  <c r="H4" i="61" s="1"/>
  <c r="I5" i="95"/>
  <c r="I12" i="95"/>
  <c r="I20" i="95"/>
  <c r="I14" i="95"/>
  <c r="S3" i="53"/>
  <c r="N3" i="53"/>
  <c r="W12" i="82"/>
  <c r="W22" i="82"/>
  <c r="AD9" i="82"/>
  <c r="AD11" i="82"/>
  <c r="AD18" i="82"/>
  <c r="W9" i="82"/>
  <c r="W8" i="82"/>
  <c r="W11" i="82"/>
  <c r="W18" i="82"/>
  <c r="W5" i="82"/>
  <c r="AD20" i="82"/>
  <c r="AD23" i="82"/>
  <c r="AD7" i="82"/>
  <c r="AD14" i="82"/>
  <c r="P19" i="82"/>
  <c r="W13" i="82"/>
  <c r="W15" i="82"/>
  <c r="W6" i="82"/>
  <c r="AD8" i="82"/>
  <c r="AD5" i="82"/>
  <c r="W20" i="82"/>
  <c r="W23" i="82"/>
  <c r="W7" i="82"/>
  <c r="AD17" i="82"/>
  <c r="AD16" i="82"/>
  <c r="AD19" i="82"/>
  <c r="AD21" i="82"/>
  <c r="P22" i="82"/>
  <c r="I232" i="105"/>
  <c r="I112" i="105"/>
  <c r="I16" i="102" s="1"/>
  <c r="I232" i="103"/>
  <c r="I112" i="103"/>
  <c r="I232" i="91"/>
  <c r="I112" i="91"/>
  <c r="I232" i="86"/>
  <c r="I112" i="86"/>
  <c r="I232" i="98"/>
  <c r="I112" i="98"/>
  <c r="I232" i="93"/>
  <c r="I112" i="93"/>
  <c r="Y14" i="82"/>
  <c r="Y11" i="82"/>
  <c r="Y8" i="82"/>
  <c r="Y9" i="82"/>
  <c r="Y19" i="82"/>
  <c r="Y10" i="82"/>
  <c r="Y23" i="82"/>
  <c r="Y21" i="82"/>
  <c r="Y5" i="82"/>
  <c r="Y18" i="82"/>
  <c r="Y15" i="82"/>
  <c r="Y12" i="82"/>
  <c r="Y13" i="82"/>
  <c r="Y6" i="82"/>
  <c r="Y22" i="82"/>
  <c r="Y16" i="82"/>
  <c r="Y17" i="82"/>
  <c r="Y7" i="82"/>
  <c r="Y20" i="82"/>
  <c r="P12" i="82"/>
  <c r="P18" i="82"/>
  <c r="W9" i="94"/>
  <c r="W10" i="94"/>
  <c r="W6" i="94"/>
  <c r="W20" i="94"/>
  <c r="W13" i="94"/>
  <c r="W8" i="94"/>
  <c r="W5" i="94"/>
  <c r="W23" i="94"/>
  <c r="W16" i="94"/>
  <c r="W22" i="94"/>
  <c r="W12" i="94"/>
  <c r="W7" i="94"/>
  <c r="W19" i="94"/>
  <c r="W21" i="94"/>
  <c r="W18" i="94"/>
  <c r="W11" i="94"/>
  <c r="W15" i="94"/>
  <c r="W17" i="94"/>
  <c r="W14" i="94"/>
  <c r="AD9" i="94"/>
  <c r="AD5" i="94"/>
  <c r="AD22" i="94"/>
  <c r="AD19" i="94"/>
  <c r="AD12" i="94"/>
  <c r="AD8" i="94"/>
  <c r="AD10" i="94"/>
  <c r="AD18" i="94"/>
  <c r="AD15" i="94"/>
  <c r="AD21" i="94"/>
  <c r="AD14" i="94"/>
  <c r="AD20" i="94"/>
  <c r="AD17" i="94"/>
  <c r="AD7" i="94"/>
  <c r="AD23" i="94"/>
  <c r="AD16" i="94"/>
  <c r="AD13" i="94"/>
  <c r="AD11" i="94"/>
  <c r="AD6" i="94"/>
  <c r="O18" i="95"/>
  <c r="O15" i="95"/>
  <c r="O17" i="95"/>
  <c r="O22" i="95"/>
  <c r="O11" i="95"/>
  <c r="O13" i="95"/>
  <c r="O14" i="95"/>
  <c r="O7" i="95"/>
  <c r="O23" i="95"/>
  <c r="O16" i="95"/>
  <c r="O9" i="95"/>
  <c r="O10" i="95"/>
  <c r="O8" i="95"/>
  <c r="O12" i="95"/>
  <c r="O19" i="95"/>
  <c r="O21" i="95"/>
  <c r="O5" i="95"/>
  <c r="O6" i="95"/>
  <c r="O20" i="95"/>
  <c r="Q17" i="94"/>
  <c r="Q14" i="94"/>
  <c r="Q20" i="94"/>
  <c r="Q11" i="94"/>
  <c r="Q6" i="94"/>
  <c r="Q13" i="94"/>
  <c r="Q23" i="94"/>
  <c r="Q16" i="94"/>
  <c r="Q5" i="94"/>
  <c r="Q22" i="94"/>
  <c r="Q19" i="94"/>
  <c r="Q8" i="94"/>
  <c r="Q7" i="94"/>
  <c r="Q10" i="94"/>
  <c r="Q9" i="94"/>
  <c r="Q21" i="94"/>
  <c r="Q18" i="94"/>
  <c r="Q15" i="94"/>
  <c r="Q12" i="94"/>
  <c r="X13" i="82"/>
  <c r="X12" i="82"/>
  <c r="X15" i="82"/>
  <c r="X18" i="82"/>
  <c r="P5" i="82"/>
  <c r="P9" i="82"/>
  <c r="P8" i="82"/>
  <c r="P11" i="82"/>
  <c r="P14" i="82"/>
  <c r="W22" i="95"/>
  <c r="W14" i="95"/>
  <c r="W15" i="95"/>
  <c r="W17" i="95"/>
  <c r="W18" i="95"/>
  <c r="W7" i="95"/>
  <c r="W20" i="95"/>
  <c r="W13" i="95"/>
  <c r="W10" i="95"/>
  <c r="W12" i="95"/>
  <c r="W23" i="95"/>
  <c r="W16" i="95"/>
  <c r="W9" i="95"/>
  <c r="W6" i="95"/>
  <c r="W8" i="95"/>
  <c r="W19" i="95"/>
  <c r="W21" i="95"/>
  <c r="W5" i="95"/>
  <c r="W11" i="95"/>
  <c r="Y10" i="94"/>
  <c r="Y13" i="94"/>
  <c r="Y23" i="94"/>
  <c r="Y16" i="94"/>
  <c r="Y11" i="94"/>
  <c r="Y6" i="94"/>
  <c r="Y22" i="94"/>
  <c r="Y19" i="94"/>
  <c r="Y12" i="94"/>
  <c r="Y21" i="94"/>
  <c r="Y18" i="94"/>
  <c r="Y15" i="94"/>
  <c r="Y8" i="94"/>
  <c r="Y5" i="94"/>
  <c r="Y7" i="94"/>
  <c r="Y17" i="94"/>
  <c r="Y14" i="94"/>
  <c r="Y20" i="94"/>
  <c r="Y9" i="94"/>
  <c r="AD21" i="95"/>
  <c r="AD7" i="95"/>
  <c r="AD17" i="95"/>
  <c r="AD5" i="95"/>
  <c r="AD11" i="95"/>
  <c r="AD14" i="95"/>
  <c r="AD20" i="95"/>
  <c r="AD23" i="95"/>
  <c r="AD16" i="95"/>
  <c r="AD6" i="95"/>
  <c r="AD10" i="95"/>
  <c r="AD22" i="95"/>
  <c r="AD19" i="95"/>
  <c r="AD12" i="95"/>
  <c r="AD8" i="95"/>
  <c r="AD13" i="95"/>
  <c r="AD18" i="95"/>
  <c r="AD15" i="95"/>
  <c r="AD9" i="95"/>
  <c r="P5" i="95"/>
  <c r="P19" i="95"/>
  <c r="P9" i="95"/>
  <c r="P21" i="95"/>
  <c r="P18" i="95"/>
  <c r="P7" i="95"/>
  <c r="P11" i="95"/>
  <c r="P15" i="95"/>
  <c r="P17" i="95"/>
  <c r="P14" i="95"/>
  <c r="P23" i="95"/>
  <c r="P20" i="95"/>
  <c r="P13" i="95"/>
  <c r="P16" i="95"/>
  <c r="P22" i="95"/>
  <c r="P8" i="95"/>
  <c r="P12" i="95"/>
  <c r="P6" i="95"/>
  <c r="P10" i="95"/>
  <c r="Q10" i="95"/>
  <c r="Q18" i="95"/>
  <c r="Q15" i="95"/>
  <c r="Q7" i="95"/>
  <c r="Q9" i="95"/>
  <c r="Q21" i="95"/>
  <c r="Q14" i="95"/>
  <c r="Q16" i="95"/>
  <c r="Q12" i="95"/>
  <c r="Q5" i="95"/>
  <c r="Q6" i="95"/>
  <c r="Q17" i="95"/>
  <c r="Q23" i="95"/>
  <c r="Q13" i="95"/>
  <c r="Q8" i="95"/>
  <c r="Q22" i="95"/>
  <c r="Q19" i="95"/>
  <c r="Q11" i="95"/>
  <c r="Q20" i="95"/>
  <c r="AE18" i="95"/>
  <c r="AE20" i="95"/>
  <c r="AE17" i="95"/>
  <c r="AE22" i="95"/>
  <c r="AE11" i="95"/>
  <c r="AE23" i="95"/>
  <c r="AE16" i="95"/>
  <c r="AE13" i="95"/>
  <c r="AE14" i="95"/>
  <c r="AE7" i="95"/>
  <c r="AE19" i="95"/>
  <c r="AE12" i="95"/>
  <c r="AE9" i="95"/>
  <c r="AE15" i="95"/>
  <c r="AE21" i="95"/>
  <c r="AE5" i="95"/>
  <c r="AE6" i="95"/>
  <c r="AE8" i="95"/>
  <c r="AE10" i="95"/>
  <c r="X9" i="94"/>
  <c r="X7" i="94"/>
  <c r="X11" i="94"/>
  <c r="X5" i="94"/>
  <c r="X6" i="94"/>
  <c r="X21" i="94"/>
  <c r="X18" i="94"/>
  <c r="X15" i="94"/>
  <c r="X8" i="94"/>
  <c r="X17" i="94"/>
  <c r="X14" i="94"/>
  <c r="X12" i="94"/>
  <c r="X10" i="94"/>
  <c r="X20" i="94"/>
  <c r="X13" i="94"/>
  <c r="X23" i="94"/>
  <c r="X16" i="94"/>
  <c r="X22" i="94"/>
  <c r="X19" i="94"/>
  <c r="O9" i="94"/>
  <c r="O6" i="94"/>
  <c r="O10" i="94"/>
  <c r="O5" i="94"/>
  <c r="O15" i="94"/>
  <c r="O17" i="94"/>
  <c r="O14" i="94"/>
  <c r="O12" i="94"/>
  <c r="O7" i="94"/>
  <c r="O20" i="94"/>
  <c r="O13" i="94"/>
  <c r="O11" i="94"/>
  <c r="O23" i="94"/>
  <c r="O16" i="94"/>
  <c r="O22" i="94"/>
  <c r="O19" i="94"/>
  <c r="O21" i="94"/>
  <c r="O18" i="94"/>
  <c r="O8" i="94"/>
  <c r="AF9" i="95"/>
  <c r="AF5" i="95"/>
  <c r="AF21" i="95"/>
  <c r="AF18" i="95"/>
  <c r="AF17" i="95"/>
  <c r="AF14" i="95"/>
  <c r="AF8" i="95"/>
  <c r="AF6" i="95"/>
  <c r="AF10" i="95"/>
  <c r="AF23" i="95"/>
  <c r="AF20" i="95"/>
  <c r="AF13" i="95"/>
  <c r="AF19" i="95"/>
  <c r="AF7" i="95"/>
  <c r="AF11" i="95"/>
  <c r="AF12" i="95"/>
  <c r="AF16" i="95"/>
  <c r="AF22" i="95"/>
  <c r="AF15" i="95"/>
  <c r="P13" i="82"/>
  <c r="P15" i="82"/>
  <c r="AE9" i="94"/>
  <c r="AE6" i="94"/>
  <c r="AE10" i="94"/>
  <c r="AE23" i="94"/>
  <c r="AE16" i="94"/>
  <c r="AE13" i="94"/>
  <c r="AE19" i="94"/>
  <c r="AE12" i="94"/>
  <c r="AE22" i="94"/>
  <c r="AE8" i="94"/>
  <c r="AE5" i="94"/>
  <c r="AE15" i="94"/>
  <c r="AE21" i="94"/>
  <c r="AE18" i="94"/>
  <c r="AE7" i="94"/>
  <c r="AE20" i="94"/>
  <c r="AE17" i="94"/>
  <c r="AE14" i="94"/>
  <c r="AE11" i="94"/>
  <c r="AF10" i="82"/>
  <c r="AF7" i="82"/>
  <c r="AF23" i="82"/>
  <c r="AF20" i="82"/>
  <c r="AF21" i="82"/>
  <c r="AF6" i="82"/>
  <c r="AF19" i="82"/>
  <c r="AF16" i="82"/>
  <c r="AF14" i="82"/>
  <c r="AF11" i="82"/>
  <c r="AF8" i="82"/>
  <c r="AF9" i="82"/>
  <c r="AF5" i="82"/>
  <c r="AF18" i="82"/>
  <c r="AF15" i="82"/>
  <c r="AF12" i="82"/>
  <c r="AF13" i="82"/>
  <c r="AF22" i="82"/>
  <c r="AF17" i="82"/>
  <c r="X5" i="82"/>
  <c r="X9" i="82"/>
  <c r="X8" i="82"/>
  <c r="X11" i="82"/>
  <c r="P21" i="82"/>
  <c r="P20" i="82"/>
  <c r="P23" i="82"/>
  <c r="P7" i="82"/>
  <c r="X9" i="95"/>
  <c r="X5" i="95"/>
  <c r="X21" i="95"/>
  <c r="X18" i="95"/>
  <c r="X8" i="95"/>
  <c r="X12" i="95"/>
  <c r="X6" i="95"/>
  <c r="X10" i="95"/>
  <c r="X19" i="95"/>
  <c r="X17" i="95"/>
  <c r="X14" i="95"/>
  <c r="X15" i="95"/>
  <c r="X7" i="95"/>
  <c r="X11" i="95"/>
  <c r="X20" i="95"/>
  <c r="X13" i="95"/>
  <c r="X16" i="95"/>
  <c r="X22" i="95"/>
  <c r="X23" i="95"/>
  <c r="Y20" i="95"/>
  <c r="Y13" i="95"/>
  <c r="Y22" i="95"/>
  <c r="Y19" i="95"/>
  <c r="Y16" i="95"/>
  <c r="Y5" i="95"/>
  <c r="Y10" i="95"/>
  <c r="Y6" i="95"/>
  <c r="Y18" i="95"/>
  <c r="Y15" i="95"/>
  <c r="Y12" i="95"/>
  <c r="Y21" i="95"/>
  <c r="Y14" i="95"/>
  <c r="Y11" i="95"/>
  <c r="Y8" i="95"/>
  <c r="Y17" i="95"/>
  <c r="Y23" i="95"/>
  <c r="Y7" i="95"/>
  <c r="Y9" i="95"/>
  <c r="AF9" i="94"/>
  <c r="AF11" i="94"/>
  <c r="AF5" i="94"/>
  <c r="AF7" i="94"/>
  <c r="AF21" i="94"/>
  <c r="AF18" i="94"/>
  <c r="AF15" i="94"/>
  <c r="AF6" i="94"/>
  <c r="AF20" i="94"/>
  <c r="AF17" i="94"/>
  <c r="AF14" i="94"/>
  <c r="AF8" i="94"/>
  <c r="AF16" i="94"/>
  <c r="AF13" i="94"/>
  <c r="AF23" i="94"/>
  <c r="AF10" i="94"/>
  <c r="AF12" i="94"/>
  <c r="AF22" i="94"/>
  <c r="AF19" i="94"/>
  <c r="P9" i="94"/>
  <c r="P7" i="94"/>
  <c r="P5" i="94"/>
  <c r="P11" i="94"/>
  <c r="P16" i="94"/>
  <c r="P22" i="94"/>
  <c r="P19" i="94"/>
  <c r="P12" i="94"/>
  <c r="P10" i="94"/>
  <c r="P21" i="94"/>
  <c r="P18" i="94"/>
  <c r="P15" i="94"/>
  <c r="P17" i="94"/>
  <c r="P14" i="94"/>
  <c r="P6" i="94"/>
  <c r="P20" i="94"/>
  <c r="P13" i="94"/>
  <c r="P23" i="94"/>
  <c r="P8" i="94"/>
  <c r="Q5" i="82"/>
  <c r="Q18" i="82"/>
  <c r="Q15" i="82"/>
  <c r="Q12" i="82"/>
  <c r="Q13" i="82"/>
  <c r="Q7" i="82"/>
  <c r="Q20" i="82"/>
  <c r="Q11" i="82"/>
  <c r="Q9" i="82"/>
  <c r="Q6" i="82"/>
  <c r="Q22" i="82"/>
  <c r="Q19" i="82"/>
  <c r="Q16" i="82"/>
  <c r="Q17" i="82"/>
  <c r="Q10" i="82"/>
  <c r="Q23" i="82"/>
  <c r="Q21" i="82"/>
  <c r="Q14" i="82"/>
  <c r="Q8" i="82"/>
  <c r="I6" i="82"/>
  <c r="F4" i="106"/>
  <c r="F7" i="90"/>
  <c r="F7" i="97"/>
  <c r="F7" i="92"/>
  <c r="F7" i="87"/>
  <c r="F7" i="104"/>
  <c r="F7" i="102"/>
  <c r="F5" i="106"/>
  <c r="F8" i="102"/>
  <c r="D32" i="105"/>
  <c r="F31" i="105"/>
  <c r="D31" i="103"/>
  <c r="F30" i="103"/>
  <c r="F4" i="101"/>
  <c r="D32" i="98"/>
  <c r="F31" i="98"/>
  <c r="H10" i="94"/>
  <c r="H15" i="94"/>
  <c r="H7" i="94"/>
  <c r="H13" i="94"/>
  <c r="H8" i="94"/>
  <c r="H6" i="94"/>
  <c r="H12" i="94"/>
  <c r="H17" i="94"/>
  <c r="H5" i="94"/>
  <c r="H23" i="94"/>
  <c r="I16" i="82"/>
  <c r="H14" i="94"/>
  <c r="H18" i="94"/>
  <c r="H11" i="94"/>
  <c r="H9" i="94"/>
  <c r="H19" i="94"/>
  <c r="H22" i="94"/>
  <c r="I17" i="82"/>
  <c r="I19" i="82"/>
  <c r="I22" i="82"/>
  <c r="J22" i="94"/>
  <c r="H16" i="94"/>
  <c r="H20" i="94"/>
  <c r="J12" i="94"/>
  <c r="J6" i="94"/>
  <c r="J21" i="94"/>
  <c r="J19" i="94"/>
  <c r="J5" i="94"/>
  <c r="J10" i="94"/>
  <c r="J16" i="94"/>
  <c r="J23" i="94"/>
  <c r="H20" i="95"/>
  <c r="H16" i="95"/>
  <c r="H21" i="95"/>
  <c r="H17" i="95"/>
  <c r="H13" i="95"/>
  <c r="H22" i="95"/>
  <c r="H18" i="95"/>
  <c r="H14" i="95"/>
  <c r="H10" i="95"/>
  <c r="H6" i="95"/>
  <c r="H19" i="95"/>
  <c r="H11" i="95"/>
  <c r="H7" i="95"/>
  <c r="H12" i="95"/>
  <c r="H8" i="95"/>
  <c r="H5" i="95"/>
  <c r="H23" i="95"/>
  <c r="H15" i="95"/>
  <c r="H9" i="95"/>
  <c r="J9" i="94"/>
  <c r="J7" i="94"/>
  <c r="J13" i="94"/>
  <c r="J20" i="94"/>
  <c r="J14" i="94"/>
  <c r="J8" i="94"/>
  <c r="J11" i="94"/>
  <c r="J17" i="94"/>
  <c r="J15" i="94"/>
  <c r="J22" i="95"/>
  <c r="J18" i="95"/>
  <c r="J14" i="95"/>
  <c r="J23" i="95"/>
  <c r="J19" i="95"/>
  <c r="J15" i="95"/>
  <c r="J20" i="95"/>
  <c r="J16" i="95"/>
  <c r="J12" i="95"/>
  <c r="J8" i="95"/>
  <c r="J17" i="95"/>
  <c r="J9" i="95"/>
  <c r="J10" i="95"/>
  <c r="J6" i="95"/>
  <c r="J21" i="95"/>
  <c r="J11" i="95"/>
  <c r="J13" i="95"/>
  <c r="J7" i="95"/>
  <c r="J5" i="95"/>
  <c r="I13" i="82"/>
  <c r="I12" i="82"/>
  <c r="I15" i="82"/>
  <c r="I18" i="82"/>
  <c r="I5" i="82"/>
  <c r="I9" i="82"/>
  <c r="I8" i="82"/>
  <c r="I11" i="82"/>
  <c r="I14" i="82"/>
  <c r="I21" i="82"/>
  <c r="I20" i="82"/>
  <c r="I23" i="82"/>
  <c r="I7" i="82"/>
  <c r="I21" i="94"/>
  <c r="I17" i="94"/>
  <c r="I13" i="94"/>
  <c r="I22" i="94"/>
  <c r="I18" i="94"/>
  <c r="I14" i="94"/>
  <c r="I23" i="94"/>
  <c r="I19" i="94"/>
  <c r="I15" i="94"/>
  <c r="I20" i="94"/>
  <c r="I16" i="94"/>
  <c r="I9" i="94"/>
  <c r="I5" i="94"/>
  <c r="I10" i="94"/>
  <c r="I6" i="94"/>
  <c r="I11" i="94"/>
  <c r="I7" i="94"/>
  <c r="I12" i="94"/>
  <c r="I8" i="94"/>
  <c r="F8" i="92"/>
  <c r="D31" i="93"/>
  <c r="F30" i="93"/>
  <c r="F30" i="58"/>
  <c r="D31" i="58"/>
  <c r="F31" i="61"/>
  <c r="D32" i="61"/>
  <c r="D31" i="65"/>
  <c r="F30" i="65"/>
  <c r="F31" i="91"/>
  <c r="D32" i="91"/>
  <c r="D31" i="86"/>
  <c r="F30" i="86"/>
  <c r="J5" i="82"/>
  <c r="J6" i="82"/>
  <c r="J10" i="82"/>
  <c r="J14" i="82"/>
  <c r="J18" i="82"/>
  <c r="J22" i="82"/>
  <c r="J8" i="82"/>
  <c r="J12" i="82"/>
  <c r="J16" i="82"/>
  <c r="J20" i="82"/>
  <c r="J9" i="82"/>
  <c r="J13" i="82"/>
  <c r="J17" i="82"/>
  <c r="J21" i="82"/>
  <c r="J7" i="82"/>
  <c r="J11" i="82"/>
  <c r="J15" i="82"/>
  <c r="J19" i="82"/>
  <c r="J23" i="82"/>
  <c r="H5" i="82"/>
  <c r="H6" i="82"/>
  <c r="H10" i="82"/>
  <c r="H14" i="82"/>
  <c r="H18" i="82"/>
  <c r="H22" i="82"/>
  <c r="H11" i="82"/>
  <c r="H15" i="82"/>
  <c r="H19" i="82"/>
  <c r="H23" i="82"/>
  <c r="H7" i="82"/>
  <c r="H8" i="82"/>
  <c r="H12" i="82"/>
  <c r="H16" i="82"/>
  <c r="H20" i="82"/>
  <c r="H9" i="82"/>
  <c r="H13" i="82"/>
  <c r="H17" i="82"/>
  <c r="H21" i="82"/>
  <c r="D18" i="10"/>
  <c r="D19" i="10" s="1"/>
  <c r="S3" i="111" l="1"/>
  <c r="R3" i="111" s="1"/>
  <c r="V3" i="111" s="1"/>
  <c r="N3" i="111"/>
  <c r="P3" i="111" s="1"/>
  <c r="G4" i="112" s="1"/>
  <c r="H4" i="112" s="1"/>
  <c r="F31" i="112"/>
  <c r="D32" i="112"/>
  <c r="S3" i="89"/>
  <c r="R3" i="89" s="1"/>
  <c r="I26" i="87"/>
  <c r="Q231" i="111"/>
  <c r="U231" i="111" s="1"/>
  <c r="N3" i="89"/>
  <c r="P3" i="89" s="1"/>
  <c r="O30" i="89"/>
  <c r="O30" i="111"/>
  <c r="I16" i="87"/>
  <c r="Q111" i="111"/>
  <c r="U111" i="111" s="1"/>
  <c r="D32" i="110"/>
  <c r="F31" i="110"/>
  <c r="I26" i="97"/>
  <c r="I16" i="97"/>
  <c r="I26" i="92"/>
  <c r="J4" i="100"/>
  <c r="E77" i="61"/>
  <c r="E78" i="61" s="1"/>
  <c r="E79" i="61" s="1"/>
  <c r="E80" i="61" s="1"/>
  <c r="E81" i="61" s="1"/>
  <c r="E82" i="61" s="1"/>
  <c r="E83" i="61" s="1"/>
  <c r="E84" i="61" s="1"/>
  <c r="E85" i="61" s="1"/>
  <c r="E86" i="61" s="1"/>
  <c r="E87" i="61" s="1"/>
  <c r="E89" i="61" s="1"/>
  <c r="E90" i="61" s="1"/>
  <c r="E91" i="61" s="1"/>
  <c r="E92" i="61" s="1"/>
  <c r="E93" i="61" s="1"/>
  <c r="E94" i="61" s="1"/>
  <c r="E95" i="61" s="1"/>
  <c r="E96" i="61" s="1"/>
  <c r="E97" i="61" s="1"/>
  <c r="E98" i="61" s="1"/>
  <c r="E99" i="61" s="1"/>
  <c r="E101" i="61" s="1"/>
  <c r="E102" i="61" s="1"/>
  <c r="E103" i="61" s="1"/>
  <c r="E104" i="61" s="1"/>
  <c r="E105" i="61" s="1"/>
  <c r="E106" i="61" s="1"/>
  <c r="E107" i="61" s="1"/>
  <c r="E108" i="61" s="1"/>
  <c r="E109" i="61" s="1"/>
  <c r="E110" i="61" s="1"/>
  <c r="E111" i="61" s="1"/>
  <c r="E113" i="61" s="1"/>
  <c r="E114" i="61" s="1"/>
  <c r="E115" i="61" s="1"/>
  <c r="E116" i="61" s="1"/>
  <c r="E117" i="61" s="1"/>
  <c r="E118" i="61" s="1"/>
  <c r="E119" i="61" s="1"/>
  <c r="E120" i="61" s="1"/>
  <c r="E121" i="61" s="1"/>
  <c r="E122" i="61" s="1"/>
  <c r="E123" i="61" s="1"/>
  <c r="E125" i="61" s="1"/>
  <c r="E126" i="61" s="1"/>
  <c r="E127" i="61" s="1"/>
  <c r="E128" i="61" s="1"/>
  <c r="E129" i="61" s="1"/>
  <c r="E130" i="61" s="1"/>
  <c r="E131" i="61" s="1"/>
  <c r="E132" i="61" s="1"/>
  <c r="E133" i="61" s="1"/>
  <c r="E134" i="61" s="1"/>
  <c r="E135" i="61" s="1"/>
  <c r="E136" i="61" s="1"/>
  <c r="E137" i="61" s="1"/>
  <c r="E138" i="61" s="1"/>
  <c r="E139" i="61" s="1"/>
  <c r="E140" i="61" s="1"/>
  <c r="E141" i="61" s="1"/>
  <c r="E142" i="61" s="1"/>
  <c r="E143" i="61" s="1"/>
  <c r="E144" i="61" s="1"/>
  <c r="E145" i="61" s="1"/>
  <c r="E146" i="61" s="1"/>
  <c r="E147" i="61" s="1"/>
  <c r="E148" i="61" s="1"/>
  <c r="E149" i="61" s="1"/>
  <c r="E150" i="61" s="1"/>
  <c r="E151" i="61" s="1"/>
  <c r="E152" i="61" s="1"/>
  <c r="E153" i="61" s="1"/>
  <c r="E154" i="61" s="1"/>
  <c r="E155" i="61" s="1"/>
  <c r="E156" i="61" s="1"/>
  <c r="E157" i="61" s="1"/>
  <c r="E158" i="61" s="1"/>
  <c r="E159" i="61" s="1"/>
  <c r="E160" i="61" s="1"/>
  <c r="E161" i="61" s="1"/>
  <c r="E162" i="61" s="1"/>
  <c r="E163" i="61" s="1"/>
  <c r="E164" i="61" s="1"/>
  <c r="E165" i="61" s="1"/>
  <c r="E166" i="61" s="1"/>
  <c r="E167" i="61" s="1"/>
  <c r="E168" i="61" s="1"/>
  <c r="E169" i="61" s="1"/>
  <c r="E170" i="61" s="1"/>
  <c r="E171" i="61" s="1"/>
  <c r="E172" i="61" s="1"/>
  <c r="E173" i="61" s="1"/>
  <c r="E174" i="61" s="1"/>
  <c r="E175" i="61" s="1"/>
  <c r="E176" i="61" s="1"/>
  <c r="E177" i="61" s="1"/>
  <c r="E178" i="61" s="1"/>
  <c r="E179" i="61" s="1"/>
  <c r="E180" i="61" s="1"/>
  <c r="E181" i="61" s="1"/>
  <c r="E182" i="61" s="1"/>
  <c r="E183" i="61" s="1"/>
  <c r="E184" i="61" s="1"/>
  <c r="E185" i="61" s="1"/>
  <c r="E186" i="61" s="1"/>
  <c r="E187" i="61" s="1"/>
  <c r="E188" i="61" s="1"/>
  <c r="E189" i="61" s="1"/>
  <c r="E190" i="61" s="1"/>
  <c r="E191" i="61" s="1"/>
  <c r="E192" i="61" s="1"/>
  <c r="E193" i="61" s="1"/>
  <c r="E194" i="61" s="1"/>
  <c r="E195" i="61" s="1"/>
  <c r="E196" i="61" s="1"/>
  <c r="E197" i="61" s="1"/>
  <c r="E198" i="61" s="1"/>
  <c r="E199" i="61" s="1"/>
  <c r="E200" i="61" s="1"/>
  <c r="E201" i="61" s="1"/>
  <c r="E202" i="61" s="1"/>
  <c r="E203" i="61" s="1"/>
  <c r="E204" i="61" s="1"/>
  <c r="E205" i="61" s="1"/>
  <c r="E206" i="61" s="1"/>
  <c r="E207" i="61" s="1"/>
  <c r="E208" i="61" s="1"/>
  <c r="E209" i="61" s="1"/>
  <c r="E210" i="61" s="1"/>
  <c r="E211" i="61" s="1"/>
  <c r="E212" i="61" s="1"/>
  <c r="E213" i="61" s="1"/>
  <c r="E214" i="61" s="1"/>
  <c r="E215" i="61" s="1"/>
  <c r="E216" i="61" s="1"/>
  <c r="E217" i="61" s="1"/>
  <c r="E218" i="61" s="1"/>
  <c r="E219" i="61" s="1"/>
  <c r="E220" i="61" s="1"/>
  <c r="E221" i="61" s="1"/>
  <c r="E222" i="61" s="1"/>
  <c r="E223" i="61" s="1"/>
  <c r="E224" i="61" s="1"/>
  <c r="E225" i="61" s="1"/>
  <c r="E226" i="61" s="1"/>
  <c r="E227" i="61" s="1"/>
  <c r="E228" i="61" s="1"/>
  <c r="E229" i="61" s="1"/>
  <c r="E230" i="61" s="1"/>
  <c r="E231" i="61" s="1"/>
  <c r="E232" i="61" s="1"/>
  <c r="E233" i="61" s="1"/>
  <c r="E234" i="61" s="1"/>
  <c r="E235" i="61" s="1"/>
  <c r="E236" i="61" s="1"/>
  <c r="E237" i="61" s="1"/>
  <c r="E238" i="61" s="1"/>
  <c r="E239" i="61" s="1"/>
  <c r="E240" i="61" s="1"/>
  <c r="E241" i="61" s="1"/>
  <c r="E242" i="61" s="1"/>
  <c r="E243" i="61" s="1"/>
  <c r="R3" i="60"/>
  <c r="Q3" i="60" s="1"/>
  <c r="G4" i="65" s="1"/>
  <c r="H4" i="65" s="1"/>
  <c r="J4" i="65" s="1"/>
  <c r="I16" i="104"/>
  <c r="I26" i="102"/>
  <c r="I26" i="104"/>
  <c r="Q231" i="89"/>
  <c r="U231" i="89" s="1"/>
  <c r="Q111" i="89"/>
  <c r="U111" i="89" s="1"/>
  <c r="I16" i="92"/>
  <c r="J5" i="106"/>
  <c r="K4" i="106"/>
  <c r="M4" i="106" s="1"/>
  <c r="F8" i="90"/>
  <c r="F8" i="97"/>
  <c r="F9" i="92"/>
  <c r="F8" i="87"/>
  <c r="F8" i="104"/>
  <c r="F9" i="102"/>
  <c r="F6" i="106"/>
  <c r="F32" i="105"/>
  <c r="D33" i="105"/>
  <c r="D32" i="103"/>
  <c r="F31" i="103"/>
  <c r="F5" i="100"/>
  <c r="J5" i="100" s="1"/>
  <c r="E64" i="10"/>
  <c r="S22" i="95"/>
  <c r="S17" i="95"/>
  <c r="S14" i="95"/>
  <c r="S11" i="95"/>
  <c r="S23" i="94"/>
  <c r="G23" i="106" s="1"/>
  <c r="S19" i="94"/>
  <c r="G19" i="106" s="1"/>
  <c r="S15" i="94"/>
  <c r="G15" i="106" s="1"/>
  <c r="S23" i="95"/>
  <c r="S18" i="95"/>
  <c r="S15" i="95"/>
  <c r="S6" i="95"/>
  <c r="S17" i="94"/>
  <c r="G17" i="106" s="1"/>
  <c r="S8" i="94"/>
  <c r="G8" i="101" s="1"/>
  <c r="S4" i="94"/>
  <c r="S19" i="95"/>
  <c r="S8" i="95"/>
  <c r="S5" i="95"/>
  <c r="AH5" i="95" s="1"/>
  <c r="AI5" i="95" s="1"/>
  <c r="S20" i="94"/>
  <c r="G20" i="106" s="1"/>
  <c r="S16" i="94"/>
  <c r="G16" i="101" s="1"/>
  <c r="S12" i="94"/>
  <c r="G12" i="101" s="1"/>
  <c r="S5" i="94"/>
  <c r="G5" i="106" s="1"/>
  <c r="S21" i="95"/>
  <c r="S16" i="95"/>
  <c r="S13" i="95"/>
  <c r="S10" i="95"/>
  <c r="S9" i="95"/>
  <c r="S7" i="95"/>
  <c r="S4" i="95"/>
  <c r="AH4" i="95" s="1"/>
  <c r="AI4" i="95" s="1"/>
  <c r="G7" i="62" s="1"/>
  <c r="G7" i="66" s="1"/>
  <c r="S22" i="94"/>
  <c r="G22" i="106" s="1"/>
  <c r="S18" i="94"/>
  <c r="G18" i="101" s="1"/>
  <c r="S14" i="94"/>
  <c r="G14" i="101" s="1"/>
  <c r="S9" i="94"/>
  <c r="G9" i="106" s="1"/>
  <c r="S7" i="94"/>
  <c r="G7" i="106" s="1"/>
  <c r="S6" i="94"/>
  <c r="G6" i="101" s="1"/>
  <c r="S20" i="95"/>
  <c r="S12" i="95"/>
  <c r="S21" i="94"/>
  <c r="G21" i="106" s="1"/>
  <c r="S13" i="94"/>
  <c r="G13" i="101" s="1"/>
  <c r="S11" i="94"/>
  <c r="G11" i="106" s="1"/>
  <c r="S10" i="94"/>
  <c r="G10" i="106" s="1"/>
  <c r="J4" i="101"/>
  <c r="F5" i="101"/>
  <c r="F6" i="100"/>
  <c r="J6" i="100" s="1"/>
  <c r="F32" i="98"/>
  <c r="D33" i="98"/>
  <c r="D32" i="93"/>
  <c r="F31" i="93"/>
  <c r="F31" i="58"/>
  <c r="D32" i="58"/>
  <c r="F32" i="61"/>
  <c r="D33" i="61"/>
  <c r="D32" i="65"/>
  <c r="F31" i="65"/>
  <c r="D33" i="91"/>
  <c r="F32" i="91"/>
  <c r="D32" i="86"/>
  <c r="F31" i="86"/>
  <c r="S20" i="82"/>
  <c r="AH20" i="82" s="1"/>
  <c r="S14" i="82"/>
  <c r="AH14" i="82" s="1"/>
  <c r="S10" i="82"/>
  <c r="AH10" i="82" s="1"/>
  <c r="S23" i="82"/>
  <c r="AH23" i="82" s="1"/>
  <c r="S21" i="82"/>
  <c r="AH21" i="82" s="1"/>
  <c r="S19" i="82"/>
  <c r="AH19" i="82" s="1"/>
  <c r="S17" i="82"/>
  <c r="AH17" i="82" s="1"/>
  <c r="S15" i="82"/>
  <c r="AH15" i="82" s="1"/>
  <c r="S13" i="82"/>
  <c r="AH13" i="82" s="1"/>
  <c r="S11" i="82"/>
  <c r="AH11" i="82" s="1"/>
  <c r="S9" i="82"/>
  <c r="AH9" i="82" s="1"/>
  <c r="S7" i="82"/>
  <c r="AH7" i="82" s="1"/>
  <c r="S5" i="82"/>
  <c r="AH5" i="82" s="1"/>
  <c r="S4" i="82"/>
  <c r="G4" i="75" s="1"/>
  <c r="S22" i="82"/>
  <c r="AH22" i="82" s="1"/>
  <c r="S18" i="82"/>
  <c r="AH18" i="82" s="1"/>
  <c r="S16" i="82"/>
  <c r="AH16" i="82" s="1"/>
  <c r="S12" i="82"/>
  <c r="AH12" i="82" s="1"/>
  <c r="S8" i="82"/>
  <c r="AH8" i="82" s="1"/>
  <c r="S6" i="82"/>
  <c r="AH6" i="82" s="1"/>
  <c r="J45" i="2"/>
  <c r="G5" i="101" l="1"/>
  <c r="G9" i="101"/>
  <c r="G15" i="101"/>
  <c r="G17" i="101"/>
  <c r="G11" i="101"/>
  <c r="G9" i="75"/>
  <c r="G10" i="101"/>
  <c r="G7" i="101"/>
  <c r="G10" i="75"/>
  <c r="G16" i="75"/>
  <c r="G8" i="106"/>
  <c r="G18" i="106"/>
  <c r="G6" i="106"/>
  <c r="G16" i="106"/>
  <c r="G12" i="106"/>
  <c r="G13" i="106"/>
  <c r="G14" i="106"/>
  <c r="G20" i="75"/>
  <c r="G17" i="75"/>
  <c r="G4" i="101"/>
  <c r="G4" i="106"/>
  <c r="G6" i="75"/>
  <c r="G7" i="75"/>
  <c r="G22" i="75"/>
  <c r="G22" i="76" s="1"/>
  <c r="G22" i="100" s="1"/>
  <c r="G14" i="75"/>
  <c r="G12" i="75"/>
  <c r="G21" i="75"/>
  <c r="G15" i="75"/>
  <c r="G15" i="76" s="1"/>
  <c r="G15" i="100" s="1"/>
  <c r="G13" i="75"/>
  <c r="G11" i="75"/>
  <c r="G11" i="76" s="1"/>
  <c r="G11" i="100" s="1"/>
  <c r="G5" i="75"/>
  <c r="G23" i="75"/>
  <c r="G23" i="76" s="1"/>
  <c r="G23" i="100" s="1"/>
  <c r="G8" i="75"/>
  <c r="G8" i="76" s="1"/>
  <c r="G8" i="100" s="1"/>
  <c r="G18" i="75"/>
  <c r="G19" i="75"/>
  <c r="G19" i="76" s="1"/>
  <c r="G19" i="100" s="1"/>
  <c r="AH4" i="82"/>
  <c r="AI4" i="82" s="1"/>
  <c r="AI5" i="82" s="1"/>
  <c r="AI6" i="82" s="1"/>
  <c r="AI7" i="82" s="1"/>
  <c r="AI8" i="82" s="1"/>
  <c r="AI9" i="82" s="1"/>
  <c r="AI10" i="82" s="1"/>
  <c r="AI11" i="82" s="1"/>
  <c r="AI12" i="82" s="1"/>
  <c r="AI13" i="82" s="1"/>
  <c r="AI14" i="82" s="1"/>
  <c r="AI15" i="82" s="1"/>
  <c r="AI16" i="82" s="1"/>
  <c r="AI17" i="82" s="1"/>
  <c r="AI18" i="82" s="1"/>
  <c r="AI19" i="82" s="1"/>
  <c r="AI20" i="82" s="1"/>
  <c r="AI21" i="82" s="1"/>
  <c r="AI22" i="82" s="1"/>
  <c r="AI23" i="82" s="1"/>
  <c r="G8" i="104"/>
  <c r="G8" i="62"/>
  <c r="G7" i="102"/>
  <c r="G7" i="104"/>
  <c r="G8" i="90"/>
  <c r="G8" i="102"/>
  <c r="G7" i="87"/>
  <c r="G7" i="90"/>
  <c r="G8" i="55"/>
  <c r="G8" i="87"/>
  <c r="G7" i="108"/>
  <c r="G7" i="55"/>
  <c r="G7" i="59" s="1"/>
  <c r="G8" i="109"/>
  <c r="G8" i="108"/>
  <c r="AJ4" i="95"/>
  <c r="G7" i="109"/>
  <c r="G6" i="76"/>
  <c r="G6" i="100" s="1"/>
  <c r="G9" i="76"/>
  <c r="G9" i="100" s="1"/>
  <c r="D33" i="112"/>
  <c r="F32" i="112"/>
  <c r="T3" i="111"/>
  <c r="N4" i="111" s="1"/>
  <c r="P4" i="111" s="1"/>
  <c r="G5" i="112" s="1"/>
  <c r="H5" i="112" s="1"/>
  <c r="G4" i="110"/>
  <c r="H4" i="110" s="1"/>
  <c r="S4" i="111"/>
  <c r="R4" i="111" s="1"/>
  <c r="V4" i="111" s="1"/>
  <c r="O31" i="89"/>
  <c r="O31" i="111"/>
  <c r="G4" i="103"/>
  <c r="H4" i="103" s="1"/>
  <c r="J4" i="103" s="1"/>
  <c r="D33" i="110"/>
  <c r="F32" i="110"/>
  <c r="AH6" i="95"/>
  <c r="AI6" i="95" s="1"/>
  <c r="AH5" i="94"/>
  <c r="AH4" i="94"/>
  <c r="AH6" i="94"/>
  <c r="K5" i="106"/>
  <c r="M5" i="106" s="1"/>
  <c r="J6" i="106"/>
  <c r="J4" i="106"/>
  <c r="F9" i="90"/>
  <c r="F9" i="97"/>
  <c r="F10" i="92"/>
  <c r="F9" i="87"/>
  <c r="F9" i="104"/>
  <c r="F7" i="106"/>
  <c r="G4" i="98"/>
  <c r="G4" i="105"/>
  <c r="H4" i="105" s="1"/>
  <c r="D34" i="105"/>
  <c r="F33" i="105"/>
  <c r="K5" i="100"/>
  <c r="M5" i="100" s="1"/>
  <c r="D33" i="103"/>
  <c r="F32" i="103"/>
  <c r="K4" i="101"/>
  <c r="M4" i="101" s="1"/>
  <c r="J5" i="101"/>
  <c r="F6" i="101"/>
  <c r="F7" i="100"/>
  <c r="J7" i="100" s="1"/>
  <c r="K6" i="100"/>
  <c r="M6" i="100" s="1"/>
  <c r="D34" i="98"/>
  <c r="F33" i="98"/>
  <c r="G4" i="93"/>
  <c r="AH7" i="95"/>
  <c r="AI7" i="95" s="1"/>
  <c r="G4" i="86"/>
  <c r="D33" i="93"/>
  <c r="F32" i="93"/>
  <c r="D33" i="58"/>
  <c r="F32" i="58"/>
  <c r="F33" i="61"/>
  <c r="D34" i="61"/>
  <c r="D33" i="65"/>
  <c r="F32" i="65"/>
  <c r="V3" i="89"/>
  <c r="G4" i="91"/>
  <c r="D34" i="91"/>
  <c r="F33" i="91"/>
  <c r="D33" i="86"/>
  <c r="F32" i="86"/>
  <c r="G16" i="76"/>
  <c r="G16" i="100" s="1"/>
  <c r="G21" i="76"/>
  <c r="G21" i="100" s="1"/>
  <c r="G18" i="76"/>
  <c r="G18" i="100" s="1"/>
  <c r="G4" i="76"/>
  <c r="G4" i="100" s="1"/>
  <c r="G20" i="76"/>
  <c r="G20" i="100" s="1"/>
  <c r="G17" i="76"/>
  <c r="G17" i="100" s="1"/>
  <c r="G14" i="76"/>
  <c r="G14" i="100" s="1"/>
  <c r="K44" i="2"/>
  <c r="AJ5" i="95" l="1"/>
  <c r="AJ6" i="95" s="1"/>
  <c r="AJ7" i="95" s="1"/>
  <c r="G10" i="104"/>
  <c r="G10" i="62"/>
  <c r="G10" i="66" s="1"/>
  <c r="G9" i="104"/>
  <c r="G9" i="62"/>
  <c r="G9" i="66" s="1"/>
  <c r="G10" i="90"/>
  <c r="G10" i="102"/>
  <c r="G9" i="90"/>
  <c r="G9" i="102"/>
  <c r="G7" i="92"/>
  <c r="G7" i="97" s="1"/>
  <c r="G9" i="55"/>
  <c r="G9" i="87"/>
  <c r="G10" i="55"/>
  <c r="G10" i="87"/>
  <c r="G9" i="109"/>
  <c r="G9" i="108"/>
  <c r="G10" i="109"/>
  <c r="G10" i="108"/>
  <c r="G8" i="66"/>
  <c r="G7" i="76"/>
  <c r="G7" i="100" s="1"/>
  <c r="G10" i="76"/>
  <c r="G10" i="100" s="1"/>
  <c r="G5" i="76"/>
  <c r="G5" i="100" s="1"/>
  <c r="G13" i="76"/>
  <c r="G13" i="100" s="1"/>
  <c r="G12" i="76"/>
  <c r="G12" i="100" s="1"/>
  <c r="D34" i="112"/>
  <c r="F33" i="112"/>
  <c r="J4" i="112"/>
  <c r="T4" i="111"/>
  <c r="N5" i="111" s="1"/>
  <c r="P5" i="111" s="1"/>
  <c r="G6" i="112" s="1"/>
  <c r="H6" i="112" s="1"/>
  <c r="G5" i="110"/>
  <c r="S5" i="111"/>
  <c r="R5" i="111" s="1"/>
  <c r="V5" i="111" s="1"/>
  <c r="O32" i="89"/>
  <c r="O32" i="111"/>
  <c r="D34" i="110"/>
  <c r="F33" i="110"/>
  <c r="AH7" i="94"/>
  <c r="K6" i="106"/>
  <c r="M6" i="106" s="1"/>
  <c r="H4" i="98"/>
  <c r="J4" i="98" s="1"/>
  <c r="J7" i="106"/>
  <c r="F10" i="90"/>
  <c r="F10" i="97"/>
  <c r="F11" i="92"/>
  <c r="F10" i="87"/>
  <c r="F10" i="104"/>
  <c r="F10" i="102"/>
  <c r="F11" i="102"/>
  <c r="F8" i="106"/>
  <c r="D35" i="105"/>
  <c r="F34" i="105"/>
  <c r="D34" i="103"/>
  <c r="F33" i="103"/>
  <c r="K5" i="101"/>
  <c r="M5" i="101" s="1"/>
  <c r="J6" i="101"/>
  <c r="F7" i="101"/>
  <c r="H4" i="86"/>
  <c r="J4" i="86" s="1"/>
  <c r="H4" i="91"/>
  <c r="J4" i="91" s="1"/>
  <c r="H4" i="93"/>
  <c r="J4" i="93" s="1"/>
  <c r="K7" i="100"/>
  <c r="M7" i="100" s="1"/>
  <c r="F8" i="100"/>
  <c r="J8" i="100" s="1"/>
  <c r="D35" i="98"/>
  <c r="F34" i="98"/>
  <c r="D34" i="93"/>
  <c r="F33" i="93"/>
  <c r="F33" i="58"/>
  <c r="D34" i="58"/>
  <c r="F34" i="61"/>
  <c r="D35" i="61"/>
  <c r="D34" i="65"/>
  <c r="F33" i="65"/>
  <c r="D35" i="91"/>
  <c r="F34" i="91"/>
  <c r="D34" i="86"/>
  <c r="F33" i="86"/>
  <c r="C2" i="10"/>
  <c r="G8" i="59" l="1"/>
  <c r="G8" i="92"/>
  <c r="G8" i="97" s="1"/>
  <c r="G10" i="59"/>
  <c r="G10" i="92"/>
  <c r="G10" i="97" s="1"/>
  <c r="G9" i="59"/>
  <c r="G9" i="92"/>
  <c r="G9" i="97" s="1"/>
  <c r="J5" i="112"/>
  <c r="D35" i="112"/>
  <c r="F34" i="112"/>
  <c r="T5" i="111"/>
  <c r="N6" i="111" s="1"/>
  <c r="P6" i="111" s="1"/>
  <c r="G7" i="112" s="1"/>
  <c r="H7" i="112" s="1"/>
  <c r="G6" i="110"/>
  <c r="S6" i="111"/>
  <c r="R6" i="111" s="1"/>
  <c r="V6" i="111" s="1"/>
  <c r="O33" i="89"/>
  <c r="O33" i="111"/>
  <c r="J4" i="110"/>
  <c r="D35" i="110"/>
  <c r="F34" i="110"/>
  <c r="AH8" i="95"/>
  <c r="AI8" i="95" s="1"/>
  <c r="G11" i="62" s="1"/>
  <c r="G11" i="66" s="1"/>
  <c r="AH8" i="94"/>
  <c r="K7" i="106"/>
  <c r="M7" i="106" s="1"/>
  <c r="J8" i="106"/>
  <c r="F11" i="90"/>
  <c r="F11" i="97"/>
  <c r="F11" i="87"/>
  <c r="F11" i="104"/>
  <c r="F12" i="102"/>
  <c r="F9" i="106"/>
  <c r="J4" i="105"/>
  <c r="D36" i="105"/>
  <c r="F35" i="105"/>
  <c r="D35" i="103"/>
  <c r="F34" i="103"/>
  <c r="J7" i="101"/>
  <c r="K6" i="101"/>
  <c r="M6" i="101" s="1"/>
  <c r="F8" i="101"/>
  <c r="K8" i="100"/>
  <c r="M8" i="100" s="1"/>
  <c r="F9" i="100"/>
  <c r="J9" i="100" s="1"/>
  <c r="D36" i="98"/>
  <c r="F35" i="98"/>
  <c r="D35" i="93"/>
  <c r="F34" i="93"/>
  <c r="D35" i="58"/>
  <c r="F34" i="58"/>
  <c r="F35" i="61"/>
  <c r="D36" i="61"/>
  <c r="D35" i="65"/>
  <c r="F34" i="65"/>
  <c r="D36" i="91"/>
  <c r="F35" i="91"/>
  <c r="D35" i="86"/>
  <c r="F34" i="86"/>
  <c r="G11" i="102" l="1"/>
  <c r="G11" i="104"/>
  <c r="G11" i="87"/>
  <c r="G11" i="90"/>
  <c r="G11" i="108"/>
  <c r="G11" i="55"/>
  <c r="AJ8" i="95"/>
  <c r="G11" i="109"/>
  <c r="J6" i="112"/>
  <c r="F35" i="112"/>
  <c r="D36" i="112"/>
  <c r="T6" i="111"/>
  <c r="N7" i="111" s="1"/>
  <c r="P7" i="111" s="1"/>
  <c r="G8" i="112" s="1"/>
  <c r="H8" i="112" s="1"/>
  <c r="G7" i="110"/>
  <c r="S7" i="111"/>
  <c r="R7" i="111" s="1"/>
  <c r="V7" i="111" s="1"/>
  <c r="O34" i="89"/>
  <c r="O34" i="111"/>
  <c r="D36" i="110"/>
  <c r="F35" i="110"/>
  <c r="AH9" i="95"/>
  <c r="AI9" i="95" s="1"/>
  <c r="G12" i="62" s="1"/>
  <c r="G12" i="66" s="1"/>
  <c r="AH9" i="94"/>
  <c r="K8" i="106"/>
  <c r="M8" i="106" s="1"/>
  <c r="J9" i="106"/>
  <c r="F12" i="90"/>
  <c r="F12" i="97"/>
  <c r="F12" i="92"/>
  <c r="F13" i="92"/>
  <c r="F12" i="87"/>
  <c r="F12" i="104"/>
  <c r="F13" i="102"/>
  <c r="K9" i="106"/>
  <c r="M9" i="106" s="1"/>
  <c r="F10" i="106"/>
  <c r="D37" i="105"/>
  <c r="F36" i="105"/>
  <c r="D36" i="103"/>
  <c r="F35" i="103"/>
  <c r="K7" i="101"/>
  <c r="M7" i="101" s="1"/>
  <c r="J8" i="101"/>
  <c r="F9" i="101"/>
  <c r="K9" i="100"/>
  <c r="M9" i="100" s="1"/>
  <c r="F10" i="100"/>
  <c r="J10" i="100" s="1"/>
  <c r="D37" i="98"/>
  <c r="F36" i="98"/>
  <c r="D36" i="93"/>
  <c r="F35" i="93"/>
  <c r="D36" i="58"/>
  <c r="F35" i="58"/>
  <c r="D37" i="61"/>
  <c r="F36" i="61"/>
  <c r="F35" i="65"/>
  <c r="D36" i="65"/>
  <c r="D37" i="91"/>
  <c r="F36" i="91"/>
  <c r="D36" i="86"/>
  <c r="F35" i="86"/>
  <c r="H4" i="2"/>
  <c r="E4" i="2"/>
  <c r="G12" i="102" l="1"/>
  <c r="G12" i="104"/>
  <c r="G12" i="87"/>
  <c r="G12" i="90"/>
  <c r="G12" i="108"/>
  <c r="G12" i="55"/>
  <c r="G11" i="59"/>
  <c r="G11" i="92"/>
  <c r="G11" i="97" s="1"/>
  <c r="AJ9" i="95"/>
  <c r="G12" i="109"/>
  <c r="J7" i="112"/>
  <c r="D37" i="112"/>
  <c r="F36" i="112"/>
  <c r="T7" i="111"/>
  <c r="N8" i="111" s="1"/>
  <c r="P8" i="111" s="1"/>
  <c r="G9" i="112" s="1"/>
  <c r="H9" i="112" s="1"/>
  <c r="G8" i="110"/>
  <c r="S8" i="111"/>
  <c r="R8" i="111" s="1"/>
  <c r="V8" i="111" s="1"/>
  <c r="O35" i="89"/>
  <c r="O35" i="111"/>
  <c r="D37" i="110"/>
  <c r="F36" i="110"/>
  <c r="AH10" i="95"/>
  <c r="AI10" i="95" s="1"/>
  <c r="G13" i="62" s="1"/>
  <c r="G13" i="66" s="1"/>
  <c r="AH10" i="94"/>
  <c r="J10" i="106"/>
  <c r="F13" i="90"/>
  <c r="F13" i="97"/>
  <c r="F14" i="92"/>
  <c r="F13" i="87"/>
  <c r="F13" i="104"/>
  <c r="F11" i="106"/>
  <c r="D38" i="105"/>
  <c r="F37" i="105"/>
  <c r="D37" i="103"/>
  <c r="F36" i="103"/>
  <c r="K8" i="101"/>
  <c r="M8" i="101" s="1"/>
  <c r="J9" i="101"/>
  <c r="F10" i="101"/>
  <c r="K10" i="100"/>
  <c r="M10" i="100" s="1"/>
  <c r="F11" i="100"/>
  <c r="J11" i="100" s="1"/>
  <c r="D38" i="98"/>
  <c r="F37" i="98"/>
  <c r="D37" i="93"/>
  <c r="F36" i="93"/>
  <c r="F36" i="58"/>
  <c r="D37" i="58"/>
  <c r="D38" i="61"/>
  <c r="F37" i="61"/>
  <c r="D37" i="65"/>
  <c r="F36" i="65"/>
  <c r="D38" i="91"/>
  <c r="F37" i="91"/>
  <c r="D37" i="86"/>
  <c r="F36" i="86"/>
  <c r="F4" i="54"/>
  <c r="T3" i="89" s="1"/>
  <c r="G13" i="102" l="1"/>
  <c r="G13" i="104"/>
  <c r="G13" i="87"/>
  <c r="G13" i="90"/>
  <c r="G12" i="59"/>
  <c r="G12" i="92"/>
  <c r="G12" i="97" s="1"/>
  <c r="G13" i="108"/>
  <c r="G13" i="55"/>
  <c r="AJ10" i="95"/>
  <c r="G13" i="109"/>
  <c r="D38" i="112"/>
  <c r="F37" i="112"/>
  <c r="J8" i="112"/>
  <c r="T8" i="111"/>
  <c r="N9" i="111" s="1"/>
  <c r="P9" i="111" s="1"/>
  <c r="G10" i="112" s="1"/>
  <c r="H10" i="112" s="1"/>
  <c r="G9" i="110"/>
  <c r="S9" i="111"/>
  <c r="R9" i="111" s="1"/>
  <c r="V9" i="111" s="1"/>
  <c r="O36" i="89"/>
  <c r="O36" i="111"/>
  <c r="D38" i="110"/>
  <c r="F37" i="110"/>
  <c r="K10" i="106"/>
  <c r="M10" i="106" s="1"/>
  <c r="AH11" i="95"/>
  <c r="AI11" i="95" s="1"/>
  <c r="G14" i="62" s="1"/>
  <c r="G14" i="66" s="1"/>
  <c r="AH11" i="94"/>
  <c r="F14" i="102"/>
  <c r="J11" i="106"/>
  <c r="F14" i="90"/>
  <c r="F14" i="97"/>
  <c r="F14" i="87"/>
  <c r="F14" i="104"/>
  <c r="F12" i="106"/>
  <c r="F38" i="105"/>
  <c r="D39" i="105"/>
  <c r="F37" i="103"/>
  <c r="D38" i="103"/>
  <c r="K9" i="101"/>
  <c r="M9" i="101" s="1"/>
  <c r="J10" i="101"/>
  <c r="F11" i="101"/>
  <c r="K11" i="100"/>
  <c r="M11" i="100" s="1"/>
  <c r="F12" i="100"/>
  <c r="J12" i="100" s="1"/>
  <c r="D39" i="98"/>
  <c r="F38" i="98"/>
  <c r="D38" i="93"/>
  <c r="F37" i="93"/>
  <c r="D38" i="58"/>
  <c r="F37" i="58"/>
  <c r="F38" i="61"/>
  <c r="D39" i="61"/>
  <c r="D38" i="65"/>
  <c r="F37" i="65"/>
  <c r="D39" i="91"/>
  <c r="F38" i="91"/>
  <c r="D38" i="86"/>
  <c r="F37" i="86"/>
  <c r="S4" i="89"/>
  <c r="R4" i="89" s="1"/>
  <c r="N3" i="60"/>
  <c r="O3" i="53"/>
  <c r="D5" i="54"/>
  <c r="F5" i="54" s="1"/>
  <c r="G14" i="102" l="1"/>
  <c r="G14" i="104"/>
  <c r="G14" i="87"/>
  <c r="G14" i="90"/>
  <c r="G13" i="59"/>
  <c r="G13" i="92"/>
  <c r="G13" i="97" s="1"/>
  <c r="G14" i="108"/>
  <c r="G14" i="55"/>
  <c r="AJ11" i="95"/>
  <c r="G14" i="109"/>
  <c r="J9" i="112"/>
  <c r="D39" i="112"/>
  <c r="F38" i="112"/>
  <c r="T9" i="111"/>
  <c r="N10" i="111" s="1"/>
  <c r="P10" i="111" s="1"/>
  <c r="G11" i="112" s="1"/>
  <c r="H11" i="112" s="1"/>
  <c r="G10" i="110"/>
  <c r="S10" i="111"/>
  <c r="R10" i="111" s="1"/>
  <c r="V10" i="111" s="1"/>
  <c r="O37" i="89"/>
  <c r="O37" i="111"/>
  <c r="D39" i="110"/>
  <c r="F38" i="110"/>
  <c r="AH12" i="95"/>
  <c r="AI12" i="95" s="1"/>
  <c r="G15" i="62" s="1"/>
  <c r="G15" i="66" s="1"/>
  <c r="AH12" i="94"/>
  <c r="F15" i="92"/>
  <c r="K11" i="106"/>
  <c r="M11" i="106" s="1"/>
  <c r="J12" i="106"/>
  <c r="I16" i="90"/>
  <c r="F15" i="90"/>
  <c r="F15" i="97"/>
  <c r="F15" i="87"/>
  <c r="F15" i="104"/>
  <c r="F15" i="102"/>
  <c r="F13" i="106"/>
  <c r="G5" i="98"/>
  <c r="G5" i="105"/>
  <c r="D40" i="105"/>
  <c r="F39" i="105"/>
  <c r="X28" i="105" s="1"/>
  <c r="D39" i="103"/>
  <c r="F38" i="103"/>
  <c r="K10" i="101"/>
  <c r="M10" i="101" s="1"/>
  <c r="J11" i="101"/>
  <c r="F12" i="101"/>
  <c r="F13" i="100"/>
  <c r="J13" i="100" s="1"/>
  <c r="K12" i="100"/>
  <c r="M12" i="100" s="1"/>
  <c r="D40" i="98"/>
  <c r="F39" i="98"/>
  <c r="X28" i="98" s="1"/>
  <c r="D39" i="93"/>
  <c r="F38" i="93"/>
  <c r="F38" i="58"/>
  <c r="D39" i="58"/>
  <c r="D40" i="61"/>
  <c r="F39" i="61"/>
  <c r="D39" i="65"/>
  <c r="F38" i="65"/>
  <c r="V4" i="89"/>
  <c r="S5" i="89" s="1"/>
  <c r="R5" i="89" s="1"/>
  <c r="G5" i="91"/>
  <c r="D40" i="91"/>
  <c r="F39" i="91"/>
  <c r="O38" i="111" s="1"/>
  <c r="N4" i="89"/>
  <c r="P4" i="89" s="1"/>
  <c r="D39" i="86"/>
  <c r="F38" i="86"/>
  <c r="N4" i="60"/>
  <c r="S3" i="60"/>
  <c r="U3" i="60"/>
  <c r="O4" i="53"/>
  <c r="D6" i="54"/>
  <c r="F6" i="54" s="1"/>
  <c r="G15" i="102" l="1"/>
  <c r="G15" i="104"/>
  <c r="G15" i="87"/>
  <c r="G15" i="90"/>
  <c r="G14" i="59"/>
  <c r="G14" i="92"/>
  <c r="G14" i="97" s="1"/>
  <c r="G15" i="108"/>
  <c r="G15" i="55"/>
  <c r="AJ12" i="95"/>
  <c r="G15" i="109"/>
  <c r="D40" i="112"/>
  <c r="F39" i="112"/>
  <c r="X28" i="112" s="1"/>
  <c r="J10" i="112"/>
  <c r="T10" i="111"/>
  <c r="N11" i="111" s="1"/>
  <c r="P11" i="111" s="1"/>
  <c r="G12" i="112" s="1"/>
  <c r="H12" i="112" s="1"/>
  <c r="G11" i="110"/>
  <c r="S11" i="111"/>
  <c r="R11" i="111" s="1"/>
  <c r="V11" i="111" s="1"/>
  <c r="G5" i="103"/>
  <c r="H5" i="103" s="1"/>
  <c r="D40" i="110"/>
  <c r="F39" i="110"/>
  <c r="X28" i="110" s="1"/>
  <c r="F16" i="92"/>
  <c r="AH13" i="95"/>
  <c r="AI13" i="95" s="1"/>
  <c r="G16" i="62" s="1"/>
  <c r="G16" i="66" s="1"/>
  <c r="AH13" i="94"/>
  <c r="K12" i="106"/>
  <c r="M12" i="106" s="1"/>
  <c r="H5" i="98"/>
  <c r="J5" i="98" s="1"/>
  <c r="J13" i="106"/>
  <c r="F16" i="90"/>
  <c r="F16" i="97"/>
  <c r="F16" i="87"/>
  <c r="F16" i="104"/>
  <c r="F16" i="102"/>
  <c r="F14" i="106"/>
  <c r="J14" i="106" s="1"/>
  <c r="D41" i="105"/>
  <c r="F40" i="105"/>
  <c r="G6" i="98"/>
  <c r="G6" i="105"/>
  <c r="H5" i="105"/>
  <c r="D40" i="103"/>
  <c r="F39" i="103"/>
  <c r="X28" i="103" s="1"/>
  <c r="N6" i="106" s="1"/>
  <c r="K11" i="101"/>
  <c r="M11" i="101" s="1"/>
  <c r="J12" i="101"/>
  <c r="F13" i="101"/>
  <c r="O38" i="89"/>
  <c r="X28" i="91"/>
  <c r="K13" i="100"/>
  <c r="M13" i="100" s="1"/>
  <c r="F14" i="100"/>
  <c r="J14" i="100" s="1"/>
  <c r="D41" i="98"/>
  <c r="F40" i="98"/>
  <c r="G5" i="93"/>
  <c r="F39" i="93"/>
  <c r="X28" i="93" s="1"/>
  <c r="D40" i="93"/>
  <c r="F39" i="58"/>
  <c r="D40" i="58"/>
  <c r="F40" i="61"/>
  <c r="D41" i="61"/>
  <c r="H5" i="91"/>
  <c r="F39" i="65"/>
  <c r="P28" i="65" s="1"/>
  <c r="N6" i="76" s="1"/>
  <c r="D40" i="65"/>
  <c r="V5" i="89"/>
  <c r="S6" i="89" s="1"/>
  <c r="R6" i="89" s="1"/>
  <c r="G6" i="91"/>
  <c r="F40" i="91"/>
  <c r="O39" i="111" s="1"/>
  <c r="D41" i="91"/>
  <c r="T4" i="89"/>
  <c r="N5" i="89" s="1"/>
  <c r="P5" i="89" s="1"/>
  <c r="G5" i="86"/>
  <c r="D40" i="86"/>
  <c r="F39" i="86"/>
  <c r="X28" i="86" s="1"/>
  <c r="N6" i="100" s="1"/>
  <c r="R4" i="60"/>
  <c r="Q4" i="60" s="1"/>
  <c r="G5" i="65" s="1"/>
  <c r="N5" i="60"/>
  <c r="M4" i="60"/>
  <c r="O4" i="60" s="1"/>
  <c r="O5" i="53"/>
  <c r="D7" i="54"/>
  <c r="F7" i="54" s="1"/>
  <c r="G16" i="102" l="1"/>
  <c r="G16" i="104"/>
  <c r="G16" i="87"/>
  <c r="G16" i="90"/>
  <c r="G15" i="59"/>
  <c r="G15" i="92"/>
  <c r="G15" i="97" s="1"/>
  <c r="G16" i="108"/>
  <c r="G16" i="55"/>
  <c r="AJ13" i="95"/>
  <c r="G16" i="109"/>
  <c r="J11" i="112"/>
  <c r="D41" i="112"/>
  <c r="F40" i="112"/>
  <c r="T11" i="111"/>
  <c r="N12" i="111" s="1"/>
  <c r="P12" i="111" s="1"/>
  <c r="G13" i="112" s="1"/>
  <c r="H13" i="112" s="1"/>
  <c r="G12" i="110"/>
  <c r="S12" i="111"/>
  <c r="R12" i="111" s="1"/>
  <c r="V12" i="111" s="1"/>
  <c r="G6" i="103"/>
  <c r="H6" i="103" s="1"/>
  <c r="D41" i="110"/>
  <c r="F40" i="110"/>
  <c r="H5" i="110"/>
  <c r="AH14" i="95"/>
  <c r="AI14" i="95" s="1"/>
  <c r="G17" i="62" s="1"/>
  <c r="G17" i="66" s="1"/>
  <c r="AH14" i="94"/>
  <c r="K13" i="106"/>
  <c r="M13" i="106" s="1"/>
  <c r="H6" i="98"/>
  <c r="J6" i="98" s="1"/>
  <c r="F17" i="90"/>
  <c r="F17" i="97"/>
  <c r="F17" i="92"/>
  <c r="F18" i="92"/>
  <c r="F17" i="87"/>
  <c r="F17" i="104"/>
  <c r="F17" i="102"/>
  <c r="F15" i="106"/>
  <c r="J15" i="106" s="1"/>
  <c r="K14" i="106"/>
  <c r="M14" i="106" s="1"/>
  <c r="G7" i="98"/>
  <c r="G7" i="105"/>
  <c r="H6" i="105"/>
  <c r="J5" i="105"/>
  <c r="D42" i="105"/>
  <c r="F41" i="105"/>
  <c r="D41" i="103"/>
  <c r="F40" i="103"/>
  <c r="J5" i="103"/>
  <c r="K12" i="101"/>
  <c r="M12" i="101" s="1"/>
  <c r="J13" i="101"/>
  <c r="F14" i="101"/>
  <c r="J14" i="101" s="1"/>
  <c r="N6" i="101"/>
  <c r="O39" i="89"/>
  <c r="H5" i="93"/>
  <c r="J5" i="93" s="1"/>
  <c r="K14" i="100"/>
  <c r="M14" i="100" s="1"/>
  <c r="F15" i="100"/>
  <c r="J15" i="100" s="1"/>
  <c r="F41" i="98"/>
  <c r="D42" i="98"/>
  <c r="H6" i="91"/>
  <c r="G6" i="93"/>
  <c r="F40" i="93"/>
  <c r="D41" i="93"/>
  <c r="F40" i="58"/>
  <c r="D41" i="58"/>
  <c r="D42" i="61"/>
  <c r="F41" i="61"/>
  <c r="D41" i="65"/>
  <c r="F40" i="65"/>
  <c r="V6" i="89"/>
  <c r="S7" i="89" s="1"/>
  <c r="R7" i="89" s="1"/>
  <c r="G7" i="91"/>
  <c r="D42" i="91"/>
  <c r="F41" i="91"/>
  <c r="J5" i="91"/>
  <c r="T5" i="89"/>
  <c r="N6" i="89" s="1"/>
  <c r="P6" i="89" s="1"/>
  <c r="G6" i="86"/>
  <c r="D41" i="86"/>
  <c r="F40" i="86"/>
  <c r="H5" i="86"/>
  <c r="H5" i="65"/>
  <c r="J5" i="65" s="1"/>
  <c r="G5" i="61"/>
  <c r="U4" i="60"/>
  <c r="N6" i="60"/>
  <c r="S4" i="60"/>
  <c r="O6" i="53"/>
  <c r="D8" i="54"/>
  <c r="F8" i="54" s="1"/>
  <c r="G17" i="102" l="1"/>
  <c r="G17" i="104"/>
  <c r="G17" i="87"/>
  <c r="G17" i="90"/>
  <c r="G16" i="59"/>
  <c r="G16" i="92"/>
  <c r="G16" i="97" s="1"/>
  <c r="G17" i="108"/>
  <c r="G17" i="55"/>
  <c r="AJ14" i="95"/>
  <c r="G17" i="109"/>
  <c r="F41" i="112"/>
  <c r="D42" i="112"/>
  <c r="J12" i="112"/>
  <c r="T12" i="111"/>
  <c r="N13" i="111" s="1"/>
  <c r="P13" i="111" s="1"/>
  <c r="G14" i="112" s="1"/>
  <c r="H14" i="112" s="1"/>
  <c r="G13" i="110"/>
  <c r="S13" i="111"/>
  <c r="R13" i="111" s="1"/>
  <c r="V13" i="111" s="1"/>
  <c r="O40" i="89"/>
  <c r="O40" i="111"/>
  <c r="J5" i="110"/>
  <c r="H6" i="110"/>
  <c r="D42" i="110"/>
  <c r="F41" i="110"/>
  <c r="G7" i="103"/>
  <c r="H7" i="103" s="1"/>
  <c r="AH15" i="95"/>
  <c r="AI15" i="95" s="1"/>
  <c r="G18" i="62" s="1"/>
  <c r="G18" i="66" s="1"/>
  <c r="AH15" i="94"/>
  <c r="H7" i="98"/>
  <c r="J7" i="98" s="1"/>
  <c r="F18" i="90"/>
  <c r="F18" i="97"/>
  <c r="F19" i="92"/>
  <c r="F18" i="87"/>
  <c r="F18" i="102"/>
  <c r="F18" i="104"/>
  <c r="F19" i="102"/>
  <c r="F16" i="106"/>
  <c r="J16" i="106" s="1"/>
  <c r="K15" i="106"/>
  <c r="M15" i="106" s="1"/>
  <c r="J6" i="105"/>
  <c r="H7" i="105"/>
  <c r="G8" i="98"/>
  <c r="G8" i="105"/>
  <c r="D43" i="105"/>
  <c r="F42" i="105"/>
  <c r="J6" i="103"/>
  <c r="D42" i="103"/>
  <c r="F41" i="103"/>
  <c r="K13" i="101"/>
  <c r="M13" i="101" s="1"/>
  <c r="K14" i="101"/>
  <c r="M14" i="101" s="1"/>
  <c r="F15" i="101"/>
  <c r="J15" i="101" s="1"/>
  <c r="H6" i="93"/>
  <c r="J6" i="93" s="1"/>
  <c r="K15" i="100"/>
  <c r="M15" i="100" s="1"/>
  <c r="F16" i="100"/>
  <c r="J16" i="100" s="1"/>
  <c r="D43" i="98"/>
  <c r="F42" i="98"/>
  <c r="D42" i="93"/>
  <c r="F41" i="93"/>
  <c r="H7" i="91"/>
  <c r="G7" i="93"/>
  <c r="F41" i="58"/>
  <c r="D42" i="58"/>
  <c r="F42" i="61"/>
  <c r="D43" i="61"/>
  <c r="D42" i="65"/>
  <c r="F41" i="65"/>
  <c r="V7" i="89"/>
  <c r="S8" i="89" s="1"/>
  <c r="R8" i="89" s="1"/>
  <c r="G8" i="91"/>
  <c r="F42" i="91"/>
  <c r="D43" i="91"/>
  <c r="J6" i="91"/>
  <c r="T6" i="89"/>
  <c r="N7" i="89" s="1"/>
  <c r="P7" i="89" s="1"/>
  <c r="G7" i="86"/>
  <c r="F41" i="86"/>
  <c r="D42" i="86"/>
  <c r="J5" i="86"/>
  <c r="N7" i="60"/>
  <c r="M5" i="60"/>
  <c r="O5" i="60" s="1"/>
  <c r="R5" i="60"/>
  <c r="Q5" i="60" s="1"/>
  <c r="G6" i="65" s="1"/>
  <c r="O7" i="53"/>
  <c r="D9" i="54"/>
  <c r="F9" i="54" s="1"/>
  <c r="G18" i="102" l="1"/>
  <c r="G18" i="104"/>
  <c r="G18" i="87"/>
  <c r="G18" i="90"/>
  <c r="G18" i="108"/>
  <c r="G18" i="55"/>
  <c r="G17" i="59"/>
  <c r="G17" i="92"/>
  <c r="G17" i="97" s="1"/>
  <c r="AJ15" i="95"/>
  <c r="G18" i="109"/>
  <c r="D43" i="112"/>
  <c r="F42" i="112"/>
  <c r="J13" i="112"/>
  <c r="T13" i="111"/>
  <c r="N14" i="111" s="1"/>
  <c r="P14" i="111" s="1"/>
  <c r="G15" i="112" s="1"/>
  <c r="H15" i="112" s="1"/>
  <c r="G14" i="110"/>
  <c r="S14" i="111"/>
  <c r="R14" i="111" s="1"/>
  <c r="V14" i="111" s="1"/>
  <c r="O41" i="89"/>
  <c r="O41" i="111"/>
  <c r="D43" i="110"/>
  <c r="F42" i="110"/>
  <c r="H7" i="110"/>
  <c r="J6" i="110"/>
  <c r="G8" i="103"/>
  <c r="H8" i="103" s="1"/>
  <c r="AH16" i="95"/>
  <c r="AI16" i="95" s="1"/>
  <c r="G19" i="62" s="1"/>
  <c r="G19" i="66" s="1"/>
  <c r="AH16" i="94"/>
  <c r="H8" i="98"/>
  <c r="F19" i="90"/>
  <c r="F19" i="97"/>
  <c r="F19" i="87"/>
  <c r="F19" i="104"/>
  <c r="F20" i="102"/>
  <c r="F17" i="106"/>
  <c r="J17" i="106" s="1"/>
  <c r="K16" i="106"/>
  <c r="M16" i="106" s="1"/>
  <c r="H7" i="93"/>
  <c r="J7" i="93" s="1"/>
  <c r="D44" i="105"/>
  <c r="F43" i="105"/>
  <c r="H8" i="105"/>
  <c r="J7" i="105"/>
  <c r="G9" i="98"/>
  <c r="G9" i="105"/>
  <c r="F42" i="103"/>
  <c r="D43" i="103"/>
  <c r="J7" i="103"/>
  <c r="F16" i="101"/>
  <c r="J16" i="101" s="1"/>
  <c r="K15" i="101"/>
  <c r="M15" i="101" s="1"/>
  <c r="K16" i="100"/>
  <c r="M16" i="100" s="1"/>
  <c r="F17" i="100"/>
  <c r="J17" i="100" s="1"/>
  <c r="F43" i="98"/>
  <c r="D44" i="98"/>
  <c r="H8" i="91"/>
  <c r="G8" i="93"/>
  <c r="F42" i="93"/>
  <c r="D43" i="93"/>
  <c r="D43" i="58"/>
  <c r="F42" i="58"/>
  <c r="D44" i="61"/>
  <c r="F43" i="61"/>
  <c r="D43" i="65"/>
  <c r="F42" i="65"/>
  <c r="V8" i="89"/>
  <c r="S9" i="89" s="1"/>
  <c r="R9" i="89" s="1"/>
  <c r="G9" i="91"/>
  <c r="J7" i="91"/>
  <c r="D44" i="91"/>
  <c r="F43" i="91"/>
  <c r="T7" i="89"/>
  <c r="N8" i="89" s="1"/>
  <c r="P8" i="89" s="1"/>
  <c r="G8" i="86"/>
  <c r="D43" i="86"/>
  <c r="F42" i="86"/>
  <c r="H6" i="86"/>
  <c r="H6" i="65"/>
  <c r="J6" i="65" s="1"/>
  <c r="G6" i="61"/>
  <c r="U5" i="60"/>
  <c r="R6" i="60" s="1"/>
  <c r="Q6" i="60" s="1"/>
  <c r="G7" i="65" s="1"/>
  <c r="N8" i="60"/>
  <c r="S5" i="60"/>
  <c r="O8" i="53"/>
  <c r="D10" i="54"/>
  <c r="F10" i="54" s="1"/>
  <c r="G19" i="102" l="1"/>
  <c r="G19" i="104"/>
  <c r="G19" i="87"/>
  <c r="G19" i="90"/>
  <c r="G19" i="108"/>
  <c r="G19" i="55"/>
  <c r="G18" i="59"/>
  <c r="G18" i="92"/>
  <c r="G18" i="97" s="1"/>
  <c r="AJ16" i="95"/>
  <c r="G19" i="109"/>
  <c r="J14" i="112"/>
  <c r="N4" i="112"/>
  <c r="Y4" i="112"/>
  <c r="D44" i="112"/>
  <c r="F43" i="112"/>
  <c r="T14" i="111"/>
  <c r="N15" i="111" s="1"/>
  <c r="P15" i="111" s="1"/>
  <c r="G16" i="112" s="1"/>
  <c r="H16" i="112" s="1"/>
  <c r="G15" i="110"/>
  <c r="S15" i="111"/>
  <c r="R15" i="111" s="1"/>
  <c r="V15" i="111" s="1"/>
  <c r="O42" i="89"/>
  <c r="O42" i="111"/>
  <c r="G9" i="103"/>
  <c r="H9" i="103" s="1"/>
  <c r="J7" i="110"/>
  <c r="H8" i="110"/>
  <c r="D44" i="110"/>
  <c r="F43" i="110"/>
  <c r="AH17" i="95"/>
  <c r="AI17" i="95" s="1"/>
  <c r="G20" i="62" s="1"/>
  <c r="G20" i="66" s="1"/>
  <c r="AH17" i="94"/>
  <c r="H9" i="98"/>
  <c r="J9" i="98" s="1"/>
  <c r="J8" i="98"/>
  <c r="F20" i="90"/>
  <c r="F20" i="97"/>
  <c r="F20" i="92"/>
  <c r="F21" i="92"/>
  <c r="F20" i="87"/>
  <c r="F20" i="104"/>
  <c r="F21" i="102"/>
  <c r="H8" i="93"/>
  <c r="J8" i="93" s="1"/>
  <c r="K17" i="106"/>
  <c r="M17" i="106" s="1"/>
  <c r="F18" i="106"/>
  <c r="J18" i="106" s="1"/>
  <c r="J8" i="105"/>
  <c r="H9" i="105"/>
  <c r="G10" i="98"/>
  <c r="G10" i="105"/>
  <c r="D45" i="105"/>
  <c r="F44" i="105"/>
  <c r="J8" i="103"/>
  <c r="D44" i="103"/>
  <c r="F43" i="103"/>
  <c r="K16" i="101"/>
  <c r="M16" i="101" s="1"/>
  <c r="F17" i="101"/>
  <c r="J17" i="101" s="1"/>
  <c r="K17" i="100"/>
  <c r="M17" i="100" s="1"/>
  <c r="F18" i="100"/>
  <c r="J18" i="100" s="1"/>
  <c r="D45" i="98"/>
  <c r="F44" i="98"/>
  <c r="H9" i="91"/>
  <c r="G9" i="93"/>
  <c r="D44" i="93"/>
  <c r="F43" i="93"/>
  <c r="D44" i="58"/>
  <c r="F43" i="58"/>
  <c r="D45" i="61"/>
  <c r="F44" i="61"/>
  <c r="D44" i="65"/>
  <c r="F43" i="65"/>
  <c r="V9" i="89"/>
  <c r="S10" i="89" s="1"/>
  <c r="R10" i="89" s="1"/>
  <c r="G10" i="91"/>
  <c r="F44" i="91"/>
  <c r="D45" i="91"/>
  <c r="J8" i="91"/>
  <c r="T8" i="89"/>
  <c r="N9" i="89" s="1"/>
  <c r="P9" i="89" s="1"/>
  <c r="G9" i="86"/>
  <c r="D44" i="86"/>
  <c r="F43" i="86"/>
  <c r="J6" i="86"/>
  <c r="H7" i="65"/>
  <c r="J7" i="65" s="1"/>
  <c r="N9" i="60"/>
  <c r="M6" i="60"/>
  <c r="O6" i="60" s="1"/>
  <c r="U6" i="60"/>
  <c r="O9" i="53"/>
  <c r="D11" i="54"/>
  <c r="F11" i="54" s="1"/>
  <c r="G20" i="102" l="1"/>
  <c r="G20" i="104"/>
  <c r="G20" i="87"/>
  <c r="G20" i="90"/>
  <c r="G20" i="108"/>
  <c r="G20" i="55"/>
  <c r="G19" i="92"/>
  <c r="G19" i="97" s="1"/>
  <c r="G19" i="59"/>
  <c r="AJ17" i="95"/>
  <c r="G20" i="109"/>
  <c r="D45" i="112"/>
  <c r="F44" i="112"/>
  <c r="J15" i="112"/>
  <c r="K4" i="112" s="1"/>
  <c r="J7" i="109" s="1"/>
  <c r="T15" i="111"/>
  <c r="N16" i="111" s="1"/>
  <c r="P16" i="111" s="1"/>
  <c r="G17" i="112" s="1"/>
  <c r="H17" i="112" s="1"/>
  <c r="G16" i="110"/>
  <c r="S16" i="111"/>
  <c r="R16" i="111" s="1"/>
  <c r="V16" i="111" s="1"/>
  <c r="O43" i="89"/>
  <c r="O43" i="111"/>
  <c r="D45" i="110"/>
  <c r="F44" i="110"/>
  <c r="G10" i="103"/>
  <c r="H10" i="103" s="1"/>
  <c r="H9" i="110"/>
  <c r="J8" i="110"/>
  <c r="AH18" i="95"/>
  <c r="AI18" i="95" s="1"/>
  <c r="G21" i="62" s="1"/>
  <c r="G21" i="66" s="1"/>
  <c r="AH18" i="94"/>
  <c r="H10" i="98"/>
  <c r="J10" i="98" s="1"/>
  <c r="F21" i="90"/>
  <c r="F21" i="97"/>
  <c r="F21" i="87"/>
  <c r="F21" i="104"/>
  <c r="F22" i="102"/>
  <c r="H9" i="93"/>
  <c r="J9" i="93" s="1"/>
  <c r="K18" i="106"/>
  <c r="M18" i="106" s="1"/>
  <c r="F19" i="106"/>
  <c r="J19" i="106" s="1"/>
  <c r="G11" i="98"/>
  <c r="G11" i="105"/>
  <c r="D46" i="105"/>
  <c r="F45" i="105"/>
  <c r="H10" i="105"/>
  <c r="J9" i="105"/>
  <c r="D45" i="103"/>
  <c r="F44" i="103"/>
  <c r="J9" i="103"/>
  <c r="K17" i="101"/>
  <c r="M17" i="101" s="1"/>
  <c r="F18" i="101"/>
  <c r="J18" i="101" s="1"/>
  <c r="K18" i="100"/>
  <c r="M18" i="100" s="1"/>
  <c r="F19" i="100"/>
  <c r="J19" i="100" s="1"/>
  <c r="D46" i="98"/>
  <c r="F45" i="98"/>
  <c r="H10" i="91"/>
  <c r="G10" i="93"/>
  <c r="D45" i="93"/>
  <c r="F44" i="93"/>
  <c r="F44" i="58"/>
  <c r="D45" i="58"/>
  <c r="F45" i="61"/>
  <c r="D46" i="61"/>
  <c r="F44" i="65"/>
  <c r="D45" i="65"/>
  <c r="V10" i="89"/>
  <c r="S11" i="89" s="1"/>
  <c r="R11" i="89" s="1"/>
  <c r="G11" i="91"/>
  <c r="J9" i="91"/>
  <c r="D46" i="91"/>
  <c r="F45" i="91"/>
  <c r="T9" i="89"/>
  <c r="N10" i="89" s="1"/>
  <c r="P10" i="89" s="1"/>
  <c r="G10" i="86"/>
  <c r="D45" i="86"/>
  <c r="F44" i="86"/>
  <c r="H7" i="86"/>
  <c r="G7" i="61"/>
  <c r="N10" i="60"/>
  <c r="R7" i="60"/>
  <c r="Q7" i="60" s="1"/>
  <c r="G8" i="65" s="1"/>
  <c r="H8" i="65" s="1"/>
  <c r="S6" i="60"/>
  <c r="O10" i="53"/>
  <c r="D12" i="54"/>
  <c r="F12" i="54" s="1"/>
  <c r="G21" i="102" l="1"/>
  <c r="G21" i="104"/>
  <c r="G21" i="87"/>
  <c r="G21" i="90"/>
  <c r="G21" i="108"/>
  <c r="G21" i="55"/>
  <c r="G20" i="92"/>
  <c r="G20" i="97" s="1"/>
  <c r="G20" i="59"/>
  <c r="AJ18" i="95"/>
  <c r="G21" i="109"/>
  <c r="F45" i="112"/>
  <c r="D46" i="112"/>
  <c r="J16" i="112"/>
  <c r="T16" i="111"/>
  <c r="N17" i="111" s="1"/>
  <c r="P17" i="111" s="1"/>
  <c r="G18" i="112" s="1"/>
  <c r="H18" i="112" s="1"/>
  <c r="G17" i="110"/>
  <c r="S17" i="111"/>
  <c r="R17" i="111" s="1"/>
  <c r="V17" i="111" s="1"/>
  <c r="O44" i="89"/>
  <c r="O44" i="111"/>
  <c r="G11" i="103"/>
  <c r="H11" i="103" s="1"/>
  <c r="J9" i="110"/>
  <c r="H10" i="110"/>
  <c r="D46" i="110"/>
  <c r="F45" i="110"/>
  <c r="AH19" i="95"/>
  <c r="AI19" i="95" s="1"/>
  <c r="G22" i="62" s="1"/>
  <c r="G22" i="66" s="1"/>
  <c r="H11" i="98"/>
  <c r="J11" i="98" s="1"/>
  <c r="AH19" i="94"/>
  <c r="F22" i="90"/>
  <c r="F22" i="97"/>
  <c r="F22" i="92"/>
  <c r="F23" i="92"/>
  <c r="F22" i="87"/>
  <c r="F22" i="104"/>
  <c r="F23" i="102"/>
  <c r="H10" i="93"/>
  <c r="J10" i="93" s="1"/>
  <c r="F20" i="106"/>
  <c r="J20" i="106" s="1"/>
  <c r="K19" i="106"/>
  <c r="M19" i="106" s="1"/>
  <c r="D47" i="105"/>
  <c r="F46" i="105"/>
  <c r="G12" i="98"/>
  <c r="G12" i="105"/>
  <c r="J10" i="105"/>
  <c r="H11" i="105"/>
  <c r="J10" i="103"/>
  <c r="D46" i="103"/>
  <c r="F45" i="103"/>
  <c r="K18" i="101"/>
  <c r="M18" i="101" s="1"/>
  <c r="F19" i="101"/>
  <c r="J19" i="101" s="1"/>
  <c r="K19" i="100"/>
  <c r="M19" i="100" s="1"/>
  <c r="F20" i="100"/>
  <c r="J20" i="100" s="1"/>
  <c r="D47" i="98"/>
  <c r="F46" i="98"/>
  <c r="H11" i="91"/>
  <c r="G11" i="93"/>
  <c r="D46" i="93"/>
  <c r="F45" i="93"/>
  <c r="F45" i="58"/>
  <c r="D46" i="58"/>
  <c r="F46" i="61"/>
  <c r="D47" i="61"/>
  <c r="F45" i="65"/>
  <c r="D46" i="65"/>
  <c r="V11" i="89"/>
  <c r="S12" i="89" s="1"/>
  <c r="R12" i="89" s="1"/>
  <c r="G12" i="91"/>
  <c r="F46" i="91"/>
  <c r="D47" i="91"/>
  <c r="J10" i="91"/>
  <c r="T10" i="89"/>
  <c r="N11" i="89" s="1"/>
  <c r="P11" i="89" s="1"/>
  <c r="G11" i="86"/>
  <c r="F45" i="86"/>
  <c r="D46" i="86"/>
  <c r="J7" i="86"/>
  <c r="N11" i="60"/>
  <c r="U7" i="60"/>
  <c r="M7" i="60"/>
  <c r="O7" i="60" s="1"/>
  <c r="H8" i="86" s="1"/>
  <c r="J8" i="65"/>
  <c r="O11" i="53"/>
  <c r="D13" i="54"/>
  <c r="F13" i="54" s="1"/>
  <c r="G22" i="102" l="1"/>
  <c r="G22" i="104"/>
  <c r="G22" i="87"/>
  <c r="G22" i="90"/>
  <c r="G22" i="108"/>
  <c r="G22" i="55"/>
  <c r="G21" i="59"/>
  <c r="G21" i="92"/>
  <c r="G21" i="97" s="1"/>
  <c r="AJ19" i="95"/>
  <c r="G22" i="109"/>
  <c r="J17" i="112"/>
  <c r="D47" i="112"/>
  <c r="F46" i="112"/>
  <c r="T17" i="111"/>
  <c r="N18" i="111" s="1"/>
  <c r="P18" i="111" s="1"/>
  <c r="G19" i="112" s="1"/>
  <c r="H19" i="112" s="1"/>
  <c r="G18" i="110"/>
  <c r="S18" i="111"/>
  <c r="R18" i="111" s="1"/>
  <c r="V18" i="111" s="1"/>
  <c r="O45" i="89"/>
  <c r="O45" i="111"/>
  <c r="H11" i="110"/>
  <c r="J10" i="110"/>
  <c r="G12" i="103"/>
  <c r="H12" i="103" s="1"/>
  <c r="D47" i="110"/>
  <c r="F46" i="110"/>
  <c r="H12" i="98"/>
  <c r="J12" i="98" s="1"/>
  <c r="AH20" i="95"/>
  <c r="AI20" i="95" s="1"/>
  <c r="G23" i="62" s="1"/>
  <c r="G23" i="66" s="1"/>
  <c r="AH20" i="94"/>
  <c r="F23" i="90"/>
  <c r="F23" i="97"/>
  <c r="F24" i="92"/>
  <c r="F23" i="87"/>
  <c r="F23" i="104"/>
  <c r="F24" i="102"/>
  <c r="H11" i="93"/>
  <c r="J11" i="93" s="1"/>
  <c r="F21" i="106"/>
  <c r="J21" i="106" s="1"/>
  <c r="K20" i="106"/>
  <c r="M20" i="106" s="1"/>
  <c r="H12" i="105"/>
  <c r="J11" i="105"/>
  <c r="G13" i="98"/>
  <c r="G13" i="105"/>
  <c r="D48" i="105"/>
  <c r="F47" i="105"/>
  <c r="D47" i="103"/>
  <c r="F46" i="103"/>
  <c r="J11" i="103"/>
  <c r="F20" i="101"/>
  <c r="J20" i="101" s="1"/>
  <c r="K19" i="101"/>
  <c r="M19" i="101" s="1"/>
  <c r="K20" i="100"/>
  <c r="M20" i="100" s="1"/>
  <c r="F21" i="100"/>
  <c r="J21" i="100" s="1"/>
  <c r="F47" i="98"/>
  <c r="D48" i="98"/>
  <c r="H12" i="91"/>
  <c r="G12" i="93"/>
  <c r="D47" i="93"/>
  <c r="F46" i="93"/>
  <c r="F46" i="58"/>
  <c r="D47" i="58"/>
  <c r="D48" i="61"/>
  <c r="F47" i="61"/>
  <c r="D47" i="65"/>
  <c r="F46" i="65"/>
  <c r="V12" i="89"/>
  <c r="S13" i="89" s="1"/>
  <c r="R13" i="89" s="1"/>
  <c r="G13" i="91"/>
  <c r="J11" i="91"/>
  <c r="D48" i="91"/>
  <c r="F47" i="91"/>
  <c r="T11" i="89"/>
  <c r="N12" i="89" s="1"/>
  <c r="P12" i="89" s="1"/>
  <c r="G12" i="86"/>
  <c r="D47" i="86"/>
  <c r="F46" i="86"/>
  <c r="J8" i="86"/>
  <c r="G8" i="61"/>
  <c r="N12" i="60"/>
  <c r="R8" i="60"/>
  <c r="Q8" i="60" s="1"/>
  <c r="G9" i="65" s="1"/>
  <c r="H9" i="65" s="1"/>
  <c r="S7" i="60"/>
  <c r="O12" i="53"/>
  <c r="D14" i="54"/>
  <c r="F14" i="54" s="1"/>
  <c r="G23" i="102" l="1"/>
  <c r="G23" i="104"/>
  <c r="G23" i="87"/>
  <c r="G23" i="90"/>
  <c r="G22" i="59"/>
  <c r="G22" i="92"/>
  <c r="G22" i="97" s="1"/>
  <c r="G23" i="108"/>
  <c r="G23" i="55"/>
  <c r="AJ20" i="95"/>
  <c r="G23" i="109"/>
  <c r="D48" i="112"/>
  <c r="F47" i="112"/>
  <c r="J18" i="112"/>
  <c r="T18" i="111"/>
  <c r="N19" i="111" s="1"/>
  <c r="P19" i="111" s="1"/>
  <c r="G20" i="112" s="1"/>
  <c r="H20" i="112" s="1"/>
  <c r="G19" i="110"/>
  <c r="S19" i="111"/>
  <c r="R19" i="111" s="1"/>
  <c r="V19" i="111" s="1"/>
  <c r="O46" i="89"/>
  <c r="O46" i="111"/>
  <c r="G13" i="103"/>
  <c r="H13" i="103" s="1"/>
  <c r="D48" i="110"/>
  <c r="F47" i="110"/>
  <c r="J11" i="110"/>
  <c r="H12" i="110"/>
  <c r="H13" i="98"/>
  <c r="J13" i="98" s="1"/>
  <c r="AH21" i="95"/>
  <c r="AI21" i="95" s="1"/>
  <c r="G24" i="62" s="1"/>
  <c r="G24" i="66" s="1"/>
  <c r="AH21" i="94"/>
  <c r="F24" i="90"/>
  <c r="F24" i="97"/>
  <c r="F25" i="92"/>
  <c r="F24" i="87"/>
  <c r="F24" i="104"/>
  <c r="F25" i="102"/>
  <c r="H12" i="93"/>
  <c r="J12" i="93" s="1"/>
  <c r="K21" i="106"/>
  <c r="M21" i="106" s="1"/>
  <c r="F22" i="106"/>
  <c r="J22" i="106" s="1"/>
  <c r="G14" i="98"/>
  <c r="G14" i="105"/>
  <c r="D49" i="105"/>
  <c r="F48" i="105"/>
  <c r="J12" i="105"/>
  <c r="H13" i="105"/>
  <c r="J12" i="103"/>
  <c r="D48" i="103"/>
  <c r="F47" i="103"/>
  <c r="K20" i="101"/>
  <c r="M20" i="101" s="1"/>
  <c r="F21" i="101"/>
  <c r="J21" i="101" s="1"/>
  <c r="K21" i="100"/>
  <c r="M21" i="100" s="1"/>
  <c r="F22" i="100"/>
  <c r="J22" i="100" s="1"/>
  <c r="D49" i="98"/>
  <c r="F48" i="98"/>
  <c r="H13" i="91"/>
  <c r="G13" i="93"/>
  <c r="D48" i="93"/>
  <c r="F47" i="93"/>
  <c r="F47" i="58"/>
  <c r="D48" i="58"/>
  <c r="D49" i="61"/>
  <c r="F48" i="61"/>
  <c r="F47" i="65"/>
  <c r="D48" i="65"/>
  <c r="V13" i="89"/>
  <c r="S14" i="89" s="1"/>
  <c r="R14" i="89" s="1"/>
  <c r="G14" i="91"/>
  <c r="D49" i="91"/>
  <c r="F48" i="91"/>
  <c r="J12" i="91"/>
  <c r="T12" i="89"/>
  <c r="N13" i="89" s="1"/>
  <c r="P13" i="89" s="1"/>
  <c r="G13" i="86"/>
  <c r="D48" i="86"/>
  <c r="F47" i="86"/>
  <c r="N13" i="60"/>
  <c r="U8" i="60"/>
  <c r="J9" i="65"/>
  <c r="M8" i="60"/>
  <c r="O8" i="60" s="1"/>
  <c r="H9" i="86" s="1"/>
  <c r="O13" i="53"/>
  <c r="D15" i="54"/>
  <c r="F15" i="54" s="1"/>
  <c r="G24" i="102" l="1"/>
  <c r="G24" i="104"/>
  <c r="G24" i="87"/>
  <c r="G24" i="90"/>
  <c r="G23" i="92"/>
  <c r="G23" i="97" s="1"/>
  <c r="G23" i="59"/>
  <c r="G24" i="108"/>
  <c r="G24" i="55"/>
  <c r="AJ21" i="95"/>
  <c r="G24" i="109"/>
  <c r="J19" i="112"/>
  <c r="D49" i="112"/>
  <c r="F48" i="112"/>
  <c r="T19" i="111"/>
  <c r="N20" i="111" s="1"/>
  <c r="P20" i="111" s="1"/>
  <c r="G21" i="112" s="1"/>
  <c r="H21" i="112" s="1"/>
  <c r="G20" i="110"/>
  <c r="S20" i="111"/>
  <c r="R20" i="111" s="1"/>
  <c r="V20" i="111" s="1"/>
  <c r="O47" i="89"/>
  <c r="O47" i="111"/>
  <c r="D49" i="110"/>
  <c r="F48" i="110"/>
  <c r="G14" i="103"/>
  <c r="H14" i="103" s="1"/>
  <c r="H13" i="110"/>
  <c r="J12" i="110"/>
  <c r="H14" i="98"/>
  <c r="J14" i="98" s="1"/>
  <c r="AH23" i="95"/>
  <c r="AI23" i="95" s="1"/>
  <c r="AH22" i="95"/>
  <c r="AI22" i="95" s="1"/>
  <c r="G25" i="62" s="1"/>
  <c r="G25" i="66" s="1"/>
  <c r="AH23" i="94"/>
  <c r="AH22" i="94"/>
  <c r="I26" i="90"/>
  <c r="F25" i="90"/>
  <c r="F26" i="97"/>
  <c r="F25" i="97"/>
  <c r="F26" i="92"/>
  <c r="F26" i="87"/>
  <c r="F25" i="87"/>
  <c r="F26" i="104"/>
  <c r="F25" i="104"/>
  <c r="F26" i="102"/>
  <c r="H13" i="93"/>
  <c r="J13" i="93" s="1"/>
  <c r="K22" i="106"/>
  <c r="M22" i="106" s="1"/>
  <c r="F23" i="106"/>
  <c r="J23" i="106" s="1"/>
  <c r="D50" i="105"/>
  <c r="F49" i="105"/>
  <c r="H14" i="105"/>
  <c r="J13" i="105"/>
  <c r="G15" i="98"/>
  <c r="G15" i="105"/>
  <c r="D49" i="103"/>
  <c r="F48" i="103"/>
  <c r="J13" i="103"/>
  <c r="K21" i="101"/>
  <c r="M21" i="101" s="1"/>
  <c r="F22" i="101"/>
  <c r="J22" i="101" s="1"/>
  <c r="K22" i="100"/>
  <c r="M22" i="100" s="1"/>
  <c r="F23" i="100"/>
  <c r="J23" i="100" s="1"/>
  <c r="F49" i="98"/>
  <c r="D50" i="98"/>
  <c r="H14" i="91"/>
  <c r="G14" i="93"/>
  <c r="F48" i="93"/>
  <c r="D49" i="93"/>
  <c r="D49" i="58"/>
  <c r="F48" i="58"/>
  <c r="D50" i="61"/>
  <c r="F49" i="61"/>
  <c r="D49" i="65"/>
  <c r="F48" i="65"/>
  <c r="V14" i="89"/>
  <c r="S15" i="89" s="1"/>
  <c r="G15" i="91"/>
  <c r="Y4" i="91" s="1"/>
  <c r="J13" i="91"/>
  <c r="D50" i="91"/>
  <c r="F49" i="91"/>
  <c r="T13" i="89"/>
  <c r="N14" i="89" s="1"/>
  <c r="P14" i="89" s="1"/>
  <c r="G14" i="86"/>
  <c r="D49" i="86"/>
  <c r="F48" i="86"/>
  <c r="N4" i="54"/>
  <c r="J9" i="86"/>
  <c r="G9" i="61"/>
  <c r="S8" i="60"/>
  <c r="M9" i="60" s="1"/>
  <c r="O9" i="60" s="1"/>
  <c r="H10" i="86" s="1"/>
  <c r="N14" i="60"/>
  <c r="R9" i="60"/>
  <c r="Q9" i="60" s="1"/>
  <c r="G10" i="65" s="1"/>
  <c r="H10" i="65" s="1"/>
  <c r="O14" i="53"/>
  <c r="D16" i="54"/>
  <c r="F16" i="54" s="1"/>
  <c r="G26" i="104" l="1"/>
  <c r="G26" i="62"/>
  <c r="G26" i="66" s="1"/>
  <c r="G25" i="102"/>
  <c r="G25" i="104"/>
  <c r="G26" i="90"/>
  <c r="G26" i="102"/>
  <c r="G25" i="87"/>
  <c r="G25" i="90"/>
  <c r="G26" i="55"/>
  <c r="G26" i="92" s="1"/>
  <c r="G26" i="97" s="1"/>
  <c r="G26" i="87"/>
  <c r="G24" i="92"/>
  <c r="G24" i="97" s="1"/>
  <c r="G24" i="59"/>
  <c r="G25" i="108"/>
  <c r="G25" i="55"/>
  <c r="G26" i="109"/>
  <c r="G26" i="108"/>
  <c r="AJ22" i="95"/>
  <c r="AJ23" i="95" s="1"/>
  <c r="D67" i="10" s="1"/>
  <c r="D68" i="10" s="1"/>
  <c r="G25" i="109"/>
  <c r="F49" i="112"/>
  <c r="D50" i="112"/>
  <c r="J20" i="112"/>
  <c r="T20" i="111"/>
  <c r="N21" i="111" s="1"/>
  <c r="P21" i="111" s="1"/>
  <c r="G22" i="112" s="1"/>
  <c r="H22" i="112" s="1"/>
  <c r="G21" i="110"/>
  <c r="S21" i="111"/>
  <c r="R21" i="111" s="1"/>
  <c r="V21" i="111" s="1"/>
  <c r="O48" i="89"/>
  <c r="O48" i="111"/>
  <c r="G15" i="103"/>
  <c r="N4" i="103" s="1"/>
  <c r="J13" i="110"/>
  <c r="H14" i="110"/>
  <c r="D50" i="110"/>
  <c r="F49" i="110"/>
  <c r="H14" i="93"/>
  <c r="J14" i="93" s="1"/>
  <c r="AH24" i="94"/>
  <c r="N4" i="98"/>
  <c r="Y4" i="98"/>
  <c r="P4" i="101" s="1"/>
  <c r="F26" i="90"/>
  <c r="K23" i="106"/>
  <c r="M23" i="106" s="1"/>
  <c r="H15" i="98"/>
  <c r="J15" i="98" s="1"/>
  <c r="K4" i="98" s="1"/>
  <c r="J14" i="105"/>
  <c r="H15" i="105"/>
  <c r="Y4" i="105"/>
  <c r="P4" i="106" s="1"/>
  <c r="N4" i="105"/>
  <c r="D51" i="105"/>
  <c r="F50" i="105"/>
  <c r="J14" i="103"/>
  <c r="F49" i="103"/>
  <c r="D50" i="103"/>
  <c r="K22" i="101"/>
  <c r="M22" i="101" s="1"/>
  <c r="P4" i="100"/>
  <c r="F23" i="101"/>
  <c r="J23" i="101" s="1"/>
  <c r="K23" i="100"/>
  <c r="M23" i="100" s="1"/>
  <c r="N4" i="75"/>
  <c r="F50" i="98"/>
  <c r="D51" i="98"/>
  <c r="G15" i="93"/>
  <c r="AH24" i="95"/>
  <c r="D50" i="93"/>
  <c r="F49" i="93"/>
  <c r="D50" i="58"/>
  <c r="F49" i="58"/>
  <c r="D51" i="61"/>
  <c r="F50" i="61"/>
  <c r="D50" i="65"/>
  <c r="F49" i="65"/>
  <c r="D51" i="91"/>
  <c r="F50" i="91"/>
  <c r="G15" i="86"/>
  <c r="Y4" i="86" s="1"/>
  <c r="J14" i="91"/>
  <c r="T14" i="89"/>
  <c r="F49" i="86"/>
  <c r="D50" i="86"/>
  <c r="J10" i="86"/>
  <c r="G10" i="61"/>
  <c r="U9" i="60"/>
  <c r="R10" i="60" s="1"/>
  <c r="Q10" i="60" s="1"/>
  <c r="G11" i="65" s="1"/>
  <c r="H11" i="65" s="1"/>
  <c r="S9" i="60"/>
  <c r="N15" i="60"/>
  <c r="J10" i="65"/>
  <c r="O15" i="53"/>
  <c r="D17" i="54"/>
  <c r="F17" i="54" s="1"/>
  <c r="G26" i="59" l="1"/>
  <c r="G25" i="59"/>
  <c r="G25" i="92"/>
  <c r="G25" i="97" s="1"/>
  <c r="Y4" i="103"/>
  <c r="O4" i="106" s="1"/>
  <c r="H15" i="103"/>
  <c r="J15" i="103" s="1"/>
  <c r="K4" i="103" s="1"/>
  <c r="J21" i="112"/>
  <c r="D51" i="112"/>
  <c r="F50" i="112"/>
  <c r="T21" i="111"/>
  <c r="N22" i="111" s="1"/>
  <c r="P22" i="111" s="1"/>
  <c r="G23" i="112" s="1"/>
  <c r="H23" i="112" s="1"/>
  <c r="G22" i="110"/>
  <c r="S22" i="111"/>
  <c r="R22" i="111" s="1"/>
  <c r="V22" i="111" s="1"/>
  <c r="O49" i="89"/>
  <c r="O49" i="111"/>
  <c r="H15" i="110"/>
  <c r="J14" i="110"/>
  <c r="N4" i="110"/>
  <c r="Y4" i="110"/>
  <c r="D51" i="110"/>
  <c r="F50" i="110"/>
  <c r="J7" i="97"/>
  <c r="L7" i="97" s="1"/>
  <c r="J15" i="105"/>
  <c r="K4" i="105" s="1"/>
  <c r="F51" i="105"/>
  <c r="X40" i="105" s="1"/>
  <c r="D52" i="105"/>
  <c r="D51" i="103"/>
  <c r="F50" i="103"/>
  <c r="K23" i="101"/>
  <c r="M23" i="101" s="1"/>
  <c r="O4" i="100"/>
  <c r="H15" i="93"/>
  <c r="J15" i="93" s="1"/>
  <c r="K4" i="93" s="1"/>
  <c r="Y4" i="93"/>
  <c r="O4" i="101" s="1"/>
  <c r="D52" i="98"/>
  <c r="F51" i="98"/>
  <c r="X40" i="98" s="1"/>
  <c r="N4" i="93"/>
  <c r="F50" i="93"/>
  <c r="D51" i="93"/>
  <c r="F50" i="58"/>
  <c r="D51" i="58"/>
  <c r="F51" i="61"/>
  <c r="D52" i="61"/>
  <c r="F50" i="65"/>
  <c r="D51" i="65"/>
  <c r="N4" i="91"/>
  <c r="H15" i="91"/>
  <c r="R15" i="89"/>
  <c r="G16" i="105" s="1"/>
  <c r="H16" i="105" s="1"/>
  <c r="F51" i="91"/>
  <c r="O50" i="111" s="1"/>
  <c r="D52" i="91"/>
  <c r="N15" i="89"/>
  <c r="P15" i="89" s="1"/>
  <c r="D51" i="86"/>
  <c r="F50" i="86"/>
  <c r="J11" i="65"/>
  <c r="M10" i="60"/>
  <c r="O10" i="60" s="1"/>
  <c r="H11" i="86" s="1"/>
  <c r="N16" i="60"/>
  <c r="U10" i="60"/>
  <c r="O16" i="53"/>
  <c r="D18" i="54"/>
  <c r="F18" i="54" s="1"/>
  <c r="D52" i="112" l="1"/>
  <c r="F51" i="112"/>
  <c r="X40" i="112" s="1"/>
  <c r="J22" i="112"/>
  <c r="T22" i="111"/>
  <c r="N23" i="111" s="1"/>
  <c r="P23" i="111" s="1"/>
  <c r="G24" i="112" s="1"/>
  <c r="H24" i="112" s="1"/>
  <c r="G23" i="110"/>
  <c r="S23" i="111"/>
  <c r="R23" i="111" s="1"/>
  <c r="V23" i="111" s="1"/>
  <c r="G16" i="103"/>
  <c r="H16" i="103" s="1"/>
  <c r="F51" i="110"/>
  <c r="X40" i="110" s="1"/>
  <c r="D52" i="110"/>
  <c r="J15" i="110"/>
  <c r="K4" i="110" s="1"/>
  <c r="J7" i="108" s="1"/>
  <c r="L7" i="108" s="1"/>
  <c r="M7" i="108" s="1"/>
  <c r="H16" i="110"/>
  <c r="H7" i="97"/>
  <c r="L7" i="109"/>
  <c r="M7" i="109" s="1"/>
  <c r="H7" i="109"/>
  <c r="J7" i="104"/>
  <c r="J7" i="102"/>
  <c r="J7" i="92"/>
  <c r="D53" i="105"/>
  <c r="F52" i="105"/>
  <c r="D52" i="103"/>
  <c r="F51" i="103"/>
  <c r="X40" i="103" s="1"/>
  <c r="N7" i="106" s="1"/>
  <c r="O50" i="89"/>
  <c r="X40" i="91"/>
  <c r="G16" i="91"/>
  <c r="G16" i="98"/>
  <c r="D53" i="98"/>
  <c r="F52" i="98"/>
  <c r="G16" i="93"/>
  <c r="D52" i="93"/>
  <c r="F51" i="93"/>
  <c r="X40" i="93" s="1"/>
  <c r="D52" i="58"/>
  <c r="F51" i="58"/>
  <c r="F52" i="61"/>
  <c r="D53" i="61"/>
  <c r="F51" i="65"/>
  <c r="P40" i="65" s="1"/>
  <c r="N7" i="76" s="1"/>
  <c r="D52" i="65"/>
  <c r="V15" i="89"/>
  <c r="F52" i="91"/>
  <c r="O51" i="111" s="1"/>
  <c r="D53" i="91"/>
  <c r="J15" i="91"/>
  <c r="K4" i="91" s="1"/>
  <c r="J7" i="90" s="1"/>
  <c r="L7" i="90" s="1"/>
  <c r="T15" i="89"/>
  <c r="N16" i="89" s="1"/>
  <c r="P16" i="89" s="1"/>
  <c r="G16" i="86"/>
  <c r="D52" i="86"/>
  <c r="F51" i="86"/>
  <c r="X40" i="86" s="1"/>
  <c r="N7" i="100" s="1"/>
  <c r="J11" i="86"/>
  <c r="G11" i="61"/>
  <c r="R11" i="60"/>
  <c r="Q11" i="60" s="1"/>
  <c r="G12" i="65" s="1"/>
  <c r="H12" i="65" s="1"/>
  <c r="S10" i="60"/>
  <c r="N17" i="60"/>
  <c r="O17" i="53"/>
  <c r="D19" i="54"/>
  <c r="F19" i="54" s="1"/>
  <c r="J23" i="112" l="1"/>
  <c r="D53" i="112"/>
  <c r="F52" i="112"/>
  <c r="H7" i="108"/>
  <c r="T23" i="111"/>
  <c r="N24" i="111" s="1"/>
  <c r="P24" i="111" s="1"/>
  <c r="G25" i="112" s="1"/>
  <c r="H25" i="112" s="1"/>
  <c r="G24" i="110"/>
  <c r="S24" i="111"/>
  <c r="R24" i="111" s="1"/>
  <c r="V24" i="111" s="1"/>
  <c r="D53" i="110"/>
  <c r="F52" i="110"/>
  <c r="G17" i="103"/>
  <c r="H17" i="103" s="1"/>
  <c r="H17" i="110"/>
  <c r="J16" i="110"/>
  <c r="H7" i="104"/>
  <c r="L7" i="104"/>
  <c r="M7" i="104" s="1"/>
  <c r="H7" i="102"/>
  <c r="L7" i="102"/>
  <c r="H7" i="92"/>
  <c r="L7" i="92"/>
  <c r="H16" i="98"/>
  <c r="J16" i="105"/>
  <c r="D54" i="105"/>
  <c r="F53" i="105"/>
  <c r="J16" i="103"/>
  <c r="D53" i="103"/>
  <c r="F52" i="103"/>
  <c r="N7" i="101"/>
  <c r="O51" i="89"/>
  <c r="H16" i="91"/>
  <c r="J16" i="91" s="1"/>
  <c r="H16" i="93"/>
  <c r="J16" i="93" s="1"/>
  <c r="F53" i="98"/>
  <c r="D54" i="98"/>
  <c r="H7" i="90"/>
  <c r="G17" i="93"/>
  <c r="D53" i="93"/>
  <c r="F52" i="93"/>
  <c r="D53" i="58"/>
  <c r="F52" i="58"/>
  <c r="D54" i="61"/>
  <c r="F53" i="61"/>
  <c r="D53" i="65"/>
  <c r="F52" i="65"/>
  <c r="S16" i="89"/>
  <c r="R16" i="89" s="1"/>
  <c r="D54" i="91"/>
  <c r="F53" i="91"/>
  <c r="T16" i="89"/>
  <c r="N17" i="89" s="1"/>
  <c r="P17" i="89" s="1"/>
  <c r="G17" i="86"/>
  <c r="F52" i="86"/>
  <c r="D53" i="86"/>
  <c r="U11" i="60"/>
  <c r="N18" i="60"/>
  <c r="J12" i="65"/>
  <c r="M11" i="60"/>
  <c r="O11" i="60" s="1"/>
  <c r="H12" i="86" s="1"/>
  <c r="O18" i="53"/>
  <c r="D20" i="54"/>
  <c r="F20" i="54" s="1"/>
  <c r="D54" i="112" l="1"/>
  <c r="F53" i="112"/>
  <c r="J24" i="112"/>
  <c r="T24" i="111"/>
  <c r="N25" i="111" s="1"/>
  <c r="P25" i="111" s="1"/>
  <c r="G26" i="112" s="1"/>
  <c r="H26" i="112" s="1"/>
  <c r="G25" i="110"/>
  <c r="S25" i="111"/>
  <c r="R25" i="111" s="1"/>
  <c r="V25" i="111" s="1"/>
  <c r="O52" i="89"/>
  <c r="O52" i="111"/>
  <c r="J17" i="110"/>
  <c r="G18" i="103"/>
  <c r="H18" i="103" s="1"/>
  <c r="H18" i="110"/>
  <c r="D54" i="110"/>
  <c r="F53" i="110"/>
  <c r="D55" i="105"/>
  <c r="F54" i="105"/>
  <c r="G17" i="98"/>
  <c r="G17" i="105"/>
  <c r="D54" i="103"/>
  <c r="F53" i="103"/>
  <c r="J17" i="103"/>
  <c r="H17" i="93"/>
  <c r="J17" i="93" s="1"/>
  <c r="D55" i="98"/>
  <c r="F54" i="98"/>
  <c r="J16" i="98"/>
  <c r="M7" i="97"/>
  <c r="G18" i="93"/>
  <c r="D54" i="93"/>
  <c r="F53" i="93"/>
  <c r="D54" i="58"/>
  <c r="F53" i="58"/>
  <c r="D55" i="61"/>
  <c r="F54" i="61"/>
  <c r="D54" i="65"/>
  <c r="F53" i="65"/>
  <c r="V16" i="89"/>
  <c r="S17" i="89" s="1"/>
  <c r="R17" i="89" s="1"/>
  <c r="G18" i="105" s="1"/>
  <c r="G17" i="91"/>
  <c r="F54" i="91"/>
  <c r="D55" i="91"/>
  <c r="T17" i="89"/>
  <c r="N18" i="89" s="1"/>
  <c r="P18" i="89" s="1"/>
  <c r="G18" i="86"/>
  <c r="D54" i="86"/>
  <c r="F53" i="86"/>
  <c r="J12" i="86"/>
  <c r="G12" i="61"/>
  <c r="N19" i="60"/>
  <c r="S11" i="60"/>
  <c r="R12" i="60"/>
  <c r="Q12" i="60" s="1"/>
  <c r="G13" i="65" s="1"/>
  <c r="H13" i="65" s="1"/>
  <c r="O19" i="53"/>
  <c r="D21" i="54"/>
  <c r="F21" i="54" s="1"/>
  <c r="J25" i="112" l="1"/>
  <c r="D55" i="112"/>
  <c r="F54" i="112"/>
  <c r="T25" i="111"/>
  <c r="N26" i="111" s="1"/>
  <c r="P26" i="111" s="1"/>
  <c r="G27" i="112" s="1"/>
  <c r="H27" i="112" s="1"/>
  <c r="G26" i="110"/>
  <c r="S26" i="111"/>
  <c r="R26" i="111" s="1"/>
  <c r="V26" i="111" s="1"/>
  <c r="O53" i="89"/>
  <c r="O53" i="111"/>
  <c r="G19" i="103"/>
  <c r="H19" i="103" s="1"/>
  <c r="D55" i="110"/>
  <c r="F54" i="110"/>
  <c r="J18" i="110"/>
  <c r="H17" i="98"/>
  <c r="J17" i="98" s="1"/>
  <c r="F55" i="105"/>
  <c r="D56" i="105"/>
  <c r="H17" i="105"/>
  <c r="J18" i="103"/>
  <c r="D55" i="103"/>
  <c r="F54" i="103"/>
  <c r="H18" i="93"/>
  <c r="J18" i="93" s="1"/>
  <c r="H17" i="91"/>
  <c r="D56" i="98"/>
  <c r="F55" i="98"/>
  <c r="G18" i="91"/>
  <c r="G18" i="98"/>
  <c r="G19" i="93"/>
  <c r="D55" i="93"/>
  <c r="F54" i="93"/>
  <c r="F54" i="58"/>
  <c r="D55" i="58"/>
  <c r="D56" i="61"/>
  <c r="F55" i="61"/>
  <c r="D55" i="65"/>
  <c r="F54" i="65"/>
  <c r="V17" i="89"/>
  <c r="D56" i="91"/>
  <c r="F55" i="91"/>
  <c r="T18" i="89"/>
  <c r="N19" i="89" s="1"/>
  <c r="P19" i="89" s="1"/>
  <c r="G19" i="86"/>
  <c r="D55" i="86"/>
  <c r="F54" i="86"/>
  <c r="U12" i="60"/>
  <c r="J13" i="65"/>
  <c r="M12" i="60"/>
  <c r="O12" i="60" s="1"/>
  <c r="H13" i="86" s="1"/>
  <c r="N20" i="60"/>
  <c r="O20" i="53"/>
  <c r="D22" i="54"/>
  <c r="F22" i="54" s="1"/>
  <c r="F55" i="112" l="1"/>
  <c r="D56" i="112"/>
  <c r="J26" i="112"/>
  <c r="N16" i="112"/>
  <c r="Y16" i="112"/>
  <c r="T26" i="111"/>
  <c r="N27" i="111" s="1"/>
  <c r="P27" i="111" s="1"/>
  <c r="G28" i="112" s="1"/>
  <c r="H28" i="112" s="1"/>
  <c r="G27" i="110"/>
  <c r="S27" i="111"/>
  <c r="R27" i="111" s="1"/>
  <c r="V27" i="111" s="1"/>
  <c r="O54" i="89"/>
  <c r="O54" i="111"/>
  <c r="D56" i="110"/>
  <c r="F55" i="110"/>
  <c r="G20" i="103"/>
  <c r="H20" i="103" s="1"/>
  <c r="H19" i="110"/>
  <c r="D57" i="105"/>
  <c r="F56" i="105"/>
  <c r="H18" i="105"/>
  <c r="J17" i="105"/>
  <c r="F55" i="103"/>
  <c r="D56" i="103"/>
  <c r="J19" i="103"/>
  <c r="H18" i="91"/>
  <c r="J18" i="91" s="1"/>
  <c r="J17" i="91"/>
  <c r="H19" i="93"/>
  <c r="J19" i="93" s="1"/>
  <c r="H18" i="98"/>
  <c r="D57" i="98"/>
  <c r="F56" i="98"/>
  <c r="G20" i="93"/>
  <c r="D56" i="93"/>
  <c r="F55" i="93"/>
  <c r="F55" i="58"/>
  <c r="D56" i="58"/>
  <c r="F56" i="61"/>
  <c r="D57" i="61"/>
  <c r="D56" i="65"/>
  <c r="F55" i="65"/>
  <c r="S18" i="89"/>
  <c r="R18" i="89" s="1"/>
  <c r="G19" i="105" s="1"/>
  <c r="D57" i="91"/>
  <c r="F56" i="91"/>
  <c r="T19" i="89"/>
  <c r="N20" i="89" s="1"/>
  <c r="P20" i="89" s="1"/>
  <c r="G20" i="86"/>
  <c r="D56" i="86"/>
  <c r="F55" i="86"/>
  <c r="J13" i="86"/>
  <c r="G13" i="61"/>
  <c r="S12" i="60"/>
  <c r="R13" i="60"/>
  <c r="Q13" i="60" s="1"/>
  <c r="G14" i="65" s="1"/>
  <c r="H14" i="65" s="1"/>
  <c r="N21" i="60"/>
  <c r="O21" i="53"/>
  <c r="D23" i="54"/>
  <c r="F23" i="54" s="1"/>
  <c r="J27" i="112" l="1"/>
  <c r="K16" i="112" s="1"/>
  <c r="J8" i="109" s="1"/>
  <c r="D57" i="112"/>
  <c r="F56" i="112"/>
  <c r="T27" i="111"/>
  <c r="N28" i="111" s="1"/>
  <c r="P28" i="111" s="1"/>
  <c r="G29" i="112" s="1"/>
  <c r="H29" i="112" s="1"/>
  <c r="G28" i="110"/>
  <c r="S28" i="111"/>
  <c r="R28" i="111" s="1"/>
  <c r="V28" i="111" s="1"/>
  <c r="O55" i="89"/>
  <c r="O55" i="111"/>
  <c r="H20" i="110"/>
  <c r="J19" i="110"/>
  <c r="D57" i="110"/>
  <c r="F56" i="110"/>
  <c r="G21" i="103"/>
  <c r="H21" i="103" s="1"/>
  <c r="H20" i="93"/>
  <c r="J20" i="93" s="1"/>
  <c r="H19" i="105"/>
  <c r="J18" i="105"/>
  <c r="F57" i="105"/>
  <c r="D58" i="105"/>
  <c r="J20" i="103"/>
  <c r="D57" i="103"/>
  <c r="F56" i="103"/>
  <c r="F57" i="98"/>
  <c r="D58" i="98"/>
  <c r="G19" i="91"/>
  <c r="G19" i="98"/>
  <c r="J18" i="98"/>
  <c r="G21" i="93"/>
  <c r="D57" i="93"/>
  <c r="F56" i="93"/>
  <c r="D57" i="58"/>
  <c r="F56" i="58"/>
  <c r="F57" i="61"/>
  <c r="D58" i="61"/>
  <c r="F56" i="65"/>
  <c r="D57" i="65"/>
  <c r="V18" i="89"/>
  <c r="S19" i="89" s="1"/>
  <c r="R19" i="89" s="1"/>
  <c r="G20" i="105" s="1"/>
  <c r="D58" i="91"/>
  <c r="F57" i="91"/>
  <c r="T20" i="89"/>
  <c r="N21" i="89" s="1"/>
  <c r="P21" i="89" s="1"/>
  <c r="G21" i="86"/>
  <c r="D57" i="86"/>
  <c r="F56" i="86"/>
  <c r="M13" i="60"/>
  <c r="O13" i="60" s="1"/>
  <c r="H14" i="86" s="1"/>
  <c r="U13" i="60"/>
  <c r="N22" i="60"/>
  <c r="J14" i="65"/>
  <c r="O22" i="53"/>
  <c r="D24" i="54"/>
  <c r="F24" i="54" s="1"/>
  <c r="J28" i="112" l="1"/>
  <c r="D58" i="112"/>
  <c r="F57" i="112"/>
  <c r="T28" i="111"/>
  <c r="N29" i="111" s="1"/>
  <c r="P29" i="111" s="1"/>
  <c r="G30" i="112" s="1"/>
  <c r="H30" i="112" s="1"/>
  <c r="G29" i="110"/>
  <c r="S29" i="111"/>
  <c r="R29" i="111" s="1"/>
  <c r="V29" i="111" s="1"/>
  <c r="O56" i="89"/>
  <c r="O56" i="111"/>
  <c r="G22" i="103"/>
  <c r="H22" i="103" s="1"/>
  <c r="D58" i="110"/>
  <c r="F57" i="110"/>
  <c r="H21" i="110"/>
  <c r="J20" i="110"/>
  <c r="H19" i="98"/>
  <c r="J19" i="98" s="1"/>
  <c r="H21" i="93"/>
  <c r="J21" i="93" s="1"/>
  <c r="H20" i="105"/>
  <c r="J19" i="105"/>
  <c r="D59" i="105"/>
  <c r="F58" i="105"/>
  <c r="D58" i="103"/>
  <c r="F57" i="103"/>
  <c r="J21" i="103"/>
  <c r="H19" i="91"/>
  <c r="J19" i="91" s="1"/>
  <c r="D59" i="98"/>
  <c r="F58" i="98"/>
  <c r="G20" i="91"/>
  <c r="G20" i="98"/>
  <c r="G22" i="93"/>
  <c r="D58" i="93"/>
  <c r="F57" i="93"/>
  <c r="D58" i="58"/>
  <c r="F57" i="58"/>
  <c r="D59" i="61"/>
  <c r="F58" i="61"/>
  <c r="F57" i="65"/>
  <c r="D58" i="65"/>
  <c r="V19" i="89"/>
  <c r="S20" i="89" s="1"/>
  <c r="R20" i="89" s="1"/>
  <c r="G21" i="105" s="1"/>
  <c r="D59" i="91"/>
  <c r="F58" i="91"/>
  <c r="T21" i="89"/>
  <c r="N22" i="89" s="1"/>
  <c r="P22" i="89" s="1"/>
  <c r="G22" i="86"/>
  <c r="D58" i="86"/>
  <c r="F57" i="86"/>
  <c r="J14" i="86"/>
  <c r="G14" i="61"/>
  <c r="N23" i="60"/>
  <c r="S13" i="60"/>
  <c r="R14" i="60"/>
  <c r="Q14" i="60" s="1"/>
  <c r="G15" i="65" s="1"/>
  <c r="O23" i="53"/>
  <c r="D25" i="54"/>
  <c r="F25" i="54" s="1"/>
  <c r="J29" i="112" l="1"/>
  <c r="D59" i="112"/>
  <c r="F58" i="112"/>
  <c r="T29" i="111"/>
  <c r="N30" i="111" s="1"/>
  <c r="P30" i="111" s="1"/>
  <c r="G31" i="112" s="1"/>
  <c r="H31" i="112" s="1"/>
  <c r="G30" i="110"/>
  <c r="S30" i="111"/>
  <c r="R30" i="111" s="1"/>
  <c r="V30" i="111" s="1"/>
  <c r="O57" i="89"/>
  <c r="O57" i="111"/>
  <c r="D59" i="110"/>
  <c r="F58" i="110"/>
  <c r="G23" i="103"/>
  <c r="H23" i="103" s="1"/>
  <c r="H22" i="110"/>
  <c r="J21" i="110"/>
  <c r="H20" i="98"/>
  <c r="J20" i="98" s="1"/>
  <c r="H22" i="93"/>
  <c r="J22" i="93" s="1"/>
  <c r="D60" i="105"/>
  <c r="F59" i="105"/>
  <c r="H21" i="105"/>
  <c r="J20" i="105"/>
  <c r="J22" i="103"/>
  <c r="D59" i="103"/>
  <c r="F58" i="103"/>
  <c r="H20" i="91"/>
  <c r="J20" i="91" s="1"/>
  <c r="D60" i="98"/>
  <c r="F59" i="98"/>
  <c r="G21" i="91"/>
  <c r="G21" i="98"/>
  <c r="G23" i="93"/>
  <c r="D59" i="93"/>
  <c r="F58" i="93"/>
  <c r="D59" i="58"/>
  <c r="F58" i="58"/>
  <c r="D60" i="61"/>
  <c r="F59" i="61"/>
  <c r="D59" i="65"/>
  <c r="F58" i="65"/>
  <c r="V20" i="89"/>
  <c r="F59" i="91"/>
  <c r="D60" i="91"/>
  <c r="T22" i="89"/>
  <c r="N23" i="89" s="1"/>
  <c r="P23" i="89" s="1"/>
  <c r="G23" i="86"/>
  <c r="D59" i="86"/>
  <c r="F58" i="86"/>
  <c r="H15" i="65"/>
  <c r="J15" i="65" s="1"/>
  <c r="K4" i="65" s="1"/>
  <c r="J7" i="66" s="1"/>
  <c r="H7" i="66" s="1"/>
  <c r="N4" i="65"/>
  <c r="P4" i="76" s="1"/>
  <c r="U14" i="60"/>
  <c r="M14" i="60"/>
  <c r="O14" i="60" s="1"/>
  <c r="N24" i="60"/>
  <c r="O24" i="53"/>
  <c r="D26" i="54"/>
  <c r="F26" i="54" s="1"/>
  <c r="J30" i="112" l="1"/>
  <c r="F59" i="112"/>
  <c r="D60" i="112"/>
  <c r="T30" i="111"/>
  <c r="N31" i="111" s="1"/>
  <c r="P31" i="111" s="1"/>
  <c r="G32" i="112" s="1"/>
  <c r="H32" i="112" s="1"/>
  <c r="G31" i="110"/>
  <c r="S31" i="111"/>
  <c r="R31" i="111" s="1"/>
  <c r="V31" i="111" s="1"/>
  <c r="O58" i="89"/>
  <c r="O58" i="111"/>
  <c r="G24" i="103"/>
  <c r="H24" i="103" s="1"/>
  <c r="H23" i="110"/>
  <c r="J22" i="110"/>
  <c r="D60" i="110"/>
  <c r="F59" i="110"/>
  <c r="L7" i="66"/>
  <c r="H21" i="98"/>
  <c r="J21" i="98" s="1"/>
  <c r="H23" i="93"/>
  <c r="J23" i="93" s="1"/>
  <c r="J21" i="105"/>
  <c r="D61" i="105"/>
  <c r="F60" i="105"/>
  <c r="F59" i="103"/>
  <c r="D60" i="103"/>
  <c r="J23" i="103"/>
  <c r="H21" i="91"/>
  <c r="J21" i="91" s="1"/>
  <c r="D61" i="98"/>
  <c r="F60" i="98"/>
  <c r="G24" i="93"/>
  <c r="D60" i="93"/>
  <c r="F59" i="93"/>
  <c r="D60" i="58"/>
  <c r="F59" i="58"/>
  <c r="F60" i="61"/>
  <c r="D61" i="61"/>
  <c r="D60" i="65"/>
  <c r="F59" i="65"/>
  <c r="S21" i="89"/>
  <c r="R21" i="89" s="1"/>
  <c r="G22" i="105" s="1"/>
  <c r="H22" i="105" s="1"/>
  <c r="D61" i="91"/>
  <c r="F60" i="91"/>
  <c r="T23" i="89"/>
  <c r="N24" i="89" s="1"/>
  <c r="P24" i="89" s="1"/>
  <c r="G24" i="86"/>
  <c r="F59" i="86"/>
  <c r="D60" i="86"/>
  <c r="N4" i="86"/>
  <c r="H15" i="86"/>
  <c r="H16" i="86" s="1"/>
  <c r="G15" i="61"/>
  <c r="N4" i="61" s="1"/>
  <c r="O4" i="76" s="1"/>
  <c r="S14" i="60"/>
  <c r="R15" i="60"/>
  <c r="Q15" i="60" s="1"/>
  <c r="G16" i="65" s="1"/>
  <c r="N25" i="60"/>
  <c r="O25" i="53"/>
  <c r="D27" i="54"/>
  <c r="F27" i="54" s="1"/>
  <c r="J31" i="112" l="1"/>
  <c r="D61" i="112"/>
  <c r="F60" i="112"/>
  <c r="T31" i="111"/>
  <c r="N32" i="111" s="1"/>
  <c r="P32" i="111" s="1"/>
  <c r="G33" i="112" s="1"/>
  <c r="H33" i="112" s="1"/>
  <c r="G32" i="110"/>
  <c r="S32" i="111"/>
  <c r="R32" i="111" s="1"/>
  <c r="V32" i="111" s="1"/>
  <c r="O59" i="89"/>
  <c r="O59" i="111"/>
  <c r="H24" i="110"/>
  <c r="J23" i="110"/>
  <c r="G25" i="103"/>
  <c r="H25" i="103" s="1"/>
  <c r="D61" i="110"/>
  <c r="F60" i="110"/>
  <c r="H24" i="93"/>
  <c r="J24" i="93" s="1"/>
  <c r="J22" i="105"/>
  <c r="D62" i="105"/>
  <c r="F61" i="105"/>
  <c r="J24" i="103"/>
  <c r="D61" i="103"/>
  <c r="F60" i="103"/>
  <c r="D62" i="98"/>
  <c r="F61" i="98"/>
  <c r="G22" i="91"/>
  <c r="H22" i="91" s="1"/>
  <c r="J22" i="91" s="1"/>
  <c r="G22" i="98"/>
  <c r="H22" i="98" s="1"/>
  <c r="G25" i="93"/>
  <c r="D61" i="93"/>
  <c r="F60" i="93"/>
  <c r="D61" i="58"/>
  <c r="F60" i="58"/>
  <c r="D62" i="61"/>
  <c r="F61" i="61"/>
  <c r="F60" i="65"/>
  <c r="D61" i="65"/>
  <c r="V21" i="89"/>
  <c r="D62" i="91"/>
  <c r="F61" i="91"/>
  <c r="T24" i="89"/>
  <c r="N25" i="89" s="1"/>
  <c r="P25" i="89" s="1"/>
  <c r="G25" i="86"/>
  <c r="D61" i="86"/>
  <c r="F60" i="86"/>
  <c r="N16" i="54"/>
  <c r="J15" i="86"/>
  <c r="K4" i="86" s="1"/>
  <c r="J7" i="87" s="1"/>
  <c r="L7" i="87" s="1"/>
  <c r="H16" i="65"/>
  <c r="J16" i="65" s="1"/>
  <c r="M15" i="60"/>
  <c r="O15" i="60" s="1"/>
  <c r="N26" i="60"/>
  <c r="U15" i="60"/>
  <c r="O26" i="53"/>
  <c r="D28" i="54"/>
  <c r="F28" i="54" s="1"/>
  <c r="D62" i="112" l="1"/>
  <c r="F61" i="112"/>
  <c r="J32" i="112"/>
  <c r="T32" i="111"/>
  <c r="N33" i="111" s="1"/>
  <c r="P33" i="111" s="1"/>
  <c r="G34" i="112" s="1"/>
  <c r="H34" i="112" s="1"/>
  <c r="G33" i="110"/>
  <c r="S33" i="111"/>
  <c r="R33" i="111" s="1"/>
  <c r="V33" i="111" s="1"/>
  <c r="O60" i="89"/>
  <c r="O60" i="111"/>
  <c r="G26" i="103"/>
  <c r="H26" i="103" s="1"/>
  <c r="D62" i="110"/>
  <c r="F61" i="110"/>
  <c r="H25" i="110"/>
  <c r="J24" i="110"/>
  <c r="H25" i="93"/>
  <c r="J25" i="93" s="1"/>
  <c r="D63" i="105"/>
  <c r="F62" i="105"/>
  <c r="D62" i="103"/>
  <c r="F61" i="103"/>
  <c r="J25" i="103"/>
  <c r="M7" i="102"/>
  <c r="N5" i="75"/>
  <c r="J22" i="98"/>
  <c r="D63" i="98"/>
  <c r="F62" i="98"/>
  <c r="G26" i="93"/>
  <c r="D62" i="93"/>
  <c r="F61" i="93"/>
  <c r="M7" i="92"/>
  <c r="F61" i="58"/>
  <c r="D62" i="58"/>
  <c r="F62" i="61"/>
  <c r="D63" i="61"/>
  <c r="D62" i="65"/>
  <c r="F61" i="65"/>
  <c r="S22" i="89"/>
  <c r="R22" i="89" s="1"/>
  <c r="G23" i="105" s="1"/>
  <c r="H23" i="105" s="1"/>
  <c r="D63" i="91"/>
  <c r="F62" i="91"/>
  <c r="H7" i="87"/>
  <c r="T25" i="89"/>
  <c r="N26" i="89" s="1"/>
  <c r="P26" i="89" s="1"/>
  <c r="G26" i="86"/>
  <c r="D62" i="86"/>
  <c r="F61" i="86"/>
  <c r="G16" i="61"/>
  <c r="S15" i="60"/>
  <c r="N27" i="60"/>
  <c r="R16" i="60"/>
  <c r="Q16" i="60" s="1"/>
  <c r="G17" i="65" s="1"/>
  <c r="O27" i="53"/>
  <c r="D29" i="54"/>
  <c r="F29" i="54" s="1"/>
  <c r="J33" i="112" l="1"/>
  <c r="D63" i="112"/>
  <c r="F62" i="112"/>
  <c r="H26" i="93"/>
  <c r="J26" i="93" s="1"/>
  <c r="T33" i="111"/>
  <c r="N34" i="111" s="1"/>
  <c r="P34" i="111" s="1"/>
  <c r="G35" i="112" s="1"/>
  <c r="H35" i="112" s="1"/>
  <c r="G34" i="110"/>
  <c r="S34" i="111"/>
  <c r="R34" i="111" s="1"/>
  <c r="V34" i="111" s="1"/>
  <c r="O61" i="89"/>
  <c r="O61" i="111"/>
  <c r="D63" i="110"/>
  <c r="F62" i="110"/>
  <c r="G27" i="103"/>
  <c r="N16" i="103" s="1"/>
  <c r="H26" i="110"/>
  <c r="J25" i="110"/>
  <c r="J23" i="105"/>
  <c r="D64" i="105"/>
  <c r="F63" i="105"/>
  <c r="X52" i="105" s="1"/>
  <c r="J26" i="103"/>
  <c r="D63" i="103"/>
  <c r="F62" i="103"/>
  <c r="D64" i="98"/>
  <c r="F63" i="98"/>
  <c r="X52" i="98" s="1"/>
  <c r="G23" i="91"/>
  <c r="H23" i="91" s="1"/>
  <c r="J23" i="91" s="1"/>
  <c r="G23" i="98"/>
  <c r="H23" i="98" s="1"/>
  <c r="G27" i="93"/>
  <c r="D63" i="93"/>
  <c r="F62" i="93"/>
  <c r="D63" i="58"/>
  <c r="F62" i="58"/>
  <c r="D64" i="61"/>
  <c r="F63" i="61"/>
  <c r="D63" i="65"/>
  <c r="F62" i="65"/>
  <c r="V22" i="89"/>
  <c r="D64" i="91"/>
  <c r="F63" i="91"/>
  <c r="O62" i="111" s="1"/>
  <c r="M7" i="90"/>
  <c r="T26" i="89"/>
  <c r="N27" i="89" s="1"/>
  <c r="P27" i="89" s="1"/>
  <c r="G27" i="86"/>
  <c r="Y16" i="86" s="1"/>
  <c r="D63" i="86"/>
  <c r="F62" i="86"/>
  <c r="J16" i="86"/>
  <c r="H17" i="65"/>
  <c r="J17" i="65" s="1"/>
  <c r="U16" i="60"/>
  <c r="M16" i="60"/>
  <c r="O16" i="60" s="1"/>
  <c r="N28" i="60"/>
  <c r="O28" i="53"/>
  <c r="D30" i="54"/>
  <c r="F30" i="54" s="1"/>
  <c r="Y16" i="103" l="1"/>
  <c r="O5" i="106" s="1"/>
  <c r="D64" i="112"/>
  <c r="F63" i="112"/>
  <c r="X52" i="112" s="1"/>
  <c r="J34" i="112"/>
  <c r="T34" i="111"/>
  <c r="N35" i="111" s="1"/>
  <c r="P35" i="111" s="1"/>
  <c r="G36" i="112" s="1"/>
  <c r="H36" i="112" s="1"/>
  <c r="G35" i="110"/>
  <c r="H27" i="103"/>
  <c r="J27" i="103" s="1"/>
  <c r="K16" i="103" s="1"/>
  <c r="S35" i="111"/>
  <c r="R35" i="111" s="1"/>
  <c r="V35" i="111" s="1"/>
  <c r="N16" i="110"/>
  <c r="Y16" i="110"/>
  <c r="G28" i="103"/>
  <c r="H27" i="110"/>
  <c r="J26" i="110"/>
  <c r="D64" i="110"/>
  <c r="F63" i="110"/>
  <c r="X52" i="110" s="1"/>
  <c r="D65" i="105"/>
  <c r="F64" i="105"/>
  <c r="D64" i="103"/>
  <c r="F63" i="103"/>
  <c r="X52" i="103" s="1"/>
  <c r="N8" i="106" s="1"/>
  <c r="O5" i="100"/>
  <c r="O62" i="89"/>
  <c r="X52" i="91"/>
  <c r="N16" i="93"/>
  <c r="Y16" i="93"/>
  <c r="O5" i="101" s="1"/>
  <c r="H27" i="93"/>
  <c r="J27" i="93" s="1"/>
  <c r="K16" i="93" s="1"/>
  <c r="J23" i="98"/>
  <c r="D65" i="98"/>
  <c r="F64" i="98"/>
  <c r="G28" i="93"/>
  <c r="D64" i="93"/>
  <c r="F63" i="93"/>
  <c r="X52" i="93" s="1"/>
  <c r="D64" i="58"/>
  <c r="F63" i="58"/>
  <c r="D65" i="61"/>
  <c r="F64" i="61"/>
  <c r="F63" i="65"/>
  <c r="P52" i="65" s="1"/>
  <c r="N8" i="76" s="1"/>
  <c r="D64" i="65"/>
  <c r="S23" i="89"/>
  <c r="R23" i="89" s="1"/>
  <c r="G24" i="105" s="1"/>
  <c r="H24" i="105" s="1"/>
  <c r="D65" i="91"/>
  <c r="F64" i="91"/>
  <c r="O63" i="111" s="1"/>
  <c r="T27" i="89"/>
  <c r="N28" i="89" s="1"/>
  <c r="P28" i="89" s="1"/>
  <c r="G28" i="86"/>
  <c r="D64" i="86"/>
  <c r="F63" i="86"/>
  <c r="X52" i="86" s="1"/>
  <c r="N8" i="100" s="1"/>
  <c r="H17" i="86"/>
  <c r="G17" i="61"/>
  <c r="R17" i="60"/>
  <c r="Q17" i="60" s="1"/>
  <c r="G18" i="65" s="1"/>
  <c r="N29" i="60"/>
  <c r="S16" i="60"/>
  <c r="O29" i="53"/>
  <c r="D31" i="54"/>
  <c r="F31" i="54" s="1"/>
  <c r="J35" i="112" l="1"/>
  <c r="D65" i="112"/>
  <c r="F64" i="112"/>
  <c r="H28" i="103"/>
  <c r="T35" i="111"/>
  <c r="N36" i="111" s="1"/>
  <c r="P36" i="111" s="1"/>
  <c r="G37" i="112" s="1"/>
  <c r="H37" i="112" s="1"/>
  <c r="G36" i="110"/>
  <c r="S36" i="111"/>
  <c r="R36" i="111" s="1"/>
  <c r="V36" i="111" s="1"/>
  <c r="D65" i="110"/>
  <c r="F64" i="110"/>
  <c r="G29" i="103"/>
  <c r="H28" i="110"/>
  <c r="J27" i="110"/>
  <c r="K16" i="110" s="1"/>
  <c r="J8" i="108" s="1"/>
  <c r="L8" i="108" s="1"/>
  <c r="M8" i="108" s="1"/>
  <c r="J8" i="102"/>
  <c r="J8" i="92"/>
  <c r="J24" i="105"/>
  <c r="D66" i="105"/>
  <c r="F65" i="105"/>
  <c r="D65" i="103"/>
  <c r="F64" i="103"/>
  <c r="J28" i="103"/>
  <c r="N8" i="101"/>
  <c r="O63" i="89"/>
  <c r="H28" i="93"/>
  <c r="J28" i="93" s="1"/>
  <c r="G24" i="91"/>
  <c r="H24" i="91" s="1"/>
  <c r="G24" i="98"/>
  <c r="H24" i="98" s="1"/>
  <c r="F65" i="98"/>
  <c r="D66" i="98"/>
  <c r="G29" i="93"/>
  <c r="D65" i="93"/>
  <c r="F64" i="93"/>
  <c r="D65" i="58"/>
  <c r="F64" i="58"/>
  <c r="F65" i="61"/>
  <c r="D66" i="61"/>
  <c r="F64" i="65"/>
  <c r="D65" i="65"/>
  <c r="V23" i="89"/>
  <c r="F65" i="91"/>
  <c r="D66" i="91"/>
  <c r="T28" i="89"/>
  <c r="N29" i="89" s="1"/>
  <c r="P29" i="89" s="1"/>
  <c r="G29" i="86"/>
  <c r="D65" i="86"/>
  <c r="F64" i="86"/>
  <c r="J17" i="86"/>
  <c r="H18" i="65"/>
  <c r="J18" i="65" s="1"/>
  <c r="N30" i="60"/>
  <c r="U17" i="60"/>
  <c r="M17" i="60"/>
  <c r="O17" i="60" s="1"/>
  <c r="O30" i="53"/>
  <c r="D32" i="54"/>
  <c r="F32" i="54" s="1"/>
  <c r="H29" i="103" l="1"/>
  <c r="J29" i="103" s="1"/>
  <c r="D66" i="112"/>
  <c r="F65" i="112"/>
  <c r="J36" i="112"/>
  <c r="H8" i="108"/>
  <c r="T36" i="111"/>
  <c r="N37" i="111" s="1"/>
  <c r="P37" i="111" s="1"/>
  <c r="G38" i="112" s="1"/>
  <c r="H38" i="112" s="1"/>
  <c r="G37" i="110"/>
  <c r="S37" i="111"/>
  <c r="R37" i="111" s="1"/>
  <c r="V37" i="111" s="1"/>
  <c r="O64" i="89"/>
  <c r="O64" i="111"/>
  <c r="G30" i="103"/>
  <c r="J28" i="110"/>
  <c r="H29" i="110"/>
  <c r="D66" i="110"/>
  <c r="F65" i="110"/>
  <c r="H8" i="102"/>
  <c r="L8" i="102"/>
  <c r="H8" i="92"/>
  <c r="L8" i="92"/>
  <c r="D67" i="105"/>
  <c r="F66" i="105"/>
  <c r="D66" i="103"/>
  <c r="F65" i="103"/>
  <c r="H29" i="93"/>
  <c r="J29" i="93" s="1"/>
  <c r="D67" i="98"/>
  <c r="F66" i="98"/>
  <c r="J24" i="98"/>
  <c r="G30" i="93"/>
  <c r="D66" i="93"/>
  <c r="F65" i="93"/>
  <c r="F65" i="58"/>
  <c r="D66" i="58"/>
  <c r="F66" i="61"/>
  <c r="D67" i="61"/>
  <c r="D66" i="65"/>
  <c r="F65" i="65"/>
  <c r="J24" i="91"/>
  <c r="S24" i="89"/>
  <c r="R24" i="89" s="1"/>
  <c r="G25" i="105" s="1"/>
  <c r="H25" i="105" s="1"/>
  <c r="D67" i="91"/>
  <c r="F66" i="91"/>
  <c r="T29" i="89"/>
  <c r="N30" i="89" s="1"/>
  <c r="P30" i="89" s="1"/>
  <c r="G30" i="86"/>
  <c r="D66" i="86"/>
  <c r="F65" i="86"/>
  <c r="H18" i="86"/>
  <c r="G18" i="61"/>
  <c r="N31" i="60"/>
  <c r="S17" i="60"/>
  <c r="R18" i="60"/>
  <c r="Q18" i="60" s="1"/>
  <c r="G19" i="65" s="1"/>
  <c r="O31" i="53"/>
  <c r="D33" i="54"/>
  <c r="F33" i="54" s="1"/>
  <c r="H30" i="103" l="1"/>
  <c r="J30" i="103" s="1"/>
  <c r="J37" i="112"/>
  <c r="F66" i="112"/>
  <c r="D67" i="112"/>
  <c r="T37" i="111"/>
  <c r="N38" i="111" s="1"/>
  <c r="P38" i="111" s="1"/>
  <c r="G39" i="112" s="1"/>
  <c r="H39" i="112" s="1"/>
  <c r="G38" i="110"/>
  <c r="S38" i="111"/>
  <c r="R38" i="111" s="1"/>
  <c r="V38" i="111" s="1"/>
  <c r="O65" i="89"/>
  <c r="O65" i="111"/>
  <c r="D67" i="110"/>
  <c r="F66" i="110"/>
  <c r="G31" i="103"/>
  <c r="H30" i="110"/>
  <c r="J29" i="110"/>
  <c r="J25" i="105"/>
  <c r="D68" i="105"/>
  <c r="F67" i="105"/>
  <c r="F66" i="103"/>
  <c r="D67" i="103"/>
  <c r="H30" i="93"/>
  <c r="J30" i="93" s="1"/>
  <c r="G25" i="91"/>
  <c r="H25" i="91" s="1"/>
  <c r="G25" i="98"/>
  <c r="H25" i="98" s="1"/>
  <c r="F67" i="98"/>
  <c r="D68" i="98"/>
  <c r="G31" i="93"/>
  <c r="D67" i="93"/>
  <c r="F66" i="93"/>
  <c r="D67" i="58"/>
  <c r="F66" i="58"/>
  <c r="F67" i="61"/>
  <c r="D68" i="61"/>
  <c r="D67" i="65"/>
  <c r="F66" i="65"/>
  <c r="V24" i="89"/>
  <c r="D68" i="91"/>
  <c r="F67" i="91"/>
  <c r="T30" i="89"/>
  <c r="G31" i="86"/>
  <c r="D67" i="86"/>
  <c r="F66" i="86"/>
  <c r="J18" i="86"/>
  <c r="H19" i="65"/>
  <c r="J19" i="65" s="1"/>
  <c r="M18" i="60"/>
  <c r="O18" i="60" s="1"/>
  <c r="H19" i="86" s="1"/>
  <c r="N32" i="60"/>
  <c r="U18" i="60"/>
  <c r="O32" i="53"/>
  <c r="D34" i="54"/>
  <c r="F34" i="54" s="1"/>
  <c r="H31" i="103" l="1"/>
  <c r="J31" i="103" s="1"/>
  <c r="J38" i="112"/>
  <c r="Y28" i="112"/>
  <c r="N28" i="112"/>
  <c r="D68" i="112"/>
  <c r="F67" i="112"/>
  <c r="T38" i="111"/>
  <c r="N39" i="111" s="1"/>
  <c r="P39" i="111" s="1"/>
  <c r="G40" i="112" s="1"/>
  <c r="H40" i="112" s="1"/>
  <c r="G39" i="110"/>
  <c r="S39" i="111"/>
  <c r="R39" i="111" s="1"/>
  <c r="V39" i="111" s="1"/>
  <c r="O66" i="89"/>
  <c r="O66" i="111"/>
  <c r="F67" i="110"/>
  <c r="D68" i="110"/>
  <c r="J30" i="110"/>
  <c r="H31" i="110"/>
  <c r="D69" i="105"/>
  <c r="F68" i="105"/>
  <c r="D68" i="103"/>
  <c r="F67" i="103"/>
  <c r="H31" i="93"/>
  <c r="J31" i="93" s="1"/>
  <c r="D69" i="98"/>
  <c r="F68" i="98"/>
  <c r="J25" i="98"/>
  <c r="D68" i="93"/>
  <c r="F67" i="93"/>
  <c r="D68" i="58"/>
  <c r="F67" i="58"/>
  <c r="D69" i="61"/>
  <c r="F68" i="61"/>
  <c r="F67" i="65"/>
  <c r="D68" i="65"/>
  <c r="J25" i="91"/>
  <c r="S25" i="89"/>
  <c r="R25" i="89" s="1"/>
  <c r="D69" i="91"/>
  <c r="F68" i="91"/>
  <c r="N31" i="89"/>
  <c r="P31" i="89" s="1"/>
  <c r="D68" i="86"/>
  <c r="F67" i="86"/>
  <c r="J19" i="86"/>
  <c r="G19" i="61"/>
  <c r="N33" i="60"/>
  <c r="S18" i="60"/>
  <c r="R19" i="60"/>
  <c r="Q19" i="60" s="1"/>
  <c r="G20" i="65" s="1"/>
  <c r="O33" i="53"/>
  <c r="D35" i="54"/>
  <c r="F35" i="54" s="1"/>
  <c r="D69" i="112" l="1"/>
  <c r="F68" i="112"/>
  <c r="J39" i="112"/>
  <c r="K28" i="112" s="1"/>
  <c r="J9" i="109" s="1"/>
  <c r="T39" i="111"/>
  <c r="N40" i="111" s="1"/>
  <c r="P40" i="111" s="1"/>
  <c r="G41" i="112" s="1"/>
  <c r="H41" i="112" s="1"/>
  <c r="G40" i="110"/>
  <c r="S40" i="111"/>
  <c r="R40" i="111" s="1"/>
  <c r="V40" i="111" s="1"/>
  <c r="O67" i="89"/>
  <c r="O67" i="111"/>
  <c r="F68" i="110"/>
  <c r="D69" i="110"/>
  <c r="J31" i="110"/>
  <c r="G32" i="103"/>
  <c r="H32" i="103" s="1"/>
  <c r="J32" i="103" s="1"/>
  <c r="H32" i="110"/>
  <c r="G26" i="98"/>
  <c r="H26" i="98" s="1"/>
  <c r="J26" i="98" s="1"/>
  <c r="G26" i="105"/>
  <c r="H26" i="105" s="1"/>
  <c r="D70" i="105"/>
  <c r="F69" i="105"/>
  <c r="D69" i="103"/>
  <c r="F68" i="103"/>
  <c r="D70" i="98"/>
  <c r="F69" i="98"/>
  <c r="G32" i="93"/>
  <c r="H32" i="93" s="1"/>
  <c r="J32" i="93" s="1"/>
  <c r="D69" i="93"/>
  <c r="F68" i="93"/>
  <c r="D69" i="58"/>
  <c r="F68" i="58"/>
  <c r="F69" i="61"/>
  <c r="D70" i="61"/>
  <c r="D69" i="65"/>
  <c r="F68" i="65"/>
  <c r="V25" i="89"/>
  <c r="S26" i="89" s="1"/>
  <c r="R26" i="89" s="1"/>
  <c r="G27" i="105" s="1"/>
  <c r="G26" i="91"/>
  <c r="F69" i="91"/>
  <c r="D70" i="91"/>
  <c r="T31" i="89"/>
  <c r="G32" i="86"/>
  <c r="D69" i="86"/>
  <c r="F68" i="86"/>
  <c r="H20" i="65"/>
  <c r="J20" i="65" s="1"/>
  <c r="N34" i="60"/>
  <c r="U19" i="60"/>
  <c r="M19" i="60"/>
  <c r="O19" i="60" s="1"/>
  <c r="H20" i="86" s="1"/>
  <c r="O34" i="53"/>
  <c r="D36" i="54"/>
  <c r="F36" i="54" s="1"/>
  <c r="D70" i="112" l="1"/>
  <c r="F69" i="112"/>
  <c r="J40" i="112"/>
  <c r="T40" i="111"/>
  <c r="N41" i="111" s="1"/>
  <c r="P41" i="111" s="1"/>
  <c r="G42" i="112" s="1"/>
  <c r="H42" i="112" s="1"/>
  <c r="G41" i="110"/>
  <c r="S41" i="111"/>
  <c r="R41" i="111" s="1"/>
  <c r="V41" i="111" s="1"/>
  <c r="O68" i="89"/>
  <c r="O68" i="111"/>
  <c r="J32" i="110"/>
  <c r="F69" i="110"/>
  <c r="D70" i="110"/>
  <c r="Y16" i="105"/>
  <c r="P5" i="106" s="1"/>
  <c r="N16" i="105"/>
  <c r="F70" i="105"/>
  <c r="D71" i="105"/>
  <c r="H27" i="105"/>
  <c r="J26" i="105"/>
  <c r="D70" i="103"/>
  <c r="F69" i="103"/>
  <c r="D71" i="98"/>
  <c r="F70" i="98"/>
  <c r="G27" i="91"/>
  <c r="G27" i="98"/>
  <c r="Y16" i="98" s="1"/>
  <c r="P5" i="101" s="1"/>
  <c r="D70" i="93"/>
  <c r="F69" i="93"/>
  <c r="D70" i="58"/>
  <c r="F69" i="58"/>
  <c r="F70" i="61"/>
  <c r="D71" i="61"/>
  <c r="D70" i="65"/>
  <c r="F69" i="65"/>
  <c r="H26" i="91"/>
  <c r="V26" i="89"/>
  <c r="D71" i="91"/>
  <c r="F70" i="91"/>
  <c r="N32" i="89"/>
  <c r="P32" i="89" s="1"/>
  <c r="F69" i="86"/>
  <c r="D70" i="86"/>
  <c r="J20" i="86"/>
  <c r="G20" i="61"/>
  <c r="R20" i="60"/>
  <c r="Q20" i="60" s="1"/>
  <c r="G21" i="65" s="1"/>
  <c r="H21" i="65" s="1"/>
  <c r="N35" i="60"/>
  <c r="S19" i="60"/>
  <c r="O35" i="53"/>
  <c r="D37" i="54"/>
  <c r="F37" i="54" s="1"/>
  <c r="J41" i="112" l="1"/>
  <c r="F70" i="112"/>
  <c r="D71" i="112"/>
  <c r="T41" i="111"/>
  <c r="N42" i="111" s="1"/>
  <c r="P42" i="111" s="1"/>
  <c r="G43" i="112" s="1"/>
  <c r="H43" i="112" s="1"/>
  <c r="G42" i="110"/>
  <c r="S42" i="111"/>
  <c r="R42" i="111" s="1"/>
  <c r="V42" i="111" s="1"/>
  <c r="O69" i="89"/>
  <c r="O69" i="111"/>
  <c r="D71" i="110"/>
  <c r="F70" i="110"/>
  <c r="G33" i="103"/>
  <c r="H33" i="103" s="1"/>
  <c r="J33" i="103" s="1"/>
  <c r="H33" i="110"/>
  <c r="D72" i="105"/>
  <c r="F71" i="105"/>
  <c r="J27" i="105"/>
  <c r="K16" i="105" s="1"/>
  <c r="F70" i="103"/>
  <c r="D71" i="103"/>
  <c r="N16" i="91"/>
  <c r="Y16" i="91"/>
  <c r="N16" i="98"/>
  <c r="H27" i="98"/>
  <c r="D72" i="98"/>
  <c r="F71" i="98"/>
  <c r="G33" i="93"/>
  <c r="H33" i="93" s="1"/>
  <c r="J33" i="93" s="1"/>
  <c r="D71" i="93"/>
  <c r="F70" i="93"/>
  <c r="F70" i="58"/>
  <c r="D71" i="58"/>
  <c r="D72" i="61"/>
  <c r="F71" i="61"/>
  <c r="D71" i="65"/>
  <c r="F70" i="65"/>
  <c r="J26" i="91"/>
  <c r="H27" i="91"/>
  <c r="S27" i="89"/>
  <c r="R27" i="89" s="1"/>
  <c r="D72" i="91"/>
  <c r="F71" i="91"/>
  <c r="T32" i="89"/>
  <c r="N33" i="89" s="1"/>
  <c r="P33" i="89" s="1"/>
  <c r="G33" i="86"/>
  <c r="D71" i="86"/>
  <c r="F70" i="86"/>
  <c r="U20" i="60"/>
  <c r="J21" i="65"/>
  <c r="N36" i="60"/>
  <c r="M20" i="60"/>
  <c r="O20" i="60" s="1"/>
  <c r="H21" i="86" s="1"/>
  <c r="O36" i="53"/>
  <c r="D38" i="54"/>
  <c r="F38" i="54" s="1"/>
  <c r="J42" i="112" l="1"/>
  <c r="D72" i="112"/>
  <c r="F71" i="112"/>
  <c r="T42" i="111"/>
  <c r="N43" i="111" s="1"/>
  <c r="P43" i="111" s="1"/>
  <c r="G44" i="112" s="1"/>
  <c r="H44" i="112" s="1"/>
  <c r="G43" i="110"/>
  <c r="S43" i="111"/>
  <c r="R43" i="111" s="1"/>
  <c r="V43" i="111" s="1"/>
  <c r="O70" i="89"/>
  <c r="O70" i="111"/>
  <c r="G34" i="103"/>
  <c r="H34" i="103" s="1"/>
  <c r="H34" i="110"/>
  <c r="J33" i="110"/>
  <c r="D72" i="110"/>
  <c r="F71" i="110"/>
  <c r="J8" i="104"/>
  <c r="G28" i="98"/>
  <c r="G28" i="105"/>
  <c r="H28" i="105" s="1"/>
  <c r="F72" i="105"/>
  <c r="D73" i="105"/>
  <c r="D72" i="103"/>
  <c r="F71" i="103"/>
  <c r="J34" i="103"/>
  <c r="P5" i="100"/>
  <c r="D73" i="98"/>
  <c r="F72" i="98"/>
  <c r="J27" i="98"/>
  <c r="K16" i="98" s="1"/>
  <c r="G34" i="93"/>
  <c r="H34" i="93" s="1"/>
  <c r="J34" i="93" s="1"/>
  <c r="D72" i="93"/>
  <c r="F71" i="93"/>
  <c r="D72" i="58"/>
  <c r="F71" i="58"/>
  <c r="D73" i="61"/>
  <c r="F72" i="61"/>
  <c r="D72" i="65"/>
  <c r="F71" i="65"/>
  <c r="V27" i="89"/>
  <c r="S28" i="89" s="1"/>
  <c r="R28" i="89" s="1"/>
  <c r="G29" i="105" s="1"/>
  <c r="G28" i="91"/>
  <c r="J27" i="91"/>
  <c r="K16" i="91" s="1"/>
  <c r="J8" i="90" s="1"/>
  <c r="L8" i="90" s="1"/>
  <c r="D73" i="91"/>
  <c r="F72" i="91"/>
  <c r="T33" i="89"/>
  <c r="N34" i="89" s="1"/>
  <c r="P34" i="89" s="1"/>
  <c r="G34" i="86"/>
  <c r="D72" i="86"/>
  <c r="F71" i="86"/>
  <c r="J21" i="86"/>
  <c r="G21" i="61"/>
  <c r="R21" i="60"/>
  <c r="Q21" i="60" s="1"/>
  <c r="G22" i="65" s="1"/>
  <c r="H22" i="65" s="1"/>
  <c r="N37" i="60"/>
  <c r="S20" i="60"/>
  <c r="O37" i="53"/>
  <c r="D39" i="54"/>
  <c r="F39" i="54" s="1"/>
  <c r="D73" i="112" l="1"/>
  <c r="F72" i="112"/>
  <c r="J43" i="112"/>
  <c r="T43" i="111"/>
  <c r="N44" i="111" s="1"/>
  <c r="P44" i="111" s="1"/>
  <c r="G45" i="112" s="1"/>
  <c r="H45" i="112" s="1"/>
  <c r="G44" i="110"/>
  <c r="S44" i="111"/>
  <c r="R44" i="111" s="1"/>
  <c r="V44" i="111" s="1"/>
  <c r="O71" i="89"/>
  <c r="O71" i="111"/>
  <c r="J34" i="110"/>
  <c r="G35" i="103"/>
  <c r="H35" i="103" s="1"/>
  <c r="H35" i="110"/>
  <c r="D73" i="110"/>
  <c r="F72" i="110"/>
  <c r="H8" i="109"/>
  <c r="L8" i="109"/>
  <c r="M8" i="109" s="1"/>
  <c r="H8" i="104"/>
  <c r="L8" i="104"/>
  <c r="M8" i="104" s="1"/>
  <c r="J8" i="97"/>
  <c r="H28" i="98"/>
  <c r="J28" i="98" s="1"/>
  <c r="D74" i="105"/>
  <c r="F73" i="105"/>
  <c r="J35" i="103"/>
  <c r="D73" i="103"/>
  <c r="F72" i="103"/>
  <c r="H28" i="91"/>
  <c r="G29" i="91"/>
  <c r="G29" i="98"/>
  <c r="F73" i="98"/>
  <c r="D74" i="98"/>
  <c r="H8" i="90"/>
  <c r="G35" i="93"/>
  <c r="H35" i="93" s="1"/>
  <c r="J35" i="93" s="1"/>
  <c r="D73" i="93"/>
  <c r="F72" i="93"/>
  <c r="F72" i="58"/>
  <c r="D73" i="58"/>
  <c r="F73" i="61"/>
  <c r="D74" i="61"/>
  <c r="D73" i="65"/>
  <c r="F72" i="65"/>
  <c r="V28" i="89"/>
  <c r="F73" i="91"/>
  <c r="D74" i="91"/>
  <c r="T34" i="89"/>
  <c r="G35" i="86"/>
  <c r="D73" i="86"/>
  <c r="F72" i="86"/>
  <c r="N28" i="54"/>
  <c r="N38" i="60"/>
  <c r="M21" i="60"/>
  <c r="O21" i="60" s="1"/>
  <c r="H22" i="86" s="1"/>
  <c r="U21" i="60"/>
  <c r="J22" i="65"/>
  <c r="O38" i="53"/>
  <c r="D40" i="54"/>
  <c r="F40" i="54" s="1"/>
  <c r="J44" i="112" l="1"/>
  <c r="D74" i="112"/>
  <c r="F73" i="112"/>
  <c r="T44" i="111"/>
  <c r="N45" i="111" s="1"/>
  <c r="P45" i="111" s="1"/>
  <c r="G46" i="112" s="1"/>
  <c r="H46" i="112" s="1"/>
  <c r="G45" i="110"/>
  <c r="O72" i="89"/>
  <c r="O72" i="111"/>
  <c r="S45" i="111"/>
  <c r="R45" i="111" s="1"/>
  <c r="V45" i="111" s="1"/>
  <c r="J35" i="110"/>
  <c r="D74" i="110"/>
  <c r="F73" i="110"/>
  <c r="H8" i="97"/>
  <c r="L8" i="97"/>
  <c r="M8" i="97" s="1"/>
  <c r="H29" i="98"/>
  <c r="J29" i="98" s="1"/>
  <c r="D75" i="105"/>
  <c r="F74" i="105"/>
  <c r="J28" i="105"/>
  <c r="H29" i="105"/>
  <c r="D74" i="103"/>
  <c r="F73" i="103"/>
  <c r="H29" i="91"/>
  <c r="J29" i="91" s="1"/>
  <c r="J28" i="91"/>
  <c r="N6" i="75"/>
  <c r="D75" i="98"/>
  <c r="F74" i="98"/>
  <c r="D74" i="93"/>
  <c r="F73" i="93"/>
  <c r="F73" i="58"/>
  <c r="D74" i="58"/>
  <c r="D75" i="61"/>
  <c r="F74" i="61"/>
  <c r="D74" i="65"/>
  <c r="F73" i="65"/>
  <c r="S29" i="89"/>
  <c r="R29" i="89" s="1"/>
  <c r="D75" i="91"/>
  <c r="F74" i="91"/>
  <c r="N35" i="89"/>
  <c r="P35" i="89" s="1"/>
  <c r="F73" i="86"/>
  <c r="D74" i="86"/>
  <c r="J22" i="86"/>
  <c r="G22" i="61"/>
  <c r="N39" i="60"/>
  <c r="R22" i="60"/>
  <c r="Q22" i="60" s="1"/>
  <c r="G23" i="65" s="1"/>
  <c r="H23" i="65" s="1"/>
  <c r="S21" i="60"/>
  <c r="O39" i="53"/>
  <c r="D41" i="54"/>
  <c r="F41" i="54" s="1"/>
  <c r="F74" i="112" l="1"/>
  <c r="D75" i="112"/>
  <c r="J45" i="112"/>
  <c r="T45" i="111"/>
  <c r="N46" i="111" s="1"/>
  <c r="P46" i="111" s="1"/>
  <c r="G47" i="112" s="1"/>
  <c r="H47" i="112" s="1"/>
  <c r="G46" i="110"/>
  <c r="O73" i="89"/>
  <c r="O73" i="111"/>
  <c r="S46" i="111"/>
  <c r="R46" i="111" s="1"/>
  <c r="V46" i="111" s="1"/>
  <c r="D75" i="110"/>
  <c r="F74" i="110"/>
  <c r="G36" i="103"/>
  <c r="H36" i="103" s="1"/>
  <c r="J36" i="103" s="1"/>
  <c r="H36" i="110"/>
  <c r="J29" i="105"/>
  <c r="G30" i="98"/>
  <c r="G30" i="105"/>
  <c r="F75" i="105"/>
  <c r="X64" i="105" s="1"/>
  <c r="D76" i="105"/>
  <c r="F74" i="103"/>
  <c r="D75" i="103"/>
  <c r="D76" i="98"/>
  <c r="F75" i="98"/>
  <c r="X64" i="98" s="1"/>
  <c r="G36" i="93"/>
  <c r="H36" i="93" s="1"/>
  <c r="J36" i="93" s="1"/>
  <c r="D75" i="93"/>
  <c r="F74" i="93"/>
  <c r="F74" i="58"/>
  <c r="D75" i="58"/>
  <c r="F75" i="61"/>
  <c r="D76" i="61"/>
  <c r="D75" i="65"/>
  <c r="F74" i="65"/>
  <c r="V29" i="89"/>
  <c r="S30" i="89" s="1"/>
  <c r="R30" i="89" s="1"/>
  <c r="G31" i="105" s="1"/>
  <c r="G30" i="91"/>
  <c r="D76" i="91"/>
  <c r="F75" i="91"/>
  <c r="O74" i="111" s="1"/>
  <c r="T35" i="89"/>
  <c r="G36" i="86"/>
  <c r="F74" i="86"/>
  <c r="D75" i="86"/>
  <c r="J23" i="65"/>
  <c r="N40" i="60"/>
  <c r="M22" i="60"/>
  <c r="O22" i="60" s="1"/>
  <c r="H23" i="86" s="1"/>
  <c r="U22" i="60"/>
  <c r="O40" i="53"/>
  <c r="D42" i="54"/>
  <c r="F42" i="54" s="1"/>
  <c r="J46" i="112" l="1"/>
  <c r="F75" i="112"/>
  <c r="X64" i="112" s="1"/>
  <c r="D76" i="112"/>
  <c r="T46" i="111"/>
  <c r="N47" i="111" s="1"/>
  <c r="P47" i="111" s="1"/>
  <c r="G48" i="112" s="1"/>
  <c r="H48" i="112" s="1"/>
  <c r="G47" i="110"/>
  <c r="S47" i="111"/>
  <c r="R47" i="111" s="1"/>
  <c r="V47" i="111" s="1"/>
  <c r="J36" i="110"/>
  <c r="D76" i="110"/>
  <c r="F75" i="110"/>
  <c r="X64" i="110" s="1"/>
  <c r="H30" i="98"/>
  <c r="J30" i="98" s="1"/>
  <c r="D77" i="105"/>
  <c r="F76" i="105"/>
  <c r="H30" i="105"/>
  <c r="F75" i="103"/>
  <c r="X64" i="103" s="1"/>
  <c r="N9" i="106" s="1"/>
  <c r="D76" i="103"/>
  <c r="O74" i="89"/>
  <c r="X64" i="91"/>
  <c r="H30" i="91"/>
  <c r="J30" i="91" s="1"/>
  <c r="G31" i="91"/>
  <c r="G31" i="98"/>
  <c r="D77" i="98"/>
  <c r="F76" i="98"/>
  <c r="D76" i="93"/>
  <c r="F75" i="93"/>
  <c r="X64" i="93" s="1"/>
  <c r="F75" i="58"/>
  <c r="D76" i="58"/>
  <c r="F76" i="61"/>
  <c r="D77" i="61"/>
  <c r="D76" i="65"/>
  <c r="F75" i="65"/>
  <c r="P64" i="65" s="1"/>
  <c r="N9" i="76" s="1"/>
  <c r="V30" i="89"/>
  <c r="D77" i="91"/>
  <c r="F76" i="91"/>
  <c r="O75" i="111" s="1"/>
  <c r="N36" i="89"/>
  <c r="P36" i="89" s="1"/>
  <c r="F75" i="86"/>
  <c r="X64" i="86" s="1"/>
  <c r="N9" i="100" s="1"/>
  <c r="D76" i="86"/>
  <c r="J23" i="86"/>
  <c r="G23" i="61"/>
  <c r="N41" i="60"/>
  <c r="R23" i="60"/>
  <c r="Q23" i="60" s="1"/>
  <c r="G24" i="65" s="1"/>
  <c r="H24" i="65" s="1"/>
  <c r="S22" i="60"/>
  <c r="O41" i="53"/>
  <c r="D43" i="54"/>
  <c r="F43" i="54" s="1"/>
  <c r="D77" i="112" l="1"/>
  <c r="F76" i="112"/>
  <c r="J47" i="112"/>
  <c r="T47" i="111"/>
  <c r="N48" i="111" s="1"/>
  <c r="P48" i="111" s="1"/>
  <c r="G49" i="112" s="1"/>
  <c r="H49" i="112" s="1"/>
  <c r="G48" i="110"/>
  <c r="S48" i="111"/>
  <c r="R48" i="111" s="1"/>
  <c r="V48" i="111" s="1"/>
  <c r="D77" i="110"/>
  <c r="F76" i="110"/>
  <c r="G37" i="103"/>
  <c r="H37" i="103" s="1"/>
  <c r="J37" i="103" s="1"/>
  <c r="H37" i="110"/>
  <c r="H31" i="98"/>
  <c r="J31" i="98" s="1"/>
  <c r="F77" i="105"/>
  <c r="D78" i="105"/>
  <c r="J30" i="105"/>
  <c r="H31" i="105"/>
  <c r="D77" i="103"/>
  <c r="F76" i="103"/>
  <c r="H31" i="91"/>
  <c r="J31" i="91" s="1"/>
  <c r="N9" i="101"/>
  <c r="O75" i="89"/>
  <c r="F77" i="98"/>
  <c r="D78" i="98"/>
  <c r="G37" i="93"/>
  <c r="H37" i="93" s="1"/>
  <c r="J37" i="93" s="1"/>
  <c r="D77" i="93"/>
  <c r="F76" i="93"/>
  <c r="F76" i="58"/>
  <c r="D77" i="58"/>
  <c r="D78" i="61"/>
  <c r="F77" i="61"/>
  <c r="F76" i="65"/>
  <c r="D77" i="65"/>
  <c r="S31" i="89"/>
  <c r="R31" i="89" s="1"/>
  <c r="G32" i="105" s="1"/>
  <c r="D78" i="91"/>
  <c r="F77" i="91"/>
  <c r="T36" i="89"/>
  <c r="N37" i="89" s="1"/>
  <c r="P37" i="89" s="1"/>
  <c r="G37" i="86"/>
  <c r="F76" i="86"/>
  <c r="D77" i="86"/>
  <c r="N42" i="60"/>
  <c r="U23" i="60"/>
  <c r="M23" i="60"/>
  <c r="O23" i="60" s="1"/>
  <c r="H24" i="86" s="1"/>
  <c r="J24" i="65"/>
  <c r="O42" i="53"/>
  <c r="D44" i="54"/>
  <c r="F44" i="54" s="1"/>
  <c r="J48" i="112" l="1"/>
  <c r="F77" i="112"/>
  <c r="D78" i="112"/>
  <c r="T48" i="111"/>
  <c r="N49" i="111" s="1"/>
  <c r="P49" i="111" s="1"/>
  <c r="G50" i="112" s="1"/>
  <c r="H50" i="112" s="1"/>
  <c r="G49" i="110"/>
  <c r="S49" i="111"/>
  <c r="R49" i="111" s="1"/>
  <c r="V49" i="111" s="1"/>
  <c r="O76" i="89"/>
  <c r="O76" i="111"/>
  <c r="G38" i="103"/>
  <c r="H38" i="103" s="1"/>
  <c r="J38" i="103" s="1"/>
  <c r="H38" i="110"/>
  <c r="J37" i="110"/>
  <c r="D78" i="110"/>
  <c r="F77" i="110"/>
  <c r="D79" i="105"/>
  <c r="F78" i="105"/>
  <c r="H32" i="105"/>
  <c r="J31" i="105"/>
  <c r="F77" i="103"/>
  <c r="D78" i="103"/>
  <c r="G32" i="91"/>
  <c r="H32" i="91" s="1"/>
  <c r="J32" i="91" s="1"/>
  <c r="G32" i="98"/>
  <c r="D79" i="98"/>
  <c r="F78" i="98"/>
  <c r="G38" i="93"/>
  <c r="H38" i="93" s="1"/>
  <c r="J38" i="93" s="1"/>
  <c r="D78" i="93"/>
  <c r="F77" i="93"/>
  <c r="F77" i="58"/>
  <c r="D78" i="58"/>
  <c r="D79" i="61"/>
  <c r="F78" i="61"/>
  <c r="D78" i="65"/>
  <c r="F77" i="65"/>
  <c r="V31" i="89"/>
  <c r="D79" i="91"/>
  <c r="F78" i="91"/>
  <c r="T37" i="89"/>
  <c r="G38" i="86"/>
  <c r="F77" i="86"/>
  <c r="D78" i="86"/>
  <c r="J24" i="86"/>
  <c r="G24" i="61"/>
  <c r="N43" i="60"/>
  <c r="R24" i="60"/>
  <c r="Q24" i="60" s="1"/>
  <c r="G25" i="65" s="1"/>
  <c r="H25" i="65" s="1"/>
  <c r="S23" i="60"/>
  <c r="O43" i="53"/>
  <c r="D45" i="54"/>
  <c r="F45" i="54" s="1"/>
  <c r="D79" i="112" l="1"/>
  <c r="F78" i="112"/>
  <c r="J49" i="112"/>
  <c r="T49" i="111"/>
  <c r="N50" i="111" s="1"/>
  <c r="P50" i="111" s="1"/>
  <c r="G51" i="112" s="1"/>
  <c r="H51" i="112" s="1"/>
  <c r="G50" i="110"/>
  <c r="S50" i="111"/>
  <c r="R50" i="111" s="1"/>
  <c r="V50" i="111" s="1"/>
  <c r="O77" i="89"/>
  <c r="O77" i="111"/>
  <c r="J38" i="110"/>
  <c r="D79" i="110"/>
  <c r="F78" i="110"/>
  <c r="H32" i="98"/>
  <c r="J32" i="98" s="1"/>
  <c r="J32" i="105"/>
  <c r="F79" i="105"/>
  <c r="D80" i="105"/>
  <c r="D79" i="103"/>
  <c r="F78" i="103"/>
  <c r="D80" i="98"/>
  <c r="F79" i="98"/>
  <c r="D79" i="93"/>
  <c r="F78" i="93"/>
  <c r="D79" i="58"/>
  <c r="F78" i="58"/>
  <c r="F79" i="61"/>
  <c r="D80" i="61"/>
  <c r="D79" i="65"/>
  <c r="F78" i="65"/>
  <c r="S32" i="89"/>
  <c r="R32" i="89" s="1"/>
  <c r="G33" i="105" s="1"/>
  <c r="F79" i="91"/>
  <c r="D80" i="91"/>
  <c r="N38" i="89"/>
  <c r="P38" i="89" s="1"/>
  <c r="D79" i="86"/>
  <c r="F78" i="86"/>
  <c r="U24" i="60"/>
  <c r="N44" i="60"/>
  <c r="J25" i="65"/>
  <c r="M24" i="60"/>
  <c r="O24" i="60" s="1"/>
  <c r="H25" i="86" s="1"/>
  <c r="O44" i="53"/>
  <c r="D46" i="54"/>
  <c r="F46" i="54" s="1"/>
  <c r="N40" i="112" l="1"/>
  <c r="Y40" i="112"/>
  <c r="D80" i="112"/>
  <c r="F79" i="112"/>
  <c r="J51" i="112"/>
  <c r="J50" i="112"/>
  <c r="T50" i="111"/>
  <c r="N51" i="111" s="1"/>
  <c r="P51" i="111" s="1"/>
  <c r="G52" i="112" s="1"/>
  <c r="H52" i="112" s="1"/>
  <c r="G51" i="110"/>
  <c r="S51" i="111"/>
  <c r="R51" i="111" s="1"/>
  <c r="V51" i="111" s="1"/>
  <c r="O78" i="89"/>
  <c r="O78" i="111"/>
  <c r="D80" i="110"/>
  <c r="F79" i="110"/>
  <c r="G39" i="103"/>
  <c r="Y28" i="103" s="1"/>
  <c r="O6" i="106" s="1"/>
  <c r="H33" i="105"/>
  <c r="D81" i="105"/>
  <c r="F80" i="105"/>
  <c r="D80" i="103"/>
  <c r="F79" i="103"/>
  <c r="G33" i="91"/>
  <c r="H33" i="91" s="1"/>
  <c r="J33" i="91" s="1"/>
  <c r="G33" i="98"/>
  <c r="H33" i="98" s="1"/>
  <c r="D81" i="98"/>
  <c r="F80" i="98"/>
  <c r="G39" i="93"/>
  <c r="D80" i="93"/>
  <c r="F79" i="93"/>
  <c r="D80" i="58"/>
  <c r="F79" i="58"/>
  <c r="F80" i="61"/>
  <c r="D81" i="61"/>
  <c r="D80" i="65"/>
  <c r="F79" i="65"/>
  <c r="V32" i="89"/>
  <c r="S33" i="89" s="1"/>
  <c r="R33" i="89" s="1"/>
  <c r="G34" i="105" s="1"/>
  <c r="G39" i="86"/>
  <c r="Y28" i="86" s="1"/>
  <c r="D81" i="91"/>
  <c r="F80" i="91"/>
  <c r="T38" i="89"/>
  <c r="F79" i="86"/>
  <c r="D80" i="86"/>
  <c r="J25" i="86"/>
  <c r="G25" i="61"/>
  <c r="N45" i="60"/>
  <c r="R25" i="60"/>
  <c r="Q25" i="60" s="1"/>
  <c r="G26" i="65" s="1"/>
  <c r="H26" i="65" s="1"/>
  <c r="S24" i="60"/>
  <c r="O45" i="53"/>
  <c r="D47" i="54"/>
  <c r="F47" i="54" s="1"/>
  <c r="D81" i="112" l="1"/>
  <c r="F80" i="112"/>
  <c r="K40" i="112"/>
  <c r="J10" i="109" s="1"/>
  <c r="T51" i="111"/>
  <c r="N52" i="111" s="1"/>
  <c r="P52" i="111" s="1"/>
  <c r="G53" i="112" s="1"/>
  <c r="H53" i="112" s="1"/>
  <c r="G52" i="110"/>
  <c r="O79" i="89"/>
  <c r="O79" i="111"/>
  <c r="S52" i="111"/>
  <c r="R52" i="111" s="1"/>
  <c r="V52" i="111" s="1"/>
  <c r="H39" i="103"/>
  <c r="J39" i="103" s="1"/>
  <c r="K28" i="103" s="1"/>
  <c r="N28" i="103"/>
  <c r="D81" i="110"/>
  <c r="F80" i="110"/>
  <c r="Y28" i="110"/>
  <c r="N28" i="110"/>
  <c r="H39" i="110"/>
  <c r="D82" i="105"/>
  <c r="F81" i="105"/>
  <c r="H34" i="105"/>
  <c r="J33" i="105"/>
  <c r="D81" i="103"/>
  <c r="F80" i="103"/>
  <c r="O6" i="100"/>
  <c r="H39" i="93"/>
  <c r="J39" i="93" s="1"/>
  <c r="K28" i="93" s="1"/>
  <c r="Y28" i="93"/>
  <c r="O6" i="101" s="1"/>
  <c r="N28" i="93"/>
  <c r="D82" i="98"/>
  <c r="F81" i="98"/>
  <c r="G34" i="91"/>
  <c r="H34" i="91" s="1"/>
  <c r="J34" i="91" s="1"/>
  <c r="G34" i="98"/>
  <c r="H34" i="98" s="1"/>
  <c r="J33" i="98"/>
  <c r="D81" i="93"/>
  <c r="F80" i="93"/>
  <c r="D81" i="58"/>
  <c r="F80" i="58"/>
  <c r="F81" i="61"/>
  <c r="D82" i="61"/>
  <c r="F80" i="65"/>
  <c r="D81" i="65"/>
  <c r="V33" i="89"/>
  <c r="S34" i="89" s="1"/>
  <c r="R34" i="89" s="1"/>
  <c r="G35" i="105" s="1"/>
  <c r="D82" i="91"/>
  <c r="F81" i="91"/>
  <c r="N39" i="89"/>
  <c r="P39" i="89" s="1"/>
  <c r="F80" i="86"/>
  <c r="D81" i="86"/>
  <c r="J26" i="65"/>
  <c r="N46" i="60"/>
  <c r="M25" i="60"/>
  <c r="O25" i="60" s="1"/>
  <c r="H26" i="86" s="1"/>
  <c r="U25" i="60"/>
  <c r="O46" i="53"/>
  <c r="D48" i="54"/>
  <c r="F48" i="54" s="1"/>
  <c r="F81" i="112" l="1"/>
  <c r="D82" i="112"/>
  <c r="J52" i="112"/>
  <c r="T52" i="111"/>
  <c r="N53" i="111" s="1"/>
  <c r="P53" i="111" s="1"/>
  <c r="G54" i="112" s="1"/>
  <c r="H54" i="112" s="1"/>
  <c r="G53" i="110"/>
  <c r="S53" i="111"/>
  <c r="R53" i="111" s="1"/>
  <c r="V53" i="111" s="1"/>
  <c r="O80" i="89"/>
  <c r="O80" i="111"/>
  <c r="G40" i="103"/>
  <c r="H40" i="103" s="1"/>
  <c r="H40" i="110"/>
  <c r="J39" i="110"/>
  <c r="K28" i="110" s="1"/>
  <c r="J9" i="108" s="1"/>
  <c r="H9" i="108" s="1"/>
  <c r="D82" i="110"/>
  <c r="F81" i="110"/>
  <c r="J9" i="102"/>
  <c r="J9" i="92"/>
  <c r="J34" i="105"/>
  <c r="H35" i="105"/>
  <c r="D83" i="105"/>
  <c r="F82" i="105"/>
  <c r="F81" i="103"/>
  <c r="D82" i="103"/>
  <c r="J34" i="98"/>
  <c r="G35" i="91"/>
  <c r="H35" i="91" s="1"/>
  <c r="J35" i="91" s="1"/>
  <c r="G35" i="98"/>
  <c r="H35" i="98" s="1"/>
  <c r="D83" i="98"/>
  <c r="F82" i="98"/>
  <c r="G40" i="93"/>
  <c r="D82" i="93"/>
  <c r="F81" i="93"/>
  <c r="F81" i="58"/>
  <c r="D82" i="58"/>
  <c r="D83" i="61"/>
  <c r="F82" i="61"/>
  <c r="F81" i="65"/>
  <c r="D82" i="65"/>
  <c r="V34" i="89"/>
  <c r="G40" i="86"/>
  <c r="D83" i="91"/>
  <c r="F82" i="91"/>
  <c r="T39" i="89"/>
  <c r="F81" i="86"/>
  <c r="D82" i="86"/>
  <c r="J26" i="86"/>
  <c r="G26" i="61"/>
  <c r="R26" i="60"/>
  <c r="Q26" i="60" s="1"/>
  <c r="G27" i="65" s="1"/>
  <c r="N16" i="65" s="1"/>
  <c r="P5" i="76" s="1"/>
  <c r="N47" i="60"/>
  <c r="S25" i="60"/>
  <c r="O47" i="53"/>
  <c r="D49" i="54"/>
  <c r="F49" i="54" s="1"/>
  <c r="L9" i="108" l="1"/>
  <c r="M9" i="108" s="1"/>
  <c r="J53" i="112"/>
  <c r="D83" i="112"/>
  <c r="F82" i="112"/>
  <c r="T53" i="111"/>
  <c r="N54" i="111" s="1"/>
  <c r="P54" i="111" s="1"/>
  <c r="G55" i="112" s="1"/>
  <c r="H55" i="112" s="1"/>
  <c r="G54" i="110"/>
  <c r="S54" i="111"/>
  <c r="R54" i="111" s="1"/>
  <c r="V54" i="111" s="1"/>
  <c r="O81" i="89"/>
  <c r="O81" i="111"/>
  <c r="J40" i="110"/>
  <c r="D83" i="110"/>
  <c r="F82" i="110"/>
  <c r="H9" i="102"/>
  <c r="L9" i="102"/>
  <c r="H9" i="92"/>
  <c r="L9" i="92"/>
  <c r="D84" i="105"/>
  <c r="F83" i="105"/>
  <c r="J35" i="105"/>
  <c r="D83" i="103"/>
  <c r="F82" i="103"/>
  <c r="J40" i="103"/>
  <c r="H40" i="93"/>
  <c r="J40" i="93" s="1"/>
  <c r="J35" i="98"/>
  <c r="F83" i="98"/>
  <c r="D84" i="98"/>
  <c r="D83" i="93"/>
  <c r="F82" i="93"/>
  <c r="F82" i="58"/>
  <c r="D83" i="58"/>
  <c r="D84" i="61"/>
  <c r="F83" i="61"/>
  <c r="F82" i="65"/>
  <c r="D83" i="65"/>
  <c r="S35" i="89"/>
  <c r="R35" i="89" s="1"/>
  <c r="G36" i="105" s="1"/>
  <c r="H36" i="105" s="1"/>
  <c r="F83" i="91"/>
  <c r="D84" i="91"/>
  <c r="N40" i="89"/>
  <c r="P40" i="89" s="1"/>
  <c r="F82" i="86"/>
  <c r="D83" i="86"/>
  <c r="H27" i="65"/>
  <c r="J27" i="65" s="1"/>
  <c r="K16" i="65" s="1"/>
  <c r="M26" i="60"/>
  <c r="O26" i="60" s="1"/>
  <c r="U26" i="60"/>
  <c r="N48" i="60"/>
  <c r="O48" i="53"/>
  <c r="D50" i="54"/>
  <c r="F50" i="54" s="1"/>
  <c r="D84" i="112" l="1"/>
  <c r="F83" i="112"/>
  <c r="J54" i="112"/>
  <c r="T54" i="111"/>
  <c r="N55" i="111" s="1"/>
  <c r="P55" i="111" s="1"/>
  <c r="G56" i="112" s="1"/>
  <c r="H56" i="112" s="1"/>
  <c r="G55" i="110"/>
  <c r="S55" i="111"/>
  <c r="R55" i="111" s="1"/>
  <c r="V55" i="111" s="1"/>
  <c r="O82" i="89"/>
  <c r="O82" i="111"/>
  <c r="G41" i="103"/>
  <c r="H41" i="103" s="1"/>
  <c r="D84" i="110"/>
  <c r="F83" i="110"/>
  <c r="J8" i="66"/>
  <c r="H8" i="66" s="1"/>
  <c r="J36" i="105"/>
  <c r="D85" i="105"/>
  <c r="F84" i="105"/>
  <c r="D84" i="103"/>
  <c r="F83" i="103"/>
  <c r="D85" i="98"/>
  <c r="F84" i="98"/>
  <c r="G36" i="91"/>
  <c r="H36" i="91" s="1"/>
  <c r="G36" i="98"/>
  <c r="H36" i="98" s="1"/>
  <c r="G41" i="93"/>
  <c r="D84" i="93"/>
  <c r="F83" i="93"/>
  <c r="D84" i="58"/>
  <c r="F83" i="58"/>
  <c r="D85" i="61"/>
  <c r="F84" i="61"/>
  <c r="F83" i="65"/>
  <c r="D84" i="65"/>
  <c r="V35" i="89"/>
  <c r="F84" i="91"/>
  <c r="D85" i="91"/>
  <c r="T40" i="89"/>
  <c r="N41" i="89" s="1"/>
  <c r="P41" i="89" s="1"/>
  <c r="G41" i="86"/>
  <c r="F83" i="86"/>
  <c r="D84" i="86"/>
  <c r="N16" i="86"/>
  <c r="H27" i="86"/>
  <c r="H28" i="86" s="1"/>
  <c r="G27" i="61"/>
  <c r="N16" i="61" s="1"/>
  <c r="O5" i="76" s="1"/>
  <c r="S26" i="60"/>
  <c r="N49" i="60"/>
  <c r="R27" i="60"/>
  <c r="Q27" i="60" s="1"/>
  <c r="G28" i="65" s="1"/>
  <c r="O49" i="53"/>
  <c r="D51" i="54"/>
  <c r="F51" i="54" s="1"/>
  <c r="J55" i="112" l="1"/>
  <c r="D85" i="112"/>
  <c r="F84" i="112"/>
  <c r="T55" i="111"/>
  <c r="N56" i="111" s="1"/>
  <c r="P56" i="111" s="1"/>
  <c r="G57" i="112" s="1"/>
  <c r="H57" i="112" s="1"/>
  <c r="G56" i="110"/>
  <c r="S56" i="111"/>
  <c r="R56" i="111" s="1"/>
  <c r="V56" i="111" s="1"/>
  <c r="O83" i="89"/>
  <c r="O83" i="111"/>
  <c r="D85" i="110"/>
  <c r="F84" i="110"/>
  <c r="H41" i="110"/>
  <c r="G42" i="103"/>
  <c r="H42" i="103" s="1"/>
  <c r="L8" i="66"/>
  <c r="D86" i="105"/>
  <c r="F85" i="105"/>
  <c r="D85" i="103"/>
  <c r="F84" i="103"/>
  <c r="J41" i="103"/>
  <c r="H41" i="93"/>
  <c r="J41" i="93" s="1"/>
  <c r="J36" i="98"/>
  <c r="F85" i="98"/>
  <c r="D86" i="98"/>
  <c r="G42" i="93"/>
  <c r="D85" i="93"/>
  <c r="F84" i="93"/>
  <c r="F84" i="58"/>
  <c r="D85" i="58"/>
  <c r="D86" i="61"/>
  <c r="F85" i="61"/>
  <c r="D85" i="65"/>
  <c r="F84" i="65"/>
  <c r="J36" i="91"/>
  <c r="S36" i="89"/>
  <c r="R36" i="89" s="1"/>
  <c r="G37" i="105" s="1"/>
  <c r="H37" i="105" s="1"/>
  <c r="F85" i="91"/>
  <c r="D86" i="91"/>
  <c r="G42" i="86"/>
  <c r="T41" i="89"/>
  <c r="F84" i="86"/>
  <c r="D85" i="86"/>
  <c r="N40" i="54"/>
  <c r="J27" i="86"/>
  <c r="K16" i="86" s="1"/>
  <c r="J8" i="87" s="1"/>
  <c r="L8" i="87" s="1"/>
  <c r="H28" i="65"/>
  <c r="J28" i="65" s="1"/>
  <c r="M27" i="60"/>
  <c r="O27" i="60" s="1"/>
  <c r="N50" i="60"/>
  <c r="U27" i="60"/>
  <c r="O50" i="53"/>
  <c r="D52" i="54"/>
  <c r="F52" i="54" s="1"/>
  <c r="F85" i="112" l="1"/>
  <c r="D86" i="112"/>
  <c r="J56" i="112"/>
  <c r="T56" i="111"/>
  <c r="N57" i="111" s="1"/>
  <c r="P57" i="111" s="1"/>
  <c r="G58" i="112" s="1"/>
  <c r="H58" i="112" s="1"/>
  <c r="G57" i="110"/>
  <c r="S57" i="111"/>
  <c r="R57" i="111" s="1"/>
  <c r="V57" i="111" s="1"/>
  <c r="O84" i="89"/>
  <c r="O84" i="111"/>
  <c r="H42" i="110"/>
  <c r="J41" i="110"/>
  <c r="D86" i="110"/>
  <c r="F85" i="110"/>
  <c r="H42" i="93"/>
  <c r="J42" i="93" s="1"/>
  <c r="J37" i="105"/>
  <c r="D87" i="105"/>
  <c r="F86" i="105"/>
  <c r="J42" i="103"/>
  <c r="F85" i="103"/>
  <c r="D86" i="103"/>
  <c r="M8" i="102"/>
  <c r="N7" i="75"/>
  <c r="D87" i="98"/>
  <c r="F86" i="98"/>
  <c r="G37" i="91"/>
  <c r="H37" i="91" s="1"/>
  <c r="G37" i="98"/>
  <c r="H37" i="98" s="1"/>
  <c r="D86" i="93"/>
  <c r="F85" i="93"/>
  <c r="M8" i="92"/>
  <c r="D86" i="58"/>
  <c r="F85" i="58"/>
  <c r="D87" i="61"/>
  <c r="F86" i="61"/>
  <c r="F85" i="65"/>
  <c r="D86" i="65"/>
  <c r="V36" i="89"/>
  <c r="S37" i="89" s="1"/>
  <c r="R37" i="89" s="1"/>
  <c r="G38" i="105" s="1"/>
  <c r="H38" i="105" s="1"/>
  <c r="D87" i="91"/>
  <c r="F86" i="91"/>
  <c r="H8" i="87"/>
  <c r="N42" i="89"/>
  <c r="P42" i="89" s="1"/>
  <c r="F85" i="86"/>
  <c r="D86" i="86"/>
  <c r="G28" i="61"/>
  <c r="S27" i="60"/>
  <c r="N51" i="60"/>
  <c r="R28" i="60"/>
  <c r="Q28" i="60" s="1"/>
  <c r="G29" i="65" s="1"/>
  <c r="O51" i="53"/>
  <c r="D53" i="54"/>
  <c r="F53" i="54" s="1"/>
  <c r="J57" i="112" l="1"/>
  <c r="D87" i="112"/>
  <c r="F86" i="112"/>
  <c r="T57" i="111"/>
  <c r="N58" i="111" s="1"/>
  <c r="P58" i="111" s="1"/>
  <c r="G59" i="112" s="1"/>
  <c r="H59" i="112" s="1"/>
  <c r="G58" i="110"/>
  <c r="S58" i="111"/>
  <c r="R58" i="111" s="1"/>
  <c r="V58" i="111" s="1"/>
  <c r="O85" i="89"/>
  <c r="O85" i="111"/>
  <c r="D87" i="110"/>
  <c r="F86" i="110"/>
  <c r="G43" i="103"/>
  <c r="H43" i="103" s="1"/>
  <c r="J43" i="103" s="1"/>
  <c r="J42" i="110"/>
  <c r="J38" i="105"/>
  <c r="D88" i="105"/>
  <c r="F87" i="105"/>
  <c r="X76" i="105" s="1"/>
  <c r="D87" i="103"/>
  <c r="F86" i="103"/>
  <c r="J37" i="98"/>
  <c r="G38" i="91"/>
  <c r="H38" i="91" s="1"/>
  <c r="G38" i="98"/>
  <c r="H38" i="98" s="1"/>
  <c r="D88" i="98"/>
  <c r="F87" i="98"/>
  <c r="X76" i="98" s="1"/>
  <c r="G43" i="93"/>
  <c r="D87" i="93"/>
  <c r="F86" i="93"/>
  <c r="D87" i="58"/>
  <c r="F86" i="58"/>
  <c r="F87" i="61"/>
  <c r="D88" i="61"/>
  <c r="F86" i="65"/>
  <c r="D87" i="65"/>
  <c r="J37" i="91"/>
  <c r="V37" i="89"/>
  <c r="G43" i="86"/>
  <c r="D88" i="91"/>
  <c r="F87" i="91"/>
  <c r="O86" i="111" s="1"/>
  <c r="M8" i="90"/>
  <c r="T42" i="89"/>
  <c r="D87" i="86"/>
  <c r="F86" i="86"/>
  <c r="J28" i="86"/>
  <c r="H29" i="65"/>
  <c r="J29" i="65" s="1"/>
  <c r="N52" i="60"/>
  <c r="U28" i="60"/>
  <c r="M28" i="60"/>
  <c r="O28" i="60" s="1"/>
  <c r="O52" i="53"/>
  <c r="D54" i="54"/>
  <c r="F54" i="54" s="1"/>
  <c r="D88" i="112" l="1"/>
  <c r="F87" i="112"/>
  <c r="X76" i="112" s="1"/>
  <c r="J58" i="112"/>
  <c r="T58" i="111"/>
  <c r="N59" i="111" s="1"/>
  <c r="P59" i="111" s="1"/>
  <c r="G60" i="112" s="1"/>
  <c r="H60" i="112" s="1"/>
  <c r="G59" i="110"/>
  <c r="S59" i="111"/>
  <c r="R59" i="111" s="1"/>
  <c r="V59" i="111" s="1"/>
  <c r="H43" i="110"/>
  <c r="F87" i="110"/>
  <c r="X76" i="110" s="1"/>
  <c r="D88" i="110"/>
  <c r="D89" i="105"/>
  <c r="F88" i="105"/>
  <c r="D88" i="103"/>
  <c r="F87" i="103"/>
  <c r="X76" i="103" s="1"/>
  <c r="N10" i="106" s="1"/>
  <c r="O86" i="89"/>
  <c r="X76" i="91"/>
  <c r="H43" i="93"/>
  <c r="J43" i="93" s="1"/>
  <c r="J38" i="98"/>
  <c r="D89" i="98"/>
  <c r="F88" i="98"/>
  <c r="D88" i="93"/>
  <c r="F87" i="93"/>
  <c r="X76" i="93" s="1"/>
  <c r="F87" i="58"/>
  <c r="D88" i="58"/>
  <c r="F88" i="61"/>
  <c r="D89" i="61"/>
  <c r="D88" i="65"/>
  <c r="F87" i="65"/>
  <c r="P76" i="65" s="1"/>
  <c r="N10" i="76" s="1"/>
  <c r="J38" i="91"/>
  <c r="S38" i="89"/>
  <c r="R38" i="89" s="1"/>
  <c r="G39" i="105" s="1"/>
  <c r="F88" i="91"/>
  <c r="O87" i="111" s="1"/>
  <c r="D89" i="91"/>
  <c r="N43" i="89"/>
  <c r="P43" i="89" s="1"/>
  <c r="D88" i="86"/>
  <c r="F87" i="86"/>
  <c r="X76" i="86" s="1"/>
  <c r="N10" i="100" s="1"/>
  <c r="H29" i="86"/>
  <c r="G29" i="61"/>
  <c r="S28" i="60"/>
  <c r="R29" i="60"/>
  <c r="Q29" i="60" s="1"/>
  <c r="G30" i="65" s="1"/>
  <c r="N53" i="60"/>
  <c r="O53" i="53"/>
  <c r="D55" i="54"/>
  <c r="F55" i="54" s="1"/>
  <c r="J59" i="112" l="1"/>
  <c r="F88" i="112"/>
  <c r="D89" i="112"/>
  <c r="T59" i="111"/>
  <c r="N60" i="111" s="1"/>
  <c r="P60" i="111" s="1"/>
  <c r="G61" i="112" s="1"/>
  <c r="H61" i="112" s="1"/>
  <c r="G60" i="110"/>
  <c r="S60" i="111"/>
  <c r="R60" i="111" s="1"/>
  <c r="V60" i="111" s="1"/>
  <c r="G44" i="103"/>
  <c r="H44" i="103" s="1"/>
  <c r="H44" i="110"/>
  <c r="J43" i="110"/>
  <c r="D89" i="110"/>
  <c r="F88" i="110"/>
  <c r="N28" i="105"/>
  <c r="Y28" i="105"/>
  <c r="P6" i="106" s="1"/>
  <c r="H39" i="105"/>
  <c r="D90" i="105"/>
  <c r="F89" i="105"/>
  <c r="D89" i="103"/>
  <c r="F88" i="103"/>
  <c r="N10" i="101"/>
  <c r="O87" i="89"/>
  <c r="D90" i="98"/>
  <c r="F89" i="98"/>
  <c r="G39" i="91"/>
  <c r="G39" i="98"/>
  <c r="Y28" i="98" s="1"/>
  <c r="P6" i="101" s="1"/>
  <c r="G44" i="93"/>
  <c r="D89" i="93"/>
  <c r="F88" i="93"/>
  <c r="F88" i="58"/>
  <c r="D89" i="58"/>
  <c r="D90" i="61"/>
  <c r="F89" i="61"/>
  <c r="F88" i="65"/>
  <c r="D89" i="65"/>
  <c r="V38" i="89"/>
  <c r="G44" i="86"/>
  <c r="F89" i="91"/>
  <c r="D90" i="91"/>
  <c r="T43" i="89"/>
  <c r="D89" i="86"/>
  <c r="F88" i="86"/>
  <c r="J29" i="86"/>
  <c r="H30" i="65"/>
  <c r="J30" i="65" s="1"/>
  <c r="M29" i="60"/>
  <c r="O29" i="60" s="1"/>
  <c r="N54" i="60"/>
  <c r="U29" i="60"/>
  <c r="O54" i="53"/>
  <c r="D56" i="54"/>
  <c r="F56" i="54" s="1"/>
  <c r="F89" i="112" l="1"/>
  <c r="D90" i="112"/>
  <c r="J60" i="112"/>
  <c r="T60" i="111"/>
  <c r="N61" i="111" s="1"/>
  <c r="P61" i="111" s="1"/>
  <c r="G62" i="112" s="1"/>
  <c r="H62" i="112" s="1"/>
  <c r="G61" i="110"/>
  <c r="S61" i="111"/>
  <c r="R61" i="111" s="1"/>
  <c r="V61" i="111" s="1"/>
  <c r="O88" i="89"/>
  <c r="O88" i="111"/>
  <c r="J44" i="110"/>
  <c r="D90" i="110"/>
  <c r="F89" i="110"/>
  <c r="J39" i="105"/>
  <c r="K28" i="105" s="1"/>
  <c r="D91" i="105"/>
  <c r="F90" i="105"/>
  <c r="D90" i="103"/>
  <c r="F89" i="103"/>
  <c r="J44" i="103"/>
  <c r="N28" i="91"/>
  <c r="Y28" i="91"/>
  <c r="H44" i="93"/>
  <c r="J44" i="93" s="1"/>
  <c r="H39" i="91"/>
  <c r="J39" i="91" s="1"/>
  <c r="K28" i="91" s="1"/>
  <c r="J9" i="90" s="1"/>
  <c r="L9" i="90" s="1"/>
  <c r="N28" i="98"/>
  <c r="H39" i="98"/>
  <c r="D91" i="98"/>
  <c r="F90" i="98"/>
  <c r="D90" i="93"/>
  <c r="F89" i="93"/>
  <c r="D90" i="58"/>
  <c r="F89" i="58"/>
  <c r="D91" i="61"/>
  <c r="F90" i="61"/>
  <c r="D90" i="65"/>
  <c r="F89" i="65"/>
  <c r="S39" i="89"/>
  <c r="R39" i="89" s="1"/>
  <c r="G40" i="105" s="1"/>
  <c r="H40" i="105" s="1"/>
  <c r="F90" i="91"/>
  <c r="D91" i="91"/>
  <c r="N44" i="89"/>
  <c r="P44" i="89" s="1"/>
  <c r="D90" i="86"/>
  <c r="F89" i="86"/>
  <c r="H30" i="86"/>
  <c r="G30" i="61"/>
  <c r="N55" i="60"/>
  <c r="R30" i="60"/>
  <c r="Q30" i="60" s="1"/>
  <c r="G31" i="65" s="1"/>
  <c r="S29" i="60"/>
  <c r="O55" i="53"/>
  <c r="D57" i="54"/>
  <c r="F57" i="54" s="1"/>
  <c r="J61" i="112" l="1"/>
  <c r="F90" i="112"/>
  <c r="D91" i="112"/>
  <c r="T61" i="111"/>
  <c r="N62" i="111" s="1"/>
  <c r="P62" i="111" s="1"/>
  <c r="G63" i="112" s="1"/>
  <c r="H63" i="112" s="1"/>
  <c r="G62" i="110"/>
  <c r="S62" i="111"/>
  <c r="R62" i="111" s="1"/>
  <c r="V62" i="111" s="1"/>
  <c r="O89" i="89"/>
  <c r="O89" i="111"/>
  <c r="D91" i="110"/>
  <c r="F90" i="110"/>
  <c r="G45" i="103"/>
  <c r="H45" i="103" s="1"/>
  <c r="J45" i="103" s="1"/>
  <c r="J9" i="104"/>
  <c r="J40" i="105"/>
  <c r="D92" i="105"/>
  <c r="F91" i="105"/>
  <c r="D91" i="103"/>
  <c r="F90" i="103"/>
  <c r="P6" i="100"/>
  <c r="F91" i="98"/>
  <c r="D92" i="98"/>
  <c r="G40" i="91"/>
  <c r="G40" i="98"/>
  <c r="J39" i="98"/>
  <c r="K28" i="98" s="1"/>
  <c r="H9" i="90"/>
  <c r="G45" i="93"/>
  <c r="H45" i="93" s="1"/>
  <c r="J45" i="93" s="1"/>
  <c r="D91" i="93"/>
  <c r="F90" i="93"/>
  <c r="D91" i="58"/>
  <c r="F90" i="58"/>
  <c r="F91" i="61"/>
  <c r="D92" i="61"/>
  <c r="D91" i="65"/>
  <c r="F90" i="65"/>
  <c r="V39" i="89"/>
  <c r="D92" i="91"/>
  <c r="F91" i="91"/>
  <c r="G45" i="86"/>
  <c r="T44" i="89"/>
  <c r="F90" i="86"/>
  <c r="D91" i="86"/>
  <c r="J30" i="86"/>
  <c r="H31" i="65"/>
  <c r="J31" i="65" s="1"/>
  <c r="N56" i="60"/>
  <c r="U30" i="60"/>
  <c r="M30" i="60"/>
  <c r="O30" i="60" s="1"/>
  <c r="H31" i="86" s="1"/>
  <c r="O56" i="53"/>
  <c r="D58" i="54"/>
  <c r="F58" i="54" s="1"/>
  <c r="J63" i="112" l="1"/>
  <c r="J62" i="112"/>
  <c r="Y52" i="112"/>
  <c r="N52" i="112"/>
  <c r="D92" i="112"/>
  <c r="F91" i="112"/>
  <c r="T62" i="111"/>
  <c r="N63" i="111" s="1"/>
  <c r="P63" i="111" s="1"/>
  <c r="G64" i="112" s="1"/>
  <c r="H64" i="112" s="1"/>
  <c r="G63" i="110"/>
  <c r="S63" i="111"/>
  <c r="R63" i="111" s="1"/>
  <c r="V63" i="111" s="1"/>
  <c r="O90" i="89"/>
  <c r="O90" i="111"/>
  <c r="D92" i="110"/>
  <c r="F91" i="110"/>
  <c r="H45" i="110"/>
  <c r="H9" i="109"/>
  <c r="L9" i="109"/>
  <c r="M9" i="109" s="1"/>
  <c r="H9" i="104"/>
  <c r="L9" i="104"/>
  <c r="M9" i="104" s="1"/>
  <c r="J9" i="97"/>
  <c r="H40" i="98"/>
  <c r="F92" i="105"/>
  <c r="D93" i="105"/>
  <c r="D92" i="103"/>
  <c r="F91" i="103"/>
  <c r="H40" i="91"/>
  <c r="J40" i="91" s="1"/>
  <c r="D93" i="98"/>
  <c r="F92" i="98"/>
  <c r="D92" i="93"/>
  <c r="F91" i="93"/>
  <c r="D92" i="58"/>
  <c r="F91" i="58"/>
  <c r="D93" i="61"/>
  <c r="F92" i="61"/>
  <c r="D92" i="65"/>
  <c r="F91" i="65"/>
  <c r="S40" i="89"/>
  <c r="R40" i="89" s="1"/>
  <c r="D93" i="91"/>
  <c r="F92" i="91"/>
  <c r="N45" i="89"/>
  <c r="P45" i="89" s="1"/>
  <c r="F91" i="86"/>
  <c r="D92" i="86"/>
  <c r="J31" i="86"/>
  <c r="G31" i="61"/>
  <c r="N57" i="60"/>
  <c r="S30" i="60"/>
  <c r="R31" i="60"/>
  <c r="Q31" i="60" s="1"/>
  <c r="G32" i="65" s="1"/>
  <c r="O57" i="53"/>
  <c r="D59" i="54"/>
  <c r="F59" i="54" s="1"/>
  <c r="D93" i="112" l="1"/>
  <c r="F92" i="112"/>
  <c r="K52" i="112"/>
  <c r="J11" i="109" s="1"/>
  <c r="T63" i="111"/>
  <c r="N64" i="111" s="1"/>
  <c r="P64" i="111" s="1"/>
  <c r="G65" i="112" s="1"/>
  <c r="H65" i="112" s="1"/>
  <c r="G64" i="110"/>
  <c r="S64" i="111"/>
  <c r="R64" i="111" s="1"/>
  <c r="V64" i="111" s="1"/>
  <c r="O91" i="89"/>
  <c r="O91" i="111"/>
  <c r="J45" i="110"/>
  <c r="G46" i="103"/>
  <c r="H46" i="103" s="1"/>
  <c r="J46" i="103" s="1"/>
  <c r="H46" i="110"/>
  <c r="D93" i="110"/>
  <c r="F92" i="110"/>
  <c r="H9" i="97"/>
  <c r="L9" i="97"/>
  <c r="M9" i="97" s="1"/>
  <c r="G41" i="98"/>
  <c r="G41" i="105"/>
  <c r="D94" i="105"/>
  <c r="F93" i="105"/>
  <c r="F92" i="103"/>
  <c r="D93" i="103"/>
  <c r="J40" i="98"/>
  <c r="F93" i="98"/>
  <c r="D94" i="98"/>
  <c r="G46" i="93"/>
  <c r="H46" i="93" s="1"/>
  <c r="J46" i="93" s="1"/>
  <c r="D93" i="93"/>
  <c r="F92" i="93"/>
  <c r="F92" i="58"/>
  <c r="D93" i="58"/>
  <c r="D94" i="61"/>
  <c r="F93" i="61"/>
  <c r="F92" i="65"/>
  <c r="D93" i="65"/>
  <c r="V40" i="89"/>
  <c r="S41" i="89" s="1"/>
  <c r="R41" i="89" s="1"/>
  <c r="G42" i="105" s="1"/>
  <c r="G41" i="91"/>
  <c r="F93" i="91"/>
  <c r="D94" i="91"/>
  <c r="G46" i="86"/>
  <c r="T45" i="89"/>
  <c r="F92" i="86"/>
  <c r="D93" i="86"/>
  <c r="H32" i="65"/>
  <c r="J32" i="65" s="1"/>
  <c r="N58" i="60"/>
  <c r="M31" i="60"/>
  <c r="O31" i="60" s="1"/>
  <c r="H32" i="86" s="1"/>
  <c r="U31" i="60"/>
  <c r="O58" i="53"/>
  <c r="D60" i="54"/>
  <c r="F60" i="54" s="1"/>
  <c r="D94" i="112" l="1"/>
  <c r="F93" i="112"/>
  <c r="J64" i="112"/>
  <c r="T64" i="111"/>
  <c r="N65" i="111" s="1"/>
  <c r="P65" i="111" s="1"/>
  <c r="G66" i="112" s="1"/>
  <c r="H66" i="112" s="1"/>
  <c r="G65" i="110"/>
  <c r="S65" i="111"/>
  <c r="R65" i="111" s="1"/>
  <c r="V65" i="111" s="1"/>
  <c r="O92" i="89"/>
  <c r="O92" i="111"/>
  <c r="J46" i="110"/>
  <c r="D94" i="110"/>
  <c r="F93" i="110"/>
  <c r="H41" i="98"/>
  <c r="J41" i="98" s="1"/>
  <c r="F94" i="105"/>
  <c r="D95" i="105"/>
  <c r="H41" i="105"/>
  <c r="D94" i="103"/>
  <c r="F93" i="103"/>
  <c r="H41" i="91"/>
  <c r="J41" i="91" s="1"/>
  <c r="G42" i="91"/>
  <c r="G42" i="98"/>
  <c r="D95" i="98"/>
  <c r="F94" i="98"/>
  <c r="D94" i="93"/>
  <c r="F93" i="93"/>
  <c r="D94" i="58"/>
  <c r="F93" i="58"/>
  <c r="D95" i="61"/>
  <c r="F94" i="61"/>
  <c r="D94" i="65"/>
  <c r="F93" i="65"/>
  <c r="V41" i="89"/>
  <c r="D95" i="91"/>
  <c r="F94" i="91"/>
  <c r="N46" i="89"/>
  <c r="P46" i="89" s="1"/>
  <c r="F93" i="86"/>
  <c r="D94" i="86"/>
  <c r="J32" i="86"/>
  <c r="G32" i="61"/>
  <c r="R32" i="60"/>
  <c r="Q32" i="60" s="1"/>
  <c r="G33" i="65" s="1"/>
  <c r="H33" i="65" s="1"/>
  <c r="J33" i="65" s="1"/>
  <c r="N59" i="60"/>
  <c r="S31" i="60"/>
  <c r="O59" i="53"/>
  <c r="D61" i="54"/>
  <c r="F61" i="54" s="1"/>
  <c r="F94" i="112" l="1"/>
  <c r="D95" i="112"/>
  <c r="J65" i="112"/>
  <c r="T65" i="111"/>
  <c r="N66" i="111" s="1"/>
  <c r="P66" i="111" s="1"/>
  <c r="G67" i="112" s="1"/>
  <c r="H67" i="112" s="1"/>
  <c r="G66" i="110"/>
  <c r="S66" i="111"/>
  <c r="R66" i="111" s="1"/>
  <c r="V66" i="111" s="1"/>
  <c r="O93" i="89"/>
  <c r="O93" i="111"/>
  <c r="G47" i="103"/>
  <c r="H47" i="103" s="1"/>
  <c r="J47" i="103" s="1"/>
  <c r="H47" i="110"/>
  <c r="D95" i="110"/>
  <c r="F94" i="110"/>
  <c r="H42" i="98"/>
  <c r="J42" i="98" s="1"/>
  <c r="H42" i="105"/>
  <c r="J41" i="105"/>
  <c r="D96" i="105"/>
  <c r="F95" i="105"/>
  <c r="D95" i="103"/>
  <c r="F94" i="103"/>
  <c r="H42" i="91"/>
  <c r="J42" i="91" s="1"/>
  <c r="F95" i="98"/>
  <c r="D96" i="98"/>
  <c r="G47" i="93"/>
  <c r="H47" i="93" s="1"/>
  <c r="J47" i="93" s="1"/>
  <c r="D95" i="93"/>
  <c r="F94" i="93"/>
  <c r="D95" i="58"/>
  <c r="F94" i="58"/>
  <c r="D96" i="61"/>
  <c r="F95" i="61"/>
  <c r="F94" i="65"/>
  <c r="D95" i="65"/>
  <c r="S42" i="89"/>
  <c r="R42" i="89" s="1"/>
  <c r="G43" i="105" s="1"/>
  <c r="G47" i="86"/>
  <c r="F95" i="91"/>
  <c r="D96" i="91"/>
  <c r="T46" i="89"/>
  <c r="D95" i="86"/>
  <c r="F94" i="86"/>
  <c r="N60" i="60"/>
  <c r="M32" i="60"/>
  <c r="O32" i="60" s="1"/>
  <c r="H33" i="86" s="1"/>
  <c r="U32" i="60"/>
  <c r="O60" i="53"/>
  <c r="D62" i="54"/>
  <c r="F62" i="54" s="1"/>
  <c r="F95" i="112" l="1"/>
  <c r="D96" i="112"/>
  <c r="J66" i="112"/>
  <c r="T66" i="111"/>
  <c r="N67" i="111" s="1"/>
  <c r="P67" i="111" s="1"/>
  <c r="G68" i="112" s="1"/>
  <c r="H68" i="112" s="1"/>
  <c r="G67" i="110"/>
  <c r="S67" i="111"/>
  <c r="R67" i="111" s="1"/>
  <c r="V67" i="111" s="1"/>
  <c r="O94" i="89"/>
  <c r="O94" i="111"/>
  <c r="D96" i="110"/>
  <c r="F95" i="110"/>
  <c r="J47" i="110"/>
  <c r="D97" i="105"/>
  <c r="F96" i="105"/>
  <c r="H43" i="105"/>
  <c r="J42" i="105"/>
  <c r="D96" i="103"/>
  <c r="F95" i="103"/>
  <c r="G43" i="91"/>
  <c r="G43" i="98"/>
  <c r="D97" i="98"/>
  <c r="F96" i="98"/>
  <c r="D96" i="93"/>
  <c r="F95" i="93"/>
  <c r="D96" i="58"/>
  <c r="F95" i="58"/>
  <c r="D97" i="61"/>
  <c r="F96" i="61"/>
  <c r="D96" i="65"/>
  <c r="F95" i="65"/>
  <c r="V42" i="89"/>
  <c r="D97" i="91"/>
  <c r="F96" i="91"/>
  <c r="N47" i="89"/>
  <c r="P47" i="89" s="1"/>
  <c r="F95" i="86"/>
  <c r="D96" i="86"/>
  <c r="J33" i="86"/>
  <c r="G33" i="61"/>
  <c r="R33" i="60"/>
  <c r="Q33" i="60" s="1"/>
  <c r="G34" i="65" s="1"/>
  <c r="H34" i="65" s="1"/>
  <c r="N61" i="60"/>
  <c r="S32" i="60"/>
  <c r="O61" i="53"/>
  <c r="D63" i="54"/>
  <c r="F63" i="54" s="1"/>
  <c r="J67" i="112" l="1"/>
  <c r="F96" i="112"/>
  <c r="D97" i="112"/>
  <c r="T67" i="111"/>
  <c r="N68" i="111" s="1"/>
  <c r="P68" i="111" s="1"/>
  <c r="G69" i="112" s="1"/>
  <c r="H69" i="112" s="1"/>
  <c r="G68" i="110"/>
  <c r="S68" i="111"/>
  <c r="R68" i="111" s="1"/>
  <c r="V68" i="111" s="1"/>
  <c r="O95" i="89"/>
  <c r="O95" i="111"/>
  <c r="G48" i="103"/>
  <c r="H48" i="103" s="1"/>
  <c r="J48" i="103" s="1"/>
  <c r="H48" i="110"/>
  <c r="D97" i="110"/>
  <c r="F96" i="110"/>
  <c r="H43" i="98"/>
  <c r="J43" i="98" s="1"/>
  <c r="J43" i="105"/>
  <c r="D98" i="105"/>
  <c r="F97" i="105"/>
  <c r="F96" i="103"/>
  <c r="D97" i="103"/>
  <c r="H43" i="91"/>
  <c r="J43" i="91" s="1"/>
  <c r="D98" i="98"/>
  <c r="F97" i="98"/>
  <c r="G48" i="93"/>
  <c r="H48" i="93" s="1"/>
  <c r="J48" i="93" s="1"/>
  <c r="D97" i="93"/>
  <c r="F96" i="93"/>
  <c r="D97" i="58"/>
  <c r="F96" i="58"/>
  <c r="D98" i="61"/>
  <c r="F97" i="61"/>
  <c r="F96" i="65"/>
  <c r="D97" i="65"/>
  <c r="S43" i="89"/>
  <c r="R43" i="89" s="1"/>
  <c r="G44" i="105" s="1"/>
  <c r="G48" i="86"/>
  <c r="F97" i="91"/>
  <c r="D98" i="91"/>
  <c r="T47" i="89"/>
  <c r="D97" i="86"/>
  <c r="F96" i="86"/>
  <c r="N52" i="54"/>
  <c r="N62" i="60"/>
  <c r="M33" i="60"/>
  <c r="O33" i="60" s="1"/>
  <c r="H34" i="86" s="1"/>
  <c r="U33" i="60"/>
  <c r="J34" i="65"/>
  <c r="O62" i="53"/>
  <c r="D64" i="54"/>
  <c r="F64" i="54" s="1"/>
  <c r="F97" i="112" l="1"/>
  <c r="D98" i="112"/>
  <c r="J68" i="112"/>
  <c r="T68" i="111"/>
  <c r="N69" i="111" s="1"/>
  <c r="P69" i="111" s="1"/>
  <c r="G70" i="112" s="1"/>
  <c r="H70" i="112" s="1"/>
  <c r="G69" i="110"/>
  <c r="O96" i="89"/>
  <c r="O96" i="111"/>
  <c r="S69" i="111"/>
  <c r="R69" i="111" s="1"/>
  <c r="V69" i="111" s="1"/>
  <c r="D98" i="110"/>
  <c r="F97" i="110"/>
  <c r="J48" i="110"/>
  <c r="D99" i="105"/>
  <c r="F98" i="105"/>
  <c r="H44" i="105"/>
  <c r="D98" i="103"/>
  <c r="F97" i="103"/>
  <c r="N8" i="75"/>
  <c r="G44" i="91"/>
  <c r="H44" i="91" s="1"/>
  <c r="J44" i="91" s="1"/>
  <c r="G44" i="98"/>
  <c r="D99" i="98"/>
  <c r="F98" i="98"/>
  <c r="D98" i="93"/>
  <c r="F97" i="93"/>
  <c r="F97" i="58"/>
  <c r="D98" i="58"/>
  <c r="D99" i="61"/>
  <c r="F98" i="61"/>
  <c r="D98" i="65"/>
  <c r="F97" i="65"/>
  <c r="V43" i="89"/>
  <c r="F98" i="91"/>
  <c r="D99" i="91"/>
  <c r="N48" i="89"/>
  <c r="P48" i="89" s="1"/>
  <c r="F97" i="86"/>
  <c r="D98" i="86"/>
  <c r="J34" i="86"/>
  <c r="G34" i="61"/>
  <c r="N63" i="60"/>
  <c r="R34" i="60"/>
  <c r="Q34" i="60" s="1"/>
  <c r="G35" i="65" s="1"/>
  <c r="H35" i="65" s="1"/>
  <c r="S33" i="60"/>
  <c r="O63" i="53"/>
  <c r="D65" i="54"/>
  <c r="F65" i="54" s="1"/>
  <c r="J69" i="112" l="1"/>
  <c r="F98" i="112"/>
  <c r="D99" i="112"/>
  <c r="T69" i="111"/>
  <c r="N70" i="111" s="1"/>
  <c r="P70" i="111" s="1"/>
  <c r="G71" i="112" s="1"/>
  <c r="H71" i="112" s="1"/>
  <c r="G70" i="110"/>
  <c r="S70" i="111"/>
  <c r="R70" i="111" s="1"/>
  <c r="V70" i="111" s="1"/>
  <c r="O97" i="89"/>
  <c r="O97" i="111"/>
  <c r="G49" i="103"/>
  <c r="H49" i="103" s="1"/>
  <c r="H49" i="110"/>
  <c r="D99" i="110"/>
  <c r="F98" i="110"/>
  <c r="H44" i="98"/>
  <c r="J44" i="98" s="1"/>
  <c r="J44" i="105"/>
  <c r="F99" i="105"/>
  <c r="X88" i="105" s="1"/>
  <c r="D100" i="105"/>
  <c r="J49" i="103"/>
  <c r="D99" i="103"/>
  <c r="F98" i="103"/>
  <c r="D100" i="98"/>
  <c r="F99" i="98"/>
  <c r="X88" i="98" s="1"/>
  <c r="G49" i="93"/>
  <c r="H49" i="93" s="1"/>
  <c r="J49" i="93" s="1"/>
  <c r="D99" i="93"/>
  <c r="F98" i="93"/>
  <c r="D99" i="58"/>
  <c r="F98" i="58"/>
  <c r="D100" i="61"/>
  <c r="F99" i="61"/>
  <c r="F98" i="65"/>
  <c r="D99" i="65"/>
  <c r="S44" i="89"/>
  <c r="R44" i="89" s="1"/>
  <c r="G45" i="105" s="1"/>
  <c r="F99" i="91"/>
  <c r="O98" i="111" s="1"/>
  <c r="D100" i="91"/>
  <c r="G49" i="86"/>
  <c r="T48" i="89"/>
  <c r="N49" i="89" s="1"/>
  <c r="P49" i="89" s="1"/>
  <c r="F98" i="86"/>
  <c r="D99" i="86"/>
  <c r="J35" i="65"/>
  <c r="N64" i="60"/>
  <c r="M34" i="60"/>
  <c r="O34" i="60" s="1"/>
  <c r="H35" i="86" s="1"/>
  <c r="U34" i="60"/>
  <c r="O64" i="53"/>
  <c r="D66" i="54"/>
  <c r="F66" i="54" s="1"/>
  <c r="F99" i="112" l="1"/>
  <c r="X88" i="112" s="1"/>
  <c r="D100" i="112"/>
  <c r="J70" i="112"/>
  <c r="T70" i="111"/>
  <c r="N71" i="111" s="1"/>
  <c r="P71" i="111" s="1"/>
  <c r="G72" i="112" s="1"/>
  <c r="H72" i="112" s="1"/>
  <c r="G71" i="110"/>
  <c r="S71" i="111"/>
  <c r="R71" i="111" s="1"/>
  <c r="V71" i="111" s="1"/>
  <c r="G50" i="103"/>
  <c r="H50" i="103" s="1"/>
  <c r="J50" i="103" s="1"/>
  <c r="H50" i="110"/>
  <c r="D100" i="110"/>
  <c r="F99" i="110"/>
  <c r="X88" i="110" s="1"/>
  <c r="J49" i="110"/>
  <c r="D101" i="105"/>
  <c r="F100" i="105"/>
  <c r="H45" i="105"/>
  <c r="D100" i="103"/>
  <c r="F99" i="103"/>
  <c r="X88" i="103" s="1"/>
  <c r="N11" i="106" s="1"/>
  <c r="O98" i="89"/>
  <c r="X88" i="91"/>
  <c r="G45" i="91"/>
  <c r="H45" i="91" s="1"/>
  <c r="J45" i="91" s="1"/>
  <c r="G45" i="98"/>
  <c r="H45" i="98" s="1"/>
  <c r="D101" i="98"/>
  <c r="F100" i="98"/>
  <c r="G50" i="93"/>
  <c r="H50" i="93" s="1"/>
  <c r="J50" i="93" s="1"/>
  <c r="D100" i="93"/>
  <c r="F99" i="93"/>
  <c r="X88" i="93" s="1"/>
  <c r="D100" i="58"/>
  <c r="F99" i="58"/>
  <c r="F100" i="61"/>
  <c r="D101" i="61"/>
  <c r="F99" i="65"/>
  <c r="P88" i="65" s="1"/>
  <c r="N11" i="76" s="1"/>
  <c r="D100" i="65"/>
  <c r="V44" i="89"/>
  <c r="D101" i="91"/>
  <c r="F100" i="91"/>
  <c r="O99" i="111" s="1"/>
  <c r="G50" i="86"/>
  <c r="T49" i="89"/>
  <c r="N50" i="89" s="1"/>
  <c r="P50" i="89" s="1"/>
  <c r="F99" i="86"/>
  <c r="X88" i="86" s="1"/>
  <c r="N11" i="100" s="1"/>
  <c r="D100" i="86"/>
  <c r="J35" i="86"/>
  <c r="G35" i="61"/>
  <c r="N65" i="60"/>
  <c r="R35" i="60"/>
  <c r="Q35" i="60" s="1"/>
  <c r="G36" i="65" s="1"/>
  <c r="H36" i="65" s="1"/>
  <c r="S34" i="60"/>
  <c r="O65" i="53"/>
  <c r="D67" i="54"/>
  <c r="F67" i="54" s="1"/>
  <c r="J71" i="112" l="1"/>
  <c r="F100" i="112"/>
  <c r="D101" i="112"/>
  <c r="T71" i="111"/>
  <c r="N72" i="111" s="1"/>
  <c r="P72" i="111" s="1"/>
  <c r="G73" i="112" s="1"/>
  <c r="H73" i="112" s="1"/>
  <c r="G72" i="110"/>
  <c r="S72" i="111"/>
  <c r="R72" i="111" s="1"/>
  <c r="V72" i="111" s="1"/>
  <c r="D101" i="110"/>
  <c r="F100" i="110"/>
  <c r="G51" i="103"/>
  <c r="H51" i="103" s="1"/>
  <c r="J51" i="103" s="1"/>
  <c r="J50" i="110"/>
  <c r="F101" i="105"/>
  <c r="D102" i="105"/>
  <c r="J45" i="105"/>
  <c r="D101" i="103"/>
  <c r="F100" i="103"/>
  <c r="N11" i="101"/>
  <c r="O99" i="89"/>
  <c r="F101" i="98"/>
  <c r="D102" i="98"/>
  <c r="J45" i="98"/>
  <c r="G51" i="93"/>
  <c r="D101" i="93"/>
  <c r="F100" i="93"/>
  <c r="D101" i="58"/>
  <c r="F100" i="58"/>
  <c r="F101" i="61"/>
  <c r="D102" i="61"/>
  <c r="F100" i="65"/>
  <c r="D101" i="65"/>
  <c r="S45" i="89"/>
  <c r="R45" i="89" s="1"/>
  <c r="G46" i="105" s="1"/>
  <c r="H46" i="105" s="1"/>
  <c r="D102" i="91"/>
  <c r="F101" i="91"/>
  <c r="G51" i="86"/>
  <c r="Y40" i="86" s="1"/>
  <c r="T50" i="89"/>
  <c r="D101" i="86"/>
  <c r="F100" i="86"/>
  <c r="N66" i="60"/>
  <c r="M35" i="60"/>
  <c r="O35" i="60" s="1"/>
  <c r="H36" i="86" s="1"/>
  <c r="U35" i="60"/>
  <c r="J36" i="65"/>
  <c r="O66" i="53"/>
  <c r="D68" i="54"/>
  <c r="F68" i="54" s="1"/>
  <c r="Y40" i="103" l="1"/>
  <c r="O7" i="106" s="1"/>
  <c r="D102" i="112"/>
  <c r="F101" i="112"/>
  <c r="J72" i="112"/>
  <c r="T72" i="111"/>
  <c r="N73" i="111" s="1"/>
  <c r="P73" i="111" s="1"/>
  <c r="G74" i="112" s="1"/>
  <c r="H74" i="112" s="1"/>
  <c r="G73" i="110"/>
  <c r="N40" i="103"/>
  <c r="S73" i="111"/>
  <c r="R73" i="111" s="1"/>
  <c r="V73" i="111" s="1"/>
  <c r="O100" i="89"/>
  <c r="O100" i="111"/>
  <c r="Y40" i="110"/>
  <c r="N40" i="110"/>
  <c r="H51" i="110"/>
  <c r="J51" i="110" s="1"/>
  <c r="D102" i="110"/>
  <c r="F101" i="110"/>
  <c r="J46" i="105"/>
  <c r="D103" i="105"/>
  <c r="F102" i="105"/>
  <c r="K40" i="103"/>
  <c r="D102" i="103"/>
  <c r="F101" i="103"/>
  <c r="O7" i="100"/>
  <c r="N40" i="93"/>
  <c r="Y40" i="93"/>
  <c r="O7" i="101" s="1"/>
  <c r="G46" i="91"/>
  <c r="H46" i="91" s="1"/>
  <c r="J46" i="91" s="1"/>
  <c r="G46" i="98"/>
  <c r="H46" i="98" s="1"/>
  <c r="D103" i="98"/>
  <c r="F102" i="98"/>
  <c r="H51" i="93"/>
  <c r="J51" i="93" s="1"/>
  <c r="K40" i="93" s="1"/>
  <c r="D102" i="93"/>
  <c r="F101" i="93"/>
  <c r="D102" i="58"/>
  <c r="F101" i="58"/>
  <c r="D103" i="61"/>
  <c r="F102" i="61"/>
  <c r="D102" i="65"/>
  <c r="F101" i="65"/>
  <c r="V45" i="89"/>
  <c r="D103" i="91"/>
  <c r="F102" i="91"/>
  <c r="N51" i="89"/>
  <c r="P51" i="89" s="1"/>
  <c r="F101" i="86"/>
  <c r="D102" i="86"/>
  <c r="J36" i="86"/>
  <c r="G36" i="61"/>
  <c r="S35" i="60"/>
  <c r="N67" i="60"/>
  <c r="R36" i="60"/>
  <c r="Q36" i="60" s="1"/>
  <c r="G37" i="65" s="1"/>
  <c r="H37" i="65" s="1"/>
  <c r="O67" i="53"/>
  <c r="D69" i="54"/>
  <c r="F69" i="54" s="1"/>
  <c r="J73" i="112" l="1"/>
  <c r="F102" i="112"/>
  <c r="D103" i="112"/>
  <c r="T73" i="111"/>
  <c r="N74" i="111" s="1"/>
  <c r="P74" i="111" s="1"/>
  <c r="G75" i="112" s="1"/>
  <c r="H75" i="112" s="1"/>
  <c r="G74" i="110"/>
  <c r="S74" i="111"/>
  <c r="R74" i="111" s="1"/>
  <c r="V74" i="111" s="1"/>
  <c r="O101" i="89"/>
  <c r="O101" i="111"/>
  <c r="G52" i="103"/>
  <c r="H52" i="103" s="1"/>
  <c r="K40" i="110"/>
  <c r="J10" i="108" s="1"/>
  <c r="L10" i="108" s="1"/>
  <c r="M10" i="108" s="1"/>
  <c r="D103" i="110"/>
  <c r="F102" i="110"/>
  <c r="J10" i="102"/>
  <c r="J10" i="92"/>
  <c r="D104" i="105"/>
  <c r="F103" i="105"/>
  <c r="F102" i="103"/>
  <c r="D103" i="103"/>
  <c r="J46" i="98"/>
  <c r="F103" i="98"/>
  <c r="D104" i="98"/>
  <c r="G52" i="93"/>
  <c r="D103" i="93"/>
  <c r="F102" i="93"/>
  <c r="D103" i="58"/>
  <c r="F102" i="58"/>
  <c r="F103" i="61"/>
  <c r="D104" i="61"/>
  <c r="F102" i="65"/>
  <c r="D103" i="65"/>
  <c r="S46" i="89"/>
  <c r="R46" i="89" s="1"/>
  <c r="G47" i="105" s="1"/>
  <c r="H47" i="105" s="1"/>
  <c r="F103" i="91"/>
  <c r="D104" i="91"/>
  <c r="T51" i="89"/>
  <c r="N52" i="89" s="1"/>
  <c r="P52" i="89" s="1"/>
  <c r="G52" i="86"/>
  <c r="D103" i="86"/>
  <c r="F102" i="86"/>
  <c r="U36" i="60"/>
  <c r="R37" i="60" s="1"/>
  <c r="Q37" i="60" s="1"/>
  <c r="G38" i="65" s="1"/>
  <c r="H38" i="65" s="1"/>
  <c r="N68" i="60"/>
  <c r="M36" i="60"/>
  <c r="O36" i="60" s="1"/>
  <c r="H37" i="86" s="1"/>
  <c r="J37" i="65"/>
  <c r="O68" i="53"/>
  <c r="D70" i="54"/>
  <c r="F70" i="54" s="1"/>
  <c r="N64" i="112" l="1"/>
  <c r="Y64" i="112"/>
  <c r="J75" i="112"/>
  <c r="J74" i="112"/>
  <c r="F103" i="112"/>
  <c r="D104" i="112"/>
  <c r="H10" i="108"/>
  <c r="T74" i="111"/>
  <c r="N75" i="111" s="1"/>
  <c r="P75" i="111" s="1"/>
  <c r="G76" i="112" s="1"/>
  <c r="H76" i="112" s="1"/>
  <c r="G75" i="110"/>
  <c r="S75" i="111"/>
  <c r="R75" i="111" s="1"/>
  <c r="V75" i="111" s="1"/>
  <c r="O102" i="89"/>
  <c r="O102" i="111"/>
  <c r="G53" i="103"/>
  <c r="H53" i="103" s="1"/>
  <c r="D104" i="110"/>
  <c r="F103" i="110"/>
  <c r="H52" i="110"/>
  <c r="H10" i="102"/>
  <c r="L10" i="102"/>
  <c r="H10" i="92"/>
  <c r="L10" i="92"/>
  <c r="J47" i="105"/>
  <c r="D105" i="105"/>
  <c r="F104" i="105"/>
  <c r="D104" i="103"/>
  <c r="F103" i="103"/>
  <c r="J52" i="103"/>
  <c r="H52" i="93"/>
  <c r="J52" i="93" s="1"/>
  <c r="G47" i="91"/>
  <c r="H47" i="91" s="1"/>
  <c r="G47" i="98"/>
  <c r="H47" i="98" s="1"/>
  <c r="D105" i="98"/>
  <c r="F104" i="98"/>
  <c r="G53" i="93"/>
  <c r="D104" i="93"/>
  <c r="F103" i="93"/>
  <c r="F103" i="58"/>
  <c r="D104" i="58"/>
  <c r="D105" i="61"/>
  <c r="F104" i="61"/>
  <c r="F103" i="65"/>
  <c r="D104" i="65"/>
  <c r="V46" i="89"/>
  <c r="D105" i="91"/>
  <c r="F104" i="91"/>
  <c r="T52" i="89"/>
  <c r="N53" i="89" s="1"/>
  <c r="P53" i="89" s="1"/>
  <c r="G53" i="86"/>
  <c r="D104" i="86"/>
  <c r="F103" i="86"/>
  <c r="J37" i="86"/>
  <c r="G37" i="61"/>
  <c r="U37" i="60"/>
  <c r="S36" i="60"/>
  <c r="N69" i="60"/>
  <c r="J38" i="65"/>
  <c r="O69" i="53"/>
  <c r="D71" i="54"/>
  <c r="F71" i="54" s="1"/>
  <c r="F104" i="112" l="1"/>
  <c r="D105" i="112"/>
  <c r="K64" i="112"/>
  <c r="J12" i="109" s="1"/>
  <c r="T75" i="111"/>
  <c r="N76" i="111" s="1"/>
  <c r="P76" i="111" s="1"/>
  <c r="G77" i="112" s="1"/>
  <c r="H77" i="112" s="1"/>
  <c r="G76" i="110"/>
  <c r="S76" i="111"/>
  <c r="R76" i="111" s="1"/>
  <c r="V76" i="111" s="1"/>
  <c r="O103" i="89"/>
  <c r="O103" i="111"/>
  <c r="H53" i="110"/>
  <c r="J52" i="110"/>
  <c r="D105" i="110"/>
  <c r="F104" i="110"/>
  <c r="G54" i="103"/>
  <c r="H54" i="103" s="1"/>
  <c r="D106" i="105"/>
  <c r="F105" i="105"/>
  <c r="D105" i="103"/>
  <c r="F104" i="103"/>
  <c r="J53" i="103"/>
  <c r="H53" i="93"/>
  <c r="J53" i="93" s="1"/>
  <c r="F105" i="98"/>
  <c r="D106" i="98"/>
  <c r="J47" i="98"/>
  <c r="G54" i="93"/>
  <c r="D105" i="93"/>
  <c r="F104" i="93"/>
  <c r="F104" i="58"/>
  <c r="D105" i="58"/>
  <c r="D106" i="61"/>
  <c r="F105" i="61"/>
  <c r="F104" i="65"/>
  <c r="D105" i="65"/>
  <c r="J47" i="91"/>
  <c r="S47" i="89"/>
  <c r="R47" i="89" s="1"/>
  <c r="G48" i="105" s="1"/>
  <c r="H48" i="105" s="1"/>
  <c r="F105" i="91"/>
  <c r="D106" i="91"/>
  <c r="G54" i="86"/>
  <c r="T53" i="89"/>
  <c r="D105" i="86"/>
  <c r="F104" i="86"/>
  <c r="M37" i="60"/>
  <c r="O37" i="60" s="1"/>
  <c r="H38" i="86" s="1"/>
  <c r="R38" i="60"/>
  <c r="Q38" i="60" s="1"/>
  <c r="G39" i="65" s="1"/>
  <c r="N28" i="65" s="1"/>
  <c r="P6" i="76" s="1"/>
  <c r="N70" i="60"/>
  <c r="O70" i="53"/>
  <c r="D72" i="54"/>
  <c r="F72" i="54" s="1"/>
  <c r="J76" i="112" l="1"/>
  <c r="F105" i="112"/>
  <c r="D106" i="112"/>
  <c r="T76" i="111"/>
  <c r="N77" i="111" s="1"/>
  <c r="P77" i="111" s="1"/>
  <c r="G78" i="112" s="1"/>
  <c r="H78" i="112" s="1"/>
  <c r="G77" i="110"/>
  <c r="S77" i="111"/>
  <c r="R77" i="111" s="1"/>
  <c r="V77" i="111" s="1"/>
  <c r="O104" i="89"/>
  <c r="O104" i="111"/>
  <c r="D106" i="110"/>
  <c r="F105" i="110"/>
  <c r="J53" i="110"/>
  <c r="H54" i="110"/>
  <c r="H54" i="93"/>
  <c r="J54" i="93" s="1"/>
  <c r="J48" i="105"/>
  <c r="F106" i="105"/>
  <c r="D107" i="105"/>
  <c r="J54" i="103"/>
  <c r="D106" i="103"/>
  <c r="F105" i="103"/>
  <c r="D107" i="98"/>
  <c r="F106" i="98"/>
  <c r="G48" i="91"/>
  <c r="H48" i="91" s="1"/>
  <c r="G48" i="98"/>
  <c r="H48" i="98" s="1"/>
  <c r="D106" i="93"/>
  <c r="F105" i="93"/>
  <c r="F105" i="58"/>
  <c r="D106" i="58"/>
  <c r="D107" i="61"/>
  <c r="F106" i="61"/>
  <c r="F105" i="65"/>
  <c r="D106" i="65"/>
  <c r="V47" i="89"/>
  <c r="D107" i="91"/>
  <c r="F106" i="91"/>
  <c r="N54" i="89"/>
  <c r="P54" i="89" s="1"/>
  <c r="D106" i="86"/>
  <c r="F105" i="86"/>
  <c r="J38" i="86"/>
  <c r="H39" i="65"/>
  <c r="J39" i="65" s="1"/>
  <c r="K28" i="65" s="1"/>
  <c r="G38" i="61"/>
  <c r="N71" i="60"/>
  <c r="U38" i="60"/>
  <c r="S37" i="60"/>
  <c r="O71" i="53"/>
  <c r="D73" i="54"/>
  <c r="F73" i="54" s="1"/>
  <c r="D107" i="112" l="1"/>
  <c r="F106" i="112"/>
  <c r="J77" i="112"/>
  <c r="T77" i="111"/>
  <c r="N78" i="111" s="1"/>
  <c r="P78" i="111" s="1"/>
  <c r="G79" i="112" s="1"/>
  <c r="H79" i="112" s="1"/>
  <c r="G78" i="110"/>
  <c r="S78" i="111"/>
  <c r="R78" i="111" s="1"/>
  <c r="V78" i="111" s="1"/>
  <c r="O105" i="89"/>
  <c r="O105" i="111"/>
  <c r="J54" i="110"/>
  <c r="G55" i="103"/>
  <c r="H55" i="103" s="1"/>
  <c r="D107" i="110"/>
  <c r="F106" i="110"/>
  <c r="J9" i="66"/>
  <c r="H9" i="66" s="1"/>
  <c r="D108" i="105"/>
  <c r="F107" i="105"/>
  <c r="F106" i="103"/>
  <c r="D107" i="103"/>
  <c r="J48" i="98"/>
  <c r="D108" i="98"/>
  <c r="F107" i="98"/>
  <c r="G55" i="93"/>
  <c r="D107" i="93"/>
  <c r="F106" i="93"/>
  <c r="F106" i="58"/>
  <c r="D107" i="58"/>
  <c r="F107" i="61"/>
  <c r="D108" i="61"/>
  <c r="F106" i="65"/>
  <c r="D107" i="65"/>
  <c r="J48" i="91"/>
  <c r="S48" i="89"/>
  <c r="R48" i="89" s="1"/>
  <c r="G49" i="105" s="1"/>
  <c r="H49" i="105" s="1"/>
  <c r="F107" i="91"/>
  <c r="D108" i="91"/>
  <c r="G55" i="86"/>
  <c r="T54" i="89"/>
  <c r="D107" i="86"/>
  <c r="F106" i="86"/>
  <c r="N72" i="60"/>
  <c r="R39" i="60"/>
  <c r="Q39" i="60" s="1"/>
  <c r="G40" i="65" s="1"/>
  <c r="M38" i="60"/>
  <c r="O38" i="60" s="1"/>
  <c r="O72" i="53"/>
  <c r="D74" i="54"/>
  <c r="F74" i="54" s="1"/>
  <c r="J78" i="112" l="1"/>
  <c r="D108" i="112"/>
  <c r="F107" i="112"/>
  <c r="T78" i="111"/>
  <c r="N79" i="111" s="1"/>
  <c r="P79" i="111" s="1"/>
  <c r="G80" i="112" s="1"/>
  <c r="H80" i="112" s="1"/>
  <c r="G79" i="110"/>
  <c r="S79" i="111"/>
  <c r="R79" i="111" s="1"/>
  <c r="V79" i="111" s="1"/>
  <c r="O106" i="89"/>
  <c r="O106" i="111"/>
  <c r="D108" i="110"/>
  <c r="F107" i="110"/>
  <c r="H55" i="110"/>
  <c r="L9" i="66"/>
  <c r="J49" i="105"/>
  <c r="F108" i="105"/>
  <c r="D109" i="105"/>
  <c r="D108" i="103"/>
  <c r="F107" i="103"/>
  <c r="J55" i="103"/>
  <c r="H55" i="93"/>
  <c r="J55" i="93" s="1"/>
  <c r="G49" i="91"/>
  <c r="H49" i="91" s="1"/>
  <c r="G49" i="98"/>
  <c r="H49" i="98" s="1"/>
  <c r="D109" i="98"/>
  <c r="F108" i="98"/>
  <c r="D108" i="93"/>
  <c r="F107" i="93"/>
  <c r="D108" i="58"/>
  <c r="F107" i="58"/>
  <c r="D109" i="61"/>
  <c r="F108" i="61"/>
  <c r="F107" i="65"/>
  <c r="D108" i="65"/>
  <c r="V48" i="89"/>
  <c r="F108" i="91"/>
  <c r="D109" i="91"/>
  <c r="N55" i="89"/>
  <c r="P55" i="89" s="1"/>
  <c r="D108" i="86"/>
  <c r="F107" i="86"/>
  <c r="N28" i="86"/>
  <c r="H39" i="86"/>
  <c r="H40" i="86" s="1"/>
  <c r="H40" i="65"/>
  <c r="J40" i="65" s="1"/>
  <c r="G39" i="61"/>
  <c r="N28" i="61" s="1"/>
  <c r="O6" i="76" s="1"/>
  <c r="S38" i="60"/>
  <c r="M39" i="60" s="1"/>
  <c r="O39" i="60" s="1"/>
  <c r="N73" i="60"/>
  <c r="U39" i="60"/>
  <c r="O73" i="53"/>
  <c r="D75" i="54"/>
  <c r="F75" i="54" s="1"/>
  <c r="D109" i="112" l="1"/>
  <c r="F108" i="112"/>
  <c r="J79" i="112"/>
  <c r="T79" i="111"/>
  <c r="N80" i="111" s="1"/>
  <c r="P80" i="111" s="1"/>
  <c r="G81" i="112" s="1"/>
  <c r="H81" i="112" s="1"/>
  <c r="G80" i="110"/>
  <c r="S80" i="111"/>
  <c r="R80" i="111" s="1"/>
  <c r="V80" i="111" s="1"/>
  <c r="O107" i="89"/>
  <c r="O107" i="111"/>
  <c r="D109" i="110"/>
  <c r="F108" i="110"/>
  <c r="G56" i="103"/>
  <c r="H56" i="103" s="1"/>
  <c r="J56" i="103" s="1"/>
  <c r="J55" i="110"/>
  <c r="D110" i="105"/>
  <c r="F109" i="105"/>
  <c r="D109" i="103"/>
  <c r="F108" i="103"/>
  <c r="J49" i="98"/>
  <c r="F109" i="98"/>
  <c r="D110" i="98"/>
  <c r="G56" i="93"/>
  <c r="D109" i="93"/>
  <c r="F108" i="93"/>
  <c r="F108" i="58"/>
  <c r="D109" i="58"/>
  <c r="D110" i="61"/>
  <c r="F109" i="61"/>
  <c r="D109" i="65"/>
  <c r="F108" i="65"/>
  <c r="J49" i="91"/>
  <c r="S49" i="89"/>
  <c r="R49" i="89" s="1"/>
  <c r="G50" i="105" s="1"/>
  <c r="H50" i="105" s="1"/>
  <c r="D110" i="91"/>
  <c r="F109" i="91"/>
  <c r="G56" i="86"/>
  <c r="T55" i="89"/>
  <c r="D109" i="86"/>
  <c r="F108" i="86"/>
  <c r="N64" i="54"/>
  <c r="J39" i="86"/>
  <c r="K28" i="86" s="1"/>
  <c r="J9" i="87" s="1"/>
  <c r="L9" i="87" s="1"/>
  <c r="G40" i="61"/>
  <c r="S39" i="60"/>
  <c r="R40" i="60"/>
  <c r="Q40" i="60" s="1"/>
  <c r="G41" i="65" s="1"/>
  <c r="N74" i="60"/>
  <c r="O74" i="53"/>
  <c r="C16" i="54"/>
  <c r="C28" i="54" s="1"/>
  <c r="C40" i="54" s="1"/>
  <c r="C52" i="54" s="1"/>
  <c r="C64" i="54" s="1"/>
  <c r="C76" i="54" s="1"/>
  <c r="C88" i="54" s="1"/>
  <c r="C100" i="54" s="1"/>
  <c r="C112" i="54" s="1"/>
  <c r="C124" i="54" s="1"/>
  <c r="C136" i="54" s="1"/>
  <c r="C148" i="54" s="1"/>
  <c r="C160" i="54" s="1"/>
  <c r="C172" i="54" s="1"/>
  <c r="C184" i="54" s="1"/>
  <c r="C196" i="54" s="1"/>
  <c r="C208" i="54" s="1"/>
  <c r="C220" i="54" s="1"/>
  <c r="C232" i="54" s="1"/>
  <c r="D8" i="55"/>
  <c r="D9" i="55" s="1"/>
  <c r="D10" i="55" s="1"/>
  <c r="D11" i="55" s="1"/>
  <c r="D12" i="55" s="1"/>
  <c r="D13" i="55" s="1"/>
  <c r="D14" i="55" s="1"/>
  <c r="D15" i="55" s="1"/>
  <c r="D16" i="55" s="1"/>
  <c r="D17" i="55" s="1"/>
  <c r="D18" i="55" s="1"/>
  <c r="D19" i="55" s="1"/>
  <c r="D20" i="55" s="1"/>
  <c r="D21" i="55" s="1"/>
  <c r="D22" i="55" s="1"/>
  <c r="D23" i="55" s="1"/>
  <c r="D24" i="55" s="1"/>
  <c r="D25" i="55" s="1"/>
  <c r="D26" i="55" s="1"/>
  <c r="D76" i="54"/>
  <c r="F76" i="54" s="1"/>
  <c r="D110" i="112" l="1"/>
  <c r="F109" i="112"/>
  <c r="J80" i="112"/>
  <c r="T80" i="111"/>
  <c r="N81" i="111" s="1"/>
  <c r="P81" i="111" s="1"/>
  <c r="G82" i="112" s="1"/>
  <c r="H82" i="112" s="1"/>
  <c r="G81" i="110"/>
  <c r="S81" i="111"/>
  <c r="R81" i="111" s="1"/>
  <c r="V81" i="111" s="1"/>
  <c r="O108" i="89"/>
  <c r="O108" i="111"/>
  <c r="H56" i="110"/>
  <c r="D110" i="110"/>
  <c r="F109" i="110"/>
  <c r="J50" i="105"/>
  <c r="D111" i="105"/>
  <c r="F110" i="105"/>
  <c r="D110" i="103"/>
  <c r="F109" i="103"/>
  <c r="M9" i="102"/>
  <c r="H56" i="93"/>
  <c r="J56" i="93" s="1"/>
  <c r="N9" i="75"/>
  <c r="D111" i="98"/>
  <c r="F110" i="98"/>
  <c r="G50" i="91"/>
  <c r="H50" i="91" s="1"/>
  <c r="J50" i="91" s="1"/>
  <c r="G50" i="98"/>
  <c r="H50" i="98" s="1"/>
  <c r="D110" i="93"/>
  <c r="F109" i="93"/>
  <c r="M9" i="92"/>
  <c r="D110" i="58"/>
  <c r="F109" i="58"/>
  <c r="F110" i="61"/>
  <c r="D111" i="61"/>
  <c r="D110" i="65"/>
  <c r="F109" i="65"/>
  <c r="V49" i="89"/>
  <c r="D111" i="91"/>
  <c r="F110" i="91"/>
  <c r="H9" i="87"/>
  <c r="N56" i="89"/>
  <c r="P56" i="89" s="1"/>
  <c r="F109" i="86"/>
  <c r="D110" i="86"/>
  <c r="J40" i="86"/>
  <c r="H41" i="65"/>
  <c r="J41" i="65" s="1"/>
  <c r="M40" i="60"/>
  <c r="O40" i="60" s="1"/>
  <c r="U40" i="60"/>
  <c r="N75" i="60"/>
  <c r="O75" i="53"/>
  <c r="D77" i="54"/>
  <c r="F77" i="54" s="1"/>
  <c r="I3" i="53"/>
  <c r="L3" i="53" s="1"/>
  <c r="L15" i="53" s="1"/>
  <c r="L27" i="53" s="1"/>
  <c r="L39" i="53" s="1"/>
  <c r="L51" i="53" s="1"/>
  <c r="L63" i="53" s="1"/>
  <c r="L75" i="53" s="1"/>
  <c r="L87" i="53" s="1"/>
  <c r="L99" i="53" s="1"/>
  <c r="L111" i="53" s="1"/>
  <c r="L123" i="53" s="1"/>
  <c r="L135" i="53" s="1"/>
  <c r="L147" i="53" s="1"/>
  <c r="L159" i="53" s="1"/>
  <c r="L171" i="53" s="1"/>
  <c r="L183" i="53" s="1"/>
  <c r="L195" i="53" s="1"/>
  <c r="L207" i="53" s="1"/>
  <c r="L219" i="53" s="1"/>
  <c r="L231" i="53" s="1"/>
  <c r="J81" i="112" l="1"/>
  <c r="D111" i="112"/>
  <c r="F110" i="112"/>
  <c r="T81" i="111"/>
  <c r="N82" i="111" s="1"/>
  <c r="P82" i="111" s="1"/>
  <c r="G83" i="112" s="1"/>
  <c r="H83" i="112" s="1"/>
  <c r="G82" i="110"/>
  <c r="S82" i="111"/>
  <c r="R82" i="111" s="1"/>
  <c r="V82" i="111" s="1"/>
  <c r="O109" i="89"/>
  <c r="O109" i="111"/>
  <c r="D111" i="110"/>
  <c r="F110" i="110"/>
  <c r="J56" i="110"/>
  <c r="G57" i="103"/>
  <c r="H57" i="103" s="1"/>
  <c r="J57" i="103" s="1"/>
  <c r="H57" i="110"/>
  <c r="F111" i="105"/>
  <c r="X100" i="105" s="1"/>
  <c r="D112" i="105"/>
  <c r="F110" i="103"/>
  <c r="D111" i="103"/>
  <c r="J50" i="98"/>
  <c r="D112" i="98"/>
  <c r="F111" i="98"/>
  <c r="X100" i="98" s="1"/>
  <c r="G57" i="93"/>
  <c r="H57" i="93" s="1"/>
  <c r="J57" i="93" s="1"/>
  <c r="D111" i="93"/>
  <c r="F110" i="93"/>
  <c r="F110" i="58"/>
  <c r="D111" i="58"/>
  <c r="F111" i="61"/>
  <c r="D112" i="61"/>
  <c r="F110" i="65"/>
  <c r="D111" i="65"/>
  <c r="S50" i="89"/>
  <c r="R50" i="89" s="1"/>
  <c r="G51" i="105" s="1"/>
  <c r="G57" i="86"/>
  <c r="D112" i="91"/>
  <c r="F111" i="91"/>
  <c r="O110" i="111" s="1"/>
  <c r="M9" i="90"/>
  <c r="T56" i="89"/>
  <c r="D111" i="86"/>
  <c r="F110" i="86"/>
  <c r="H41" i="86"/>
  <c r="G41" i="61"/>
  <c r="S40" i="60"/>
  <c r="N76" i="60"/>
  <c r="R41" i="60"/>
  <c r="Q41" i="60" s="1"/>
  <c r="G42" i="65" s="1"/>
  <c r="R3" i="53"/>
  <c r="V3" i="53" s="1"/>
  <c r="O76" i="53"/>
  <c r="P3" i="53"/>
  <c r="D78" i="54"/>
  <c r="F78" i="54" s="1"/>
  <c r="I4" i="53"/>
  <c r="D112" i="112" l="1"/>
  <c r="F111" i="112"/>
  <c r="X100" i="112" s="1"/>
  <c r="J82" i="112"/>
  <c r="T82" i="111"/>
  <c r="N83" i="111" s="1"/>
  <c r="P83" i="111" s="1"/>
  <c r="G84" i="112" s="1"/>
  <c r="H84" i="112" s="1"/>
  <c r="G83" i="110"/>
  <c r="S83" i="111"/>
  <c r="R83" i="111" s="1"/>
  <c r="V83" i="111" s="1"/>
  <c r="J57" i="110"/>
  <c r="F111" i="110"/>
  <c r="X100" i="110" s="1"/>
  <c r="D112" i="110"/>
  <c r="Y40" i="105"/>
  <c r="P7" i="106" s="1"/>
  <c r="N40" i="105"/>
  <c r="H51" i="105"/>
  <c r="F112" i="105"/>
  <c r="D113" i="105"/>
  <c r="F111" i="103"/>
  <c r="X100" i="103" s="1"/>
  <c r="N12" i="106" s="1"/>
  <c r="D112" i="103"/>
  <c r="O110" i="89"/>
  <c r="X100" i="91"/>
  <c r="D113" i="98"/>
  <c r="F112" i="98"/>
  <c r="G51" i="91"/>
  <c r="G51" i="98"/>
  <c r="Y40" i="98" s="1"/>
  <c r="P7" i="101" s="1"/>
  <c r="D112" i="93"/>
  <c r="F111" i="93"/>
  <c r="X100" i="93" s="1"/>
  <c r="F111" i="58"/>
  <c r="D112" i="58"/>
  <c r="D113" i="61"/>
  <c r="F112" i="61"/>
  <c r="F111" i="65"/>
  <c r="P100" i="65" s="1"/>
  <c r="N12" i="76" s="1"/>
  <c r="D112" i="65"/>
  <c r="V50" i="89"/>
  <c r="F112" i="91"/>
  <c r="O111" i="111" s="1"/>
  <c r="D113" i="91"/>
  <c r="N57" i="89"/>
  <c r="P57" i="89" s="1"/>
  <c r="D112" i="86"/>
  <c r="F111" i="86"/>
  <c r="X100" i="86" s="1"/>
  <c r="N12" i="100" s="1"/>
  <c r="J41" i="86"/>
  <c r="M41" i="60"/>
  <c r="O41" i="60" s="1"/>
  <c r="H42" i="86" s="1"/>
  <c r="U41" i="60"/>
  <c r="N77" i="60"/>
  <c r="J4" i="61"/>
  <c r="S4" i="53"/>
  <c r="G4" i="58"/>
  <c r="G4" i="54"/>
  <c r="T3" i="53"/>
  <c r="N4" i="53" s="1"/>
  <c r="P4" i="53" s="1"/>
  <c r="H5" i="61" s="1"/>
  <c r="O77" i="53"/>
  <c r="D79" i="54"/>
  <c r="F79" i="54" s="1"/>
  <c r="I5" i="53"/>
  <c r="J83" i="112" l="1"/>
  <c r="D113" i="112"/>
  <c r="F112" i="112"/>
  <c r="T83" i="111"/>
  <c r="N84" i="111" s="1"/>
  <c r="P84" i="111" s="1"/>
  <c r="G85" i="112" s="1"/>
  <c r="H85" i="112" s="1"/>
  <c r="G84" i="110"/>
  <c r="S84" i="111"/>
  <c r="R84" i="111" s="1"/>
  <c r="V84" i="111" s="1"/>
  <c r="G58" i="103"/>
  <c r="H58" i="103" s="1"/>
  <c r="J58" i="103" s="1"/>
  <c r="H58" i="110"/>
  <c r="F112" i="110"/>
  <c r="D113" i="110"/>
  <c r="J51" i="105"/>
  <c r="K40" i="105" s="1"/>
  <c r="F113" i="105"/>
  <c r="D114" i="105"/>
  <c r="D113" i="103"/>
  <c r="F112" i="103"/>
  <c r="N12" i="101"/>
  <c r="O111" i="89"/>
  <c r="N40" i="91"/>
  <c r="Y40" i="91"/>
  <c r="H51" i="91"/>
  <c r="J51" i="91" s="1"/>
  <c r="K40" i="91" s="1"/>
  <c r="J10" i="90" s="1"/>
  <c r="L10" i="90" s="1"/>
  <c r="N40" i="98"/>
  <c r="H51" i="98"/>
  <c r="F113" i="98"/>
  <c r="D114" i="98"/>
  <c r="G58" i="93"/>
  <c r="H58" i="93" s="1"/>
  <c r="J58" i="93" s="1"/>
  <c r="F112" i="93"/>
  <c r="D113" i="93"/>
  <c r="F112" i="58"/>
  <c r="D113" i="58"/>
  <c r="F113" i="61"/>
  <c r="D114" i="61"/>
  <c r="D113" i="65"/>
  <c r="F112" i="65"/>
  <c r="S51" i="89"/>
  <c r="R51" i="89" s="1"/>
  <c r="D114" i="91"/>
  <c r="F113" i="91"/>
  <c r="G58" i="86"/>
  <c r="T57" i="89"/>
  <c r="D113" i="86"/>
  <c r="F112" i="86"/>
  <c r="J42" i="86"/>
  <c r="H4" i="58"/>
  <c r="J4" i="58" s="1"/>
  <c r="H4" i="54"/>
  <c r="J4" i="54" s="1"/>
  <c r="H42" i="65"/>
  <c r="J42" i="65" s="1"/>
  <c r="G42" i="61"/>
  <c r="R42" i="60"/>
  <c r="Q42" i="60" s="1"/>
  <c r="G43" i="65" s="1"/>
  <c r="N78" i="60"/>
  <c r="S41" i="60"/>
  <c r="J5" i="61"/>
  <c r="R4" i="53"/>
  <c r="G5" i="54"/>
  <c r="T4" i="53"/>
  <c r="N5" i="53" s="1"/>
  <c r="O78" i="53"/>
  <c r="D80" i="54"/>
  <c r="F80" i="54" s="1"/>
  <c r="I6" i="53"/>
  <c r="D114" i="112" l="1"/>
  <c r="F113" i="112"/>
  <c r="J84" i="112"/>
  <c r="T84" i="111"/>
  <c r="N85" i="111" s="1"/>
  <c r="P85" i="111" s="1"/>
  <c r="G86" i="112" s="1"/>
  <c r="H86" i="112" s="1"/>
  <c r="G85" i="110"/>
  <c r="S85" i="111"/>
  <c r="R85" i="111" s="1"/>
  <c r="V85" i="111" s="1"/>
  <c r="O112" i="89"/>
  <c r="O112" i="111"/>
  <c r="J58" i="110"/>
  <c r="D114" i="110"/>
  <c r="F113" i="110"/>
  <c r="J10" i="104"/>
  <c r="G52" i="98"/>
  <c r="G52" i="105"/>
  <c r="H52" i="105" s="1"/>
  <c r="D115" i="105"/>
  <c r="F114" i="105"/>
  <c r="F113" i="103"/>
  <c r="D114" i="103"/>
  <c r="P7" i="100"/>
  <c r="F114" i="98"/>
  <c r="D115" i="98"/>
  <c r="J51" i="98"/>
  <c r="K40" i="98" s="1"/>
  <c r="H10" i="90"/>
  <c r="D114" i="93"/>
  <c r="F113" i="93"/>
  <c r="D114" i="58"/>
  <c r="F113" i="58"/>
  <c r="D115" i="61"/>
  <c r="F114" i="61"/>
  <c r="F113" i="65"/>
  <c r="D114" i="65"/>
  <c r="V51" i="89"/>
  <c r="S52" i="89" s="1"/>
  <c r="R52" i="89" s="1"/>
  <c r="G53" i="105" s="1"/>
  <c r="G52" i="91"/>
  <c r="F114" i="91"/>
  <c r="D115" i="91"/>
  <c r="N58" i="89"/>
  <c r="P58" i="89" s="1"/>
  <c r="D114" i="86"/>
  <c r="F113" i="86"/>
  <c r="H5" i="54"/>
  <c r="J5" i="54" s="1"/>
  <c r="N79" i="60"/>
  <c r="M42" i="60"/>
  <c r="O42" i="60" s="1"/>
  <c r="H43" i="86" s="1"/>
  <c r="U42" i="60"/>
  <c r="G5" i="58"/>
  <c r="V4" i="53"/>
  <c r="S5" i="53" s="1"/>
  <c r="R5" i="53" s="1"/>
  <c r="G6" i="58" s="1"/>
  <c r="O79" i="53"/>
  <c r="P5" i="53"/>
  <c r="H6" i="61" s="1"/>
  <c r="D81" i="54"/>
  <c r="F81" i="54" s="1"/>
  <c r="I7" i="53"/>
  <c r="J85" i="112" l="1"/>
  <c r="F114" i="112"/>
  <c r="D115" i="112"/>
  <c r="T85" i="111"/>
  <c r="N86" i="111" s="1"/>
  <c r="P86" i="111" s="1"/>
  <c r="G87" i="112" s="1"/>
  <c r="H87" i="112" s="1"/>
  <c r="G86" i="110"/>
  <c r="S86" i="111"/>
  <c r="R86" i="111" s="1"/>
  <c r="V86" i="111" s="1"/>
  <c r="O113" i="89"/>
  <c r="O113" i="111"/>
  <c r="F114" i="110"/>
  <c r="D115" i="110"/>
  <c r="G59" i="103"/>
  <c r="H59" i="103" s="1"/>
  <c r="J59" i="103" s="1"/>
  <c r="H59" i="110"/>
  <c r="H10" i="109"/>
  <c r="L10" i="109"/>
  <c r="M10" i="109" s="1"/>
  <c r="L10" i="104"/>
  <c r="M10" i="104" s="1"/>
  <c r="H10" i="104"/>
  <c r="J10" i="97"/>
  <c r="H52" i="98"/>
  <c r="J52" i="98" s="1"/>
  <c r="D116" i="105"/>
  <c r="F115" i="105"/>
  <c r="D115" i="103"/>
  <c r="F114" i="103"/>
  <c r="H52" i="91"/>
  <c r="J52" i="91" s="1"/>
  <c r="D116" i="98"/>
  <c r="F115" i="98"/>
  <c r="G53" i="91"/>
  <c r="G53" i="98"/>
  <c r="G59" i="93"/>
  <c r="H59" i="93" s="1"/>
  <c r="J59" i="93" s="1"/>
  <c r="F114" i="93"/>
  <c r="D115" i="93"/>
  <c r="D115" i="58"/>
  <c r="F114" i="58"/>
  <c r="D116" i="61"/>
  <c r="F115" i="61"/>
  <c r="D115" i="65"/>
  <c r="F114" i="65"/>
  <c r="V52" i="89"/>
  <c r="D116" i="91"/>
  <c r="F115" i="91"/>
  <c r="G59" i="86"/>
  <c r="T58" i="89"/>
  <c r="D115" i="86"/>
  <c r="F114" i="86"/>
  <c r="J43" i="86"/>
  <c r="H5" i="58"/>
  <c r="J5" i="58" s="1"/>
  <c r="S42" i="60"/>
  <c r="M43" i="60" s="1"/>
  <c r="O43" i="60" s="1"/>
  <c r="H44" i="86" s="1"/>
  <c r="N80" i="60"/>
  <c r="R43" i="60"/>
  <c r="Q43" i="60" s="1"/>
  <c r="G44" i="65" s="1"/>
  <c r="H43" i="65"/>
  <c r="J43" i="65" s="1"/>
  <c r="G43" i="61"/>
  <c r="V5" i="53"/>
  <c r="S6" i="53" s="1"/>
  <c r="R6" i="53" s="1"/>
  <c r="G7" i="58" s="1"/>
  <c r="J6" i="61"/>
  <c r="G6" i="54"/>
  <c r="T5" i="53"/>
  <c r="N6" i="53" s="1"/>
  <c r="P6" i="53" s="1"/>
  <c r="H7" i="61" s="1"/>
  <c r="O80" i="53"/>
  <c r="D82" i="54"/>
  <c r="F82" i="54" s="1"/>
  <c r="I8" i="53"/>
  <c r="Y76" i="112" l="1"/>
  <c r="N76" i="112"/>
  <c r="J87" i="112"/>
  <c r="J86" i="112"/>
  <c r="D116" i="112"/>
  <c r="F115" i="112"/>
  <c r="T86" i="111"/>
  <c r="N87" i="111" s="1"/>
  <c r="P87" i="111" s="1"/>
  <c r="G88" i="112" s="1"/>
  <c r="H88" i="112" s="1"/>
  <c r="G87" i="110"/>
  <c r="S87" i="111"/>
  <c r="R87" i="111" s="1"/>
  <c r="V87" i="111" s="1"/>
  <c r="O114" i="89"/>
  <c r="O114" i="111"/>
  <c r="D116" i="110"/>
  <c r="F115" i="110"/>
  <c r="J59" i="110"/>
  <c r="H10" i="97"/>
  <c r="L10" i="97"/>
  <c r="M10" i="97" s="1"/>
  <c r="H53" i="105"/>
  <c r="J52" i="105"/>
  <c r="D117" i="105"/>
  <c r="F116" i="105"/>
  <c r="H53" i="91"/>
  <c r="J53" i="91" s="1"/>
  <c r="D116" i="103"/>
  <c r="F115" i="103"/>
  <c r="D117" i="98"/>
  <c r="F116" i="98"/>
  <c r="H53" i="98"/>
  <c r="D116" i="93"/>
  <c r="F115" i="93"/>
  <c r="D116" i="58"/>
  <c r="F115" i="58"/>
  <c r="D117" i="61"/>
  <c r="F116" i="61"/>
  <c r="D116" i="65"/>
  <c r="F115" i="65"/>
  <c r="S53" i="89"/>
  <c r="R53" i="89" s="1"/>
  <c r="F116" i="91"/>
  <c r="D117" i="91"/>
  <c r="N59" i="89"/>
  <c r="P59" i="89" s="1"/>
  <c r="D116" i="86"/>
  <c r="F115" i="86"/>
  <c r="J44" i="86"/>
  <c r="H6" i="58"/>
  <c r="J6" i="58" s="1"/>
  <c r="H6" i="54"/>
  <c r="J6" i="54" s="1"/>
  <c r="S43" i="60"/>
  <c r="M44" i="60" s="1"/>
  <c r="O44" i="60" s="1"/>
  <c r="H45" i="86" s="1"/>
  <c r="N81" i="60"/>
  <c r="U43" i="60"/>
  <c r="H44" i="65"/>
  <c r="J44" i="65" s="1"/>
  <c r="G44" i="61"/>
  <c r="V6" i="53"/>
  <c r="S7" i="53" s="1"/>
  <c r="R7" i="53" s="1"/>
  <c r="G8" i="58" s="1"/>
  <c r="J7" i="61"/>
  <c r="G7" i="54"/>
  <c r="T6" i="53"/>
  <c r="N7" i="53" s="1"/>
  <c r="P7" i="53" s="1"/>
  <c r="H8" i="61" s="1"/>
  <c r="O81" i="53"/>
  <c r="D83" i="54"/>
  <c r="F83" i="54" s="1"/>
  <c r="I9" i="53"/>
  <c r="K76" i="112" l="1"/>
  <c r="J13" i="109" s="1"/>
  <c r="D117" i="112"/>
  <c r="F116" i="112"/>
  <c r="T87" i="111"/>
  <c r="N88" i="111" s="1"/>
  <c r="P88" i="111" s="1"/>
  <c r="G89" i="112" s="1"/>
  <c r="H89" i="112" s="1"/>
  <c r="G88" i="110"/>
  <c r="S88" i="111"/>
  <c r="R88" i="111" s="1"/>
  <c r="V88" i="111" s="1"/>
  <c r="O115" i="89"/>
  <c r="O115" i="111"/>
  <c r="D117" i="110"/>
  <c r="F116" i="110"/>
  <c r="G60" i="103"/>
  <c r="H60" i="103" s="1"/>
  <c r="J60" i="103" s="1"/>
  <c r="H60" i="110"/>
  <c r="G54" i="98"/>
  <c r="G54" i="105"/>
  <c r="H54" i="105" s="1"/>
  <c r="D118" i="105"/>
  <c r="F117" i="105"/>
  <c r="J53" i="105"/>
  <c r="D117" i="103"/>
  <c r="F116" i="103"/>
  <c r="J53" i="98"/>
  <c r="F117" i="98"/>
  <c r="D118" i="98"/>
  <c r="G60" i="93"/>
  <c r="H60" i="93" s="1"/>
  <c r="J60" i="93" s="1"/>
  <c r="D117" i="93"/>
  <c r="F116" i="93"/>
  <c r="D117" i="58"/>
  <c r="F116" i="58"/>
  <c r="F117" i="61"/>
  <c r="D118" i="61"/>
  <c r="D117" i="65"/>
  <c r="F116" i="65"/>
  <c r="V53" i="89"/>
  <c r="S54" i="89" s="1"/>
  <c r="R54" i="89" s="1"/>
  <c r="G55" i="105" s="1"/>
  <c r="G54" i="91"/>
  <c r="D118" i="91"/>
  <c r="F117" i="91"/>
  <c r="G60" i="86"/>
  <c r="T59" i="89"/>
  <c r="F116" i="86"/>
  <c r="D117" i="86"/>
  <c r="J45" i="86"/>
  <c r="H7" i="58"/>
  <c r="H8" i="58" s="1"/>
  <c r="H7" i="54"/>
  <c r="J7" i="54" s="1"/>
  <c r="S44" i="60"/>
  <c r="M45" i="60" s="1"/>
  <c r="O45" i="60" s="1"/>
  <c r="H46" i="86" s="1"/>
  <c r="G45" i="61"/>
  <c r="R44" i="60"/>
  <c r="Q44" i="60" s="1"/>
  <c r="G45" i="65" s="1"/>
  <c r="H45" i="65" s="1"/>
  <c r="J45" i="65" s="1"/>
  <c r="N82" i="60"/>
  <c r="V7" i="53"/>
  <c r="S8" i="53" s="1"/>
  <c r="R8" i="53" s="1"/>
  <c r="G9" i="58" s="1"/>
  <c r="J8" i="61"/>
  <c r="G8" i="54"/>
  <c r="T7" i="53"/>
  <c r="N8" i="53" s="1"/>
  <c r="P8" i="53" s="1"/>
  <c r="H9" i="61" s="1"/>
  <c r="O82" i="53"/>
  <c r="D84" i="54"/>
  <c r="F84" i="54" s="1"/>
  <c r="I10" i="53"/>
  <c r="J88" i="112" l="1"/>
  <c r="D118" i="112"/>
  <c r="F117" i="112"/>
  <c r="T88" i="111"/>
  <c r="N89" i="111" s="1"/>
  <c r="P89" i="111" s="1"/>
  <c r="G90" i="112" s="1"/>
  <c r="H90" i="112" s="1"/>
  <c r="G89" i="110"/>
  <c r="S89" i="111"/>
  <c r="R89" i="111" s="1"/>
  <c r="V89" i="111" s="1"/>
  <c r="O116" i="89"/>
  <c r="O116" i="111"/>
  <c r="J60" i="110"/>
  <c r="D118" i="110"/>
  <c r="F117" i="110"/>
  <c r="H54" i="98"/>
  <c r="J54" i="98" s="1"/>
  <c r="D119" i="105"/>
  <c r="F118" i="105"/>
  <c r="H55" i="105"/>
  <c r="J54" i="105"/>
  <c r="F117" i="103"/>
  <c r="D118" i="103"/>
  <c r="H54" i="91"/>
  <c r="J54" i="91" s="1"/>
  <c r="G55" i="91"/>
  <c r="G55" i="98"/>
  <c r="F118" i="98"/>
  <c r="D119" i="98"/>
  <c r="D118" i="93"/>
  <c r="F117" i="93"/>
  <c r="F117" i="58"/>
  <c r="D118" i="58"/>
  <c r="D119" i="61"/>
  <c r="F118" i="61"/>
  <c r="D118" i="65"/>
  <c r="F117" i="65"/>
  <c r="V54" i="89"/>
  <c r="D119" i="91"/>
  <c r="F118" i="91"/>
  <c r="N60" i="89"/>
  <c r="P60" i="89" s="1"/>
  <c r="D118" i="86"/>
  <c r="F117" i="86"/>
  <c r="J46" i="86"/>
  <c r="J7" i="58"/>
  <c r="H8" i="54"/>
  <c r="J8" i="54" s="1"/>
  <c r="S45" i="60"/>
  <c r="M46" i="60" s="1"/>
  <c r="O46" i="60" s="1"/>
  <c r="H47" i="86" s="1"/>
  <c r="G46" i="61"/>
  <c r="N83" i="60"/>
  <c r="U44" i="60"/>
  <c r="V8" i="53"/>
  <c r="S9" i="53" s="1"/>
  <c r="R9" i="53" s="1"/>
  <c r="G10" i="58" s="1"/>
  <c r="J9" i="61"/>
  <c r="J8" i="58"/>
  <c r="G9" i="54"/>
  <c r="H9" i="58"/>
  <c r="T8" i="53"/>
  <c r="N9" i="53" s="1"/>
  <c r="P9" i="53" s="1"/>
  <c r="H10" i="61" s="1"/>
  <c r="O83" i="53"/>
  <c r="D85" i="54"/>
  <c r="F85" i="54" s="1"/>
  <c r="I11" i="53"/>
  <c r="J89" i="112" l="1"/>
  <c r="F118" i="112"/>
  <c r="D119" i="112"/>
  <c r="T89" i="111"/>
  <c r="N90" i="111" s="1"/>
  <c r="P90" i="111" s="1"/>
  <c r="G91" i="112" s="1"/>
  <c r="H91" i="112" s="1"/>
  <c r="G90" i="110"/>
  <c r="O117" i="89"/>
  <c r="O117" i="111"/>
  <c r="S90" i="111"/>
  <c r="R90" i="111" s="1"/>
  <c r="V90" i="111" s="1"/>
  <c r="F118" i="110"/>
  <c r="D119" i="110"/>
  <c r="G61" i="103"/>
  <c r="H61" i="103" s="1"/>
  <c r="H61" i="110"/>
  <c r="H55" i="98"/>
  <c r="J55" i="98" s="1"/>
  <c r="J55" i="105"/>
  <c r="D120" i="105"/>
  <c r="F119" i="105"/>
  <c r="D119" i="103"/>
  <c r="F118" i="103"/>
  <c r="J61" i="103"/>
  <c r="H55" i="91"/>
  <c r="J55" i="91" s="1"/>
  <c r="F119" i="98"/>
  <c r="D120" i="98"/>
  <c r="G61" i="93"/>
  <c r="H61" i="93" s="1"/>
  <c r="J61" i="93" s="1"/>
  <c r="D119" i="93"/>
  <c r="F118" i="93"/>
  <c r="D119" i="58"/>
  <c r="F118" i="58"/>
  <c r="D120" i="61"/>
  <c r="F119" i="61"/>
  <c r="D119" i="65"/>
  <c r="F118" i="65"/>
  <c r="S55" i="89"/>
  <c r="R55" i="89" s="1"/>
  <c r="G56" i="105" s="1"/>
  <c r="H56" i="105" s="1"/>
  <c r="D120" i="91"/>
  <c r="F119" i="91"/>
  <c r="T60" i="89"/>
  <c r="N61" i="89" s="1"/>
  <c r="P61" i="89" s="1"/>
  <c r="G61" i="86"/>
  <c r="F118" i="86"/>
  <c r="D119" i="86"/>
  <c r="J47" i="86"/>
  <c r="H9" i="54"/>
  <c r="J9" i="54" s="1"/>
  <c r="S46" i="60"/>
  <c r="M47" i="60" s="1"/>
  <c r="O47" i="60" s="1"/>
  <c r="H48" i="86" s="1"/>
  <c r="N84" i="60"/>
  <c r="R45" i="60"/>
  <c r="Q45" i="60" s="1"/>
  <c r="G46" i="65" s="1"/>
  <c r="H46" i="65" s="1"/>
  <c r="J46" i="65" s="1"/>
  <c r="G47" i="61"/>
  <c r="V9" i="53"/>
  <c r="S10" i="53" s="1"/>
  <c r="R10" i="53" s="1"/>
  <c r="G11" i="58" s="1"/>
  <c r="J10" i="61"/>
  <c r="J9" i="58"/>
  <c r="G10" i="54"/>
  <c r="H10" i="58"/>
  <c r="T9" i="53"/>
  <c r="N10" i="53" s="1"/>
  <c r="P10" i="53" s="1"/>
  <c r="H11" i="61" s="1"/>
  <c r="O84" i="53"/>
  <c r="D86" i="54"/>
  <c r="F86" i="54" s="1"/>
  <c r="I12" i="53"/>
  <c r="J90" i="112" l="1"/>
  <c r="D120" i="112"/>
  <c r="F119" i="112"/>
  <c r="T90" i="111"/>
  <c r="N91" i="111" s="1"/>
  <c r="P91" i="111" s="1"/>
  <c r="G92" i="112" s="1"/>
  <c r="H92" i="112" s="1"/>
  <c r="G91" i="110"/>
  <c r="O118" i="89"/>
  <c r="O118" i="111"/>
  <c r="S91" i="111"/>
  <c r="R91" i="111" s="1"/>
  <c r="V91" i="111" s="1"/>
  <c r="G62" i="103"/>
  <c r="H62" i="103" s="1"/>
  <c r="H62" i="110"/>
  <c r="J61" i="110"/>
  <c r="D120" i="110"/>
  <c r="F119" i="110"/>
  <c r="J56" i="105"/>
  <c r="F120" i="105"/>
  <c r="D121" i="105"/>
  <c r="J62" i="103"/>
  <c r="D120" i="103"/>
  <c r="F119" i="103"/>
  <c r="F120" i="98"/>
  <c r="D121" i="98"/>
  <c r="G56" i="91"/>
  <c r="H56" i="91" s="1"/>
  <c r="J56" i="91" s="1"/>
  <c r="G56" i="98"/>
  <c r="H56" i="98" s="1"/>
  <c r="G62" i="93"/>
  <c r="H62" i="93" s="1"/>
  <c r="J62" i="93" s="1"/>
  <c r="D120" i="93"/>
  <c r="F119" i="93"/>
  <c r="F119" i="58"/>
  <c r="D120" i="58"/>
  <c r="D121" i="61"/>
  <c r="F120" i="61"/>
  <c r="D120" i="65"/>
  <c r="F119" i="65"/>
  <c r="V55" i="89"/>
  <c r="F120" i="91"/>
  <c r="D121" i="91"/>
  <c r="G62" i="86"/>
  <c r="T61" i="89"/>
  <c r="D120" i="86"/>
  <c r="F119" i="86"/>
  <c r="J48" i="86"/>
  <c r="H10" i="54"/>
  <c r="J10" i="54" s="1"/>
  <c r="S47" i="60"/>
  <c r="M48" i="60" s="1"/>
  <c r="O48" i="60" s="1"/>
  <c r="H49" i="86" s="1"/>
  <c r="G48" i="61"/>
  <c r="N85" i="60"/>
  <c r="U45" i="60"/>
  <c r="V10" i="53"/>
  <c r="S11" i="53" s="1"/>
  <c r="R11" i="53" s="1"/>
  <c r="G12" i="58" s="1"/>
  <c r="J11" i="61"/>
  <c r="J10" i="58"/>
  <c r="G11" i="54"/>
  <c r="H11" i="58"/>
  <c r="T10" i="53"/>
  <c r="N11" i="53" s="1"/>
  <c r="P11" i="53" s="1"/>
  <c r="H12" i="61" s="1"/>
  <c r="O85" i="53"/>
  <c r="D87" i="54"/>
  <c r="F87" i="54" s="1"/>
  <c r="I13" i="53"/>
  <c r="D121" i="112" l="1"/>
  <c r="F120" i="112"/>
  <c r="J91" i="112"/>
  <c r="T91" i="111"/>
  <c r="N92" i="111" s="1"/>
  <c r="P92" i="111" s="1"/>
  <c r="G93" i="112" s="1"/>
  <c r="H93" i="112" s="1"/>
  <c r="G92" i="110"/>
  <c r="O119" i="89"/>
  <c r="O119" i="111"/>
  <c r="S92" i="111"/>
  <c r="R92" i="111" s="1"/>
  <c r="V92" i="111" s="1"/>
  <c r="J62" i="110"/>
  <c r="D121" i="110"/>
  <c r="F120" i="110"/>
  <c r="D122" i="105"/>
  <c r="F121" i="105"/>
  <c r="D121" i="103"/>
  <c r="F120" i="103"/>
  <c r="J56" i="98"/>
  <c r="F121" i="98"/>
  <c r="D122" i="98"/>
  <c r="F120" i="93"/>
  <c r="D121" i="93"/>
  <c r="F120" i="58"/>
  <c r="D121" i="58"/>
  <c r="F121" i="61"/>
  <c r="D122" i="61"/>
  <c r="F120" i="65"/>
  <c r="D121" i="65"/>
  <c r="S56" i="89"/>
  <c r="R56" i="89" s="1"/>
  <c r="G57" i="105" s="1"/>
  <c r="D122" i="91"/>
  <c r="F121" i="91"/>
  <c r="N62" i="89"/>
  <c r="P62" i="89" s="1"/>
  <c r="F120" i="86"/>
  <c r="D121" i="86"/>
  <c r="N76" i="54"/>
  <c r="J49" i="86"/>
  <c r="H11" i="54"/>
  <c r="J11" i="54" s="1"/>
  <c r="S48" i="60"/>
  <c r="M49" i="60" s="1"/>
  <c r="O49" i="60" s="1"/>
  <c r="H50" i="86" s="1"/>
  <c r="G49" i="61"/>
  <c r="N86" i="60"/>
  <c r="R46" i="60"/>
  <c r="Q46" i="60" s="1"/>
  <c r="G47" i="65" s="1"/>
  <c r="H47" i="65" s="1"/>
  <c r="V11" i="53"/>
  <c r="S12" i="53" s="1"/>
  <c r="R12" i="53" s="1"/>
  <c r="G13" i="58" s="1"/>
  <c r="J12" i="61"/>
  <c r="J11" i="58"/>
  <c r="G12" i="54"/>
  <c r="H12" i="58"/>
  <c r="T11" i="53"/>
  <c r="N12" i="53" s="1"/>
  <c r="P12" i="53" s="1"/>
  <c r="H13" i="61" s="1"/>
  <c r="O86" i="53"/>
  <c r="D88" i="54"/>
  <c r="F88" i="54" s="1"/>
  <c r="I14" i="53"/>
  <c r="J92" i="112" l="1"/>
  <c r="D122" i="112"/>
  <c r="F121" i="112"/>
  <c r="T92" i="111"/>
  <c r="N93" i="111" s="1"/>
  <c r="P93" i="111" s="1"/>
  <c r="G94" i="112" s="1"/>
  <c r="H94" i="112" s="1"/>
  <c r="G93" i="110"/>
  <c r="O120" i="89"/>
  <c r="O120" i="111"/>
  <c r="S93" i="111"/>
  <c r="R93" i="111" s="1"/>
  <c r="V93" i="111" s="1"/>
  <c r="G63" i="103"/>
  <c r="H63" i="103" s="1"/>
  <c r="J63" i="103" s="1"/>
  <c r="D122" i="110"/>
  <c r="F121" i="110"/>
  <c r="H57" i="105"/>
  <c r="D123" i="105"/>
  <c r="F122" i="105"/>
  <c r="F121" i="103"/>
  <c r="D122" i="103"/>
  <c r="N10" i="75"/>
  <c r="F122" i="98"/>
  <c r="D123" i="98"/>
  <c r="G57" i="91"/>
  <c r="H57" i="91" s="1"/>
  <c r="J57" i="91" s="1"/>
  <c r="G57" i="98"/>
  <c r="H57" i="98" s="1"/>
  <c r="G63" i="93"/>
  <c r="D122" i="93"/>
  <c r="F121" i="93"/>
  <c r="D122" i="58"/>
  <c r="F121" i="58"/>
  <c r="F122" i="61"/>
  <c r="D123" i="61"/>
  <c r="F121" i="65"/>
  <c r="D122" i="65"/>
  <c r="V56" i="89"/>
  <c r="D123" i="91"/>
  <c r="F122" i="91"/>
  <c r="G63" i="86"/>
  <c r="Y52" i="86" s="1"/>
  <c r="T62" i="89"/>
  <c r="D122" i="86"/>
  <c r="F121" i="86"/>
  <c r="J50" i="86"/>
  <c r="H12" i="54"/>
  <c r="J12" i="54" s="1"/>
  <c r="N87" i="60"/>
  <c r="J47" i="65"/>
  <c r="G50" i="61"/>
  <c r="U46" i="60"/>
  <c r="S49" i="60"/>
  <c r="V12" i="53"/>
  <c r="S13" i="53" s="1"/>
  <c r="R13" i="53" s="1"/>
  <c r="G14" i="58" s="1"/>
  <c r="J13" i="61"/>
  <c r="J12" i="58"/>
  <c r="G13" i="54"/>
  <c r="H13" i="58"/>
  <c r="T12" i="53"/>
  <c r="N13" i="53" s="1"/>
  <c r="P13" i="53" s="1"/>
  <c r="H14" i="61" s="1"/>
  <c r="O87" i="53"/>
  <c r="D89" i="54"/>
  <c r="F89" i="54" s="1"/>
  <c r="I15" i="53"/>
  <c r="N52" i="103" l="1"/>
  <c r="Y52" i="103"/>
  <c r="O8" i="106" s="1"/>
  <c r="F122" i="112"/>
  <c r="D123" i="112"/>
  <c r="J93" i="112"/>
  <c r="T93" i="111"/>
  <c r="N94" i="111" s="1"/>
  <c r="P94" i="111" s="1"/>
  <c r="G95" i="112" s="1"/>
  <c r="H95" i="112" s="1"/>
  <c r="G94" i="110"/>
  <c r="O121" i="89"/>
  <c r="O121" i="111"/>
  <c r="S94" i="111"/>
  <c r="R94" i="111" s="1"/>
  <c r="V94" i="111" s="1"/>
  <c r="D123" i="110"/>
  <c r="F122" i="110"/>
  <c r="N52" i="110"/>
  <c r="Y52" i="110"/>
  <c r="H63" i="110"/>
  <c r="J63" i="110" s="1"/>
  <c r="F123" i="105"/>
  <c r="X112" i="105" s="1"/>
  <c r="D124" i="105"/>
  <c r="J57" i="105"/>
  <c r="K52" i="103"/>
  <c r="D123" i="103"/>
  <c r="F122" i="103"/>
  <c r="O8" i="100"/>
  <c r="N52" i="93"/>
  <c r="Y52" i="93"/>
  <c r="O8" i="101" s="1"/>
  <c r="J57" i="98"/>
  <c r="D124" i="98"/>
  <c r="F123" i="98"/>
  <c r="X112" i="98" s="1"/>
  <c r="H63" i="93"/>
  <c r="J63" i="93" s="1"/>
  <c r="K52" i="93" s="1"/>
  <c r="F122" i="93"/>
  <c r="D123" i="93"/>
  <c r="D123" i="58"/>
  <c r="F122" i="58"/>
  <c r="D124" i="61"/>
  <c r="F123" i="61"/>
  <c r="D123" i="65"/>
  <c r="F122" i="65"/>
  <c r="S57" i="89"/>
  <c r="R57" i="89" s="1"/>
  <c r="G58" i="105" s="1"/>
  <c r="F123" i="91"/>
  <c r="O122" i="111" s="1"/>
  <c r="D124" i="91"/>
  <c r="N63" i="89"/>
  <c r="P63" i="89" s="1"/>
  <c r="F122" i="86"/>
  <c r="D123" i="86"/>
  <c r="H13" i="54"/>
  <c r="J13" i="54" s="1"/>
  <c r="R47" i="60"/>
  <c r="Q47" i="60" s="1"/>
  <c r="G48" i="65" s="1"/>
  <c r="H48" i="65" s="1"/>
  <c r="N88" i="60"/>
  <c r="M50" i="60"/>
  <c r="O50" i="60" s="1"/>
  <c r="V13" i="53"/>
  <c r="S14" i="53" s="1"/>
  <c r="R14" i="53" s="1"/>
  <c r="G15" i="58" s="1"/>
  <c r="N4" i="58" s="1"/>
  <c r="J14" i="61"/>
  <c r="J13" i="58"/>
  <c r="G14" i="54"/>
  <c r="H14" i="58"/>
  <c r="T13" i="53"/>
  <c r="N14" i="53" s="1"/>
  <c r="P14" i="53" s="1"/>
  <c r="H15" i="61" s="1"/>
  <c r="H16" i="61" s="1"/>
  <c r="O88" i="53"/>
  <c r="D90" i="54"/>
  <c r="F90" i="54" s="1"/>
  <c r="I16" i="53"/>
  <c r="J94" i="112" l="1"/>
  <c r="F123" i="112"/>
  <c r="X112" i="112" s="1"/>
  <c r="D124" i="112"/>
  <c r="T94" i="111"/>
  <c r="N95" i="111" s="1"/>
  <c r="P95" i="111" s="1"/>
  <c r="G96" i="112" s="1"/>
  <c r="H96" i="112" s="1"/>
  <c r="G95" i="110"/>
  <c r="S95" i="111"/>
  <c r="R95" i="111" s="1"/>
  <c r="V95" i="111" s="1"/>
  <c r="G64" i="103"/>
  <c r="H64" i="103" s="1"/>
  <c r="H64" i="110"/>
  <c r="K52" i="110"/>
  <c r="J11" i="108" s="1"/>
  <c r="L11" i="108" s="1"/>
  <c r="M11" i="108" s="1"/>
  <c r="F123" i="110"/>
  <c r="X112" i="110" s="1"/>
  <c r="D124" i="110"/>
  <c r="J11" i="102"/>
  <c r="J11" i="92"/>
  <c r="H58" i="105"/>
  <c r="D125" i="105"/>
  <c r="F124" i="105"/>
  <c r="D124" i="103"/>
  <c r="F123" i="103"/>
  <c r="X112" i="103" s="1"/>
  <c r="N13" i="106" s="1"/>
  <c r="O122" i="89"/>
  <c r="X112" i="91"/>
  <c r="D125" i="98"/>
  <c r="F124" i="98"/>
  <c r="G58" i="91"/>
  <c r="H58" i="91" s="1"/>
  <c r="J58" i="91" s="1"/>
  <c r="G58" i="98"/>
  <c r="H58" i="98" s="1"/>
  <c r="G64" i="93"/>
  <c r="F123" i="93"/>
  <c r="X112" i="93" s="1"/>
  <c r="D124" i="93"/>
  <c r="D124" i="58"/>
  <c r="F123" i="58"/>
  <c r="F124" i="61"/>
  <c r="D125" i="61"/>
  <c r="F123" i="65"/>
  <c r="P112" i="65" s="1"/>
  <c r="N13" i="76" s="1"/>
  <c r="D124" i="65"/>
  <c r="V57" i="89"/>
  <c r="F124" i="91"/>
  <c r="O123" i="111" s="1"/>
  <c r="D125" i="91"/>
  <c r="T63" i="89"/>
  <c r="N64" i="89" s="1"/>
  <c r="P64" i="89" s="1"/>
  <c r="G64" i="86"/>
  <c r="D124" i="86"/>
  <c r="F123" i="86"/>
  <c r="X112" i="86" s="1"/>
  <c r="N13" i="100" s="1"/>
  <c r="N40" i="86"/>
  <c r="H51" i="86"/>
  <c r="J51" i="86" s="1"/>
  <c r="H52" i="86" s="1"/>
  <c r="H14" i="54"/>
  <c r="J14" i="54" s="1"/>
  <c r="P4" i="75"/>
  <c r="S50" i="60"/>
  <c r="M51" i="60" s="1"/>
  <c r="O51" i="60" s="1"/>
  <c r="U47" i="60"/>
  <c r="J48" i="65"/>
  <c r="N89" i="60"/>
  <c r="G51" i="61"/>
  <c r="N40" i="61" s="1"/>
  <c r="O7" i="76" s="1"/>
  <c r="V14" i="53"/>
  <c r="J15" i="61"/>
  <c r="K4" i="61" s="1"/>
  <c r="J7" i="62" s="1"/>
  <c r="J14" i="58"/>
  <c r="G15" i="54"/>
  <c r="P4" i="54" s="1"/>
  <c r="H15" i="58"/>
  <c r="T14" i="53"/>
  <c r="N15" i="53" s="1"/>
  <c r="P15" i="53" s="1"/>
  <c r="O89" i="53"/>
  <c r="D91" i="54"/>
  <c r="F91" i="54" s="1"/>
  <c r="I17" i="53"/>
  <c r="D125" i="112" l="1"/>
  <c r="F124" i="112"/>
  <c r="J95" i="112"/>
  <c r="H11" i="108"/>
  <c r="T95" i="111"/>
  <c r="N96" i="111" s="1"/>
  <c r="P96" i="111" s="1"/>
  <c r="G97" i="112" s="1"/>
  <c r="H97" i="112" s="1"/>
  <c r="G96" i="110"/>
  <c r="S96" i="111"/>
  <c r="R96" i="111" s="1"/>
  <c r="V96" i="111" s="1"/>
  <c r="J64" i="110"/>
  <c r="G65" i="103"/>
  <c r="H65" i="103" s="1"/>
  <c r="H65" i="110"/>
  <c r="D125" i="110"/>
  <c r="F124" i="110"/>
  <c r="L7" i="62"/>
  <c r="H7" i="62"/>
  <c r="H11" i="102"/>
  <c r="L11" i="102"/>
  <c r="H11" i="92"/>
  <c r="L11" i="92"/>
  <c r="D126" i="105"/>
  <c r="F125" i="105"/>
  <c r="J58" i="105"/>
  <c r="D125" i="103"/>
  <c r="F124" i="103"/>
  <c r="J64" i="103"/>
  <c r="N13" i="101"/>
  <c r="O123" i="89"/>
  <c r="H64" i="93"/>
  <c r="J64" i="93" s="1"/>
  <c r="J58" i="98"/>
  <c r="D126" i="98"/>
  <c r="F125" i="98"/>
  <c r="G65" i="93"/>
  <c r="F124" i="93"/>
  <c r="D125" i="93"/>
  <c r="F124" i="58"/>
  <c r="D125" i="58"/>
  <c r="F125" i="61"/>
  <c r="D126" i="61"/>
  <c r="D125" i="65"/>
  <c r="F124" i="65"/>
  <c r="S58" i="89"/>
  <c r="R58" i="89" s="1"/>
  <c r="G59" i="105" s="1"/>
  <c r="H59" i="105" s="1"/>
  <c r="G65" i="86"/>
  <c r="D126" i="91"/>
  <c r="F125" i="91"/>
  <c r="T64" i="89"/>
  <c r="D125" i="86"/>
  <c r="F124" i="86"/>
  <c r="M7" i="87"/>
  <c r="K40" i="86"/>
  <c r="J10" i="87" s="1"/>
  <c r="L10" i="87" s="1"/>
  <c r="O4" i="75"/>
  <c r="G52" i="61"/>
  <c r="N90" i="60"/>
  <c r="R48" i="60"/>
  <c r="Q48" i="60" s="1"/>
  <c r="G49" i="65" s="1"/>
  <c r="H49" i="65" s="1"/>
  <c r="S51" i="60"/>
  <c r="J16" i="61"/>
  <c r="S15" i="53"/>
  <c r="J15" i="58"/>
  <c r="K4" i="58" s="1"/>
  <c r="J7" i="59" s="1"/>
  <c r="G16" i="54"/>
  <c r="T15" i="53"/>
  <c r="N16" i="53" s="1"/>
  <c r="O90" i="53"/>
  <c r="H15" i="54"/>
  <c r="D92" i="54"/>
  <c r="F92" i="54" s="1"/>
  <c r="I18" i="53"/>
  <c r="J96" i="112" l="1"/>
  <c r="F125" i="112"/>
  <c r="D126" i="112"/>
  <c r="T96" i="111"/>
  <c r="N97" i="111" s="1"/>
  <c r="P97" i="111" s="1"/>
  <c r="G98" i="112" s="1"/>
  <c r="H98" i="112" s="1"/>
  <c r="G97" i="110"/>
  <c r="S97" i="111"/>
  <c r="R97" i="111" s="1"/>
  <c r="V97" i="111" s="1"/>
  <c r="O124" i="89"/>
  <c r="O124" i="111"/>
  <c r="J65" i="110"/>
  <c r="D126" i="110"/>
  <c r="F125" i="110"/>
  <c r="L7" i="59"/>
  <c r="H7" i="59"/>
  <c r="J59" i="105"/>
  <c r="D127" i="105"/>
  <c r="F126" i="105"/>
  <c r="D126" i="103"/>
  <c r="F125" i="103"/>
  <c r="J65" i="103"/>
  <c r="M10" i="102"/>
  <c r="H65" i="93"/>
  <c r="J65" i="93" s="1"/>
  <c r="D127" i="98"/>
  <c r="F126" i="98"/>
  <c r="G59" i="91"/>
  <c r="H59" i="91" s="1"/>
  <c r="G59" i="98"/>
  <c r="H59" i="98" s="1"/>
  <c r="D126" i="93"/>
  <c r="F125" i="93"/>
  <c r="M10" i="92"/>
  <c r="F125" i="58"/>
  <c r="D126" i="58"/>
  <c r="F126" i="61"/>
  <c r="D127" i="61"/>
  <c r="D126" i="65"/>
  <c r="F125" i="65"/>
  <c r="V58" i="89"/>
  <c r="S59" i="89" s="1"/>
  <c r="R59" i="89" s="1"/>
  <c r="G60" i="105" s="1"/>
  <c r="H60" i="105" s="1"/>
  <c r="F126" i="91"/>
  <c r="D127" i="91"/>
  <c r="H10" i="87"/>
  <c r="N65" i="89"/>
  <c r="P65" i="89" s="1"/>
  <c r="D126" i="86"/>
  <c r="F125" i="86"/>
  <c r="J52" i="86"/>
  <c r="M52" i="60"/>
  <c r="O52" i="60" s="1"/>
  <c r="H53" i="86" s="1"/>
  <c r="J49" i="65"/>
  <c r="N91" i="60"/>
  <c r="U48" i="60"/>
  <c r="R15" i="53"/>
  <c r="V15" i="53" s="1"/>
  <c r="M7" i="66"/>
  <c r="H16" i="54"/>
  <c r="J16" i="54" s="1"/>
  <c r="O91" i="53"/>
  <c r="J15" i="54"/>
  <c r="K4" i="54" s="1"/>
  <c r="J7" i="55" s="1"/>
  <c r="P16" i="53"/>
  <c r="H17" i="61" s="1"/>
  <c r="D93" i="54"/>
  <c r="F93" i="54" s="1"/>
  <c r="I19" i="53"/>
  <c r="J97" i="112" l="1"/>
  <c r="D127" i="112"/>
  <c r="F126" i="112"/>
  <c r="T97" i="111"/>
  <c r="N98" i="111" s="1"/>
  <c r="P98" i="111" s="1"/>
  <c r="G99" i="112" s="1"/>
  <c r="H99" i="112" s="1"/>
  <c r="G98" i="110"/>
  <c r="S98" i="111"/>
  <c r="R98" i="111" s="1"/>
  <c r="V98" i="111" s="1"/>
  <c r="O125" i="89"/>
  <c r="O125" i="111"/>
  <c r="G66" i="103"/>
  <c r="H66" i="103" s="1"/>
  <c r="D127" i="110"/>
  <c r="F126" i="110"/>
  <c r="L7" i="55"/>
  <c r="M7" i="55" s="1"/>
  <c r="H7" i="55"/>
  <c r="J60" i="105"/>
  <c r="F127" i="105"/>
  <c r="D128" i="105"/>
  <c r="D127" i="103"/>
  <c r="F126" i="103"/>
  <c r="J59" i="98"/>
  <c r="G60" i="91"/>
  <c r="H60" i="91" s="1"/>
  <c r="G60" i="98"/>
  <c r="H60" i="98" s="1"/>
  <c r="F127" i="98"/>
  <c r="D128" i="98"/>
  <c r="G66" i="93"/>
  <c r="D127" i="93"/>
  <c r="F126" i="93"/>
  <c r="F126" i="58"/>
  <c r="D127" i="58"/>
  <c r="F127" i="61"/>
  <c r="D128" i="61"/>
  <c r="F126" i="65"/>
  <c r="D127" i="65"/>
  <c r="J59" i="91"/>
  <c r="V59" i="89"/>
  <c r="S60" i="89" s="1"/>
  <c r="R60" i="89" s="1"/>
  <c r="G61" i="105" s="1"/>
  <c r="H61" i="105" s="1"/>
  <c r="D128" i="91"/>
  <c r="F127" i="91"/>
  <c r="M10" i="90"/>
  <c r="T65" i="89"/>
  <c r="N66" i="89" s="1"/>
  <c r="P66" i="89" s="1"/>
  <c r="G66" i="86"/>
  <c r="D127" i="86"/>
  <c r="F126" i="86"/>
  <c r="J53" i="86"/>
  <c r="S52" i="60"/>
  <c r="M53" i="60" s="1"/>
  <c r="O53" i="60" s="1"/>
  <c r="R49" i="60"/>
  <c r="Q49" i="60" s="1"/>
  <c r="G50" i="65" s="1"/>
  <c r="H50" i="65" s="1"/>
  <c r="G53" i="61"/>
  <c r="N92" i="60"/>
  <c r="G16" i="58"/>
  <c r="J17" i="61"/>
  <c r="M7" i="59"/>
  <c r="F3" i="114" s="1"/>
  <c r="S16" i="53"/>
  <c r="G17" i="54"/>
  <c r="O92" i="53"/>
  <c r="T16" i="53"/>
  <c r="N17" i="53" s="1"/>
  <c r="D94" i="54"/>
  <c r="F94" i="54" s="1"/>
  <c r="I20" i="53"/>
  <c r="D128" i="112" l="1"/>
  <c r="F127" i="112"/>
  <c r="J98" i="112"/>
  <c r="J99" i="112"/>
  <c r="Y88" i="112"/>
  <c r="N88" i="112"/>
  <c r="T98" i="111"/>
  <c r="N99" i="111" s="1"/>
  <c r="P99" i="111" s="1"/>
  <c r="G100" i="112" s="1"/>
  <c r="H100" i="112" s="1"/>
  <c r="G99" i="110"/>
  <c r="O126" i="89"/>
  <c r="O126" i="111"/>
  <c r="S99" i="111"/>
  <c r="R99" i="111" s="1"/>
  <c r="V99" i="111" s="1"/>
  <c r="D128" i="110"/>
  <c r="F127" i="110"/>
  <c r="H66" i="110"/>
  <c r="G67" i="103"/>
  <c r="H67" i="103" s="1"/>
  <c r="J61" i="105"/>
  <c r="D129" i="105"/>
  <c r="F128" i="105"/>
  <c r="J66" i="103"/>
  <c r="D128" i="103"/>
  <c r="F127" i="103"/>
  <c r="H66" i="93"/>
  <c r="J66" i="93" s="1"/>
  <c r="J60" i="98"/>
  <c r="F128" i="98"/>
  <c r="D129" i="98"/>
  <c r="G61" i="91"/>
  <c r="H61" i="91" s="1"/>
  <c r="G61" i="98"/>
  <c r="H61" i="98" s="1"/>
  <c r="G67" i="93"/>
  <c r="D128" i="93"/>
  <c r="F127" i="93"/>
  <c r="F127" i="58"/>
  <c r="D128" i="58"/>
  <c r="F128" i="61"/>
  <c r="D129" i="61"/>
  <c r="D128" i="65"/>
  <c r="F127" i="65"/>
  <c r="J60" i="91"/>
  <c r="V60" i="89"/>
  <c r="G67" i="86"/>
  <c r="D129" i="91"/>
  <c r="F128" i="91"/>
  <c r="T66" i="89"/>
  <c r="D128" i="86"/>
  <c r="F127" i="86"/>
  <c r="H54" i="86"/>
  <c r="H16" i="58"/>
  <c r="J16" i="58" s="1"/>
  <c r="H17" i="54"/>
  <c r="J17" i="54" s="1"/>
  <c r="S53" i="60"/>
  <c r="M54" i="60" s="1"/>
  <c r="O54" i="60" s="1"/>
  <c r="N93" i="60"/>
  <c r="G54" i="61"/>
  <c r="U49" i="60"/>
  <c r="J50" i="65"/>
  <c r="R16" i="53"/>
  <c r="G17" i="58" s="1"/>
  <c r="M7" i="62"/>
  <c r="E3" i="114" s="1"/>
  <c r="O93" i="53"/>
  <c r="P17" i="53"/>
  <c r="H18" i="61" s="1"/>
  <c r="D95" i="54"/>
  <c r="F95" i="54" s="1"/>
  <c r="I21" i="53"/>
  <c r="D129" i="112" l="1"/>
  <c r="F128" i="112"/>
  <c r="K88" i="112"/>
  <c r="J14" i="109" s="1"/>
  <c r="T99" i="111"/>
  <c r="N100" i="111" s="1"/>
  <c r="P100" i="111" s="1"/>
  <c r="G101" i="112" s="1"/>
  <c r="H101" i="112" s="1"/>
  <c r="G100" i="110"/>
  <c r="O127" i="89"/>
  <c r="O127" i="111"/>
  <c r="S100" i="111"/>
  <c r="R100" i="111" s="1"/>
  <c r="V100" i="111" s="1"/>
  <c r="H67" i="110"/>
  <c r="J66" i="110"/>
  <c r="D129" i="110"/>
  <c r="F128" i="110"/>
  <c r="D130" i="105"/>
  <c r="F129" i="105"/>
  <c r="J67" i="103"/>
  <c r="F128" i="103"/>
  <c r="D129" i="103"/>
  <c r="H67" i="93"/>
  <c r="J67" i="93" s="1"/>
  <c r="F129" i="98"/>
  <c r="D130" i="98"/>
  <c r="J61" i="98"/>
  <c r="D129" i="93"/>
  <c r="F128" i="93"/>
  <c r="D129" i="58"/>
  <c r="F128" i="58"/>
  <c r="D130" i="61"/>
  <c r="F129" i="61"/>
  <c r="D129" i="65"/>
  <c r="F128" i="65"/>
  <c r="J61" i="91"/>
  <c r="S61" i="89"/>
  <c r="R61" i="89" s="1"/>
  <c r="G62" i="105" s="1"/>
  <c r="H62" i="105" s="1"/>
  <c r="D130" i="91"/>
  <c r="F129" i="91"/>
  <c r="N67" i="89"/>
  <c r="P67" i="89" s="1"/>
  <c r="F128" i="86"/>
  <c r="D129" i="86"/>
  <c r="H55" i="86"/>
  <c r="J54" i="86"/>
  <c r="H17" i="58"/>
  <c r="J17" i="58" s="1"/>
  <c r="S54" i="60"/>
  <c r="M55" i="60" s="1"/>
  <c r="O55" i="60" s="1"/>
  <c r="R50" i="60"/>
  <c r="Q50" i="60" s="1"/>
  <c r="G51" i="65" s="1"/>
  <c r="N40" i="65" s="1"/>
  <c r="P7" i="76" s="1"/>
  <c r="G55" i="61"/>
  <c r="N94" i="60"/>
  <c r="V16" i="53"/>
  <c r="S17" i="53" s="1"/>
  <c r="J18" i="61"/>
  <c r="G18" i="54"/>
  <c r="T17" i="53"/>
  <c r="N18" i="53" s="1"/>
  <c r="P18" i="53" s="1"/>
  <c r="H19" i="61" s="1"/>
  <c r="O94" i="53"/>
  <c r="D96" i="54"/>
  <c r="F96" i="54" s="1"/>
  <c r="I22" i="53"/>
  <c r="F129" i="112" l="1"/>
  <c r="D130" i="112"/>
  <c r="J100" i="112"/>
  <c r="T100" i="111"/>
  <c r="N101" i="111" s="1"/>
  <c r="P101" i="111" s="1"/>
  <c r="G102" i="112" s="1"/>
  <c r="H102" i="112" s="1"/>
  <c r="G101" i="110"/>
  <c r="S101" i="111"/>
  <c r="R101" i="111" s="1"/>
  <c r="V101" i="111" s="1"/>
  <c r="O128" i="89"/>
  <c r="O128" i="111"/>
  <c r="J67" i="110"/>
  <c r="G68" i="103"/>
  <c r="H68" i="103" s="1"/>
  <c r="D130" i="110"/>
  <c r="F129" i="110"/>
  <c r="J62" i="105"/>
  <c r="D131" i="105"/>
  <c r="F130" i="105"/>
  <c r="D130" i="103"/>
  <c r="F129" i="103"/>
  <c r="G62" i="91"/>
  <c r="H62" i="91" s="1"/>
  <c r="J62" i="91" s="1"/>
  <c r="G62" i="98"/>
  <c r="H62" i="98" s="1"/>
  <c r="F130" i="98"/>
  <c r="D131" i="98"/>
  <c r="G68" i="93"/>
  <c r="D130" i="93"/>
  <c r="F129" i="93"/>
  <c r="D130" i="58"/>
  <c r="F129" i="58"/>
  <c r="D131" i="61"/>
  <c r="F130" i="61"/>
  <c r="F129" i="65"/>
  <c r="D130" i="65"/>
  <c r="V61" i="89"/>
  <c r="F130" i="91"/>
  <c r="D131" i="91"/>
  <c r="G68" i="86"/>
  <c r="T67" i="89"/>
  <c r="D130" i="86"/>
  <c r="F129" i="86"/>
  <c r="J55" i="86"/>
  <c r="H56" i="86"/>
  <c r="H51" i="65"/>
  <c r="J51" i="65" s="1"/>
  <c r="K40" i="65" s="1"/>
  <c r="H18" i="54"/>
  <c r="S55" i="60"/>
  <c r="M56" i="60" s="1"/>
  <c r="O56" i="60" s="1"/>
  <c r="G56" i="61"/>
  <c r="N95" i="60"/>
  <c r="U50" i="60"/>
  <c r="R17" i="53"/>
  <c r="G18" i="58" s="1"/>
  <c r="J19" i="61"/>
  <c r="G19" i="54"/>
  <c r="O95" i="53"/>
  <c r="T18" i="53"/>
  <c r="N19" i="53" s="1"/>
  <c r="D97" i="54"/>
  <c r="F97" i="54" s="1"/>
  <c r="I23" i="53"/>
  <c r="D131" i="112" l="1"/>
  <c r="F130" i="112"/>
  <c r="J101" i="112"/>
  <c r="T101" i="111"/>
  <c r="N102" i="111" s="1"/>
  <c r="P102" i="111" s="1"/>
  <c r="G103" i="112" s="1"/>
  <c r="H103" i="112" s="1"/>
  <c r="G102" i="110"/>
  <c r="S102" i="111"/>
  <c r="R102" i="111" s="1"/>
  <c r="V102" i="111" s="1"/>
  <c r="O129" i="89"/>
  <c r="O129" i="111"/>
  <c r="H68" i="110"/>
  <c r="D131" i="110"/>
  <c r="F130" i="110"/>
  <c r="J10" i="66"/>
  <c r="H10" i="66" s="1"/>
  <c r="D132" i="105"/>
  <c r="F131" i="105"/>
  <c r="J68" i="103"/>
  <c r="D131" i="103"/>
  <c r="F130" i="103"/>
  <c r="H68" i="93"/>
  <c r="J68" i="93" s="1"/>
  <c r="J62" i="98"/>
  <c r="F131" i="98"/>
  <c r="D132" i="98"/>
  <c r="F130" i="93"/>
  <c r="D131" i="93"/>
  <c r="F130" i="58"/>
  <c r="D131" i="58"/>
  <c r="D132" i="61"/>
  <c r="F131" i="61"/>
  <c r="D131" i="65"/>
  <c r="F130" i="65"/>
  <c r="S62" i="89"/>
  <c r="R62" i="89" s="1"/>
  <c r="G63" i="105" s="1"/>
  <c r="D132" i="91"/>
  <c r="F131" i="91"/>
  <c r="N68" i="89"/>
  <c r="P68" i="89" s="1"/>
  <c r="D131" i="86"/>
  <c r="F130" i="86"/>
  <c r="H57" i="86"/>
  <c r="J56" i="86"/>
  <c r="H19" i="54"/>
  <c r="H18" i="58"/>
  <c r="J18" i="58" s="1"/>
  <c r="S56" i="60"/>
  <c r="M57" i="60" s="1"/>
  <c r="O57" i="60" s="1"/>
  <c r="R51" i="60"/>
  <c r="Q51" i="60" s="1"/>
  <c r="G52" i="65" s="1"/>
  <c r="G57" i="61"/>
  <c r="N96" i="60"/>
  <c r="V17" i="53"/>
  <c r="S18" i="53" s="1"/>
  <c r="J18" i="54"/>
  <c r="O96" i="53"/>
  <c r="P19" i="53"/>
  <c r="H20" i="61" s="1"/>
  <c r="D98" i="54"/>
  <c r="F98" i="54" s="1"/>
  <c r="I24" i="53"/>
  <c r="D132" i="112" l="1"/>
  <c r="F131" i="112"/>
  <c r="J102" i="112"/>
  <c r="T102" i="111"/>
  <c r="N103" i="111" s="1"/>
  <c r="P103" i="111" s="1"/>
  <c r="G104" i="112" s="1"/>
  <c r="H104" i="112" s="1"/>
  <c r="G103" i="110"/>
  <c r="S103" i="111"/>
  <c r="R103" i="111" s="1"/>
  <c r="V103" i="111" s="1"/>
  <c r="O130" i="89"/>
  <c r="O130" i="111"/>
  <c r="D132" i="110"/>
  <c r="F131" i="110"/>
  <c r="G69" i="103"/>
  <c r="H69" i="103" s="1"/>
  <c r="J69" i="103" s="1"/>
  <c r="H69" i="110"/>
  <c r="J68" i="110"/>
  <c r="L10" i="66"/>
  <c r="Y52" i="105"/>
  <c r="P8" i="106" s="1"/>
  <c r="N52" i="105"/>
  <c r="H63" i="105"/>
  <c r="D133" i="105"/>
  <c r="F132" i="105"/>
  <c r="D132" i="103"/>
  <c r="F131" i="103"/>
  <c r="F132" i="98"/>
  <c r="D133" i="98"/>
  <c r="G63" i="91"/>
  <c r="G63" i="98"/>
  <c r="Y52" i="98" s="1"/>
  <c r="P8" i="101" s="1"/>
  <c r="G69" i="93"/>
  <c r="H69" i="93" s="1"/>
  <c r="J69" i="93" s="1"/>
  <c r="D132" i="93"/>
  <c r="F131" i="93"/>
  <c r="F131" i="58"/>
  <c r="D132" i="58"/>
  <c r="D133" i="61"/>
  <c r="F132" i="61"/>
  <c r="F131" i="65"/>
  <c r="D132" i="65"/>
  <c r="V62" i="89"/>
  <c r="D133" i="91"/>
  <c r="F132" i="91"/>
  <c r="G69" i="86"/>
  <c r="T68" i="89"/>
  <c r="D132" i="86"/>
  <c r="F131" i="86"/>
  <c r="J57" i="86"/>
  <c r="H58" i="86"/>
  <c r="H52" i="65"/>
  <c r="J52" i="65" s="1"/>
  <c r="S57" i="60"/>
  <c r="M58" i="60" s="1"/>
  <c r="O58" i="60" s="1"/>
  <c r="G58" i="61"/>
  <c r="N97" i="60"/>
  <c r="U51" i="60"/>
  <c r="R18" i="53"/>
  <c r="G19" i="58" s="1"/>
  <c r="J20" i="61"/>
  <c r="G20" i="54"/>
  <c r="H20" i="54" s="1"/>
  <c r="J19" i="54"/>
  <c r="O97" i="53"/>
  <c r="T19" i="53"/>
  <c r="N20" i="53" s="1"/>
  <c r="D99" i="54"/>
  <c r="F99" i="54" s="1"/>
  <c r="I25" i="53"/>
  <c r="J103" i="112" l="1"/>
  <c r="D133" i="112"/>
  <c r="F132" i="112"/>
  <c r="T103" i="111"/>
  <c r="N104" i="111" s="1"/>
  <c r="P104" i="111" s="1"/>
  <c r="G105" i="112" s="1"/>
  <c r="H105" i="112" s="1"/>
  <c r="G104" i="110"/>
  <c r="S104" i="111"/>
  <c r="R104" i="111" s="1"/>
  <c r="V104" i="111" s="1"/>
  <c r="O131" i="89"/>
  <c r="O131" i="111"/>
  <c r="J69" i="110"/>
  <c r="D133" i="110"/>
  <c r="F132" i="110"/>
  <c r="D134" i="105"/>
  <c r="F133" i="105"/>
  <c r="J63" i="105"/>
  <c r="K52" i="105" s="1"/>
  <c r="F132" i="103"/>
  <c r="D133" i="103"/>
  <c r="N52" i="91"/>
  <c r="Y52" i="91"/>
  <c r="H63" i="91"/>
  <c r="J63" i="91" s="1"/>
  <c r="K52" i="91" s="1"/>
  <c r="J11" i="90" s="1"/>
  <c r="L11" i="90" s="1"/>
  <c r="N52" i="98"/>
  <c r="H63" i="98"/>
  <c r="D134" i="98"/>
  <c r="F133" i="98"/>
  <c r="F132" i="93"/>
  <c r="D133" i="93"/>
  <c r="D133" i="58"/>
  <c r="F132" i="58"/>
  <c r="F133" i="61"/>
  <c r="D134" i="61"/>
  <c r="F132" i="65"/>
  <c r="D133" i="65"/>
  <c r="S63" i="89"/>
  <c r="R63" i="89" s="1"/>
  <c r="D134" i="91"/>
  <c r="F133" i="91"/>
  <c r="N69" i="89"/>
  <c r="P69" i="89" s="1"/>
  <c r="D133" i="86"/>
  <c r="F132" i="86"/>
  <c r="N88" i="54"/>
  <c r="H59" i="86"/>
  <c r="J58" i="86"/>
  <c r="H19" i="58"/>
  <c r="J19" i="58" s="1"/>
  <c r="S58" i="60"/>
  <c r="M59" i="60" s="1"/>
  <c r="O59" i="60" s="1"/>
  <c r="R52" i="60"/>
  <c r="Q52" i="60" s="1"/>
  <c r="G53" i="65" s="1"/>
  <c r="G59" i="61"/>
  <c r="N98" i="60"/>
  <c r="V18" i="53"/>
  <c r="S19" i="53" s="1"/>
  <c r="J20" i="54"/>
  <c r="O98" i="53"/>
  <c r="P20" i="53"/>
  <c r="H21" i="61" s="1"/>
  <c r="D100" i="54"/>
  <c r="F100" i="54" s="1"/>
  <c r="I26" i="53"/>
  <c r="F133" i="112" l="1"/>
  <c r="D134" i="112"/>
  <c r="J104" i="112"/>
  <c r="T104" i="111"/>
  <c r="N105" i="111" s="1"/>
  <c r="P105" i="111" s="1"/>
  <c r="G106" i="112" s="1"/>
  <c r="H106" i="112" s="1"/>
  <c r="G105" i="110"/>
  <c r="O132" i="89"/>
  <c r="O132" i="111"/>
  <c r="S105" i="111"/>
  <c r="R105" i="111" s="1"/>
  <c r="V105" i="111" s="1"/>
  <c r="D134" i="110"/>
  <c r="F133" i="110"/>
  <c r="G70" i="103"/>
  <c r="H70" i="103" s="1"/>
  <c r="J70" i="103" s="1"/>
  <c r="H70" i="110"/>
  <c r="J11" i="104"/>
  <c r="G64" i="98"/>
  <c r="G64" i="105"/>
  <c r="H64" i="105" s="1"/>
  <c r="D135" i="105"/>
  <c r="F134" i="105"/>
  <c r="D134" i="103"/>
  <c r="F133" i="103"/>
  <c r="P8" i="100"/>
  <c r="N11" i="75"/>
  <c r="D135" i="98"/>
  <c r="F134" i="98"/>
  <c r="J63" i="98"/>
  <c r="K52" i="98" s="1"/>
  <c r="H11" i="90"/>
  <c r="G70" i="93"/>
  <c r="H70" i="93" s="1"/>
  <c r="J70" i="93" s="1"/>
  <c r="D134" i="93"/>
  <c r="F133" i="93"/>
  <c r="F133" i="58"/>
  <c r="D134" i="58"/>
  <c r="D135" i="61"/>
  <c r="F134" i="61"/>
  <c r="D134" i="65"/>
  <c r="F133" i="65"/>
  <c r="V63" i="89"/>
  <c r="S64" i="89" s="1"/>
  <c r="R64" i="89" s="1"/>
  <c r="G65" i="105" s="1"/>
  <c r="G64" i="91"/>
  <c r="F134" i="91"/>
  <c r="D135" i="91"/>
  <c r="G70" i="86"/>
  <c r="T69" i="89"/>
  <c r="N70" i="89" s="1"/>
  <c r="P70" i="89" s="1"/>
  <c r="D134" i="86"/>
  <c r="F133" i="86"/>
  <c r="J59" i="86"/>
  <c r="H60" i="86"/>
  <c r="H53" i="65"/>
  <c r="J53" i="65" s="1"/>
  <c r="S59" i="60"/>
  <c r="M60" i="60" s="1"/>
  <c r="O60" i="60" s="1"/>
  <c r="U52" i="60"/>
  <c r="G60" i="61"/>
  <c r="N99" i="60"/>
  <c r="R19" i="53"/>
  <c r="G20" i="58" s="1"/>
  <c r="J21" i="61"/>
  <c r="G21" i="54"/>
  <c r="H21" i="54" s="1"/>
  <c r="J21" i="54" s="1"/>
  <c r="O99" i="53"/>
  <c r="T20" i="53"/>
  <c r="N21" i="53" s="1"/>
  <c r="D101" i="54"/>
  <c r="F101" i="54" s="1"/>
  <c r="I27" i="53"/>
  <c r="J105" i="112" l="1"/>
  <c r="D135" i="112"/>
  <c r="F134" i="112"/>
  <c r="T105" i="111"/>
  <c r="N106" i="111" s="1"/>
  <c r="P106" i="111" s="1"/>
  <c r="G107" i="112" s="1"/>
  <c r="H107" i="112" s="1"/>
  <c r="G106" i="110"/>
  <c r="O133" i="89"/>
  <c r="O133" i="111"/>
  <c r="S106" i="111"/>
  <c r="R106" i="111" s="1"/>
  <c r="V106" i="111" s="1"/>
  <c r="J70" i="110"/>
  <c r="G71" i="103"/>
  <c r="H71" i="103" s="1"/>
  <c r="H71" i="110"/>
  <c r="D135" i="110"/>
  <c r="F134" i="110"/>
  <c r="L11" i="109"/>
  <c r="M11" i="109" s="1"/>
  <c r="H11" i="109"/>
  <c r="H11" i="104"/>
  <c r="L11" i="104"/>
  <c r="M11" i="104" s="1"/>
  <c r="J11" i="97"/>
  <c r="H64" i="98"/>
  <c r="J64" i="98" s="1"/>
  <c r="D136" i="105"/>
  <c r="F135" i="105"/>
  <c r="X124" i="105" s="1"/>
  <c r="J71" i="103"/>
  <c r="D135" i="103"/>
  <c r="F134" i="103"/>
  <c r="H64" i="91"/>
  <c r="J64" i="91" s="1"/>
  <c r="G65" i="91"/>
  <c r="G65" i="98"/>
  <c r="D136" i="98"/>
  <c r="F135" i="98"/>
  <c r="X124" i="98" s="1"/>
  <c r="G71" i="93"/>
  <c r="H71" i="93" s="1"/>
  <c r="J71" i="93" s="1"/>
  <c r="D135" i="93"/>
  <c r="F134" i="93"/>
  <c r="F134" i="58"/>
  <c r="D135" i="58"/>
  <c r="F135" i="61"/>
  <c r="D136" i="61"/>
  <c r="F134" i="65"/>
  <c r="D135" i="65"/>
  <c r="V64" i="89"/>
  <c r="F135" i="91"/>
  <c r="O134" i="111" s="1"/>
  <c r="D136" i="91"/>
  <c r="G71" i="86"/>
  <c r="T70" i="89"/>
  <c r="D135" i="86"/>
  <c r="F134" i="86"/>
  <c r="H61" i="86"/>
  <c r="J60" i="86"/>
  <c r="H20" i="58"/>
  <c r="J20" i="58" s="1"/>
  <c r="S60" i="60"/>
  <c r="M61" i="60" s="1"/>
  <c r="O61" i="60" s="1"/>
  <c r="G61" i="61"/>
  <c r="N100" i="60"/>
  <c r="R53" i="60"/>
  <c r="Q53" i="60" s="1"/>
  <c r="G54" i="65" s="1"/>
  <c r="V19" i="53"/>
  <c r="S20" i="53" s="1"/>
  <c r="O100" i="53"/>
  <c r="P21" i="53"/>
  <c r="H22" i="61" s="1"/>
  <c r="D102" i="54"/>
  <c r="F102" i="54" s="1"/>
  <c r="I28" i="53"/>
  <c r="D136" i="112" l="1"/>
  <c r="F135" i="112"/>
  <c r="X124" i="112" s="1"/>
  <c r="J106" i="112"/>
  <c r="T106" i="111"/>
  <c r="N107" i="111" s="1"/>
  <c r="P107" i="111" s="1"/>
  <c r="G108" i="112" s="1"/>
  <c r="H108" i="112" s="1"/>
  <c r="G107" i="110"/>
  <c r="S107" i="111"/>
  <c r="R107" i="111" s="1"/>
  <c r="V107" i="111" s="1"/>
  <c r="J71" i="110"/>
  <c r="D136" i="110"/>
  <c r="F135" i="110"/>
  <c r="X124" i="110" s="1"/>
  <c r="H11" i="97"/>
  <c r="L11" i="97"/>
  <c r="M11" i="97" s="1"/>
  <c r="J64" i="105"/>
  <c r="H65" i="105"/>
  <c r="D137" i="105"/>
  <c r="F136" i="105"/>
  <c r="F135" i="103"/>
  <c r="X124" i="103" s="1"/>
  <c r="N14" i="106" s="1"/>
  <c r="D136" i="103"/>
  <c r="H65" i="91"/>
  <c r="J65" i="91" s="1"/>
  <c r="O134" i="89"/>
  <c r="X124" i="91"/>
  <c r="D137" i="98"/>
  <c r="F136" i="98"/>
  <c r="H65" i="98"/>
  <c r="F135" i="93"/>
  <c r="X124" i="93" s="1"/>
  <c r="D136" i="93"/>
  <c r="D136" i="58"/>
  <c r="F135" i="58"/>
  <c r="F136" i="61"/>
  <c r="D137" i="61"/>
  <c r="D136" i="65"/>
  <c r="F135" i="65"/>
  <c r="P124" i="65" s="1"/>
  <c r="N14" i="76" s="1"/>
  <c r="S65" i="89"/>
  <c r="R65" i="89" s="1"/>
  <c r="F136" i="91"/>
  <c r="O135" i="111" s="1"/>
  <c r="D137" i="91"/>
  <c r="N71" i="89"/>
  <c r="P71" i="89" s="1"/>
  <c r="F135" i="86"/>
  <c r="X124" i="86" s="1"/>
  <c r="N14" i="100" s="1"/>
  <c r="D136" i="86"/>
  <c r="J61" i="86"/>
  <c r="H62" i="86"/>
  <c r="H54" i="65"/>
  <c r="J54" i="65" s="1"/>
  <c r="S61" i="60"/>
  <c r="M62" i="60" s="1"/>
  <c r="O62" i="60" s="1"/>
  <c r="N52" i="86" s="1"/>
  <c r="N101" i="60"/>
  <c r="G62" i="61"/>
  <c r="U53" i="60"/>
  <c r="R20" i="53"/>
  <c r="G21" i="58" s="1"/>
  <c r="H21" i="58" s="1"/>
  <c r="J21" i="58" s="1"/>
  <c r="J22" i="61"/>
  <c r="G22" i="54"/>
  <c r="H22" i="54" s="1"/>
  <c r="J22" i="54" s="1"/>
  <c r="O101" i="53"/>
  <c r="T21" i="53"/>
  <c r="N22" i="53" s="1"/>
  <c r="D103" i="54"/>
  <c r="F103" i="54" s="1"/>
  <c r="I29" i="53"/>
  <c r="J107" i="112" l="1"/>
  <c r="F136" i="112"/>
  <c r="D137" i="112"/>
  <c r="T107" i="111"/>
  <c r="N108" i="111" s="1"/>
  <c r="P108" i="111" s="1"/>
  <c r="G109" i="112" s="1"/>
  <c r="H109" i="112" s="1"/>
  <c r="G108" i="110"/>
  <c r="S108" i="111"/>
  <c r="R108" i="111" s="1"/>
  <c r="V108" i="111" s="1"/>
  <c r="D137" i="110"/>
  <c r="F136" i="110"/>
  <c r="G72" i="103"/>
  <c r="H72" i="103" s="1"/>
  <c r="J72" i="103" s="1"/>
  <c r="H72" i="110"/>
  <c r="D138" i="105"/>
  <c r="F137" i="105"/>
  <c r="J65" i="105"/>
  <c r="G66" i="98"/>
  <c r="G66" i="105"/>
  <c r="H66" i="105" s="1"/>
  <c r="D137" i="103"/>
  <c r="F136" i="103"/>
  <c r="N14" i="101"/>
  <c r="O135" i="89"/>
  <c r="F137" i="98"/>
  <c r="D138" i="98"/>
  <c r="J65" i="98"/>
  <c r="G72" i="93"/>
  <c r="H72" i="93" s="1"/>
  <c r="J72" i="93" s="1"/>
  <c r="F136" i="93"/>
  <c r="D137" i="93"/>
  <c r="F136" i="58"/>
  <c r="D137" i="58"/>
  <c r="D138" i="61"/>
  <c r="F137" i="61"/>
  <c r="F136" i="65"/>
  <c r="D137" i="65"/>
  <c r="V65" i="89"/>
  <c r="S66" i="89" s="1"/>
  <c r="R66" i="89" s="1"/>
  <c r="G67" i="105" s="1"/>
  <c r="G66" i="91"/>
  <c r="D138" i="91"/>
  <c r="F137" i="91"/>
  <c r="G72" i="86"/>
  <c r="T71" i="89"/>
  <c r="F136" i="86"/>
  <c r="D137" i="86"/>
  <c r="H63" i="86"/>
  <c r="J63" i="86" s="1"/>
  <c r="H64" i="86" s="1"/>
  <c r="J62" i="86"/>
  <c r="S62" i="60"/>
  <c r="M63" i="60" s="1"/>
  <c r="O63" i="60" s="1"/>
  <c r="N102" i="60"/>
  <c r="G63" i="61"/>
  <c r="N52" i="61" s="1"/>
  <c r="O8" i="76" s="1"/>
  <c r="R54" i="60"/>
  <c r="Q54" i="60" s="1"/>
  <c r="G55" i="65" s="1"/>
  <c r="V20" i="53"/>
  <c r="S21" i="53" s="1"/>
  <c r="O102" i="53"/>
  <c r="P22" i="53"/>
  <c r="H23" i="61" s="1"/>
  <c r="D104" i="54"/>
  <c r="F104" i="54" s="1"/>
  <c r="I30" i="53"/>
  <c r="D138" i="112" l="1"/>
  <c r="F137" i="112"/>
  <c r="J108" i="112"/>
  <c r="T108" i="111"/>
  <c r="N109" i="111" s="1"/>
  <c r="P109" i="111" s="1"/>
  <c r="G110" i="112" s="1"/>
  <c r="H110" i="112" s="1"/>
  <c r="G109" i="110"/>
  <c r="S109" i="111"/>
  <c r="R109" i="111" s="1"/>
  <c r="V109" i="111" s="1"/>
  <c r="O136" i="89"/>
  <c r="O136" i="111"/>
  <c r="J72" i="110"/>
  <c r="D138" i="110"/>
  <c r="F137" i="110"/>
  <c r="H66" i="98"/>
  <c r="J66" i="98" s="1"/>
  <c r="J66" i="105"/>
  <c r="H67" i="105"/>
  <c r="D139" i="105"/>
  <c r="F138" i="105"/>
  <c r="D138" i="103"/>
  <c r="F137" i="103"/>
  <c r="H66" i="91"/>
  <c r="J66" i="91" s="1"/>
  <c r="G67" i="91"/>
  <c r="G67" i="98"/>
  <c r="F138" i="98"/>
  <c r="D139" i="98"/>
  <c r="D138" i="93"/>
  <c r="F137" i="93"/>
  <c r="D138" i="58"/>
  <c r="F137" i="58"/>
  <c r="D139" i="61"/>
  <c r="F138" i="61"/>
  <c r="D138" i="65"/>
  <c r="F137" i="65"/>
  <c r="V66" i="89"/>
  <c r="S67" i="89" s="1"/>
  <c r="R67" i="89" s="1"/>
  <c r="G68" i="105" s="1"/>
  <c r="F138" i="91"/>
  <c r="D139" i="91"/>
  <c r="N72" i="89"/>
  <c r="P72" i="89" s="1"/>
  <c r="D138" i="86"/>
  <c r="F137" i="86"/>
  <c r="K52" i="86"/>
  <c r="J11" i="87" s="1"/>
  <c r="L11" i="87" s="1"/>
  <c r="H55" i="65"/>
  <c r="J55" i="65" s="1"/>
  <c r="S63" i="60"/>
  <c r="M64" i="60" s="1"/>
  <c r="O64" i="60" s="1"/>
  <c r="N103" i="60"/>
  <c r="G64" i="61"/>
  <c r="U54" i="60"/>
  <c r="R21" i="53"/>
  <c r="G22" i="58" s="1"/>
  <c r="H22" i="58" s="1"/>
  <c r="J22" i="58" s="1"/>
  <c r="J23" i="61"/>
  <c r="G23" i="54"/>
  <c r="H23" i="54" s="1"/>
  <c r="J23" i="54" s="1"/>
  <c r="O103" i="53"/>
  <c r="T22" i="53"/>
  <c r="N23" i="53" s="1"/>
  <c r="D105" i="54"/>
  <c r="F105" i="54" s="1"/>
  <c r="I31" i="53"/>
  <c r="J109" i="112" l="1"/>
  <c r="D139" i="112"/>
  <c r="F138" i="112"/>
  <c r="T109" i="111"/>
  <c r="N110" i="111" s="1"/>
  <c r="P110" i="111" s="1"/>
  <c r="G111" i="112" s="1"/>
  <c r="H111" i="112" s="1"/>
  <c r="G110" i="110"/>
  <c r="S110" i="111"/>
  <c r="R110" i="111" s="1"/>
  <c r="V110" i="111" s="1"/>
  <c r="O137" i="89"/>
  <c r="O137" i="111"/>
  <c r="D139" i="110"/>
  <c r="F138" i="110"/>
  <c r="G73" i="103"/>
  <c r="H73" i="103" s="1"/>
  <c r="J73" i="103" s="1"/>
  <c r="H73" i="110"/>
  <c r="H67" i="98"/>
  <c r="J67" i="98" s="1"/>
  <c r="H68" i="105"/>
  <c r="J67" i="105"/>
  <c r="D140" i="105"/>
  <c r="F139" i="105"/>
  <c r="D139" i="103"/>
  <c r="F138" i="103"/>
  <c r="M11" i="102"/>
  <c r="H67" i="91"/>
  <c r="J67" i="91" s="1"/>
  <c r="F139" i="98"/>
  <c r="D140" i="98"/>
  <c r="G68" i="91"/>
  <c r="G68" i="98"/>
  <c r="G73" i="93"/>
  <c r="H73" i="93" s="1"/>
  <c r="J73" i="93" s="1"/>
  <c r="D139" i="93"/>
  <c r="F138" i="93"/>
  <c r="M11" i="92"/>
  <c r="D139" i="58"/>
  <c r="F138" i="58"/>
  <c r="D140" i="61"/>
  <c r="F139" i="61"/>
  <c r="D139" i="65"/>
  <c r="F138" i="65"/>
  <c r="V67" i="89"/>
  <c r="S68" i="89" s="1"/>
  <c r="R68" i="89" s="1"/>
  <c r="G69" i="105" s="1"/>
  <c r="D140" i="91"/>
  <c r="F139" i="91"/>
  <c r="G73" i="86"/>
  <c r="H11" i="87"/>
  <c r="T72" i="89"/>
  <c r="F138" i="86"/>
  <c r="D139" i="86"/>
  <c r="H65" i="86"/>
  <c r="J64" i="86"/>
  <c r="S64" i="60"/>
  <c r="M65" i="60" s="1"/>
  <c r="O65" i="60" s="1"/>
  <c r="G65" i="61"/>
  <c r="N104" i="60"/>
  <c r="R55" i="60"/>
  <c r="Q55" i="60" s="1"/>
  <c r="G56" i="65" s="1"/>
  <c r="V21" i="53"/>
  <c r="S22" i="53" s="1"/>
  <c r="O104" i="53"/>
  <c r="P23" i="53"/>
  <c r="H24" i="61" s="1"/>
  <c r="D106" i="54"/>
  <c r="F106" i="54" s="1"/>
  <c r="I32" i="53"/>
  <c r="J111" i="112" l="1"/>
  <c r="J110" i="112"/>
  <c r="D140" i="112"/>
  <c r="F139" i="112"/>
  <c r="N100" i="112"/>
  <c r="Y100" i="112"/>
  <c r="T110" i="111"/>
  <c r="N111" i="111" s="1"/>
  <c r="P111" i="111" s="1"/>
  <c r="G112" i="112" s="1"/>
  <c r="H112" i="112" s="1"/>
  <c r="G111" i="110"/>
  <c r="S111" i="111"/>
  <c r="R111" i="111" s="1"/>
  <c r="V111" i="111" s="1"/>
  <c r="O138" i="89"/>
  <c r="O138" i="111"/>
  <c r="D140" i="110"/>
  <c r="F139" i="110"/>
  <c r="J73" i="110"/>
  <c r="H68" i="98"/>
  <c r="J68" i="98" s="1"/>
  <c r="J68" i="105"/>
  <c r="H69" i="105"/>
  <c r="D141" i="105"/>
  <c r="F140" i="105"/>
  <c r="F139" i="103"/>
  <c r="D140" i="103"/>
  <c r="H68" i="91"/>
  <c r="J68" i="91" s="1"/>
  <c r="G69" i="91"/>
  <c r="G69" i="98"/>
  <c r="F140" i="98"/>
  <c r="D141" i="98"/>
  <c r="D140" i="93"/>
  <c r="F139" i="93"/>
  <c r="F139" i="58"/>
  <c r="D140" i="58"/>
  <c r="D141" i="61"/>
  <c r="F140" i="61"/>
  <c r="D140" i="65"/>
  <c r="F139" i="65"/>
  <c r="V68" i="89"/>
  <c r="D141" i="91"/>
  <c r="F140" i="91"/>
  <c r="M11" i="90"/>
  <c r="N73" i="89"/>
  <c r="P73" i="89" s="1"/>
  <c r="F139" i="86"/>
  <c r="D140" i="86"/>
  <c r="H66" i="86"/>
  <c r="J65" i="86"/>
  <c r="H56" i="65"/>
  <c r="J56" i="65" s="1"/>
  <c r="S65" i="60"/>
  <c r="M66" i="60" s="1"/>
  <c r="O66" i="60" s="1"/>
  <c r="N105" i="60"/>
  <c r="U55" i="60"/>
  <c r="G66" i="61"/>
  <c r="R22" i="53"/>
  <c r="G23" i="58" s="1"/>
  <c r="H23" i="58" s="1"/>
  <c r="J23" i="58" s="1"/>
  <c r="J24" i="61"/>
  <c r="G24" i="54"/>
  <c r="H24" i="54" s="1"/>
  <c r="J24" i="54" s="1"/>
  <c r="O105" i="53"/>
  <c r="T23" i="53"/>
  <c r="N24" i="53" s="1"/>
  <c r="D107" i="54"/>
  <c r="F107" i="54" s="1"/>
  <c r="I33" i="53"/>
  <c r="F140" i="112" l="1"/>
  <c r="D141" i="112"/>
  <c r="K100" i="112"/>
  <c r="J15" i="109" s="1"/>
  <c r="T111" i="111"/>
  <c r="N112" i="111" s="1"/>
  <c r="P112" i="111" s="1"/>
  <c r="G113" i="112" s="1"/>
  <c r="H113" i="112" s="1"/>
  <c r="G112" i="110"/>
  <c r="S112" i="111"/>
  <c r="R112" i="111" s="1"/>
  <c r="V112" i="111" s="1"/>
  <c r="O139" i="89"/>
  <c r="O139" i="111"/>
  <c r="G74" i="103"/>
  <c r="H74" i="103" s="1"/>
  <c r="J74" i="103" s="1"/>
  <c r="H74" i="110"/>
  <c r="D141" i="110"/>
  <c r="F140" i="110"/>
  <c r="H69" i="98"/>
  <c r="J69" i="98" s="1"/>
  <c r="J69" i="105"/>
  <c r="D142" i="105"/>
  <c r="F141" i="105"/>
  <c r="D141" i="103"/>
  <c r="F140" i="103"/>
  <c r="H69" i="91"/>
  <c r="J69" i="91" s="1"/>
  <c r="F141" i="98"/>
  <c r="D142" i="98"/>
  <c r="G74" i="93"/>
  <c r="H74" i="93" s="1"/>
  <c r="J74" i="93" s="1"/>
  <c r="F140" i="93"/>
  <c r="D141" i="93"/>
  <c r="F140" i="58"/>
  <c r="D141" i="58"/>
  <c r="F141" i="61"/>
  <c r="D142" i="61"/>
  <c r="D141" i="65"/>
  <c r="F140" i="65"/>
  <c r="S69" i="89"/>
  <c r="R69" i="89" s="1"/>
  <c r="G70" i="105" s="1"/>
  <c r="G74" i="86"/>
  <c r="D142" i="91"/>
  <c r="F141" i="91"/>
  <c r="T73" i="89"/>
  <c r="D141" i="86"/>
  <c r="F140" i="86"/>
  <c r="H67" i="86"/>
  <c r="J66" i="86"/>
  <c r="S66" i="60"/>
  <c r="M67" i="60" s="1"/>
  <c r="O67" i="60" s="1"/>
  <c r="N106" i="60"/>
  <c r="G67" i="61"/>
  <c r="R56" i="60"/>
  <c r="Q56" i="60" s="1"/>
  <c r="G57" i="65" s="1"/>
  <c r="H57" i="65" s="1"/>
  <c r="V22" i="53"/>
  <c r="S23" i="53" s="1"/>
  <c r="O106" i="53"/>
  <c r="P24" i="53"/>
  <c r="H25" i="61" s="1"/>
  <c r="D108" i="54"/>
  <c r="F108" i="54" s="1"/>
  <c r="I34" i="53"/>
  <c r="D142" i="112" l="1"/>
  <c r="F141" i="112"/>
  <c r="J112" i="112"/>
  <c r="T112" i="111"/>
  <c r="N113" i="111" s="1"/>
  <c r="P113" i="111" s="1"/>
  <c r="G114" i="112" s="1"/>
  <c r="H114" i="112" s="1"/>
  <c r="G113" i="110"/>
  <c r="S113" i="111"/>
  <c r="R113" i="111" s="1"/>
  <c r="V113" i="111" s="1"/>
  <c r="O140" i="89"/>
  <c r="O140" i="111"/>
  <c r="J74" i="110"/>
  <c r="D142" i="110"/>
  <c r="F141" i="110"/>
  <c r="F142" i="105"/>
  <c r="D143" i="105"/>
  <c r="H70" i="105"/>
  <c r="D142" i="103"/>
  <c r="F141" i="103"/>
  <c r="G70" i="91"/>
  <c r="H70" i="91" s="1"/>
  <c r="J70" i="91" s="1"/>
  <c r="G70" i="98"/>
  <c r="H70" i="98" s="1"/>
  <c r="F142" i="98"/>
  <c r="D143" i="98"/>
  <c r="D142" i="93"/>
  <c r="F141" i="93"/>
  <c r="D142" i="58"/>
  <c r="F141" i="58"/>
  <c r="D143" i="61"/>
  <c r="F142" i="61"/>
  <c r="D142" i="65"/>
  <c r="F141" i="65"/>
  <c r="V69" i="89"/>
  <c r="S70" i="89" s="1"/>
  <c r="R70" i="89" s="1"/>
  <c r="G71" i="105" s="1"/>
  <c r="F142" i="91"/>
  <c r="D143" i="91"/>
  <c r="N74" i="89"/>
  <c r="P74" i="89" s="1"/>
  <c r="F141" i="86"/>
  <c r="D142" i="86"/>
  <c r="H68" i="86"/>
  <c r="J67" i="86"/>
  <c r="S67" i="60"/>
  <c r="M68" i="60" s="1"/>
  <c r="O68" i="60" s="1"/>
  <c r="J57" i="65"/>
  <c r="N107" i="60"/>
  <c r="G68" i="61"/>
  <c r="U56" i="60"/>
  <c r="R23" i="53"/>
  <c r="G24" i="58" s="1"/>
  <c r="H24" i="58" s="1"/>
  <c r="J24" i="58" s="1"/>
  <c r="J25" i="61"/>
  <c r="G25" i="54"/>
  <c r="H25" i="54" s="1"/>
  <c r="J25" i="54" s="1"/>
  <c r="O107" i="53"/>
  <c r="T24" i="53"/>
  <c r="N25" i="53" s="1"/>
  <c r="D109" i="54"/>
  <c r="F109" i="54" s="1"/>
  <c r="I35" i="53"/>
  <c r="D143" i="112" l="1"/>
  <c r="F142" i="112"/>
  <c r="J113" i="112"/>
  <c r="T113" i="111"/>
  <c r="N114" i="111" s="1"/>
  <c r="P114" i="111" s="1"/>
  <c r="G115" i="112" s="1"/>
  <c r="H115" i="112" s="1"/>
  <c r="G114" i="110"/>
  <c r="S114" i="111"/>
  <c r="R114" i="111" s="1"/>
  <c r="V114" i="111" s="1"/>
  <c r="O141" i="89"/>
  <c r="O141" i="111"/>
  <c r="G75" i="103"/>
  <c r="Y64" i="103" s="1"/>
  <c r="O9" i="106" s="1"/>
  <c r="D143" i="110"/>
  <c r="F142" i="110"/>
  <c r="J70" i="105"/>
  <c r="H71" i="105"/>
  <c r="D144" i="105"/>
  <c r="F143" i="105"/>
  <c r="D143" i="103"/>
  <c r="F142" i="103"/>
  <c r="D144" i="98"/>
  <c r="F143" i="98"/>
  <c r="G71" i="91"/>
  <c r="H71" i="91" s="1"/>
  <c r="J71" i="91" s="1"/>
  <c r="G71" i="98"/>
  <c r="H71" i="98" s="1"/>
  <c r="J70" i="98"/>
  <c r="G75" i="93"/>
  <c r="F142" i="93"/>
  <c r="D143" i="93"/>
  <c r="F142" i="58"/>
  <c r="D143" i="58"/>
  <c r="D144" i="61"/>
  <c r="F143" i="61"/>
  <c r="D143" i="65"/>
  <c r="F142" i="65"/>
  <c r="V70" i="89"/>
  <c r="S71" i="89" s="1"/>
  <c r="R71" i="89" s="1"/>
  <c r="G72" i="105" s="1"/>
  <c r="D144" i="91"/>
  <c r="F143" i="91"/>
  <c r="G75" i="86"/>
  <c r="Y64" i="86" s="1"/>
  <c r="T74" i="89"/>
  <c r="D143" i="86"/>
  <c r="F142" i="86"/>
  <c r="H69" i="86"/>
  <c r="J68" i="86"/>
  <c r="S68" i="60"/>
  <c r="M69" i="60" s="1"/>
  <c r="O69" i="60" s="1"/>
  <c r="G69" i="61"/>
  <c r="N108" i="60"/>
  <c r="R57" i="60"/>
  <c r="Q57" i="60" s="1"/>
  <c r="G58" i="65" s="1"/>
  <c r="H58" i="65" s="1"/>
  <c r="V23" i="53"/>
  <c r="S24" i="53" s="1"/>
  <c r="O108" i="53"/>
  <c r="P25" i="53"/>
  <c r="H26" i="61" s="1"/>
  <c r="D110" i="54"/>
  <c r="F110" i="54" s="1"/>
  <c r="I36" i="53"/>
  <c r="D144" i="112" l="1"/>
  <c r="F143" i="112"/>
  <c r="J114" i="112"/>
  <c r="N64" i="103"/>
  <c r="T114" i="111"/>
  <c r="N115" i="111" s="1"/>
  <c r="P115" i="111" s="1"/>
  <c r="G116" i="112" s="1"/>
  <c r="H116" i="112" s="1"/>
  <c r="G115" i="110"/>
  <c r="S115" i="111"/>
  <c r="R115" i="111" s="1"/>
  <c r="V115" i="111" s="1"/>
  <c r="O142" i="89"/>
  <c r="O142" i="111"/>
  <c r="H75" i="103"/>
  <c r="J75" i="103" s="1"/>
  <c r="D144" i="110"/>
  <c r="F143" i="110"/>
  <c r="Y64" i="110"/>
  <c r="N64" i="110"/>
  <c r="H75" i="110"/>
  <c r="J75" i="110" s="1"/>
  <c r="D145" i="105"/>
  <c r="F144" i="105"/>
  <c r="H72" i="105"/>
  <c r="J71" i="105"/>
  <c r="F143" i="103"/>
  <c r="D144" i="103"/>
  <c r="K64" i="103"/>
  <c r="O9" i="100"/>
  <c r="N64" i="93"/>
  <c r="Y64" i="93"/>
  <c r="O9" i="101" s="1"/>
  <c r="J71" i="98"/>
  <c r="G72" i="91"/>
  <c r="H72" i="91" s="1"/>
  <c r="J72" i="91" s="1"/>
  <c r="G72" i="98"/>
  <c r="H72" i="98" s="1"/>
  <c r="D145" i="98"/>
  <c r="F144" i="98"/>
  <c r="H75" i="93"/>
  <c r="J75" i="93" s="1"/>
  <c r="K64" i="93" s="1"/>
  <c r="D144" i="93"/>
  <c r="F143" i="93"/>
  <c r="D144" i="58"/>
  <c r="F143" i="58"/>
  <c r="D145" i="61"/>
  <c r="F144" i="61"/>
  <c r="D144" i="65"/>
  <c r="F143" i="65"/>
  <c r="V71" i="89"/>
  <c r="F144" i="91"/>
  <c r="D145" i="91"/>
  <c r="N75" i="89"/>
  <c r="P75" i="89" s="1"/>
  <c r="D144" i="86"/>
  <c r="F143" i="86"/>
  <c r="H70" i="86"/>
  <c r="J69" i="86"/>
  <c r="S69" i="60"/>
  <c r="M70" i="60" s="1"/>
  <c r="O70" i="60" s="1"/>
  <c r="J58" i="65"/>
  <c r="G70" i="61"/>
  <c r="N109" i="60"/>
  <c r="U57" i="60"/>
  <c r="R24" i="53"/>
  <c r="G25" i="58" s="1"/>
  <c r="H25" i="58" s="1"/>
  <c r="J25" i="58" s="1"/>
  <c r="J26" i="61"/>
  <c r="G26" i="54"/>
  <c r="H26" i="54" s="1"/>
  <c r="J26" i="54" s="1"/>
  <c r="O109" i="53"/>
  <c r="T25" i="53"/>
  <c r="N26" i="53" s="1"/>
  <c r="D111" i="54"/>
  <c r="F111" i="54" s="1"/>
  <c r="I37" i="53"/>
  <c r="J115" i="112" l="1"/>
  <c r="F144" i="112"/>
  <c r="D145" i="112"/>
  <c r="T115" i="111"/>
  <c r="N116" i="111" s="1"/>
  <c r="P116" i="111" s="1"/>
  <c r="G117" i="112" s="1"/>
  <c r="H117" i="112" s="1"/>
  <c r="G116" i="110"/>
  <c r="S116" i="111"/>
  <c r="R116" i="111" s="1"/>
  <c r="V116" i="111" s="1"/>
  <c r="O143" i="89"/>
  <c r="O143" i="111"/>
  <c r="G76" i="103"/>
  <c r="H76" i="103" s="1"/>
  <c r="J76" i="103" s="1"/>
  <c r="H76" i="110"/>
  <c r="K64" i="110"/>
  <c r="J12" i="108" s="1"/>
  <c r="H12" i="108" s="1"/>
  <c r="D145" i="110"/>
  <c r="F144" i="110"/>
  <c r="J12" i="102"/>
  <c r="J12" i="92"/>
  <c r="J72" i="105"/>
  <c r="D146" i="105"/>
  <c r="F145" i="105"/>
  <c r="D145" i="103"/>
  <c r="F144" i="103"/>
  <c r="J72" i="98"/>
  <c r="F145" i="98"/>
  <c r="D146" i="98"/>
  <c r="G76" i="93"/>
  <c r="D145" i="93"/>
  <c r="F144" i="93"/>
  <c r="F144" i="58"/>
  <c r="D145" i="58"/>
  <c r="D146" i="61"/>
  <c r="F145" i="61"/>
  <c r="D145" i="65"/>
  <c r="F144" i="65"/>
  <c r="S72" i="89"/>
  <c r="R72" i="89" s="1"/>
  <c r="G73" i="105" s="1"/>
  <c r="H73" i="105" s="1"/>
  <c r="D146" i="91"/>
  <c r="F145" i="91"/>
  <c r="T75" i="89"/>
  <c r="N76" i="89" s="1"/>
  <c r="P76" i="89" s="1"/>
  <c r="G76" i="86"/>
  <c r="D145" i="86"/>
  <c r="F144" i="86"/>
  <c r="N100" i="54"/>
  <c r="H71" i="86"/>
  <c r="J70" i="86"/>
  <c r="S70" i="60"/>
  <c r="M71" i="60" s="1"/>
  <c r="O71" i="60" s="1"/>
  <c r="N110" i="60"/>
  <c r="G71" i="61"/>
  <c r="R58" i="60"/>
  <c r="Q58" i="60" s="1"/>
  <c r="G59" i="65" s="1"/>
  <c r="H59" i="65" s="1"/>
  <c r="V24" i="53"/>
  <c r="S25" i="53" s="1"/>
  <c r="O110" i="53"/>
  <c r="P26" i="53"/>
  <c r="H27" i="61" s="1"/>
  <c r="H28" i="61" s="1"/>
  <c r="D112" i="54"/>
  <c r="F112" i="54" s="1"/>
  <c r="I38" i="53"/>
  <c r="D146" i="112" l="1"/>
  <c r="F145" i="112"/>
  <c r="J116" i="112"/>
  <c r="L12" i="108"/>
  <c r="M12" i="108" s="1"/>
  <c r="T116" i="111"/>
  <c r="N117" i="111" s="1"/>
  <c r="P117" i="111" s="1"/>
  <c r="G118" i="112" s="1"/>
  <c r="H118" i="112" s="1"/>
  <c r="G117" i="110"/>
  <c r="S117" i="111"/>
  <c r="R117" i="111" s="1"/>
  <c r="V117" i="111" s="1"/>
  <c r="O144" i="89"/>
  <c r="O144" i="111"/>
  <c r="J76" i="110"/>
  <c r="G77" i="103"/>
  <c r="H77" i="103" s="1"/>
  <c r="J77" i="103" s="1"/>
  <c r="H77" i="110"/>
  <c r="D146" i="110"/>
  <c r="F145" i="110"/>
  <c r="H12" i="102"/>
  <c r="L12" i="102"/>
  <c r="M12" i="102" s="1"/>
  <c r="H12" i="92"/>
  <c r="L12" i="92"/>
  <c r="M12" i="92" s="1"/>
  <c r="J73" i="105"/>
  <c r="D147" i="105"/>
  <c r="F146" i="105"/>
  <c r="D146" i="103"/>
  <c r="F145" i="103"/>
  <c r="H76" i="93"/>
  <c r="J76" i="93" s="1"/>
  <c r="N12" i="75"/>
  <c r="F146" i="98"/>
  <c r="D147" i="98"/>
  <c r="G73" i="91"/>
  <c r="H73" i="91" s="1"/>
  <c r="G73" i="98"/>
  <c r="H73" i="98" s="1"/>
  <c r="G77" i="93"/>
  <c r="D146" i="93"/>
  <c r="F145" i="93"/>
  <c r="F145" i="58"/>
  <c r="D146" i="58"/>
  <c r="F146" i="61"/>
  <c r="D147" i="61"/>
  <c r="D146" i="65"/>
  <c r="F145" i="65"/>
  <c r="V72" i="89"/>
  <c r="S73" i="89" s="1"/>
  <c r="R73" i="89" s="1"/>
  <c r="G74" i="105" s="1"/>
  <c r="H74" i="105" s="1"/>
  <c r="F146" i="91"/>
  <c r="D147" i="91"/>
  <c r="G77" i="86"/>
  <c r="T76" i="89"/>
  <c r="D146" i="86"/>
  <c r="F145" i="86"/>
  <c r="H72" i="86"/>
  <c r="J71" i="86"/>
  <c r="S71" i="60"/>
  <c r="M72" i="60" s="1"/>
  <c r="O72" i="60" s="1"/>
  <c r="U58" i="60"/>
  <c r="R59" i="60" s="1"/>
  <c r="Q59" i="60" s="1"/>
  <c r="G60" i="65" s="1"/>
  <c r="H60" i="65" s="1"/>
  <c r="N111" i="60"/>
  <c r="G72" i="61"/>
  <c r="J59" i="65"/>
  <c r="R25" i="53"/>
  <c r="G26" i="58" s="1"/>
  <c r="H26" i="58" s="1"/>
  <c r="J26" i="58" s="1"/>
  <c r="J27" i="61"/>
  <c r="K16" i="61" s="1"/>
  <c r="J8" i="62" s="1"/>
  <c r="H8" i="62" s="1"/>
  <c r="G27" i="54"/>
  <c r="P16" i="54" s="1"/>
  <c r="O111" i="53"/>
  <c r="T26" i="53"/>
  <c r="D113" i="54"/>
  <c r="F113" i="54" s="1"/>
  <c r="I39" i="53"/>
  <c r="J117" i="112" l="1"/>
  <c r="D147" i="112"/>
  <c r="F146" i="112"/>
  <c r="T117" i="111"/>
  <c r="N118" i="111" s="1"/>
  <c r="P118" i="111" s="1"/>
  <c r="G119" i="112" s="1"/>
  <c r="H119" i="112" s="1"/>
  <c r="G118" i="110"/>
  <c r="S118" i="111"/>
  <c r="R118" i="111" s="1"/>
  <c r="V118" i="111" s="1"/>
  <c r="O145" i="89"/>
  <c r="O145" i="111"/>
  <c r="J77" i="110"/>
  <c r="D147" i="110"/>
  <c r="F146" i="110"/>
  <c r="L8" i="62"/>
  <c r="J74" i="105"/>
  <c r="F147" i="105"/>
  <c r="X136" i="105" s="1"/>
  <c r="D148" i="105"/>
  <c r="D147" i="103"/>
  <c r="F146" i="103"/>
  <c r="H77" i="93"/>
  <c r="J77" i="93" s="1"/>
  <c r="J73" i="98"/>
  <c r="D148" i="98"/>
  <c r="F147" i="98"/>
  <c r="X136" i="98" s="1"/>
  <c r="G74" i="91"/>
  <c r="H74" i="91" s="1"/>
  <c r="G74" i="98"/>
  <c r="H74" i="98" s="1"/>
  <c r="D147" i="93"/>
  <c r="F146" i="93"/>
  <c r="F146" i="58"/>
  <c r="D147" i="58"/>
  <c r="D148" i="61"/>
  <c r="F147" i="61"/>
  <c r="F146" i="65"/>
  <c r="D147" i="65"/>
  <c r="J73" i="91"/>
  <c r="V73" i="89"/>
  <c r="S74" i="89" s="1"/>
  <c r="R74" i="89" s="1"/>
  <c r="G75" i="105" s="1"/>
  <c r="F147" i="91"/>
  <c r="O146" i="111" s="1"/>
  <c r="D148" i="91"/>
  <c r="N77" i="89"/>
  <c r="P77" i="89" s="1"/>
  <c r="D147" i="86"/>
  <c r="F146" i="86"/>
  <c r="M8" i="87"/>
  <c r="H73" i="86"/>
  <c r="J72" i="86"/>
  <c r="O5" i="75"/>
  <c r="H27" i="54"/>
  <c r="J27" i="54" s="1"/>
  <c r="K16" i="54" s="1"/>
  <c r="J8" i="55" s="1"/>
  <c r="S72" i="60"/>
  <c r="M73" i="60" s="1"/>
  <c r="O73" i="60" s="1"/>
  <c r="J60" i="65"/>
  <c r="N112" i="60"/>
  <c r="G73" i="61"/>
  <c r="U59" i="60"/>
  <c r="V25" i="53"/>
  <c r="S26" i="53" s="1"/>
  <c r="N27" i="53"/>
  <c r="P27" i="53" s="1"/>
  <c r="O112" i="53"/>
  <c r="D114" i="54"/>
  <c r="F114" i="54" s="1"/>
  <c r="I40" i="53"/>
  <c r="F147" i="112" l="1"/>
  <c r="X136" i="112" s="1"/>
  <c r="D148" i="112"/>
  <c r="J118" i="112"/>
  <c r="T118" i="111"/>
  <c r="N119" i="111" s="1"/>
  <c r="P119" i="111" s="1"/>
  <c r="G120" i="112" s="1"/>
  <c r="H120" i="112" s="1"/>
  <c r="G119" i="110"/>
  <c r="S119" i="111"/>
  <c r="R119" i="111" s="1"/>
  <c r="V119" i="111" s="1"/>
  <c r="F147" i="110"/>
  <c r="X136" i="110" s="1"/>
  <c r="D148" i="110"/>
  <c r="G78" i="103"/>
  <c r="H78" i="103" s="1"/>
  <c r="L8" i="55"/>
  <c r="M8" i="55" s="1"/>
  <c r="H8" i="55"/>
  <c r="N64" i="105"/>
  <c r="Y64" i="105"/>
  <c r="P9" i="106" s="1"/>
  <c r="D149" i="105"/>
  <c r="F148" i="105"/>
  <c r="H75" i="105"/>
  <c r="D148" i="103"/>
  <c r="F147" i="103"/>
  <c r="X136" i="103" s="1"/>
  <c r="N15" i="106" s="1"/>
  <c r="O146" i="89"/>
  <c r="X136" i="91"/>
  <c r="J74" i="98"/>
  <c r="D149" i="98"/>
  <c r="F148" i="98"/>
  <c r="G75" i="91"/>
  <c r="G75" i="98"/>
  <c r="G78" i="93"/>
  <c r="F147" i="93"/>
  <c r="X136" i="93" s="1"/>
  <c r="D148" i="93"/>
  <c r="F147" i="58"/>
  <c r="D148" i="58"/>
  <c r="F148" i="61"/>
  <c r="D149" i="61"/>
  <c r="F147" i="65"/>
  <c r="P136" i="65" s="1"/>
  <c r="N15" i="76" s="1"/>
  <c r="D148" i="65"/>
  <c r="J74" i="91"/>
  <c r="H75" i="91"/>
  <c r="V74" i="89"/>
  <c r="F148" i="91"/>
  <c r="O147" i="111" s="1"/>
  <c r="D149" i="91"/>
  <c r="T77" i="89"/>
  <c r="N78" i="89" s="1"/>
  <c r="P78" i="89" s="1"/>
  <c r="G78" i="86"/>
  <c r="F147" i="86"/>
  <c r="X136" i="86" s="1"/>
  <c r="N15" i="100" s="1"/>
  <c r="D148" i="86"/>
  <c r="H74" i="86"/>
  <c r="J73" i="86"/>
  <c r="S73" i="60"/>
  <c r="M74" i="60" s="1"/>
  <c r="O74" i="60" s="1"/>
  <c r="N64" i="86" s="1"/>
  <c r="N113" i="60"/>
  <c r="R60" i="60"/>
  <c r="Q60" i="60" s="1"/>
  <c r="G61" i="65" s="1"/>
  <c r="H61" i="65" s="1"/>
  <c r="G74" i="61"/>
  <c r="R26" i="53"/>
  <c r="G27" i="58" s="1"/>
  <c r="N16" i="58" s="1"/>
  <c r="M8" i="66"/>
  <c r="T27" i="53"/>
  <c r="G28" i="54"/>
  <c r="O113" i="53"/>
  <c r="D115" i="54"/>
  <c r="F115" i="54" s="1"/>
  <c r="I41" i="53"/>
  <c r="J119" i="112" l="1"/>
  <c r="D149" i="112"/>
  <c r="F148" i="112"/>
  <c r="T119" i="111"/>
  <c r="N120" i="111" s="1"/>
  <c r="P120" i="111" s="1"/>
  <c r="G121" i="112" s="1"/>
  <c r="H121" i="112" s="1"/>
  <c r="G120" i="110"/>
  <c r="S120" i="111"/>
  <c r="R120" i="111" s="1"/>
  <c r="V120" i="111" s="1"/>
  <c r="G79" i="103"/>
  <c r="H79" i="103" s="1"/>
  <c r="H78" i="110"/>
  <c r="D149" i="110"/>
  <c r="F148" i="110"/>
  <c r="N64" i="98"/>
  <c r="Y64" i="98"/>
  <c r="P9" i="101" s="1"/>
  <c r="F149" i="105"/>
  <c r="D150" i="105"/>
  <c r="J75" i="105"/>
  <c r="K64" i="105" s="1"/>
  <c r="D149" i="103"/>
  <c r="F148" i="103"/>
  <c r="J78" i="103"/>
  <c r="N15" i="101"/>
  <c r="O147" i="89"/>
  <c r="N64" i="91"/>
  <c r="Y64" i="91"/>
  <c r="H78" i="93"/>
  <c r="J78" i="93" s="1"/>
  <c r="F149" i="98"/>
  <c r="D150" i="98"/>
  <c r="H75" i="98"/>
  <c r="G79" i="93"/>
  <c r="F148" i="93"/>
  <c r="D149" i="93"/>
  <c r="F148" i="58"/>
  <c r="D149" i="58"/>
  <c r="F149" i="61"/>
  <c r="D150" i="61"/>
  <c r="D149" i="65"/>
  <c r="F148" i="65"/>
  <c r="J75" i="91"/>
  <c r="K64" i="91" s="1"/>
  <c r="J12" i="90" s="1"/>
  <c r="L12" i="90" s="1"/>
  <c r="M12" i="90" s="1"/>
  <c r="S75" i="89"/>
  <c r="R75" i="89" s="1"/>
  <c r="D150" i="91"/>
  <c r="F149" i="91"/>
  <c r="G79" i="86"/>
  <c r="T78" i="89"/>
  <c r="F148" i="86"/>
  <c r="D149" i="86"/>
  <c r="H75" i="86"/>
  <c r="J75" i="86" s="1"/>
  <c r="H76" i="86" s="1"/>
  <c r="J74" i="86"/>
  <c r="P5" i="75"/>
  <c r="H27" i="58"/>
  <c r="J27" i="58" s="1"/>
  <c r="K16" i="58" s="1"/>
  <c r="H28" i="54"/>
  <c r="J28" i="54" s="1"/>
  <c r="S74" i="60"/>
  <c r="M75" i="60" s="1"/>
  <c r="O75" i="60" s="1"/>
  <c r="U60" i="60"/>
  <c r="G75" i="61"/>
  <c r="N64" i="61" s="1"/>
  <c r="O9" i="76" s="1"/>
  <c r="N114" i="60"/>
  <c r="J61" i="65"/>
  <c r="V26" i="53"/>
  <c r="S27" i="53" s="1"/>
  <c r="M8" i="62"/>
  <c r="E4" i="114" s="1"/>
  <c r="J28" i="61"/>
  <c r="N28" i="53"/>
  <c r="P28" i="53" s="1"/>
  <c r="O114" i="53"/>
  <c r="D116" i="54"/>
  <c r="F116" i="54" s="1"/>
  <c r="I42" i="53"/>
  <c r="D150" i="112" l="1"/>
  <c r="F149" i="112"/>
  <c r="J120" i="112"/>
  <c r="T120" i="111"/>
  <c r="N121" i="111" s="1"/>
  <c r="P121" i="111" s="1"/>
  <c r="G122" i="112" s="1"/>
  <c r="H122" i="112" s="1"/>
  <c r="G121" i="110"/>
  <c r="S121" i="111"/>
  <c r="R121" i="111" s="1"/>
  <c r="V121" i="111" s="1"/>
  <c r="O148" i="89"/>
  <c r="O148" i="111"/>
  <c r="D150" i="110"/>
  <c r="F149" i="110"/>
  <c r="J78" i="110"/>
  <c r="H79" i="110"/>
  <c r="J12" i="104"/>
  <c r="J8" i="59"/>
  <c r="H8" i="59" s="1"/>
  <c r="D151" i="105"/>
  <c r="F150" i="105"/>
  <c r="G76" i="98"/>
  <c r="G76" i="105"/>
  <c r="H76" i="105" s="1"/>
  <c r="D150" i="103"/>
  <c r="F149" i="103"/>
  <c r="J79" i="103"/>
  <c r="P9" i="100"/>
  <c r="H79" i="93"/>
  <c r="J79" i="93" s="1"/>
  <c r="J75" i="98"/>
  <c r="K64" i="98" s="1"/>
  <c r="F150" i="98"/>
  <c r="D151" i="98"/>
  <c r="H12" i="90"/>
  <c r="D150" i="93"/>
  <c r="F149" i="93"/>
  <c r="D150" i="58"/>
  <c r="F149" i="58"/>
  <c r="D151" i="61"/>
  <c r="F150" i="61"/>
  <c r="F149" i="65"/>
  <c r="D150" i="65"/>
  <c r="V75" i="89"/>
  <c r="S76" i="89" s="1"/>
  <c r="R76" i="89" s="1"/>
  <c r="G77" i="105" s="1"/>
  <c r="G76" i="91"/>
  <c r="D151" i="91"/>
  <c r="F150" i="91"/>
  <c r="N79" i="89"/>
  <c r="P79" i="89" s="1"/>
  <c r="D150" i="86"/>
  <c r="F149" i="86"/>
  <c r="K64" i="86"/>
  <c r="J12" i="87" s="1"/>
  <c r="L12" i="87" s="1"/>
  <c r="M12" i="87" s="1"/>
  <c r="S75" i="60"/>
  <c r="M76" i="60" s="1"/>
  <c r="O76" i="60" s="1"/>
  <c r="R61" i="60"/>
  <c r="Q61" i="60" s="1"/>
  <c r="G62" i="65" s="1"/>
  <c r="H62" i="65" s="1"/>
  <c r="G76" i="61"/>
  <c r="N115" i="60"/>
  <c r="R27" i="53"/>
  <c r="V27" i="53" s="1"/>
  <c r="S28" i="53" s="1"/>
  <c r="T28" i="53"/>
  <c r="H29" i="61"/>
  <c r="G29" i="54"/>
  <c r="O115" i="53"/>
  <c r="D117" i="54"/>
  <c r="F117" i="54" s="1"/>
  <c r="I43" i="53"/>
  <c r="D151" i="112" l="1"/>
  <c r="F150" i="112"/>
  <c r="J121" i="112"/>
  <c r="T121" i="111"/>
  <c r="N122" i="111" s="1"/>
  <c r="P122" i="111" s="1"/>
  <c r="G123" i="112" s="1"/>
  <c r="H123" i="112" s="1"/>
  <c r="G122" i="110"/>
  <c r="S122" i="111"/>
  <c r="R122" i="111" s="1"/>
  <c r="V122" i="111" s="1"/>
  <c r="O149" i="89"/>
  <c r="O149" i="111"/>
  <c r="D151" i="110"/>
  <c r="F150" i="110"/>
  <c r="G80" i="103"/>
  <c r="H80" i="103" s="1"/>
  <c r="H80" i="110"/>
  <c r="J79" i="110"/>
  <c r="L12" i="109"/>
  <c r="M12" i="109" s="1"/>
  <c r="H12" i="109"/>
  <c r="H12" i="104"/>
  <c r="L12" i="104"/>
  <c r="M12" i="104" s="1"/>
  <c r="J12" i="97"/>
  <c r="L8" i="59"/>
  <c r="M8" i="59" s="1"/>
  <c r="F4" i="114" s="1"/>
  <c r="H76" i="98"/>
  <c r="J76" i="98" s="1"/>
  <c r="D152" i="105"/>
  <c r="F151" i="105"/>
  <c r="F150" i="103"/>
  <c r="D151" i="103"/>
  <c r="H76" i="91"/>
  <c r="J76" i="91" s="1"/>
  <c r="G77" i="91"/>
  <c r="G77" i="98"/>
  <c r="D152" i="98"/>
  <c r="F151" i="98"/>
  <c r="G80" i="93"/>
  <c r="D151" i="93"/>
  <c r="F150" i="93"/>
  <c r="D151" i="58"/>
  <c r="F150" i="58"/>
  <c r="F151" i="61"/>
  <c r="D152" i="61"/>
  <c r="D151" i="65"/>
  <c r="F150" i="65"/>
  <c r="V76" i="89"/>
  <c r="D152" i="91"/>
  <c r="F151" i="91"/>
  <c r="G80" i="86"/>
  <c r="H12" i="87"/>
  <c r="T79" i="89"/>
  <c r="N80" i="89" s="1"/>
  <c r="P80" i="89" s="1"/>
  <c r="F150" i="86"/>
  <c r="D151" i="86"/>
  <c r="J76" i="86"/>
  <c r="H77" i="86"/>
  <c r="H29" i="54"/>
  <c r="J29" i="54" s="1"/>
  <c r="S76" i="60"/>
  <c r="M77" i="60" s="1"/>
  <c r="O77" i="60" s="1"/>
  <c r="G77" i="61"/>
  <c r="N116" i="60"/>
  <c r="U61" i="60"/>
  <c r="J62" i="65"/>
  <c r="G28" i="58"/>
  <c r="R28" i="53"/>
  <c r="V28" i="53" s="1"/>
  <c r="S29" i="53" s="1"/>
  <c r="J29" i="61"/>
  <c r="N29" i="53"/>
  <c r="P29" i="53" s="1"/>
  <c r="O116" i="53"/>
  <c r="D118" i="54"/>
  <c r="F118" i="54" s="1"/>
  <c r="I44" i="53"/>
  <c r="J123" i="112" l="1"/>
  <c r="J122" i="112"/>
  <c r="N112" i="112"/>
  <c r="Y112" i="112"/>
  <c r="F151" i="112"/>
  <c r="D152" i="112"/>
  <c r="T122" i="111"/>
  <c r="N123" i="111" s="1"/>
  <c r="P123" i="111" s="1"/>
  <c r="G124" i="112" s="1"/>
  <c r="G123" i="110"/>
  <c r="S123" i="111"/>
  <c r="R123" i="111" s="1"/>
  <c r="V123" i="111" s="1"/>
  <c r="O150" i="89"/>
  <c r="O150" i="111"/>
  <c r="J80" i="110"/>
  <c r="G81" i="103"/>
  <c r="H81" i="103" s="1"/>
  <c r="H81" i="110"/>
  <c r="D152" i="110"/>
  <c r="F151" i="110"/>
  <c r="H12" i="97"/>
  <c r="L12" i="97"/>
  <c r="M12" i="97" s="1"/>
  <c r="H77" i="105"/>
  <c r="J76" i="105"/>
  <c r="F152" i="105"/>
  <c r="D153" i="105"/>
  <c r="D152" i="103"/>
  <c r="F151" i="103"/>
  <c r="J80" i="103"/>
  <c r="H77" i="91"/>
  <c r="J77" i="91" s="1"/>
  <c r="H80" i="93"/>
  <c r="J80" i="93" s="1"/>
  <c r="D153" i="98"/>
  <c r="F152" i="98"/>
  <c r="H77" i="98"/>
  <c r="G81" i="93"/>
  <c r="D152" i="93"/>
  <c r="F151" i="93"/>
  <c r="F151" i="58"/>
  <c r="D152" i="58"/>
  <c r="D153" i="61"/>
  <c r="F152" i="61"/>
  <c r="D152" i="65"/>
  <c r="F151" i="65"/>
  <c r="S77" i="89"/>
  <c r="R77" i="89" s="1"/>
  <c r="G81" i="86"/>
  <c r="F152" i="91"/>
  <c r="D153" i="91"/>
  <c r="T80" i="89"/>
  <c r="N81" i="89" s="1"/>
  <c r="P81" i="89" s="1"/>
  <c r="D152" i="86"/>
  <c r="F151" i="86"/>
  <c r="H78" i="86"/>
  <c r="J77" i="86"/>
  <c r="H28" i="58"/>
  <c r="J28" i="58" s="1"/>
  <c r="S77" i="60"/>
  <c r="M78" i="60" s="1"/>
  <c r="O78" i="60" s="1"/>
  <c r="N117" i="60"/>
  <c r="R62" i="60"/>
  <c r="Q62" i="60" s="1"/>
  <c r="G63" i="65" s="1"/>
  <c r="N52" i="65" s="1"/>
  <c r="P8" i="76" s="1"/>
  <c r="G78" i="61"/>
  <c r="R29" i="53"/>
  <c r="V29" i="53" s="1"/>
  <c r="S30" i="53" s="1"/>
  <c r="G29" i="58"/>
  <c r="T29" i="53"/>
  <c r="H30" i="61"/>
  <c r="O117" i="53"/>
  <c r="D119" i="54"/>
  <c r="F119" i="54" s="1"/>
  <c r="I45" i="53"/>
  <c r="H124" i="112" l="1"/>
  <c r="D153" i="112"/>
  <c r="F152" i="112"/>
  <c r="K112" i="112"/>
  <c r="J16" i="109" s="1"/>
  <c r="T123" i="111"/>
  <c r="N124" i="111" s="1"/>
  <c r="P124" i="111" s="1"/>
  <c r="G125" i="112" s="1"/>
  <c r="H125" i="112" s="1"/>
  <c r="G124" i="110"/>
  <c r="S124" i="111"/>
  <c r="R124" i="111" s="1"/>
  <c r="V124" i="111" s="1"/>
  <c r="O151" i="89"/>
  <c r="O151" i="111"/>
  <c r="G82" i="103"/>
  <c r="H82" i="110"/>
  <c r="D153" i="110"/>
  <c r="F152" i="110"/>
  <c r="J81" i="110"/>
  <c r="D154" i="105"/>
  <c r="F153" i="105"/>
  <c r="G78" i="98"/>
  <c r="G78" i="105"/>
  <c r="H78" i="105" s="1"/>
  <c r="J77" i="105"/>
  <c r="D153" i="103"/>
  <c r="F152" i="103"/>
  <c r="H82" i="103"/>
  <c r="J81" i="103"/>
  <c r="H81" i="93"/>
  <c r="J81" i="93" s="1"/>
  <c r="J77" i="98"/>
  <c r="D154" i="98"/>
  <c r="F153" i="98"/>
  <c r="G82" i="93"/>
  <c r="F152" i="93"/>
  <c r="D153" i="93"/>
  <c r="F152" i="58"/>
  <c r="D153" i="58"/>
  <c r="D154" i="61"/>
  <c r="F153" i="61"/>
  <c r="D153" i="65"/>
  <c r="F152" i="65"/>
  <c r="V77" i="89"/>
  <c r="S78" i="89" s="1"/>
  <c r="R78" i="89" s="1"/>
  <c r="G79" i="105" s="1"/>
  <c r="G78" i="91"/>
  <c r="D154" i="91"/>
  <c r="F153" i="91"/>
  <c r="G82" i="86"/>
  <c r="T81" i="89"/>
  <c r="D153" i="86"/>
  <c r="F152" i="86"/>
  <c r="J78" i="86"/>
  <c r="H79" i="86"/>
  <c r="H63" i="65"/>
  <c r="J63" i="65" s="1"/>
  <c r="K52" i="65" s="1"/>
  <c r="H29" i="58"/>
  <c r="J29" i="58" s="1"/>
  <c r="S78" i="60"/>
  <c r="M79" i="60" s="1"/>
  <c r="O79" i="60" s="1"/>
  <c r="G79" i="61"/>
  <c r="N118" i="60"/>
  <c r="U62" i="60"/>
  <c r="G30" i="58"/>
  <c r="R30" i="53"/>
  <c r="V30" i="53" s="1"/>
  <c r="S31" i="53" s="1"/>
  <c r="J30" i="61"/>
  <c r="N30" i="53"/>
  <c r="P30" i="53" s="1"/>
  <c r="H31" i="61" s="1"/>
  <c r="G30" i="54"/>
  <c r="O118" i="53"/>
  <c r="D120" i="54"/>
  <c r="F120" i="54" s="1"/>
  <c r="I46" i="53"/>
  <c r="J124" i="112" l="1"/>
  <c r="D154" i="112"/>
  <c r="F153" i="112"/>
  <c r="T124" i="111"/>
  <c r="N125" i="111" s="1"/>
  <c r="P125" i="111" s="1"/>
  <c r="G126" i="112" s="1"/>
  <c r="H126" i="112" s="1"/>
  <c r="G125" i="110"/>
  <c r="S125" i="111"/>
  <c r="R125" i="111" s="1"/>
  <c r="V125" i="111" s="1"/>
  <c r="O152" i="89"/>
  <c r="O152" i="111"/>
  <c r="D154" i="110"/>
  <c r="F153" i="110"/>
  <c r="J82" i="110"/>
  <c r="J11" i="66"/>
  <c r="H11" i="66" s="1"/>
  <c r="H78" i="98"/>
  <c r="J78" i="98" s="1"/>
  <c r="H79" i="105"/>
  <c r="J78" i="105"/>
  <c r="D155" i="105"/>
  <c r="F154" i="105"/>
  <c r="J82" i="103"/>
  <c r="D154" i="103"/>
  <c r="F153" i="103"/>
  <c r="H82" i="93"/>
  <c r="J82" i="93" s="1"/>
  <c r="H78" i="91"/>
  <c r="J78" i="91" s="1"/>
  <c r="D155" i="98"/>
  <c r="F154" i="98"/>
  <c r="G79" i="91"/>
  <c r="G79" i="98"/>
  <c r="D154" i="93"/>
  <c r="F153" i="93"/>
  <c r="F153" i="58"/>
  <c r="D154" i="58"/>
  <c r="D155" i="61"/>
  <c r="F154" i="61"/>
  <c r="D154" i="65"/>
  <c r="F153" i="65"/>
  <c r="V78" i="89"/>
  <c r="F154" i="91"/>
  <c r="D155" i="91"/>
  <c r="N82" i="89"/>
  <c r="P82" i="89" s="1"/>
  <c r="F153" i="86"/>
  <c r="D154" i="86"/>
  <c r="H80" i="86"/>
  <c r="J79" i="86"/>
  <c r="H30" i="58"/>
  <c r="J30" i="58" s="1"/>
  <c r="H30" i="54"/>
  <c r="J30" i="54" s="1"/>
  <c r="S79" i="60"/>
  <c r="M80" i="60" s="1"/>
  <c r="O80" i="60" s="1"/>
  <c r="N119" i="60"/>
  <c r="G80" i="61"/>
  <c r="R63" i="60"/>
  <c r="Q63" i="60" s="1"/>
  <c r="G64" i="65" s="1"/>
  <c r="R31" i="53"/>
  <c r="V31" i="53" s="1"/>
  <c r="S32" i="53" s="1"/>
  <c r="G31" i="58"/>
  <c r="J31" i="61"/>
  <c r="T30" i="53"/>
  <c r="N31" i="53" s="1"/>
  <c r="P31" i="53" s="1"/>
  <c r="H32" i="61" s="1"/>
  <c r="G31" i="54"/>
  <c r="O119" i="53"/>
  <c r="D121" i="54"/>
  <c r="F121" i="54" s="1"/>
  <c r="I47" i="53"/>
  <c r="D155" i="112" l="1"/>
  <c r="F154" i="112"/>
  <c r="J125" i="112"/>
  <c r="T125" i="111"/>
  <c r="N126" i="111" s="1"/>
  <c r="P126" i="111" s="1"/>
  <c r="G127" i="112" s="1"/>
  <c r="H127" i="112" s="1"/>
  <c r="G126" i="110"/>
  <c r="S126" i="111"/>
  <c r="R126" i="111" s="1"/>
  <c r="V126" i="111" s="1"/>
  <c r="O153" i="89"/>
  <c r="O153" i="111"/>
  <c r="G83" i="103"/>
  <c r="H83" i="103" s="1"/>
  <c r="J83" i="103" s="1"/>
  <c r="F154" i="110"/>
  <c r="D155" i="110"/>
  <c r="L11" i="66"/>
  <c r="H79" i="98"/>
  <c r="J79" i="98" s="1"/>
  <c r="D156" i="105"/>
  <c r="F155" i="105"/>
  <c r="J79" i="105"/>
  <c r="F154" i="103"/>
  <c r="D155" i="103"/>
  <c r="H79" i="91"/>
  <c r="J79" i="91" s="1"/>
  <c r="D156" i="98"/>
  <c r="F155" i="98"/>
  <c r="G83" i="93"/>
  <c r="H83" i="93" s="1"/>
  <c r="J83" i="93" s="1"/>
  <c r="D155" i="93"/>
  <c r="F154" i="93"/>
  <c r="D155" i="58"/>
  <c r="F154" i="58"/>
  <c r="F155" i="61"/>
  <c r="D156" i="61"/>
  <c r="D155" i="65"/>
  <c r="F154" i="65"/>
  <c r="S79" i="89"/>
  <c r="R79" i="89" s="1"/>
  <c r="G80" i="105" s="1"/>
  <c r="H80" i="105" s="1"/>
  <c r="D156" i="91"/>
  <c r="F155" i="91"/>
  <c r="G83" i="86"/>
  <c r="T82" i="89"/>
  <c r="D155" i="86"/>
  <c r="F154" i="86"/>
  <c r="J80" i="86"/>
  <c r="H81" i="86"/>
  <c r="H31" i="58"/>
  <c r="J31" i="58" s="1"/>
  <c r="H64" i="65"/>
  <c r="J64" i="65" s="1"/>
  <c r="H31" i="54"/>
  <c r="J31" i="54" s="1"/>
  <c r="S80" i="60"/>
  <c r="M81" i="60" s="1"/>
  <c r="O81" i="60" s="1"/>
  <c r="N120" i="60"/>
  <c r="G81" i="61"/>
  <c r="U63" i="60"/>
  <c r="R32" i="53"/>
  <c r="V32" i="53" s="1"/>
  <c r="S33" i="53" s="1"/>
  <c r="G32" i="58"/>
  <c r="J32" i="61"/>
  <c r="T31" i="53"/>
  <c r="O120" i="53"/>
  <c r="D122" i="54"/>
  <c r="F122" i="54" s="1"/>
  <c r="I48" i="53"/>
  <c r="J126" i="112" l="1"/>
  <c r="F155" i="112"/>
  <c r="D156" i="112"/>
  <c r="T126" i="111"/>
  <c r="N127" i="111" s="1"/>
  <c r="P127" i="111" s="1"/>
  <c r="G128" i="112" s="1"/>
  <c r="H128" i="112" s="1"/>
  <c r="G127" i="110"/>
  <c r="S127" i="111"/>
  <c r="R127" i="111" s="1"/>
  <c r="V127" i="111" s="1"/>
  <c r="O154" i="89"/>
  <c r="O154" i="111"/>
  <c r="F155" i="110"/>
  <c r="D156" i="110"/>
  <c r="H83" i="110"/>
  <c r="J80" i="105"/>
  <c r="D157" i="105"/>
  <c r="F156" i="105"/>
  <c r="D156" i="103"/>
  <c r="F155" i="103"/>
  <c r="D157" i="98"/>
  <c r="F156" i="98"/>
  <c r="G80" i="91"/>
  <c r="G80" i="98"/>
  <c r="H80" i="98" s="1"/>
  <c r="D156" i="93"/>
  <c r="F155" i="93"/>
  <c r="F155" i="58"/>
  <c r="D156" i="58"/>
  <c r="D157" i="61"/>
  <c r="F156" i="61"/>
  <c r="D156" i="65"/>
  <c r="F155" i="65"/>
  <c r="V79" i="89"/>
  <c r="F156" i="91"/>
  <c r="D157" i="91"/>
  <c r="N83" i="89"/>
  <c r="P83" i="89" s="1"/>
  <c r="D156" i="86"/>
  <c r="F155" i="86"/>
  <c r="H82" i="86"/>
  <c r="J81" i="86"/>
  <c r="H32" i="58"/>
  <c r="J32" i="58" s="1"/>
  <c r="S81" i="60"/>
  <c r="M82" i="60" s="1"/>
  <c r="O82" i="60" s="1"/>
  <c r="N121" i="60"/>
  <c r="R64" i="60"/>
  <c r="Q64" i="60" s="1"/>
  <c r="G65" i="65" s="1"/>
  <c r="G82" i="61"/>
  <c r="G33" i="58"/>
  <c r="R33" i="53"/>
  <c r="V33" i="53" s="1"/>
  <c r="S34" i="53" s="1"/>
  <c r="N32" i="53"/>
  <c r="P32" i="53" s="1"/>
  <c r="G32" i="54"/>
  <c r="O121" i="53"/>
  <c r="D123" i="54"/>
  <c r="F123" i="54" s="1"/>
  <c r="I49" i="53"/>
  <c r="J127" i="112" l="1"/>
  <c r="D157" i="112"/>
  <c r="F156" i="112"/>
  <c r="T127" i="111"/>
  <c r="N128" i="111" s="1"/>
  <c r="P128" i="111" s="1"/>
  <c r="G129" i="112" s="1"/>
  <c r="H129" i="112" s="1"/>
  <c r="G128" i="110"/>
  <c r="O155" i="89"/>
  <c r="O155" i="111"/>
  <c r="S128" i="111"/>
  <c r="R128" i="111" s="1"/>
  <c r="V128" i="111" s="1"/>
  <c r="J83" i="110"/>
  <c r="G84" i="103"/>
  <c r="H84" i="103" s="1"/>
  <c r="J84" i="103" s="1"/>
  <c r="H84" i="110"/>
  <c r="D157" i="110"/>
  <c r="F156" i="110"/>
  <c r="D158" i="105"/>
  <c r="F157" i="105"/>
  <c r="D157" i="103"/>
  <c r="F156" i="103"/>
  <c r="H80" i="91"/>
  <c r="J80" i="91" s="1"/>
  <c r="J80" i="98"/>
  <c r="D158" i="98"/>
  <c r="F157" i="98"/>
  <c r="G84" i="93"/>
  <c r="H84" i="93" s="1"/>
  <c r="J84" i="93" s="1"/>
  <c r="D157" i="93"/>
  <c r="F156" i="93"/>
  <c r="F156" i="58"/>
  <c r="D157" i="58"/>
  <c r="D158" i="61"/>
  <c r="F157" i="61"/>
  <c r="D157" i="65"/>
  <c r="F156" i="65"/>
  <c r="S80" i="89"/>
  <c r="R80" i="89" s="1"/>
  <c r="G81" i="105" s="1"/>
  <c r="D158" i="91"/>
  <c r="F157" i="91"/>
  <c r="G84" i="86"/>
  <c r="T83" i="89"/>
  <c r="N84" i="89" s="1"/>
  <c r="P84" i="89" s="1"/>
  <c r="F156" i="86"/>
  <c r="D157" i="86"/>
  <c r="N112" i="54"/>
  <c r="N13" i="75" s="1"/>
  <c r="J82" i="86"/>
  <c r="H83" i="86"/>
  <c r="H65" i="65"/>
  <c r="J65" i="65" s="1"/>
  <c r="H32" i="54"/>
  <c r="J32" i="54" s="1"/>
  <c r="S82" i="60"/>
  <c r="M83" i="60" s="1"/>
  <c r="O83" i="60" s="1"/>
  <c r="N122" i="60"/>
  <c r="U64" i="60"/>
  <c r="G83" i="61"/>
  <c r="R34" i="53"/>
  <c r="V34" i="53" s="1"/>
  <c r="S35" i="53" s="1"/>
  <c r="G34" i="58"/>
  <c r="H33" i="58"/>
  <c r="J33" i="58" s="1"/>
  <c r="H33" i="61"/>
  <c r="T32" i="53"/>
  <c r="O122" i="53"/>
  <c r="D124" i="54"/>
  <c r="F124" i="54" s="1"/>
  <c r="I50" i="53"/>
  <c r="D158" i="112" l="1"/>
  <c r="F157" i="112"/>
  <c r="J128" i="112"/>
  <c r="T128" i="111"/>
  <c r="N129" i="111" s="1"/>
  <c r="P129" i="111" s="1"/>
  <c r="G130" i="112" s="1"/>
  <c r="H130" i="112" s="1"/>
  <c r="G129" i="110"/>
  <c r="O156" i="89"/>
  <c r="O156" i="111"/>
  <c r="S129" i="111"/>
  <c r="R129" i="111" s="1"/>
  <c r="V129" i="111" s="1"/>
  <c r="J84" i="110"/>
  <c r="G85" i="103"/>
  <c r="H85" i="103" s="1"/>
  <c r="J85" i="103" s="1"/>
  <c r="H85" i="110"/>
  <c r="D158" i="110"/>
  <c r="F157" i="110"/>
  <c r="H81" i="105"/>
  <c r="D159" i="105"/>
  <c r="F158" i="105"/>
  <c r="D158" i="103"/>
  <c r="F157" i="103"/>
  <c r="D159" i="98"/>
  <c r="F158" i="98"/>
  <c r="G81" i="91"/>
  <c r="G81" i="98"/>
  <c r="H81" i="98" s="1"/>
  <c r="G85" i="93"/>
  <c r="H85" i="93" s="1"/>
  <c r="J85" i="93" s="1"/>
  <c r="D158" i="93"/>
  <c r="F157" i="93"/>
  <c r="D158" i="58"/>
  <c r="F157" i="58"/>
  <c r="F158" i="61"/>
  <c r="D159" i="61"/>
  <c r="F157" i="65"/>
  <c r="D158" i="65"/>
  <c r="V80" i="89"/>
  <c r="G85" i="86"/>
  <c r="D159" i="91"/>
  <c r="F158" i="91"/>
  <c r="T84" i="89"/>
  <c r="N85" i="89" s="1"/>
  <c r="P85" i="89" s="1"/>
  <c r="F157" i="86"/>
  <c r="D158" i="86"/>
  <c r="H84" i="86"/>
  <c r="J83" i="86"/>
  <c r="S83" i="60"/>
  <c r="M84" i="60" s="1"/>
  <c r="O84" i="60" s="1"/>
  <c r="N123" i="60"/>
  <c r="R65" i="60"/>
  <c r="Q65" i="60" s="1"/>
  <c r="G66" i="65" s="1"/>
  <c r="G84" i="61"/>
  <c r="G35" i="58"/>
  <c r="R35" i="53"/>
  <c r="V35" i="53" s="1"/>
  <c r="S36" i="53" s="1"/>
  <c r="J33" i="61"/>
  <c r="N33" i="53"/>
  <c r="P33" i="53" s="1"/>
  <c r="G33" i="54"/>
  <c r="H33" i="54" s="1"/>
  <c r="J33" i="54" s="1"/>
  <c r="O123" i="53"/>
  <c r="D125" i="54"/>
  <c r="F125" i="54" s="1"/>
  <c r="I51" i="53"/>
  <c r="J129" i="112" l="1"/>
  <c r="D159" i="112"/>
  <c r="F158" i="112"/>
  <c r="T129" i="111"/>
  <c r="N130" i="111" s="1"/>
  <c r="P130" i="111" s="1"/>
  <c r="G131" i="112" s="1"/>
  <c r="H131" i="112" s="1"/>
  <c r="G130" i="110"/>
  <c r="S130" i="111"/>
  <c r="R130" i="111" s="1"/>
  <c r="V130" i="111" s="1"/>
  <c r="O157" i="89"/>
  <c r="O157" i="111"/>
  <c r="J85" i="110"/>
  <c r="G86" i="103"/>
  <c r="H86" i="103" s="1"/>
  <c r="J86" i="103" s="1"/>
  <c r="H86" i="110"/>
  <c r="F158" i="110"/>
  <c r="D159" i="110"/>
  <c r="F159" i="105"/>
  <c r="X148" i="105" s="1"/>
  <c r="D160" i="105"/>
  <c r="J81" i="105"/>
  <c r="F158" i="103"/>
  <c r="D159" i="103"/>
  <c r="H81" i="91"/>
  <c r="J81" i="91" s="1"/>
  <c r="J81" i="98"/>
  <c r="F159" i="98"/>
  <c r="X148" i="98" s="1"/>
  <c r="D160" i="98"/>
  <c r="G86" i="93"/>
  <c r="H86" i="93" s="1"/>
  <c r="J86" i="93" s="1"/>
  <c r="D159" i="93"/>
  <c r="F158" i="93"/>
  <c r="F158" i="58"/>
  <c r="D159" i="58"/>
  <c r="F159" i="61"/>
  <c r="D160" i="61"/>
  <c r="F158" i="65"/>
  <c r="D159" i="65"/>
  <c r="S81" i="89"/>
  <c r="R81" i="89" s="1"/>
  <c r="G82" i="105" s="1"/>
  <c r="H82" i="105" s="1"/>
  <c r="G86" i="86"/>
  <c r="F159" i="91"/>
  <c r="O158" i="111" s="1"/>
  <c r="D160" i="91"/>
  <c r="T85" i="89"/>
  <c r="N86" i="89" s="1"/>
  <c r="P86" i="89" s="1"/>
  <c r="D159" i="86"/>
  <c r="F158" i="86"/>
  <c r="J84" i="86"/>
  <c r="H85" i="86"/>
  <c r="H66" i="65"/>
  <c r="J66" i="65" s="1"/>
  <c r="S84" i="60"/>
  <c r="M85" i="60" s="1"/>
  <c r="O85" i="60" s="1"/>
  <c r="G85" i="61"/>
  <c r="N124" i="60"/>
  <c r="U65" i="60"/>
  <c r="R36" i="53"/>
  <c r="V36" i="53" s="1"/>
  <c r="S37" i="53" s="1"/>
  <c r="G36" i="58"/>
  <c r="H34" i="58"/>
  <c r="J34" i="58" s="1"/>
  <c r="H34" i="61"/>
  <c r="T33" i="53"/>
  <c r="O124" i="53"/>
  <c r="D126" i="54"/>
  <c r="F126" i="54" s="1"/>
  <c r="I52" i="53"/>
  <c r="D160" i="112" l="1"/>
  <c r="F159" i="112"/>
  <c r="X148" i="112" s="1"/>
  <c r="J130" i="112"/>
  <c r="T130" i="111"/>
  <c r="N131" i="111" s="1"/>
  <c r="P131" i="111" s="1"/>
  <c r="G132" i="112" s="1"/>
  <c r="H132" i="112" s="1"/>
  <c r="G131" i="110"/>
  <c r="S131" i="111"/>
  <c r="R131" i="111" s="1"/>
  <c r="V131" i="111" s="1"/>
  <c r="J86" i="110"/>
  <c r="F159" i="110"/>
  <c r="X148" i="110" s="1"/>
  <c r="D160" i="110"/>
  <c r="G87" i="103"/>
  <c r="H87" i="103" s="1"/>
  <c r="J87" i="103" s="1"/>
  <c r="D161" i="105"/>
  <c r="F160" i="105"/>
  <c r="J82" i="105"/>
  <c r="F159" i="103"/>
  <c r="X148" i="103" s="1"/>
  <c r="N16" i="106" s="1"/>
  <c r="D160" i="103"/>
  <c r="O158" i="89"/>
  <c r="X148" i="91"/>
  <c r="F160" i="98"/>
  <c r="D161" i="98"/>
  <c r="G82" i="91"/>
  <c r="H82" i="91" s="1"/>
  <c r="J82" i="91" s="1"/>
  <c r="G82" i="98"/>
  <c r="H82" i="98" s="1"/>
  <c r="G87" i="93"/>
  <c r="F159" i="93"/>
  <c r="X148" i="93" s="1"/>
  <c r="D160" i="93"/>
  <c r="D160" i="58"/>
  <c r="F159" i="58"/>
  <c r="D161" i="61"/>
  <c r="F160" i="61"/>
  <c r="F159" i="65"/>
  <c r="P148" i="65" s="1"/>
  <c r="N16" i="76" s="1"/>
  <c r="D160" i="65"/>
  <c r="V81" i="89"/>
  <c r="G87" i="86"/>
  <c r="Y76" i="86" s="1"/>
  <c r="F160" i="91"/>
  <c r="O159" i="111" s="1"/>
  <c r="D161" i="91"/>
  <c r="T86" i="89"/>
  <c r="D160" i="86"/>
  <c r="F159" i="86"/>
  <c r="X148" i="86" s="1"/>
  <c r="N16" i="100" s="1"/>
  <c r="H86" i="86"/>
  <c r="J85" i="86"/>
  <c r="S85" i="60"/>
  <c r="M86" i="60" s="1"/>
  <c r="O86" i="60" s="1"/>
  <c r="N125" i="60"/>
  <c r="G86" i="61"/>
  <c r="R66" i="60"/>
  <c r="Q66" i="60" s="1"/>
  <c r="G67" i="65" s="1"/>
  <c r="G37" i="58"/>
  <c r="R37" i="53"/>
  <c r="V37" i="53" s="1"/>
  <c r="S38" i="53" s="1"/>
  <c r="J34" i="61"/>
  <c r="N34" i="53"/>
  <c r="P34" i="53" s="1"/>
  <c r="G34" i="54"/>
  <c r="H34" i="54" s="1"/>
  <c r="J34" i="54" s="1"/>
  <c r="O125" i="53"/>
  <c r="D127" i="54"/>
  <c r="F127" i="54" s="1"/>
  <c r="I53" i="53"/>
  <c r="J131" i="112" l="1"/>
  <c r="D161" i="112"/>
  <c r="F160" i="112"/>
  <c r="T131" i="111"/>
  <c r="N132" i="111" s="1"/>
  <c r="P132" i="111" s="1"/>
  <c r="G133" i="112" s="1"/>
  <c r="H133" i="112" s="1"/>
  <c r="G132" i="110"/>
  <c r="S132" i="111"/>
  <c r="R132" i="111" s="1"/>
  <c r="V132" i="111" s="1"/>
  <c r="N76" i="103"/>
  <c r="Y76" i="103"/>
  <c r="O10" i="106" s="1"/>
  <c r="Y76" i="110"/>
  <c r="N76" i="110"/>
  <c r="H87" i="110"/>
  <c r="J87" i="110" s="1"/>
  <c r="D161" i="110"/>
  <c r="F160" i="110"/>
  <c r="D162" i="105"/>
  <c r="F161" i="105"/>
  <c r="D161" i="103"/>
  <c r="F160" i="103"/>
  <c r="K76" i="103"/>
  <c r="N16" i="101"/>
  <c r="O10" i="100"/>
  <c r="O159" i="89"/>
  <c r="N76" i="93"/>
  <c r="Y76" i="93"/>
  <c r="O10" i="101" s="1"/>
  <c r="D162" i="98"/>
  <c r="F161" i="98"/>
  <c r="J82" i="98"/>
  <c r="H87" i="93"/>
  <c r="J87" i="93" s="1"/>
  <c r="K76" i="93" s="1"/>
  <c r="F160" i="93"/>
  <c r="D161" i="93"/>
  <c r="D161" i="58"/>
  <c r="F160" i="58"/>
  <c r="F161" i="61"/>
  <c r="D162" i="61"/>
  <c r="F160" i="65"/>
  <c r="D161" i="65"/>
  <c r="S82" i="89"/>
  <c r="R82" i="89" s="1"/>
  <c r="G83" i="105" s="1"/>
  <c r="H83" i="105" s="1"/>
  <c r="N76" i="86"/>
  <c r="D162" i="91"/>
  <c r="F161" i="91"/>
  <c r="N87" i="89"/>
  <c r="P87" i="89" s="1"/>
  <c r="D161" i="86"/>
  <c r="F160" i="86"/>
  <c r="J86" i="86"/>
  <c r="H87" i="86"/>
  <c r="J87" i="86" s="1"/>
  <c r="H67" i="65"/>
  <c r="J67" i="65" s="1"/>
  <c r="S86" i="60"/>
  <c r="M87" i="60" s="1"/>
  <c r="O87" i="60" s="1"/>
  <c r="U66" i="60"/>
  <c r="R67" i="60" s="1"/>
  <c r="Q67" i="60" s="1"/>
  <c r="G68" i="65" s="1"/>
  <c r="G87" i="61"/>
  <c r="N76" i="61" s="1"/>
  <c r="O10" i="76" s="1"/>
  <c r="N126" i="60"/>
  <c r="R38" i="53"/>
  <c r="V38" i="53" s="1"/>
  <c r="S39" i="53" s="1"/>
  <c r="G38" i="58"/>
  <c r="H35" i="58"/>
  <c r="J35" i="58" s="1"/>
  <c r="H35" i="61"/>
  <c r="T34" i="53"/>
  <c r="O126" i="53"/>
  <c r="D128" i="54"/>
  <c r="F128" i="54" s="1"/>
  <c r="I54" i="53"/>
  <c r="D162" i="112" l="1"/>
  <c r="F161" i="112"/>
  <c r="J132" i="112"/>
  <c r="T132" i="111"/>
  <c r="N133" i="111" s="1"/>
  <c r="P133" i="111" s="1"/>
  <c r="G134" i="112" s="1"/>
  <c r="H134" i="112" s="1"/>
  <c r="G133" i="110"/>
  <c r="S133" i="111"/>
  <c r="R133" i="111" s="1"/>
  <c r="V133" i="111" s="1"/>
  <c r="O160" i="89"/>
  <c r="O160" i="111"/>
  <c r="G88" i="103"/>
  <c r="H88" i="103" s="1"/>
  <c r="F161" i="110"/>
  <c r="D162" i="110"/>
  <c r="K76" i="110"/>
  <c r="J13" i="108" s="1"/>
  <c r="H13" i="108" s="1"/>
  <c r="J13" i="102"/>
  <c r="J13" i="92"/>
  <c r="J83" i="105"/>
  <c r="D163" i="105"/>
  <c r="F162" i="105"/>
  <c r="F161" i="103"/>
  <c r="D162" i="103"/>
  <c r="G83" i="91"/>
  <c r="H83" i="91" s="1"/>
  <c r="G83" i="98"/>
  <c r="H83" i="98" s="1"/>
  <c r="D163" i="98"/>
  <c r="F162" i="98"/>
  <c r="G88" i="93"/>
  <c r="D162" i="93"/>
  <c r="F161" i="93"/>
  <c r="F161" i="58"/>
  <c r="D162" i="58"/>
  <c r="D163" i="61"/>
  <c r="F162" i="61"/>
  <c r="D162" i="65"/>
  <c r="F161" i="65"/>
  <c r="V82" i="89"/>
  <c r="F162" i="91"/>
  <c r="D163" i="91"/>
  <c r="T87" i="89"/>
  <c r="N88" i="89" s="1"/>
  <c r="P88" i="89" s="1"/>
  <c r="G88" i="86"/>
  <c r="D162" i="86"/>
  <c r="F161" i="86"/>
  <c r="K76" i="86"/>
  <c r="J13" i="87" s="1"/>
  <c r="L13" i="87" s="1"/>
  <c r="M13" i="87" s="1"/>
  <c r="H68" i="65"/>
  <c r="J68" i="65" s="1"/>
  <c r="S87" i="60"/>
  <c r="M88" i="60" s="1"/>
  <c r="O88" i="60" s="1"/>
  <c r="U67" i="60"/>
  <c r="G88" i="61"/>
  <c r="N127" i="60"/>
  <c r="R39" i="53"/>
  <c r="V39" i="53" s="1"/>
  <c r="S40" i="53" s="1"/>
  <c r="R40" i="53" s="1"/>
  <c r="G39" i="58"/>
  <c r="N28" i="58" s="1"/>
  <c r="J35" i="61"/>
  <c r="N35" i="53"/>
  <c r="P35" i="53" s="1"/>
  <c r="G35" i="54"/>
  <c r="H35" i="54" s="1"/>
  <c r="J35" i="54" s="1"/>
  <c r="O127" i="53"/>
  <c r="D129" i="54"/>
  <c r="F129" i="54" s="1"/>
  <c r="I55" i="53"/>
  <c r="J133" i="112" l="1"/>
  <c r="F162" i="112"/>
  <c r="D163" i="112"/>
  <c r="L13" i="108"/>
  <c r="M13" i="108" s="1"/>
  <c r="T133" i="111"/>
  <c r="N134" i="111" s="1"/>
  <c r="P134" i="111" s="1"/>
  <c r="G135" i="112" s="1"/>
  <c r="H135" i="112" s="1"/>
  <c r="G134" i="110"/>
  <c r="S134" i="111"/>
  <c r="R134" i="111" s="1"/>
  <c r="V134" i="111" s="1"/>
  <c r="O161" i="89"/>
  <c r="O161" i="111"/>
  <c r="F162" i="110"/>
  <c r="D163" i="110"/>
  <c r="G89" i="103"/>
  <c r="H89" i="103" s="1"/>
  <c r="H88" i="110"/>
  <c r="H13" i="102"/>
  <c r="L13" i="102"/>
  <c r="M13" i="102" s="1"/>
  <c r="H13" i="92"/>
  <c r="L13" i="92"/>
  <c r="M13" i="92" s="1"/>
  <c r="D164" i="105"/>
  <c r="F163" i="105"/>
  <c r="D163" i="103"/>
  <c r="F162" i="103"/>
  <c r="J88" i="103"/>
  <c r="H88" i="86"/>
  <c r="J88" i="86" s="1"/>
  <c r="H88" i="93"/>
  <c r="J88" i="93" s="1"/>
  <c r="D164" i="98"/>
  <c r="F163" i="98"/>
  <c r="J83" i="98"/>
  <c r="G89" i="93"/>
  <c r="D163" i="93"/>
  <c r="F162" i="93"/>
  <c r="D163" i="58"/>
  <c r="F162" i="58"/>
  <c r="D164" i="61"/>
  <c r="F163" i="61"/>
  <c r="D163" i="65"/>
  <c r="F162" i="65"/>
  <c r="J83" i="91"/>
  <c r="S83" i="89"/>
  <c r="R83" i="89" s="1"/>
  <c r="G84" i="105" s="1"/>
  <c r="H84" i="105" s="1"/>
  <c r="G89" i="86"/>
  <c r="D164" i="91"/>
  <c r="F163" i="91"/>
  <c r="H13" i="87"/>
  <c r="T88" i="89"/>
  <c r="D163" i="86"/>
  <c r="F162" i="86"/>
  <c r="P6" i="75"/>
  <c r="S88" i="60"/>
  <c r="M89" i="60" s="1"/>
  <c r="O89" i="60" s="1"/>
  <c r="G89" i="61"/>
  <c r="R68" i="60"/>
  <c r="Q68" i="60" s="1"/>
  <c r="G69" i="65" s="1"/>
  <c r="H69" i="65" s="1"/>
  <c r="N128" i="60"/>
  <c r="G40" i="58"/>
  <c r="H36" i="58"/>
  <c r="J36" i="58" s="1"/>
  <c r="H36" i="61"/>
  <c r="T35" i="53"/>
  <c r="O128" i="53"/>
  <c r="D130" i="54"/>
  <c r="F130" i="54" s="1"/>
  <c r="I56" i="53"/>
  <c r="Y124" i="112" l="1"/>
  <c r="N124" i="112"/>
  <c r="J135" i="112"/>
  <c r="J134" i="112"/>
  <c r="D164" i="112"/>
  <c r="F163" i="112"/>
  <c r="T134" i="111"/>
  <c r="N135" i="111" s="1"/>
  <c r="P135" i="111" s="1"/>
  <c r="G136" i="112" s="1"/>
  <c r="H136" i="112" s="1"/>
  <c r="G135" i="110"/>
  <c r="S135" i="111"/>
  <c r="R135" i="111" s="1"/>
  <c r="V135" i="111" s="1"/>
  <c r="O162" i="89"/>
  <c r="O162" i="111"/>
  <c r="H89" i="110"/>
  <c r="J88" i="110"/>
  <c r="D164" i="110"/>
  <c r="F163" i="110"/>
  <c r="J84" i="105"/>
  <c r="D165" i="105"/>
  <c r="F164" i="105"/>
  <c r="D164" i="103"/>
  <c r="F163" i="103"/>
  <c r="J89" i="103"/>
  <c r="H89" i="86"/>
  <c r="J89" i="86" s="1"/>
  <c r="H89" i="93"/>
  <c r="J89" i="93" s="1"/>
  <c r="G84" i="91"/>
  <c r="H84" i="91" s="1"/>
  <c r="G84" i="98"/>
  <c r="H84" i="98" s="1"/>
  <c r="D165" i="98"/>
  <c r="F164" i="98"/>
  <c r="D164" i="93"/>
  <c r="F163" i="93"/>
  <c r="D164" i="58"/>
  <c r="F163" i="58"/>
  <c r="D165" i="61"/>
  <c r="F164" i="61"/>
  <c r="F163" i="65"/>
  <c r="D164" i="65"/>
  <c r="V83" i="89"/>
  <c r="F164" i="91"/>
  <c r="D165" i="91"/>
  <c r="N89" i="89"/>
  <c r="P89" i="89" s="1"/>
  <c r="F163" i="86"/>
  <c r="D164" i="86"/>
  <c r="S89" i="60"/>
  <c r="M90" i="60" s="1"/>
  <c r="O90" i="60" s="1"/>
  <c r="J69" i="65"/>
  <c r="G90" i="61"/>
  <c r="N129" i="60"/>
  <c r="U68" i="60"/>
  <c r="J36" i="61"/>
  <c r="V40" i="53"/>
  <c r="G41" i="58"/>
  <c r="N36" i="53"/>
  <c r="P36" i="53" s="1"/>
  <c r="G36" i="54"/>
  <c r="H36" i="54" s="1"/>
  <c r="J36" i="54" s="1"/>
  <c r="O129" i="53"/>
  <c r="D131" i="54"/>
  <c r="F131" i="54" s="1"/>
  <c r="I57" i="53"/>
  <c r="K124" i="112" l="1"/>
  <c r="J17" i="109" s="1"/>
  <c r="D165" i="112"/>
  <c r="F164" i="112"/>
  <c r="T135" i="111"/>
  <c r="N136" i="111" s="1"/>
  <c r="P136" i="111" s="1"/>
  <c r="G137" i="112" s="1"/>
  <c r="H137" i="112" s="1"/>
  <c r="G136" i="110"/>
  <c r="S136" i="111"/>
  <c r="R136" i="111" s="1"/>
  <c r="V136" i="111" s="1"/>
  <c r="O163" i="89"/>
  <c r="O163" i="111"/>
  <c r="D165" i="110"/>
  <c r="F164" i="110"/>
  <c r="G90" i="103"/>
  <c r="H90" i="103" s="1"/>
  <c r="J90" i="103" s="1"/>
  <c r="H90" i="110"/>
  <c r="J89" i="110"/>
  <c r="D166" i="105"/>
  <c r="F165" i="105"/>
  <c r="D165" i="103"/>
  <c r="F164" i="103"/>
  <c r="D166" i="98"/>
  <c r="F165" i="98"/>
  <c r="J84" i="98"/>
  <c r="G90" i="93"/>
  <c r="D165" i="93"/>
  <c r="F164" i="93"/>
  <c r="F164" i="58"/>
  <c r="D165" i="58"/>
  <c r="F165" i="61"/>
  <c r="D166" i="61"/>
  <c r="F164" i="65"/>
  <c r="D165" i="65"/>
  <c r="J84" i="91"/>
  <c r="S84" i="89"/>
  <c r="R84" i="89" s="1"/>
  <c r="G85" i="105" s="1"/>
  <c r="H85" i="105" s="1"/>
  <c r="D166" i="91"/>
  <c r="F165" i="91"/>
  <c r="T89" i="89"/>
  <c r="N90" i="89" s="1"/>
  <c r="P90" i="89" s="1"/>
  <c r="G90" i="86"/>
  <c r="D165" i="86"/>
  <c r="F164" i="86"/>
  <c r="S90" i="60"/>
  <c r="M91" i="60" s="1"/>
  <c r="O91" i="60" s="1"/>
  <c r="G91" i="61"/>
  <c r="N130" i="60"/>
  <c r="R69" i="60"/>
  <c r="Q69" i="60" s="1"/>
  <c r="G70" i="65" s="1"/>
  <c r="H70" i="65" s="1"/>
  <c r="H37" i="58"/>
  <c r="J37" i="58" s="1"/>
  <c r="H37" i="61"/>
  <c r="T36" i="53"/>
  <c r="S41" i="53"/>
  <c r="O130" i="53"/>
  <c r="D132" i="54"/>
  <c r="F132" i="54" s="1"/>
  <c r="I58" i="53"/>
  <c r="J136" i="112" l="1"/>
  <c r="F165" i="112"/>
  <c r="D166" i="112"/>
  <c r="T136" i="111"/>
  <c r="N137" i="111" s="1"/>
  <c r="P137" i="111" s="1"/>
  <c r="G138" i="112" s="1"/>
  <c r="H138" i="112" s="1"/>
  <c r="G137" i="110"/>
  <c r="S137" i="111"/>
  <c r="R137" i="111" s="1"/>
  <c r="V137" i="111" s="1"/>
  <c r="O164" i="89"/>
  <c r="O164" i="111"/>
  <c r="J90" i="110"/>
  <c r="F165" i="110"/>
  <c r="D166" i="110"/>
  <c r="G91" i="103"/>
  <c r="H91" i="103" s="1"/>
  <c r="H91" i="110"/>
  <c r="J85" i="105"/>
  <c r="D167" i="105"/>
  <c r="F166" i="105"/>
  <c r="F165" i="103"/>
  <c r="D166" i="103"/>
  <c r="H90" i="86"/>
  <c r="J90" i="86" s="1"/>
  <c r="H90" i="93"/>
  <c r="J90" i="93" s="1"/>
  <c r="G85" i="91"/>
  <c r="H85" i="91" s="1"/>
  <c r="G85" i="98"/>
  <c r="H85" i="98" s="1"/>
  <c r="D167" i="98"/>
  <c r="F166" i="98"/>
  <c r="G91" i="93"/>
  <c r="D166" i="93"/>
  <c r="F165" i="93"/>
  <c r="F165" i="58"/>
  <c r="D166" i="58"/>
  <c r="F166" i="61"/>
  <c r="D167" i="61"/>
  <c r="F165" i="65"/>
  <c r="D166" i="65"/>
  <c r="V84" i="89"/>
  <c r="F166" i="91"/>
  <c r="D167" i="91"/>
  <c r="G91" i="86"/>
  <c r="T90" i="89"/>
  <c r="F165" i="86"/>
  <c r="D166" i="86"/>
  <c r="S91" i="60"/>
  <c r="M92" i="60" s="1"/>
  <c r="O92" i="60" s="1"/>
  <c r="U69" i="60"/>
  <c r="J70" i="65"/>
  <c r="G92" i="61"/>
  <c r="N131" i="60"/>
  <c r="R41" i="53"/>
  <c r="G42" i="58" s="1"/>
  <c r="J37" i="61"/>
  <c r="N37" i="53"/>
  <c r="P37" i="53" s="1"/>
  <c r="G37" i="54"/>
  <c r="H37" i="54" s="1"/>
  <c r="J37" i="54" s="1"/>
  <c r="O131" i="53"/>
  <c r="D133" i="54"/>
  <c r="F133" i="54" s="1"/>
  <c r="I59" i="53"/>
  <c r="D167" i="112" l="1"/>
  <c r="F166" i="112"/>
  <c r="J137" i="112"/>
  <c r="T137" i="111"/>
  <c r="N138" i="111" s="1"/>
  <c r="P138" i="111" s="1"/>
  <c r="G139" i="112" s="1"/>
  <c r="H139" i="112" s="1"/>
  <c r="G138" i="110"/>
  <c r="S138" i="111"/>
  <c r="R138" i="111" s="1"/>
  <c r="V138" i="111" s="1"/>
  <c r="O165" i="89"/>
  <c r="O165" i="111"/>
  <c r="J91" i="110"/>
  <c r="F166" i="110"/>
  <c r="D167" i="110"/>
  <c r="D168" i="105"/>
  <c r="F167" i="105"/>
  <c r="J91" i="103"/>
  <c r="D167" i="103"/>
  <c r="F166" i="103"/>
  <c r="H91" i="86"/>
  <c r="J91" i="86" s="1"/>
  <c r="H91" i="93"/>
  <c r="J91" i="93" s="1"/>
  <c r="D168" i="98"/>
  <c r="F167" i="98"/>
  <c r="J85" i="98"/>
  <c r="D167" i="93"/>
  <c r="F166" i="93"/>
  <c r="D167" i="58"/>
  <c r="F166" i="58"/>
  <c r="F167" i="61"/>
  <c r="D168" i="61"/>
  <c r="F166" i="65"/>
  <c r="D167" i="65"/>
  <c r="J85" i="91"/>
  <c r="S85" i="89"/>
  <c r="R85" i="89" s="1"/>
  <c r="G86" i="105" s="1"/>
  <c r="H86" i="105" s="1"/>
  <c r="D168" i="91"/>
  <c r="F167" i="91"/>
  <c r="N91" i="89"/>
  <c r="P91" i="89" s="1"/>
  <c r="D167" i="86"/>
  <c r="F166" i="86"/>
  <c r="S92" i="60"/>
  <c r="M93" i="60" s="1"/>
  <c r="O93" i="60" s="1"/>
  <c r="G93" i="61"/>
  <c r="N132" i="60"/>
  <c r="R70" i="60"/>
  <c r="Q70" i="60" s="1"/>
  <c r="G71" i="65" s="1"/>
  <c r="H71" i="65" s="1"/>
  <c r="V41" i="53"/>
  <c r="S42" i="53" s="1"/>
  <c r="H38" i="58"/>
  <c r="J38" i="58" s="1"/>
  <c r="H38" i="61"/>
  <c r="T37" i="53"/>
  <c r="O132" i="53"/>
  <c r="D134" i="54"/>
  <c r="F134" i="54" s="1"/>
  <c r="I60" i="53"/>
  <c r="J138" i="112" l="1"/>
  <c r="D168" i="112"/>
  <c r="F167" i="112"/>
  <c r="T138" i="111"/>
  <c r="N139" i="111" s="1"/>
  <c r="P139" i="111" s="1"/>
  <c r="G140" i="112" s="1"/>
  <c r="H140" i="112" s="1"/>
  <c r="G139" i="110"/>
  <c r="S139" i="111"/>
  <c r="R139" i="111" s="1"/>
  <c r="V139" i="111" s="1"/>
  <c r="O166" i="89"/>
  <c r="O166" i="111"/>
  <c r="G92" i="103"/>
  <c r="H92" i="103" s="1"/>
  <c r="J92" i="103" s="1"/>
  <c r="D168" i="110"/>
  <c r="F167" i="110"/>
  <c r="J86" i="105"/>
  <c r="D169" i="105"/>
  <c r="F168" i="105"/>
  <c r="D168" i="103"/>
  <c r="F167" i="103"/>
  <c r="G86" i="91"/>
  <c r="H86" i="91" s="1"/>
  <c r="J86" i="91" s="1"/>
  <c r="G86" i="98"/>
  <c r="H86" i="98" s="1"/>
  <c r="D169" i="98"/>
  <c r="F168" i="98"/>
  <c r="G92" i="93"/>
  <c r="D168" i="93"/>
  <c r="F167" i="93"/>
  <c r="D168" i="58"/>
  <c r="F167" i="58"/>
  <c r="F168" i="61"/>
  <c r="D169" i="61"/>
  <c r="F167" i="65"/>
  <c r="D168" i="65"/>
  <c r="V85" i="89"/>
  <c r="D169" i="91"/>
  <c r="F168" i="91"/>
  <c r="G92" i="86"/>
  <c r="H92" i="86" s="1"/>
  <c r="J92" i="86" s="1"/>
  <c r="T91" i="89"/>
  <c r="N92" i="89" s="1"/>
  <c r="P92" i="89" s="1"/>
  <c r="F167" i="86"/>
  <c r="D168" i="86"/>
  <c r="G94" i="61"/>
  <c r="S93" i="60"/>
  <c r="M94" i="60" s="1"/>
  <c r="O94" i="60" s="1"/>
  <c r="N133" i="60"/>
  <c r="U70" i="60"/>
  <c r="J71" i="65"/>
  <c r="R42" i="53"/>
  <c r="G43" i="58" s="1"/>
  <c r="J38" i="61"/>
  <c r="N38" i="53"/>
  <c r="P38" i="53" s="1"/>
  <c r="G38" i="54"/>
  <c r="H38" i="54" s="1"/>
  <c r="J38" i="54" s="1"/>
  <c r="O133" i="53"/>
  <c r="D135" i="54"/>
  <c r="F135" i="54" s="1"/>
  <c r="I61" i="53"/>
  <c r="D169" i="112" l="1"/>
  <c r="F168" i="112"/>
  <c r="J139" i="112"/>
  <c r="T139" i="111"/>
  <c r="N140" i="111" s="1"/>
  <c r="P140" i="111" s="1"/>
  <c r="G141" i="112" s="1"/>
  <c r="H141" i="112" s="1"/>
  <c r="G140" i="110"/>
  <c r="S140" i="111"/>
  <c r="R140" i="111" s="1"/>
  <c r="V140" i="111" s="1"/>
  <c r="O167" i="89"/>
  <c r="O167" i="111"/>
  <c r="D169" i="110"/>
  <c r="F168" i="110"/>
  <c r="H92" i="110"/>
  <c r="G93" i="103"/>
  <c r="H93" i="103" s="1"/>
  <c r="J93" i="103" s="1"/>
  <c r="D170" i="105"/>
  <c r="F169" i="105"/>
  <c r="D169" i="103"/>
  <c r="F168" i="103"/>
  <c r="H92" i="93"/>
  <c r="J92" i="93" s="1"/>
  <c r="D170" i="98"/>
  <c r="F169" i="98"/>
  <c r="J86" i="98"/>
  <c r="G93" i="93"/>
  <c r="D169" i="93"/>
  <c r="F168" i="93"/>
  <c r="F168" i="58"/>
  <c r="D169" i="58"/>
  <c r="D170" i="61"/>
  <c r="F169" i="61"/>
  <c r="F168" i="65"/>
  <c r="D169" i="65"/>
  <c r="S86" i="89"/>
  <c r="R86" i="89" s="1"/>
  <c r="G87" i="105" s="1"/>
  <c r="G93" i="86"/>
  <c r="H93" i="86" s="1"/>
  <c r="J93" i="86" s="1"/>
  <c r="D170" i="91"/>
  <c r="F169" i="91"/>
  <c r="T92" i="89"/>
  <c r="N93" i="89" s="1"/>
  <c r="P93" i="89" s="1"/>
  <c r="D169" i="86"/>
  <c r="F168" i="86"/>
  <c r="N124" i="54"/>
  <c r="R71" i="60"/>
  <c r="Q71" i="60" s="1"/>
  <c r="G72" i="65" s="1"/>
  <c r="H72" i="65" s="1"/>
  <c r="N134" i="60"/>
  <c r="V42" i="53"/>
  <c r="S43" i="53" s="1"/>
  <c r="G95" i="61"/>
  <c r="S94" i="60"/>
  <c r="M95" i="60" s="1"/>
  <c r="H39" i="58"/>
  <c r="J39" i="58" s="1"/>
  <c r="K28" i="58" s="1"/>
  <c r="J9" i="59" s="1"/>
  <c r="H39" i="61"/>
  <c r="H40" i="61" s="1"/>
  <c r="T38" i="53"/>
  <c r="O134" i="53"/>
  <c r="D136" i="54"/>
  <c r="F136" i="54" s="1"/>
  <c r="I62" i="53"/>
  <c r="J140" i="112" l="1"/>
  <c r="F169" i="112"/>
  <c r="D170" i="112"/>
  <c r="T140" i="111"/>
  <c r="N141" i="111" s="1"/>
  <c r="P141" i="111" s="1"/>
  <c r="G142" i="112" s="1"/>
  <c r="H142" i="112" s="1"/>
  <c r="G141" i="110"/>
  <c r="S141" i="111"/>
  <c r="R141" i="111" s="1"/>
  <c r="V141" i="111" s="1"/>
  <c r="O168" i="89"/>
  <c r="O168" i="111"/>
  <c r="G94" i="103"/>
  <c r="H94" i="103" s="1"/>
  <c r="J94" i="103" s="1"/>
  <c r="H93" i="110"/>
  <c r="J92" i="110"/>
  <c r="F169" i="110"/>
  <c r="D170" i="110"/>
  <c r="L9" i="59"/>
  <c r="H9" i="59"/>
  <c r="N76" i="105"/>
  <c r="Y76" i="105"/>
  <c r="P10" i="106" s="1"/>
  <c r="H87" i="105"/>
  <c r="D171" i="105"/>
  <c r="F170" i="105"/>
  <c r="H93" i="93"/>
  <c r="J93" i="93" s="1"/>
  <c r="F169" i="103"/>
  <c r="D170" i="103"/>
  <c r="N14" i="75"/>
  <c r="G87" i="91"/>
  <c r="G87" i="98"/>
  <c r="Y76" i="98" s="1"/>
  <c r="P10" i="101" s="1"/>
  <c r="D171" i="98"/>
  <c r="F170" i="98"/>
  <c r="G94" i="93"/>
  <c r="D170" i="93"/>
  <c r="F169" i="93"/>
  <c r="F169" i="58"/>
  <c r="D170" i="58"/>
  <c r="F170" i="61"/>
  <c r="D171" i="61"/>
  <c r="F169" i="65"/>
  <c r="D170" i="65"/>
  <c r="V86" i="89"/>
  <c r="G94" i="86"/>
  <c r="H94" i="86" s="1"/>
  <c r="J94" i="86" s="1"/>
  <c r="D171" i="91"/>
  <c r="F170" i="91"/>
  <c r="T93" i="89"/>
  <c r="N94" i="89" s="1"/>
  <c r="P94" i="89" s="1"/>
  <c r="D170" i="86"/>
  <c r="F169" i="86"/>
  <c r="J72" i="65"/>
  <c r="N135" i="60"/>
  <c r="U71" i="60"/>
  <c r="R43" i="53"/>
  <c r="G44" i="58" s="1"/>
  <c r="O95" i="60"/>
  <c r="J39" i="61"/>
  <c r="K28" i="61" s="1"/>
  <c r="J9" i="62" s="1"/>
  <c r="H9" i="62" s="1"/>
  <c r="N39" i="53"/>
  <c r="G39" i="54"/>
  <c r="P28" i="54" s="1"/>
  <c r="O135" i="53"/>
  <c r="D137" i="54"/>
  <c r="F137" i="54" s="1"/>
  <c r="I63" i="53"/>
  <c r="D171" i="112" l="1"/>
  <c r="F170" i="112"/>
  <c r="J141" i="112"/>
  <c r="T141" i="111"/>
  <c r="N142" i="111" s="1"/>
  <c r="P142" i="111" s="1"/>
  <c r="G143" i="112" s="1"/>
  <c r="H143" i="112" s="1"/>
  <c r="G142" i="110"/>
  <c r="S142" i="111"/>
  <c r="R142" i="111" s="1"/>
  <c r="V142" i="111" s="1"/>
  <c r="O169" i="89"/>
  <c r="O169" i="111"/>
  <c r="J93" i="110"/>
  <c r="H94" i="110"/>
  <c r="F170" i="110"/>
  <c r="D171" i="110"/>
  <c r="G95" i="103"/>
  <c r="H95" i="103" s="1"/>
  <c r="J95" i="103" s="1"/>
  <c r="L9" i="62"/>
  <c r="D172" i="105"/>
  <c r="F171" i="105"/>
  <c r="X160" i="105" s="1"/>
  <c r="J87" i="105"/>
  <c r="K76" i="105" s="1"/>
  <c r="H94" i="93"/>
  <c r="J94" i="93" s="1"/>
  <c r="D171" i="103"/>
  <c r="F170" i="103"/>
  <c r="N76" i="91"/>
  <c r="Y76" i="91"/>
  <c r="H87" i="91"/>
  <c r="J87" i="91" s="1"/>
  <c r="K76" i="91" s="1"/>
  <c r="J13" i="90" s="1"/>
  <c r="L13" i="90" s="1"/>
  <c r="M13" i="90" s="1"/>
  <c r="F171" i="98"/>
  <c r="X160" i="98" s="1"/>
  <c r="D172" i="98"/>
  <c r="N76" i="98"/>
  <c r="H87" i="98"/>
  <c r="G95" i="93"/>
  <c r="D171" i="93"/>
  <c r="F170" i="93"/>
  <c r="F170" i="58"/>
  <c r="D171" i="58"/>
  <c r="F171" i="61"/>
  <c r="D172" i="61"/>
  <c r="D171" i="65"/>
  <c r="F170" i="65"/>
  <c r="S87" i="89"/>
  <c r="R87" i="89" s="1"/>
  <c r="G95" i="86"/>
  <c r="H95" i="86" s="1"/>
  <c r="J95" i="86" s="1"/>
  <c r="F171" i="91"/>
  <c r="O170" i="111" s="1"/>
  <c r="D172" i="91"/>
  <c r="T94" i="89"/>
  <c r="N95" i="89" s="1"/>
  <c r="P95" i="89" s="1"/>
  <c r="D171" i="86"/>
  <c r="F170" i="86"/>
  <c r="M9" i="87"/>
  <c r="O6" i="75"/>
  <c r="H39" i="54"/>
  <c r="J39" i="54" s="1"/>
  <c r="K28" i="54" s="1"/>
  <c r="J9" i="55" s="1"/>
  <c r="N136" i="60"/>
  <c r="R72" i="60"/>
  <c r="Q72" i="60" s="1"/>
  <c r="G73" i="65" s="1"/>
  <c r="H73" i="65" s="1"/>
  <c r="V43" i="53"/>
  <c r="S44" i="53" s="1"/>
  <c r="G96" i="61"/>
  <c r="S95" i="60"/>
  <c r="M96" i="60" s="1"/>
  <c r="M9" i="59"/>
  <c r="P39" i="53"/>
  <c r="O136" i="53"/>
  <c r="D138" i="54"/>
  <c r="F138" i="54" s="1"/>
  <c r="I64" i="53"/>
  <c r="J142" i="112" l="1"/>
  <c r="D172" i="112"/>
  <c r="F171" i="112"/>
  <c r="X160" i="112" s="1"/>
  <c r="T142" i="111"/>
  <c r="N143" i="111" s="1"/>
  <c r="P143" i="111" s="1"/>
  <c r="G144" i="112" s="1"/>
  <c r="H144" i="112" s="1"/>
  <c r="G143" i="110"/>
  <c r="S143" i="111"/>
  <c r="R143" i="111" s="1"/>
  <c r="V143" i="111" s="1"/>
  <c r="H95" i="110"/>
  <c r="J94" i="110"/>
  <c r="F171" i="110"/>
  <c r="X160" i="110" s="1"/>
  <c r="D172" i="110"/>
  <c r="G96" i="103"/>
  <c r="H96" i="103" s="1"/>
  <c r="J96" i="103" s="1"/>
  <c r="L9" i="55"/>
  <c r="H9" i="55"/>
  <c r="J13" i="104"/>
  <c r="H95" i="93"/>
  <c r="J95" i="93" s="1"/>
  <c r="G88" i="98"/>
  <c r="G88" i="105"/>
  <c r="H88" i="105" s="1"/>
  <c r="D173" i="105"/>
  <c r="F172" i="105"/>
  <c r="D172" i="103"/>
  <c r="F171" i="103"/>
  <c r="X160" i="103" s="1"/>
  <c r="N17" i="106" s="1"/>
  <c r="P10" i="100"/>
  <c r="O170" i="89"/>
  <c r="X160" i="91"/>
  <c r="J87" i="98"/>
  <c r="K76" i="98" s="1"/>
  <c r="F172" i="98"/>
  <c r="D173" i="98"/>
  <c r="G96" i="93"/>
  <c r="D172" i="93"/>
  <c r="F171" i="93"/>
  <c r="X160" i="93" s="1"/>
  <c r="F171" i="58"/>
  <c r="D172" i="58"/>
  <c r="F172" i="61"/>
  <c r="D173" i="61"/>
  <c r="F171" i="65"/>
  <c r="P160" i="65" s="1"/>
  <c r="N17" i="76" s="1"/>
  <c r="D172" i="65"/>
  <c r="V87" i="89"/>
  <c r="S88" i="89" s="1"/>
  <c r="R88" i="89" s="1"/>
  <c r="G89" i="105" s="1"/>
  <c r="G88" i="91"/>
  <c r="G96" i="86"/>
  <c r="H96" i="86" s="1"/>
  <c r="J96" i="86" s="1"/>
  <c r="F172" i="91"/>
  <c r="O171" i="111" s="1"/>
  <c r="D173" i="91"/>
  <c r="T95" i="89"/>
  <c r="D172" i="86"/>
  <c r="F171" i="86"/>
  <c r="X160" i="86" s="1"/>
  <c r="N17" i="100" s="1"/>
  <c r="J73" i="65"/>
  <c r="N137" i="60"/>
  <c r="U72" i="60"/>
  <c r="R44" i="53"/>
  <c r="G45" i="58" s="1"/>
  <c r="M9" i="66"/>
  <c r="F5" i="114" s="1"/>
  <c r="O96" i="60"/>
  <c r="T39" i="53"/>
  <c r="N40" i="53" s="1"/>
  <c r="H40" i="58"/>
  <c r="J40" i="58" s="1"/>
  <c r="G40" i="54"/>
  <c r="O137" i="53"/>
  <c r="D139" i="54"/>
  <c r="F139" i="54" s="1"/>
  <c r="I65" i="53"/>
  <c r="F172" i="112" l="1"/>
  <c r="D173" i="112"/>
  <c r="J143" i="112"/>
  <c r="T143" i="111"/>
  <c r="N144" i="111" s="1"/>
  <c r="P144" i="111" s="1"/>
  <c r="G145" i="112" s="1"/>
  <c r="H145" i="112" s="1"/>
  <c r="G144" i="110"/>
  <c r="S144" i="111"/>
  <c r="R144" i="111" s="1"/>
  <c r="V144" i="111" s="1"/>
  <c r="D173" i="110"/>
  <c r="F172" i="110"/>
  <c r="J95" i="110"/>
  <c r="H96" i="110"/>
  <c r="H13" i="109"/>
  <c r="L13" i="109"/>
  <c r="M13" i="109" s="1"/>
  <c r="H13" i="104"/>
  <c r="L13" i="104"/>
  <c r="M13" i="104" s="1"/>
  <c r="J13" i="97"/>
  <c r="H88" i="98"/>
  <c r="J88" i="98" s="1"/>
  <c r="H13" i="90"/>
  <c r="H96" i="93"/>
  <c r="J96" i="93" s="1"/>
  <c r="D174" i="105"/>
  <c r="F173" i="105"/>
  <c r="F172" i="103"/>
  <c r="D173" i="103"/>
  <c r="N17" i="101"/>
  <c r="O171" i="89"/>
  <c r="H88" i="91"/>
  <c r="J88" i="91" s="1"/>
  <c r="G89" i="91"/>
  <c r="G89" i="98"/>
  <c r="D174" i="98"/>
  <c r="F173" i="98"/>
  <c r="D173" i="93"/>
  <c r="F172" i="93"/>
  <c r="D173" i="58"/>
  <c r="F172" i="58"/>
  <c r="D174" i="61"/>
  <c r="F173" i="61"/>
  <c r="F172" i="65"/>
  <c r="D173" i="65"/>
  <c r="V88" i="89"/>
  <c r="D174" i="91"/>
  <c r="F173" i="91"/>
  <c r="N96" i="89"/>
  <c r="P96" i="89" s="1"/>
  <c r="F172" i="86"/>
  <c r="D173" i="86"/>
  <c r="H40" i="54"/>
  <c r="N138" i="60"/>
  <c r="R73" i="60"/>
  <c r="Q73" i="60" s="1"/>
  <c r="G74" i="65" s="1"/>
  <c r="H74" i="65" s="1"/>
  <c r="V44" i="53"/>
  <c r="S45" i="53" s="1"/>
  <c r="G97" i="61"/>
  <c r="S96" i="60"/>
  <c r="M97" i="60" s="1"/>
  <c r="M9" i="55"/>
  <c r="M9" i="62"/>
  <c r="J40" i="61"/>
  <c r="P40" i="53"/>
  <c r="O138" i="53"/>
  <c r="D140" i="54"/>
  <c r="F140" i="54" s="1"/>
  <c r="I66" i="53"/>
  <c r="E5" i="114" l="1"/>
  <c r="J144" i="112"/>
  <c r="D174" i="112"/>
  <c r="F173" i="112"/>
  <c r="T144" i="111"/>
  <c r="N145" i="111" s="1"/>
  <c r="P145" i="111" s="1"/>
  <c r="G146" i="112" s="1"/>
  <c r="H146" i="112" s="1"/>
  <c r="G145" i="110"/>
  <c r="S145" i="111"/>
  <c r="R145" i="111" s="1"/>
  <c r="V145" i="111" s="1"/>
  <c r="O172" i="89"/>
  <c r="O172" i="111"/>
  <c r="J96" i="110"/>
  <c r="G97" i="103"/>
  <c r="H97" i="103" s="1"/>
  <c r="J97" i="103" s="1"/>
  <c r="H97" i="110"/>
  <c r="D174" i="110"/>
  <c r="F173" i="110"/>
  <c r="H13" i="97"/>
  <c r="L13" i="97"/>
  <c r="M13" i="97" s="1"/>
  <c r="H89" i="98"/>
  <c r="J89" i="98" s="1"/>
  <c r="J88" i="105"/>
  <c r="H89" i="105"/>
  <c r="D175" i="105"/>
  <c r="F174" i="105"/>
  <c r="F173" i="103"/>
  <c r="D174" i="103"/>
  <c r="H89" i="91"/>
  <c r="J89" i="91" s="1"/>
  <c r="D175" i="98"/>
  <c r="F174" i="98"/>
  <c r="G97" i="93"/>
  <c r="H97" i="93" s="1"/>
  <c r="J97" i="93" s="1"/>
  <c r="D174" i="93"/>
  <c r="F173" i="93"/>
  <c r="D174" i="58"/>
  <c r="F173" i="58"/>
  <c r="D175" i="61"/>
  <c r="F174" i="61"/>
  <c r="D174" i="65"/>
  <c r="F173" i="65"/>
  <c r="S89" i="89"/>
  <c r="R89" i="89" s="1"/>
  <c r="G90" i="105" s="1"/>
  <c r="F174" i="91"/>
  <c r="D175" i="91"/>
  <c r="G97" i="86"/>
  <c r="H97" i="86" s="1"/>
  <c r="J97" i="86" s="1"/>
  <c r="T96" i="89"/>
  <c r="N97" i="89" s="1"/>
  <c r="P97" i="89" s="1"/>
  <c r="D174" i="86"/>
  <c r="F173" i="86"/>
  <c r="U73" i="60"/>
  <c r="R74" i="60" s="1"/>
  <c r="Q74" i="60" s="1"/>
  <c r="G75" i="65" s="1"/>
  <c r="N64" i="65" s="1"/>
  <c r="P9" i="76" s="1"/>
  <c r="J74" i="65"/>
  <c r="N139" i="60"/>
  <c r="R45" i="53"/>
  <c r="G46" i="58" s="1"/>
  <c r="O97" i="60"/>
  <c r="T40" i="53"/>
  <c r="H41" i="61"/>
  <c r="G41" i="54"/>
  <c r="H41" i="58"/>
  <c r="J40" i="54"/>
  <c r="O139" i="53"/>
  <c r="D141" i="54"/>
  <c r="F141" i="54" s="1"/>
  <c r="I67" i="53"/>
  <c r="D175" i="112" l="1"/>
  <c r="F174" i="112"/>
  <c r="J145" i="112"/>
  <c r="T145" i="111"/>
  <c r="N146" i="111" s="1"/>
  <c r="P146" i="111" s="1"/>
  <c r="G147" i="112" s="1"/>
  <c r="H147" i="112" s="1"/>
  <c r="G146" i="110"/>
  <c r="O173" i="89"/>
  <c r="O173" i="111"/>
  <c r="S146" i="111"/>
  <c r="R146" i="111" s="1"/>
  <c r="V146" i="111" s="1"/>
  <c r="J97" i="110"/>
  <c r="G98" i="103"/>
  <c r="H98" i="103" s="1"/>
  <c r="J98" i="103" s="1"/>
  <c r="H98" i="110"/>
  <c r="D175" i="110"/>
  <c r="F174" i="110"/>
  <c r="D176" i="105"/>
  <c r="F175" i="105"/>
  <c r="H90" i="105"/>
  <c r="J89" i="105"/>
  <c r="F174" i="103"/>
  <c r="D175" i="103"/>
  <c r="G90" i="91"/>
  <c r="G90" i="98"/>
  <c r="D176" i="98"/>
  <c r="F175" i="98"/>
  <c r="G98" i="93"/>
  <c r="H98" i="93" s="1"/>
  <c r="J98" i="93" s="1"/>
  <c r="D175" i="93"/>
  <c r="F174" i="93"/>
  <c r="D175" i="58"/>
  <c r="F174" i="58"/>
  <c r="D176" i="61"/>
  <c r="F175" i="61"/>
  <c r="D175" i="65"/>
  <c r="F174" i="65"/>
  <c r="V89" i="89"/>
  <c r="D176" i="91"/>
  <c r="F175" i="91"/>
  <c r="G98" i="86"/>
  <c r="H98" i="86" s="1"/>
  <c r="J98" i="86" s="1"/>
  <c r="T97" i="89"/>
  <c r="N98" i="89" s="1"/>
  <c r="P98" i="89" s="1"/>
  <c r="F174" i="86"/>
  <c r="D175" i="86"/>
  <c r="H75" i="65"/>
  <c r="J75" i="65" s="1"/>
  <c r="K64" i="65" s="1"/>
  <c r="H41" i="54"/>
  <c r="J41" i="54" s="1"/>
  <c r="N140" i="60"/>
  <c r="U74" i="60"/>
  <c r="V45" i="53"/>
  <c r="S46" i="53" s="1"/>
  <c r="G98" i="61"/>
  <c r="S97" i="60"/>
  <c r="M98" i="60" s="1"/>
  <c r="J41" i="61"/>
  <c r="J41" i="58"/>
  <c r="N41" i="53"/>
  <c r="P41" i="53" s="1"/>
  <c r="O140" i="53"/>
  <c r="D142" i="54"/>
  <c r="F142" i="54" s="1"/>
  <c r="I68" i="53"/>
  <c r="J146" i="112" l="1"/>
  <c r="J147" i="112"/>
  <c r="N136" i="112"/>
  <c r="Y136" i="112"/>
  <c r="D176" i="112"/>
  <c r="F175" i="112"/>
  <c r="T146" i="111"/>
  <c r="N147" i="111" s="1"/>
  <c r="P147" i="111" s="1"/>
  <c r="G148" i="112" s="1"/>
  <c r="H148" i="112" s="1"/>
  <c r="G147" i="110"/>
  <c r="O174" i="89"/>
  <c r="O174" i="111"/>
  <c r="S147" i="111"/>
  <c r="R147" i="111" s="1"/>
  <c r="V147" i="111" s="1"/>
  <c r="J98" i="110"/>
  <c r="D176" i="110"/>
  <c r="F175" i="110"/>
  <c r="G99" i="103"/>
  <c r="H99" i="103" s="1"/>
  <c r="J99" i="103" s="1"/>
  <c r="K88" i="103" s="1"/>
  <c r="J12" i="66"/>
  <c r="H12" i="66" s="1"/>
  <c r="J90" i="105"/>
  <c r="D177" i="105"/>
  <c r="F176" i="105"/>
  <c r="D176" i="103"/>
  <c r="F175" i="103"/>
  <c r="H90" i="91"/>
  <c r="J90" i="91" s="1"/>
  <c r="D177" i="98"/>
  <c r="F176" i="98"/>
  <c r="H90" i="98"/>
  <c r="G99" i="93"/>
  <c r="D176" i="93"/>
  <c r="F175" i="93"/>
  <c r="D176" i="58"/>
  <c r="F175" i="58"/>
  <c r="D177" i="61"/>
  <c r="F176" i="61"/>
  <c r="D176" i="65"/>
  <c r="F175" i="65"/>
  <c r="S90" i="89"/>
  <c r="R90" i="89" s="1"/>
  <c r="G91" i="105" s="1"/>
  <c r="F176" i="91"/>
  <c r="D177" i="91"/>
  <c r="G99" i="86"/>
  <c r="Y88" i="86" s="1"/>
  <c r="T98" i="89"/>
  <c r="D176" i="86"/>
  <c r="F175" i="86"/>
  <c r="R75" i="60"/>
  <c r="Q75" i="60" s="1"/>
  <c r="G76" i="65" s="1"/>
  <c r="N141" i="60"/>
  <c r="R46" i="53"/>
  <c r="V46" i="53" s="1"/>
  <c r="S47" i="53" s="1"/>
  <c r="O98" i="60"/>
  <c r="T41" i="53"/>
  <c r="H42" i="61"/>
  <c r="H42" i="58"/>
  <c r="J42" i="58" s="1"/>
  <c r="G42" i="54"/>
  <c r="O141" i="53"/>
  <c r="D143" i="54"/>
  <c r="F143" i="54" s="1"/>
  <c r="I69" i="53"/>
  <c r="K136" i="112" l="1"/>
  <c r="J18" i="109" s="1"/>
  <c r="F176" i="112"/>
  <c r="D177" i="112"/>
  <c r="Y88" i="103"/>
  <c r="O11" i="106" s="1"/>
  <c r="T147" i="111"/>
  <c r="N148" i="111" s="1"/>
  <c r="P148" i="111" s="1"/>
  <c r="G149" i="112" s="1"/>
  <c r="H149" i="112" s="1"/>
  <c r="G148" i="110"/>
  <c r="N88" i="103"/>
  <c r="O175" i="89"/>
  <c r="O175" i="111"/>
  <c r="S148" i="111"/>
  <c r="R148" i="111" s="1"/>
  <c r="V148" i="111" s="1"/>
  <c r="Y88" i="110"/>
  <c r="N88" i="110"/>
  <c r="F176" i="110"/>
  <c r="D177" i="110"/>
  <c r="H99" i="110"/>
  <c r="J99" i="110" s="1"/>
  <c r="J14" i="102"/>
  <c r="L12" i="66"/>
  <c r="M12" i="66" s="1"/>
  <c r="D178" i="105"/>
  <c r="F177" i="105"/>
  <c r="H91" i="105"/>
  <c r="D177" i="103"/>
  <c r="F176" i="103"/>
  <c r="O11" i="100"/>
  <c r="N88" i="93"/>
  <c r="Y88" i="93"/>
  <c r="O11" i="101" s="1"/>
  <c r="H99" i="93"/>
  <c r="J99" i="93" s="1"/>
  <c r="K88" i="93" s="1"/>
  <c r="J90" i="98"/>
  <c r="G91" i="91"/>
  <c r="G91" i="98"/>
  <c r="D178" i="98"/>
  <c r="F177" i="98"/>
  <c r="D177" i="93"/>
  <c r="F176" i="93"/>
  <c r="D177" i="58"/>
  <c r="F176" i="58"/>
  <c r="F177" i="61"/>
  <c r="D178" i="61"/>
  <c r="D177" i="65"/>
  <c r="F176" i="65"/>
  <c r="V90" i="89"/>
  <c r="D178" i="91"/>
  <c r="F177" i="91"/>
  <c r="N99" i="89"/>
  <c r="P99" i="89" s="1"/>
  <c r="F176" i="86"/>
  <c r="D177" i="86"/>
  <c r="N88" i="86"/>
  <c r="H99" i="86"/>
  <c r="J99" i="86" s="1"/>
  <c r="H76" i="65"/>
  <c r="J76" i="65" s="1"/>
  <c r="U75" i="60"/>
  <c r="R76" i="60" s="1"/>
  <c r="Q76" i="60" s="1"/>
  <c r="N142" i="60"/>
  <c r="R47" i="53"/>
  <c r="G48" i="58" s="1"/>
  <c r="G47" i="58"/>
  <c r="G99" i="61"/>
  <c r="N88" i="61" s="1"/>
  <c r="O11" i="76" s="1"/>
  <c r="S98" i="60"/>
  <c r="M99" i="60" s="1"/>
  <c r="J42" i="61"/>
  <c r="H42" i="54"/>
  <c r="N42" i="53"/>
  <c r="P42" i="53" s="1"/>
  <c r="O142" i="53"/>
  <c r="D144" i="54"/>
  <c r="F144" i="54" s="1"/>
  <c r="I70" i="53"/>
  <c r="J148" i="112" l="1"/>
  <c r="D178" i="112"/>
  <c r="F177" i="112"/>
  <c r="T148" i="111"/>
  <c r="N149" i="111" s="1"/>
  <c r="P149" i="111" s="1"/>
  <c r="G150" i="112" s="1"/>
  <c r="H150" i="112" s="1"/>
  <c r="G149" i="110"/>
  <c r="O176" i="89"/>
  <c r="O176" i="111"/>
  <c r="S149" i="111"/>
  <c r="R149" i="111" s="1"/>
  <c r="V149" i="111" s="1"/>
  <c r="D178" i="110"/>
  <c r="F177" i="110"/>
  <c r="G100" i="103"/>
  <c r="H100" i="103" s="1"/>
  <c r="K88" i="110"/>
  <c r="J14" i="108" s="1"/>
  <c r="H14" i="108" s="1"/>
  <c r="H14" i="102"/>
  <c r="L14" i="102"/>
  <c r="M14" i="102" s="1"/>
  <c r="J14" i="92"/>
  <c r="H91" i="98"/>
  <c r="J91" i="98" s="1"/>
  <c r="D179" i="105"/>
  <c r="F178" i="105"/>
  <c r="J91" i="105"/>
  <c r="D178" i="103"/>
  <c r="F177" i="103"/>
  <c r="H91" i="91"/>
  <c r="J91" i="91" s="1"/>
  <c r="D179" i="98"/>
  <c r="F178" i="98"/>
  <c r="G100" i="93"/>
  <c r="D178" i="93"/>
  <c r="F177" i="93"/>
  <c r="D178" i="58"/>
  <c r="F177" i="58"/>
  <c r="F178" i="61"/>
  <c r="D179" i="61"/>
  <c r="F177" i="65"/>
  <c r="D178" i="65"/>
  <c r="S91" i="89"/>
  <c r="R91" i="89" s="1"/>
  <c r="G92" i="105" s="1"/>
  <c r="G100" i="86"/>
  <c r="D179" i="91"/>
  <c r="F178" i="91"/>
  <c r="T99" i="89"/>
  <c r="D178" i="86"/>
  <c r="F177" i="86"/>
  <c r="K88" i="86"/>
  <c r="J14" i="87" s="1"/>
  <c r="L14" i="87" s="1"/>
  <c r="M14" i="87" s="1"/>
  <c r="G77" i="65"/>
  <c r="U76" i="60"/>
  <c r="R77" i="60" s="1"/>
  <c r="Q77" i="60" s="1"/>
  <c r="G78" i="65" s="1"/>
  <c r="N143" i="60"/>
  <c r="V47" i="53"/>
  <c r="S48" i="53" s="1"/>
  <c r="O99" i="60"/>
  <c r="T42" i="53"/>
  <c r="H43" i="61"/>
  <c r="G43" i="54"/>
  <c r="H43" i="58"/>
  <c r="J42" i="54"/>
  <c r="O143" i="53"/>
  <c r="D145" i="54"/>
  <c r="F145" i="54" s="1"/>
  <c r="I71" i="53"/>
  <c r="D179" i="112" l="1"/>
  <c r="F178" i="112"/>
  <c r="J149" i="112"/>
  <c r="L14" i="108"/>
  <c r="M14" i="108" s="1"/>
  <c r="T149" i="111"/>
  <c r="N150" i="111" s="1"/>
  <c r="P150" i="111" s="1"/>
  <c r="G151" i="112" s="1"/>
  <c r="H151" i="112" s="1"/>
  <c r="G150" i="110"/>
  <c r="S150" i="111"/>
  <c r="R150" i="111" s="1"/>
  <c r="V150" i="111" s="1"/>
  <c r="O177" i="89"/>
  <c r="O177" i="111"/>
  <c r="H100" i="110"/>
  <c r="D179" i="110"/>
  <c r="F178" i="110"/>
  <c r="H14" i="92"/>
  <c r="L14" i="92"/>
  <c r="M14" i="92" s="1"/>
  <c r="H92" i="105"/>
  <c r="D180" i="105"/>
  <c r="F179" i="105"/>
  <c r="D179" i="103"/>
  <c r="F178" i="103"/>
  <c r="J100" i="103"/>
  <c r="H100" i="86"/>
  <c r="H100" i="93"/>
  <c r="J100" i="93" s="1"/>
  <c r="D180" i="98"/>
  <c r="F179" i="98"/>
  <c r="G92" i="91"/>
  <c r="G92" i="98"/>
  <c r="H92" i="98" s="1"/>
  <c r="D179" i="93"/>
  <c r="F178" i="93"/>
  <c r="D179" i="58"/>
  <c r="F178" i="58"/>
  <c r="F179" i="61"/>
  <c r="D180" i="61"/>
  <c r="F178" i="65"/>
  <c r="D179" i="65"/>
  <c r="V91" i="89"/>
  <c r="D180" i="91"/>
  <c r="F179" i="91"/>
  <c r="H14" i="87"/>
  <c r="N100" i="89"/>
  <c r="P100" i="89" s="1"/>
  <c r="F178" i="86"/>
  <c r="D179" i="86"/>
  <c r="H77" i="65"/>
  <c r="J77" i="65" s="1"/>
  <c r="H43" i="54"/>
  <c r="J43" i="54" s="1"/>
  <c r="U77" i="60"/>
  <c r="R78" i="60" s="1"/>
  <c r="Q78" i="60" s="1"/>
  <c r="G79" i="65" s="1"/>
  <c r="N144" i="60"/>
  <c r="R48" i="53"/>
  <c r="V48" i="53" s="1"/>
  <c r="S49" i="53" s="1"/>
  <c r="R49" i="53" s="1"/>
  <c r="G100" i="61"/>
  <c r="S99" i="60"/>
  <c r="M100" i="60" s="1"/>
  <c r="J43" i="61"/>
  <c r="J43" i="58"/>
  <c r="N43" i="53"/>
  <c r="P43" i="53" s="1"/>
  <c r="O144" i="53"/>
  <c r="D146" i="54"/>
  <c r="F146" i="54" s="1"/>
  <c r="I72" i="53"/>
  <c r="J150" i="112" l="1"/>
  <c r="D180" i="112"/>
  <c r="F179" i="112"/>
  <c r="T150" i="111"/>
  <c r="N151" i="111" s="1"/>
  <c r="P151" i="111" s="1"/>
  <c r="G152" i="112" s="1"/>
  <c r="H152" i="112" s="1"/>
  <c r="G151" i="110"/>
  <c r="S151" i="111"/>
  <c r="R151" i="111" s="1"/>
  <c r="V151" i="111" s="1"/>
  <c r="O178" i="89"/>
  <c r="O178" i="111"/>
  <c r="G101" i="103"/>
  <c r="H101" i="103" s="1"/>
  <c r="J101" i="103" s="1"/>
  <c r="H101" i="110"/>
  <c r="D180" i="110"/>
  <c r="F179" i="110"/>
  <c r="J100" i="110"/>
  <c r="D181" i="105"/>
  <c r="F180" i="105"/>
  <c r="J92" i="105"/>
  <c r="D180" i="103"/>
  <c r="F179" i="103"/>
  <c r="H92" i="91"/>
  <c r="J92" i="91" s="1"/>
  <c r="J92" i="98"/>
  <c r="D181" i="98"/>
  <c r="F180" i="98"/>
  <c r="G101" i="93"/>
  <c r="D180" i="93"/>
  <c r="F179" i="93"/>
  <c r="F179" i="58"/>
  <c r="D180" i="58"/>
  <c r="D181" i="61"/>
  <c r="F180" i="61"/>
  <c r="F179" i="65"/>
  <c r="D180" i="65"/>
  <c r="S92" i="89"/>
  <c r="R92" i="89" s="1"/>
  <c r="G93" i="105" s="1"/>
  <c r="G101" i="86"/>
  <c r="D181" i="91"/>
  <c r="F180" i="91"/>
  <c r="T100" i="89"/>
  <c r="F179" i="86"/>
  <c r="D180" i="86"/>
  <c r="J100" i="86"/>
  <c r="H78" i="65"/>
  <c r="J78" i="65" s="1"/>
  <c r="U78" i="60"/>
  <c r="N145" i="60"/>
  <c r="G49" i="58"/>
  <c r="O100" i="60"/>
  <c r="T43" i="53"/>
  <c r="H44" i="61"/>
  <c r="G50" i="58"/>
  <c r="V49" i="53"/>
  <c r="G44" i="54"/>
  <c r="H44" i="54" s="1"/>
  <c r="H44" i="58"/>
  <c r="O145" i="53"/>
  <c r="D147" i="54"/>
  <c r="F147" i="54" s="1"/>
  <c r="I73" i="53"/>
  <c r="F180" i="112" l="1"/>
  <c r="D181" i="112"/>
  <c r="J151" i="112"/>
  <c r="T151" i="111"/>
  <c r="N152" i="111" s="1"/>
  <c r="P152" i="111" s="1"/>
  <c r="G153" i="112" s="1"/>
  <c r="H153" i="112" s="1"/>
  <c r="G152" i="110"/>
  <c r="S152" i="111"/>
  <c r="R152" i="111" s="1"/>
  <c r="V152" i="111" s="1"/>
  <c r="O179" i="89"/>
  <c r="O179" i="111"/>
  <c r="D181" i="110"/>
  <c r="F180" i="110"/>
  <c r="J101" i="110"/>
  <c r="H93" i="105"/>
  <c r="D182" i="105"/>
  <c r="F181" i="105"/>
  <c r="F180" i="103"/>
  <c r="D181" i="103"/>
  <c r="H101" i="93"/>
  <c r="J101" i="93" s="1"/>
  <c r="G93" i="91"/>
  <c r="H93" i="91" s="1"/>
  <c r="G93" i="98"/>
  <c r="H93" i="98" s="1"/>
  <c r="D182" i="98"/>
  <c r="F181" i="98"/>
  <c r="D181" i="93"/>
  <c r="F180" i="93"/>
  <c r="D181" i="58"/>
  <c r="F180" i="58"/>
  <c r="D182" i="61"/>
  <c r="F181" i="61"/>
  <c r="D181" i="65"/>
  <c r="F180" i="65"/>
  <c r="V92" i="89"/>
  <c r="D182" i="91"/>
  <c r="F181" i="91"/>
  <c r="N101" i="89"/>
  <c r="P101" i="89" s="1"/>
  <c r="D181" i="86"/>
  <c r="F180" i="86"/>
  <c r="N136" i="54"/>
  <c r="H101" i="86"/>
  <c r="H79" i="65"/>
  <c r="J79" i="65" s="1"/>
  <c r="N146" i="60"/>
  <c r="R79" i="60"/>
  <c r="Q79" i="60" s="1"/>
  <c r="G80" i="65" s="1"/>
  <c r="G101" i="61"/>
  <c r="S100" i="60"/>
  <c r="M101" i="60" s="1"/>
  <c r="J44" i="61"/>
  <c r="S50" i="53"/>
  <c r="J44" i="58"/>
  <c r="J44" i="54"/>
  <c r="N44" i="53"/>
  <c r="P44" i="53" s="1"/>
  <c r="O146" i="53"/>
  <c r="D148" i="54"/>
  <c r="F148" i="54" s="1"/>
  <c r="I74" i="53"/>
  <c r="J152" i="112" l="1"/>
  <c r="D182" i="112"/>
  <c r="F181" i="112"/>
  <c r="T152" i="111"/>
  <c r="N153" i="111" s="1"/>
  <c r="P153" i="111" s="1"/>
  <c r="G154" i="112" s="1"/>
  <c r="H154" i="112" s="1"/>
  <c r="G153" i="110"/>
  <c r="S153" i="111"/>
  <c r="R153" i="111" s="1"/>
  <c r="V153" i="111" s="1"/>
  <c r="O180" i="89"/>
  <c r="O180" i="111"/>
  <c r="G102" i="103"/>
  <c r="H102" i="103" s="1"/>
  <c r="D182" i="110"/>
  <c r="F181" i="110"/>
  <c r="D183" i="105"/>
  <c r="F182" i="105"/>
  <c r="J93" i="105"/>
  <c r="D182" i="103"/>
  <c r="F181" i="103"/>
  <c r="N15" i="75"/>
  <c r="D183" i="98"/>
  <c r="F182" i="98"/>
  <c r="J93" i="98"/>
  <c r="G102" i="93"/>
  <c r="D182" i="93"/>
  <c r="F181" i="93"/>
  <c r="F181" i="58"/>
  <c r="D182" i="58"/>
  <c r="D183" i="61"/>
  <c r="F182" i="61"/>
  <c r="D182" i="65"/>
  <c r="F181" i="65"/>
  <c r="J93" i="91"/>
  <c r="S93" i="89"/>
  <c r="R93" i="89" s="1"/>
  <c r="G94" i="105" s="1"/>
  <c r="H94" i="105" s="1"/>
  <c r="F182" i="91"/>
  <c r="D183" i="91"/>
  <c r="T101" i="89"/>
  <c r="N102" i="89" s="1"/>
  <c r="P102" i="89" s="1"/>
  <c r="G102" i="86"/>
  <c r="D182" i="86"/>
  <c r="F181" i="86"/>
  <c r="J101" i="86"/>
  <c r="H80" i="65"/>
  <c r="J80" i="65" s="1"/>
  <c r="U79" i="60"/>
  <c r="R80" i="60" s="1"/>
  <c r="Q80" i="60" s="1"/>
  <c r="G81" i="65" s="1"/>
  <c r="N147" i="60"/>
  <c r="R50" i="53"/>
  <c r="G51" i="58" s="1"/>
  <c r="N40" i="58" s="1"/>
  <c r="O101" i="60"/>
  <c r="T44" i="53"/>
  <c r="H45" i="61"/>
  <c r="G45" i="54"/>
  <c r="H45" i="54" s="1"/>
  <c r="H45" i="58"/>
  <c r="O147" i="53"/>
  <c r="D149" i="54"/>
  <c r="F149" i="54" s="1"/>
  <c r="I75" i="53"/>
  <c r="D183" i="112" l="1"/>
  <c r="F182" i="112"/>
  <c r="J153" i="112"/>
  <c r="T153" i="111"/>
  <c r="N154" i="111" s="1"/>
  <c r="P154" i="111" s="1"/>
  <c r="G155" i="112" s="1"/>
  <c r="H155" i="112" s="1"/>
  <c r="G154" i="110"/>
  <c r="S154" i="111"/>
  <c r="R154" i="111" s="1"/>
  <c r="V154" i="111" s="1"/>
  <c r="O181" i="89"/>
  <c r="O181" i="111"/>
  <c r="D183" i="110"/>
  <c r="F182" i="110"/>
  <c r="G103" i="103"/>
  <c r="H102" i="110"/>
  <c r="J94" i="105"/>
  <c r="F183" i="105"/>
  <c r="X172" i="105" s="1"/>
  <c r="D184" i="105"/>
  <c r="D183" i="103"/>
  <c r="F182" i="103"/>
  <c r="J102" i="103"/>
  <c r="H103" i="103"/>
  <c r="H102" i="93"/>
  <c r="J102" i="93" s="1"/>
  <c r="G94" i="91"/>
  <c r="H94" i="91" s="1"/>
  <c r="G94" i="98"/>
  <c r="H94" i="98" s="1"/>
  <c r="F183" i="98"/>
  <c r="X172" i="98" s="1"/>
  <c r="D184" i="98"/>
  <c r="G103" i="93"/>
  <c r="D183" i="93"/>
  <c r="F182" i="93"/>
  <c r="F182" i="58"/>
  <c r="D183" i="58"/>
  <c r="F183" i="61"/>
  <c r="D184" i="61"/>
  <c r="F182" i="65"/>
  <c r="D183" i="65"/>
  <c r="V93" i="89"/>
  <c r="G103" i="86"/>
  <c r="F183" i="91"/>
  <c r="O182" i="111" s="1"/>
  <c r="D184" i="91"/>
  <c r="H102" i="86"/>
  <c r="J102" i="86" s="1"/>
  <c r="T102" i="89"/>
  <c r="D183" i="86"/>
  <c r="F182" i="86"/>
  <c r="H81" i="65"/>
  <c r="J81" i="65" s="1"/>
  <c r="P7" i="75"/>
  <c r="U80" i="60"/>
  <c r="N148" i="60"/>
  <c r="V50" i="53"/>
  <c r="S51" i="53" s="1"/>
  <c r="R51" i="53" s="1"/>
  <c r="V51" i="53" s="1"/>
  <c r="G102" i="61"/>
  <c r="S101" i="60"/>
  <c r="M102" i="60" s="1"/>
  <c r="J45" i="61"/>
  <c r="J45" i="58"/>
  <c r="J45" i="54"/>
  <c r="N45" i="53"/>
  <c r="P45" i="53" s="1"/>
  <c r="O148" i="53"/>
  <c r="D150" i="54"/>
  <c r="F150" i="54" s="1"/>
  <c r="I76" i="53"/>
  <c r="J154" i="112" l="1"/>
  <c r="F183" i="112"/>
  <c r="X172" i="112" s="1"/>
  <c r="D184" i="112"/>
  <c r="T154" i="111"/>
  <c r="N155" i="111" s="1"/>
  <c r="P155" i="111" s="1"/>
  <c r="G156" i="112" s="1"/>
  <c r="H156" i="112" s="1"/>
  <c r="G155" i="110"/>
  <c r="S155" i="111"/>
  <c r="R155" i="111" s="1"/>
  <c r="V155" i="111" s="1"/>
  <c r="J102" i="110"/>
  <c r="H103" i="110"/>
  <c r="F183" i="110"/>
  <c r="X172" i="110" s="1"/>
  <c r="D184" i="110"/>
  <c r="D185" i="105"/>
  <c r="F184" i="105"/>
  <c r="J103" i="103"/>
  <c r="F183" i="103"/>
  <c r="X172" i="103" s="1"/>
  <c r="N18" i="106" s="1"/>
  <c r="D184" i="103"/>
  <c r="O182" i="89"/>
  <c r="X172" i="91"/>
  <c r="H103" i="93"/>
  <c r="J103" i="93" s="1"/>
  <c r="F184" i="98"/>
  <c r="D185" i="98"/>
  <c r="J94" i="98"/>
  <c r="D184" i="93"/>
  <c r="F183" i="93"/>
  <c r="X172" i="93" s="1"/>
  <c r="F183" i="58"/>
  <c r="D184" i="58"/>
  <c r="F184" i="61"/>
  <c r="D185" i="61"/>
  <c r="F183" i="65"/>
  <c r="P172" i="65" s="1"/>
  <c r="N18" i="76" s="1"/>
  <c r="D184" i="65"/>
  <c r="J94" i="91"/>
  <c r="S94" i="89"/>
  <c r="R94" i="89" s="1"/>
  <c r="G95" i="105" s="1"/>
  <c r="H95" i="105" s="1"/>
  <c r="F184" i="91"/>
  <c r="O183" i="111" s="1"/>
  <c r="D185" i="91"/>
  <c r="N103" i="89"/>
  <c r="P103" i="89" s="1"/>
  <c r="F183" i="86"/>
  <c r="X172" i="86" s="1"/>
  <c r="N18" i="100" s="1"/>
  <c r="D184" i="86"/>
  <c r="R81" i="60"/>
  <c r="Q81" i="60" s="1"/>
  <c r="G82" i="65" s="1"/>
  <c r="H82" i="65" s="1"/>
  <c r="N149" i="60"/>
  <c r="O102" i="60"/>
  <c r="H103" i="86" s="1"/>
  <c r="T45" i="53"/>
  <c r="H46" i="61"/>
  <c r="G52" i="58"/>
  <c r="S52" i="53"/>
  <c r="G46" i="54"/>
  <c r="H46" i="54" s="1"/>
  <c r="H46" i="58"/>
  <c r="O149" i="53"/>
  <c r="D151" i="54"/>
  <c r="F151" i="54" s="1"/>
  <c r="I77" i="53"/>
  <c r="D185" i="112" l="1"/>
  <c r="F184" i="112"/>
  <c r="J155" i="112"/>
  <c r="T155" i="111"/>
  <c r="N156" i="111" s="1"/>
  <c r="P156" i="111" s="1"/>
  <c r="G157" i="112" s="1"/>
  <c r="H157" i="112" s="1"/>
  <c r="G156" i="110"/>
  <c r="S156" i="111"/>
  <c r="R156" i="111" s="1"/>
  <c r="V156" i="111" s="1"/>
  <c r="J103" i="110"/>
  <c r="D185" i="110"/>
  <c r="F184" i="110"/>
  <c r="G104" i="103"/>
  <c r="H104" i="103" s="1"/>
  <c r="J95" i="105"/>
  <c r="D186" i="105"/>
  <c r="F185" i="105"/>
  <c r="D185" i="103"/>
  <c r="F184" i="103"/>
  <c r="N18" i="101"/>
  <c r="O183" i="89"/>
  <c r="G95" i="91"/>
  <c r="H95" i="91" s="1"/>
  <c r="J95" i="91" s="1"/>
  <c r="G95" i="98"/>
  <c r="H95" i="98" s="1"/>
  <c r="D186" i="98"/>
  <c r="F185" i="98"/>
  <c r="G104" i="93"/>
  <c r="D185" i="93"/>
  <c r="F184" i="93"/>
  <c r="D185" i="58"/>
  <c r="F184" i="58"/>
  <c r="D186" i="61"/>
  <c r="F185" i="61"/>
  <c r="D185" i="65"/>
  <c r="F184" i="65"/>
  <c r="V94" i="89"/>
  <c r="D186" i="91"/>
  <c r="F185" i="91"/>
  <c r="G104" i="86"/>
  <c r="T103" i="89"/>
  <c r="F184" i="86"/>
  <c r="D185" i="86"/>
  <c r="J103" i="86"/>
  <c r="J82" i="65"/>
  <c r="N150" i="60"/>
  <c r="U81" i="60"/>
  <c r="R52" i="53"/>
  <c r="V52" i="53" s="1"/>
  <c r="S53" i="53" s="1"/>
  <c r="G103" i="61"/>
  <c r="S102" i="60"/>
  <c r="M103" i="60" s="1"/>
  <c r="J46" i="61"/>
  <c r="J46" i="58"/>
  <c r="J46" i="54"/>
  <c r="N46" i="53"/>
  <c r="P46" i="53" s="1"/>
  <c r="O150" i="53"/>
  <c r="D152" i="54"/>
  <c r="F152" i="54" s="1"/>
  <c r="I78" i="53"/>
  <c r="J156" i="112" l="1"/>
  <c r="D186" i="112"/>
  <c r="F185" i="112"/>
  <c r="T156" i="111"/>
  <c r="N157" i="111" s="1"/>
  <c r="P157" i="111" s="1"/>
  <c r="G158" i="112" s="1"/>
  <c r="H158" i="112" s="1"/>
  <c r="G157" i="110"/>
  <c r="S157" i="111"/>
  <c r="R157" i="111" s="1"/>
  <c r="V157" i="111" s="1"/>
  <c r="O184" i="89"/>
  <c r="O184" i="111"/>
  <c r="D186" i="110"/>
  <c r="F185" i="110"/>
  <c r="H104" i="110"/>
  <c r="D187" i="105"/>
  <c r="F186" i="105"/>
  <c r="J104" i="103"/>
  <c r="D186" i="103"/>
  <c r="F185" i="103"/>
  <c r="H104" i="93"/>
  <c r="J104" i="93" s="1"/>
  <c r="D187" i="98"/>
  <c r="F186" i="98"/>
  <c r="J95" i="98"/>
  <c r="D186" i="93"/>
  <c r="F185" i="93"/>
  <c r="D186" i="58"/>
  <c r="F185" i="58"/>
  <c r="D187" i="61"/>
  <c r="F186" i="61"/>
  <c r="D186" i="65"/>
  <c r="F185" i="65"/>
  <c r="S95" i="89"/>
  <c r="R95" i="89" s="1"/>
  <c r="G96" i="105" s="1"/>
  <c r="H96" i="105" s="1"/>
  <c r="F186" i="91"/>
  <c r="D187" i="91"/>
  <c r="N104" i="89"/>
  <c r="P104" i="89" s="1"/>
  <c r="D186" i="86"/>
  <c r="F185" i="86"/>
  <c r="R82" i="60"/>
  <c r="Q82" i="60" s="1"/>
  <c r="G83" i="65" s="1"/>
  <c r="H83" i="65" s="1"/>
  <c r="N151" i="60"/>
  <c r="G53" i="58"/>
  <c r="R53" i="53"/>
  <c r="V53" i="53" s="1"/>
  <c r="S54" i="53" s="1"/>
  <c r="O103" i="60"/>
  <c r="H104" i="86" s="1"/>
  <c r="T46" i="53"/>
  <c r="H47" i="61"/>
  <c r="G47" i="54"/>
  <c r="H47" i="54" s="1"/>
  <c r="H47" i="58"/>
  <c r="O151" i="53"/>
  <c r="D153" i="54"/>
  <c r="F153" i="54" s="1"/>
  <c r="I79" i="53"/>
  <c r="D187" i="112" l="1"/>
  <c r="F186" i="112"/>
  <c r="J157" i="112"/>
  <c r="T157" i="111"/>
  <c r="N158" i="111" s="1"/>
  <c r="P158" i="111" s="1"/>
  <c r="G159" i="112" s="1"/>
  <c r="H159" i="112" s="1"/>
  <c r="G158" i="110"/>
  <c r="S158" i="111"/>
  <c r="R158" i="111" s="1"/>
  <c r="V158" i="111" s="1"/>
  <c r="O185" i="89"/>
  <c r="O185" i="111"/>
  <c r="G105" i="103"/>
  <c r="H105" i="103" s="1"/>
  <c r="J105" i="103" s="1"/>
  <c r="D187" i="110"/>
  <c r="F186" i="110"/>
  <c r="J104" i="110"/>
  <c r="H105" i="110"/>
  <c r="J96" i="105"/>
  <c r="D188" i="105"/>
  <c r="F187" i="105"/>
  <c r="D187" i="103"/>
  <c r="F186" i="103"/>
  <c r="G96" i="91"/>
  <c r="H96" i="91" s="1"/>
  <c r="J96" i="91" s="1"/>
  <c r="G96" i="98"/>
  <c r="H96" i="98" s="1"/>
  <c r="D188" i="98"/>
  <c r="F187" i="98"/>
  <c r="G105" i="93"/>
  <c r="H105" i="93" s="1"/>
  <c r="J105" i="93" s="1"/>
  <c r="D187" i="93"/>
  <c r="F186" i="93"/>
  <c r="D187" i="58"/>
  <c r="F186" i="58"/>
  <c r="D188" i="61"/>
  <c r="F187" i="61"/>
  <c r="D187" i="65"/>
  <c r="F186" i="65"/>
  <c r="V95" i="89"/>
  <c r="D188" i="91"/>
  <c r="F187" i="91"/>
  <c r="G105" i="86"/>
  <c r="T104" i="89"/>
  <c r="D187" i="86"/>
  <c r="F186" i="86"/>
  <c r="J104" i="86"/>
  <c r="U82" i="60"/>
  <c r="J83" i="65"/>
  <c r="N152" i="60"/>
  <c r="R54" i="53"/>
  <c r="V54" i="53" s="1"/>
  <c r="S55" i="53" s="1"/>
  <c r="G54" i="58"/>
  <c r="G104" i="61"/>
  <c r="S103" i="60"/>
  <c r="M104" i="60" s="1"/>
  <c r="J47" i="61"/>
  <c r="J47" i="58"/>
  <c r="J47" i="54"/>
  <c r="N47" i="53"/>
  <c r="P47" i="53" s="1"/>
  <c r="O152" i="53"/>
  <c r="D154" i="54"/>
  <c r="F154" i="54" s="1"/>
  <c r="I80" i="53"/>
  <c r="Y148" i="112" l="1"/>
  <c r="N148" i="112"/>
  <c r="F187" i="112"/>
  <c r="D188" i="112"/>
  <c r="J159" i="112"/>
  <c r="J158" i="112"/>
  <c r="T158" i="111"/>
  <c r="N159" i="111" s="1"/>
  <c r="P159" i="111" s="1"/>
  <c r="G160" i="112" s="1"/>
  <c r="H160" i="112" s="1"/>
  <c r="G159" i="110"/>
  <c r="S159" i="111"/>
  <c r="R159" i="111" s="1"/>
  <c r="V159" i="111" s="1"/>
  <c r="O186" i="89"/>
  <c r="O186" i="111"/>
  <c r="D188" i="110"/>
  <c r="F187" i="110"/>
  <c r="J105" i="110"/>
  <c r="D189" i="105"/>
  <c r="F188" i="105"/>
  <c r="F187" i="103"/>
  <c r="D188" i="103"/>
  <c r="D189" i="98"/>
  <c r="F188" i="98"/>
  <c r="J96" i="98"/>
  <c r="D188" i="93"/>
  <c r="F187" i="93"/>
  <c r="D188" i="58"/>
  <c r="F187" i="58"/>
  <c r="D189" i="61"/>
  <c r="F188" i="61"/>
  <c r="D188" i="65"/>
  <c r="F187" i="65"/>
  <c r="S96" i="89"/>
  <c r="R96" i="89" s="1"/>
  <c r="G97" i="105" s="1"/>
  <c r="H97" i="105" s="1"/>
  <c r="D189" i="91"/>
  <c r="F188" i="91"/>
  <c r="N105" i="89"/>
  <c r="P105" i="89" s="1"/>
  <c r="D188" i="86"/>
  <c r="F187" i="86"/>
  <c r="R83" i="60"/>
  <c r="Q83" i="60" s="1"/>
  <c r="G84" i="65" s="1"/>
  <c r="H84" i="65" s="1"/>
  <c r="N153" i="60"/>
  <c r="G55" i="58"/>
  <c r="R55" i="53"/>
  <c r="V55" i="53" s="1"/>
  <c r="S56" i="53" s="1"/>
  <c r="O104" i="60"/>
  <c r="H105" i="86" s="1"/>
  <c r="T47" i="53"/>
  <c r="H48" i="61"/>
  <c r="G48" i="54"/>
  <c r="H48" i="54" s="1"/>
  <c r="H48" i="58"/>
  <c r="O153" i="53"/>
  <c r="D155" i="54"/>
  <c r="F155" i="54" s="1"/>
  <c r="I81" i="53"/>
  <c r="K148" i="112" l="1"/>
  <c r="J19" i="109" s="1"/>
  <c r="D189" i="112"/>
  <c r="F188" i="112"/>
  <c r="T159" i="111"/>
  <c r="N160" i="111" s="1"/>
  <c r="P160" i="111" s="1"/>
  <c r="G161" i="112" s="1"/>
  <c r="H161" i="112" s="1"/>
  <c r="G160" i="110"/>
  <c r="S160" i="111"/>
  <c r="R160" i="111" s="1"/>
  <c r="V160" i="111" s="1"/>
  <c r="O187" i="89"/>
  <c r="O187" i="111"/>
  <c r="G106" i="103"/>
  <c r="H106" i="103" s="1"/>
  <c r="J106" i="103" s="1"/>
  <c r="H106" i="110"/>
  <c r="D189" i="110"/>
  <c r="F188" i="110"/>
  <c r="J97" i="105"/>
  <c r="D190" i="105"/>
  <c r="F189" i="105"/>
  <c r="D189" i="103"/>
  <c r="F188" i="103"/>
  <c r="G97" i="91"/>
  <c r="H97" i="91" s="1"/>
  <c r="J97" i="91" s="1"/>
  <c r="G97" i="98"/>
  <c r="H97" i="98" s="1"/>
  <c r="D190" i="98"/>
  <c r="F189" i="98"/>
  <c r="G106" i="93"/>
  <c r="H106" i="93" s="1"/>
  <c r="J106" i="93" s="1"/>
  <c r="D189" i="93"/>
  <c r="F188" i="93"/>
  <c r="D189" i="58"/>
  <c r="F188" i="58"/>
  <c r="D190" i="61"/>
  <c r="F189" i="61"/>
  <c r="F188" i="65"/>
  <c r="D189" i="65"/>
  <c r="V96" i="89"/>
  <c r="D190" i="91"/>
  <c r="F189" i="91"/>
  <c r="G106" i="86"/>
  <c r="T105" i="89"/>
  <c r="D189" i="86"/>
  <c r="F188" i="86"/>
  <c r="J105" i="86"/>
  <c r="J84" i="65"/>
  <c r="N154" i="60"/>
  <c r="U83" i="60"/>
  <c r="G56" i="58"/>
  <c r="R56" i="53"/>
  <c r="V56" i="53" s="1"/>
  <c r="S57" i="53" s="1"/>
  <c r="G105" i="61"/>
  <c r="S104" i="60"/>
  <c r="M105" i="60" s="1"/>
  <c r="J48" i="61"/>
  <c r="J48" i="58"/>
  <c r="J48" i="54"/>
  <c r="N48" i="53"/>
  <c r="P48" i="53" s="1"/>
  <c r="O154" i="53"/>
  <c r="D156" i="54"/>
  <c r="F156" i="54" s="1"/>
  <c r="I82" i="53"/>
  <c r="J160" i="112" l="1"/>
  <c r="D190" i="112"/>
  <c r="F189" i="112"/>
  <c r="T160" i="111"/>
  <c r="N161" i="111" s="1"/>
  <c r="P161" i="111" s="1"/>
  <c r="G162" i="112" s="1"/>
  <c r="H162" i="112" s="1"/>
  <c r="G161" i="110"/>
  <c r="O188" i="89"/>
  <c r="O188" i="111"/>
  <c r="S161" i="111"/>
  <c r="R161" i="111" s="1"/>
  <c r="V161" i="111" s="1"/>
  <c r="D190" i="110"/>
  <c r="F189" i="110"/>
  <c r="J106" i="110"/>
  <c r="D191" i="105"/>
  <c r="F190" i="105"/>
  <c r="D190" i="103"/>
  <c r="F189" i="103"/>
  <c r="F190" i="98"/>
  <c r="D191" i="98"/>
  <c r="J97" i="98"/>
  <c r="D190" i="93"/>
  <c r="F189" i="93"/>
  <c r="D190" i="58"/>
  <c r="F189" i="58"/>
  <c r="F190" i="61"/>
  <c r="D191" i="61"/>
  <c r="D190" i="65"/>
  <c r="F189" i="65"/>
  <c r="S97" i="89"/>
  <c r="R97" i="89" s="1"/>
  <c r="G98" i="105" s="1"/>
  <c r="H98" i="105" s="1"/>
  <c r="D191" i="91"/>
  <c r="F190" i="91"/>
  <c r="N106" i="89"/>
  <c r="P106" i="89" s="1"/>
  <c r="F189" i="86"/>
  <c r="D190" i="86"/>
  <c r="R84" i="60"/>
  <c r="Q84" i="60" s="1"/>
  <c r="G85" i="65" s="1"/>
  <c r="H85" i="65" s="1"/>
  <c r="N155" i="60"/>
  <c r="G57" i="58"/>
  <c r="R57" i="53"/>
  <c r="V57" i="53" s="1"/>
  <c r="S58" i="53" s="1"/>
  <c r="O105" i="60"/>
  <c r="H106" i="86" s="1"/>
  <c r="T48" i="53"/>
  <c r="H49" i="61"/>
  <c r="G49" i="54"/>
  <c r="H49" i="54" s="1"/>
  <c r="H49" i="58"/>
  <c r="O155" i="53"/>
  <c r="D157" i="54"/>
  <c r="F157" i="54" s="1"/>
  <c r="I83" i="53"/>
  <c r="J161" i="112" l="1"/>
  <c r="D191" i="112"/>
  <c r="F190" i="112"/>
  <c r="T161" i="111"/>
  <c r="N162" i="111" s="1"/>
  <c r="P162" i="111" s="1"/>
  <c r="G163" i="112" s="1"/>
  <c r="H163" i="112" s="1"/>
  <c r="G162" i="110"/>
  <c r="O189" i="89"/>
  <c r="O189" i="111"/>
  <c r="S162" i="111"/>
  <c r="R162" i="111" s="1"/>
  <c r="V162" i="111" s="1"/>
  <c r="G107" i="103"/>
  <c r="H107" i="103" s="1"/>
  <c r="J107" i="103" s="1"/>
  <c r="H107" i="110"/>
  <c r="D191" i="110"/>
  <c r="F190" i="110"/>
  <c r="J98" i="105"/>
  <c r="D192" i="105"/>
  <c r="F191" i="105"/>
  <c r="D191" i="103"/>
  <c r="F190" i="103"/>
  <c r="D192" i="98"/>
  <c r="F191" i="98"/>
  <c r="G98" i="91"/>
  <c r="H98" i="91" s="1"/>
  <c r="J98" i="91" s="1"/>
  <c r="G98" i="98"/>
  <c r="H98" i="98" s="1"/>
  <c r="G107" i="93"/>
  <c r="H107" i="93" s="1"/>
  <c r="J107" i="93" s="1"/>
  <c r="F190" i="93"/>
  <c r="D191" i="93"/>
  <c r="D191" i="58"/>
  <c r="F190" i="58"/>
  <c r="D192" i="61"/>
  <c r="F191" i="61"/>
  <c r="F190" i="65"/>
  <c r="D191" i="65"/>
  <c r="V97" i="89"/>
  <c r="D192" i="91"/>
  <c r="F191" i="91"/>
  <c r="G107" i="86"/>
  <c r="T106" i="89"/>
  <c r="D191" i="86"/>
  <c r="F190" i="86"/>
  <c r="J106" i="86"/>
  <c r="U84" i="60"/>
  <c r="J85" i="65"/>
  <c r="N156" i="60"/>
  <c r="G58" i="58"/>
  <c r="R58" i="53"/>
  <c r="V58" i="53" s="1"/>
  <c r="S59" i="53" s="1"/>
  <c r="G106" i="61"/>
  <c r="S105" i="60"/>
  <c r="M106" i="60" s="1"/>
  <c r="J49" i="61"/>
  <c r="J49" i="58"/>
  <c r="J49" i="54"/>
  <c r="N49" i="53"/>
  <c r="P49" i="53" s="1"/>
  <c r="O156" i="53"/>
  <c r="D158" i="54"/>
  <c r="F158" i="54" s="1"/>
  <c r="I84" i="53"/>
  <c r="J162" i="112" l="1"/>
  <c r="D192" i="112"/>
  <c r="F191" i="112"/>
  <c r="T162" i="111"/>
  <c r="N163" i="111" s="1"/>
  <c r="P163" i="111" s="1"/>
  <c r="G164" i="112" s="1"/>
  <c r="H164" i="112" s="1"/>
  <c r="G163" i="110"/>
  <c r="S163" i="111"/>
  <c r="R163" i="111" s="1"/>
  <c r="V163" i="111" s="1"/>
  <c r="O190" i="89"/>
  <c r="O190" i="111"/>
  <c r="D192" i="110"/>
  <c r="F191" i="110"/>
  <c r="J107" i="110"/>
  <c r="D193" i="105"/>
  <c r="F192" i="105"/>
  <c r="D192" i="103"/>
  <c r="F191" i="103"/>
  <c r="J98" i="98"/>
  <c r="D193" i="98"/>
  <c r="F192" i="98"/>
  <c r="D192" i="93"/>
  <c r="F191" i="93"/>
  <c r="D192" i="58"/>
  <c r="F191" i="58"/>
  <c r="D193" i="61"/>
  <c r="F192" i="61"/>
  <c r="D192" i="65"/>
  <c r="F191" i="65"/>
  <c r="S98" i="89"/>
  <c r="R98" i="89" s="1"/>
  <c r="G99" i="105" s="1"/>
  <c r="D193" i="91"/>
  <c r="F192" i="91"/>
  <c r="N107" i="89"/>
  <c r="P107" i="89" s="1"/>
  <c r="D192" i="86"/>
  <c r="F191" i="86"/>
  <c r="R85" i="60"/>
  <c r="Q85" i="60" s="1"/>
  <c r="G86" i="65" s="1"/>
  <c r="H86" i="65" s="1"/>
  <c r="N157" i="60"/>
  <c r="G59" i="58"/>
  <c r="R59" i="53"/>
  <c r="V59" i="53" s="1"/>
  <c r="S60" i="53" s="1"/>
  <c r="O106" i="60"/>
  <c r="H107" i="86" s="1"/>
  <c r="T49" i="53"/>
  <c r="H50" i="61"/>
  <c r="G50" i="54"/>
  <c r="H50" i="54" s="1"/>
  <c r="H50" i="58"/>
  <c r="O157" i="53"/>
  <c r="D159" i="54"/>
  <c r="F159" i="54" s="1"/>
  <c r="I85" i="53"/>
  <c r="D193" i="112" l="1"/>
  <c r="F192" i="112"/>
  <c r="J163" i="112"/>
  <c r="T163" i="111"/>
  <c r="N164" i="111" s="1"/>
  <c r="P164" i="111" s="1"/>
  <c r="G165" i="112" s="1"/>
  <c r="H165" i="112" s="1"/>
  <c r="G164" i="110"/>
  <c r="S164" i="111"/>
  <c r="R164" i="111" s="1"/>
  <c r="V164" i="111" s="1"/>
  <c r="O191" i="89"/>
  <c r="O191" i="111"/>
  <c r="G108" i="103"/>
  <c r="H108" i="103" s="1"/>
  <c r="J108" i="103" s="1"/>
  <c r="H108" i="110"/>
  <c r="D193" i="110"/>
  <c r="F192" i="110"/>
  <c r="N88" i="105"/>
  <c r="Y88" i="105"/>
  <c r="P11" i="106" s="1"/>
  <c r="H99" i="105"/>
  <c r="D194" i="105"/>
  <c r="F193" i="105"/>
  <c r="D193" i="103"/>
  <c r="F192" i="103"/>
  <c r="D194" i="98"/>
  <c r="F193" i="98"/>
  <c r="G99" i="91"/>
  <c r="G99" i="98"/>
  <c r="Y88" i="98" s="1"/>
  <c r="P11" i="101" s="1"/>
  <c r="G108" i="93"/>
  <c r="H108" i="93" s="1"/>
  <c r="J108" i="93" s="1"/>
  <c r="D193" i="93"/>
  <c r="F192" i="93"/>
  <c r="D193" i="58"/>
  <c r="F192" i="58"/>
  <c r="F193" i="61"/>
  <c r="D194" i="61"/>
  <c r="F192" i="65"/>
  <c r="D193" i="65"/>
  <c r="V98" i="89"/>
  <c r="D194" i="91"/>
  <c r="F193" i="91"/>
  <c r="G108" i="86"/>
  <c r="T107" i="89"/>
  <c r="D193" i="86"/>
  <c r="F192" i="86"/>
  <c r="N148" i="54"/>
  <c r="J107" i="86"/>
  <c r="J86" i="65"/>
  <c r="N158" i="60"/>
  <c r="U85" i="60"/>
  <c r="G60" i="58"/>
  <c r="R60" i="53"/>
  <c r="V60" i="53" s="1"/>
  <c r="S61" i="53" s="1"/>
  <c r="G107" i="61"/>
  <c r="S106" i="60"/>
  <c r="M107" i="60" s="1"/>
  <c r="J50" i="61"/>
  <c r="J50" i="58"/>
  <c r="J50" i="54"/>
  <c r="N50" i="53"/>
  <c r="P50" i="53" s="1"/>
  <c r="O158" i="53"/>
  <c r="D160" i="54"/>
  <c r="F160" i="54" s="1"/>
  <c r="I86" i="53"/>
  <c r="J164" i="112" l="1"/>
  <c r="D194" i="112"/>
  <c r="F193" i="112"/>
  <c r="T164" i="111"/>
  <c r="N165" i="111" s="1"/>
  <c r="P165" i="111" s="1"/>
  <c r="G166" i="112" s="1"/>
  <c r="H166" i="112" s="1"/>
  <c r="G165" i="110"/>
  <c r="S165" i="111"/>
  <c r="R165" i="111" s="1"/>
  <c r="V165" i="111" s="1"/>
  <c r="O192" i="89"/>
  <c r="O192" i="111"/>
  <c r="F193" i="110"/>
  <c r="D194" i="110"/>
  <c r="J108" i="110"/>
  <c r="J99" i="105"/>
  <c r="K88" i="105" s="1"/>
  <c r="D195" i="105"/>
  <c r="F194" i="105"/>
  <c r="D194" i="103"/>
  <c r="F193" i="103"/>
  <c r="N88" i="91"/>
  <c r="Y88" i="91"/>
  <c r="N16" i="75"/>
  <c r="H99" i="91"/>
  <c r="J99" i="91" s="1"/>
  <c r="K88" i="91" s="1"/>
  <c r="J14" i="90" s="1"/>
  <c r="L14" i="90" s="1"/>
  <c r="M14" i="90" s="1"/>
  <c r="N88" i="98"/>
  <c r="H99" i="98"/>
  <c r="D195" i="98"/>
  <c r="F194" i="98"/>
  <c r="D194" i="93"/>
  <c r="F193" i="93"/>
  <c r="D194" i="58"/>
  <c r="F193" i="58"/>
  <c r="D195" i="61"/>
  <c r="F194" i="61"/>
  <c r="D194" i="65"/>
  <c r="F193" i="65"/>
  <c r="S99" i="89"/>
  <c r="R99" i="89" s="1"/>
  <c r="D195" i="91"/>
  <c r="F194" i="91"/>
  <c r="N108" i="89"/>
  <c r="P108" i="89" s="1"/>
  <c r="F193" i="86"/>
  <c r="D194" i="86"/>
  <c r="R86" i="60"/>
  <c r="Q86" i="60" s="1"/>
  <c r="G87" i="65" s="1"/>
  <c r="N76" i="65" s="1"/>
  <c r="P10" i="76" s="1"/>
  <c r="N159" i="60"/>
  <c r="G61" i="58"/>
  <c r="R61" i="53"/>
  <c r="V61" i="53" s="1"/>
  <c r="S62" i="53" s="1"/>
  <c r="O107" i="60"/>
  <c r="H108" i="86" s="1"/>
  <c r="T50" i="53"/>
  <c r="H51" i="61"/>
  <c r="J51" i="61" s="1"/>
  <c r="H52" i="61" s="1"/>
  <c r="G51" i="54"/>
  <c r="P40" i="54" s="1"/>
  <c r="H51" i="58"/>
  <c r="J51" i="58" s="1"/>
  <c r="O159" i="53"/>
  <c r="D161" i="54"/>
  <c r="F161" i="54" s="1"/>
  <c r="I87" i="53"/>
  <c r="F194" i="112" l="1"/>
  <c r="D195" i="112"/>
  <c r="J165" i="112"/>
  <c r="T165" i="111"/>
  <c r="N166" i="111" s="1"/>
  <c r="P166" i="111" s="1"/>
  <c r="G167" i="112" s="1"/>
  <c r="H167" i="112" s="1"/>
  <c r="G166" i="110"/>
  <c r="S166" i="111"/>
  <c r="R166" i="111" s="1"/>
  <c r="V166" i="111" s="1"/>
  <c r="O193" i="89"/>
  <c r="O193" i="111"/>
  <c r="D195" i="110"/>
  <c r="F194" i="110"/>
  <c r="G109" i="103"/>
  <c r="H109" i="103" s="1"/>
  <c r="J109" i="103" s="1"/>
  <c r="H109" i="110"/>
  <c r="J14" i="104"/>
  <c r="G100" i="98"/>
  <c r="G100" i="105"/>
  <c r="H100" i="105" s="1"/>
  <c r="F195" i="105"/>
  <c r="X184" i="105" s="1"/>
  <c r="D196" i="105"/>
  <c r="F194" i="103"/>
  <c r="D195" i="103"/>
  <c r="P11" i="100"/>
  <c r="F195" i="98"/>
  <c r="X184" i="98" s="1"/>
  <c r="D196" i="98"/>
  <c r="J99" i="98"/>
  <c r="K88" i="98" s="1"/>
  <c r="H14" i="90"/>
  <c r="G109" i="93"/>
  <c r="H109" i="93" s="1"/>
  <c r="J109" i="93" s="1"/>
  <c r="F194" i="93"/>
  <c r="D195" i="93"/>
  <c r="F194" i="58"/>
  <c r="D195" i="58"/>
  <c r="D196" i="61"/>
  <c r="F195" i="61"/>
  <c r="D195" i="65"/>
  <c r="F194" i="65"/>
  <c r="V99" i="89"/>
  <c r="S100" i="89" s="1"/>
  <c r="R100" i="89" s="1"/>
  <c r="G101" i="105" s="1"/>
  <c r="G100" i="91"/>
  <c r="F195" i="91"/>
  <c r="O194" i="111" s="1"/>
  <c r="D196" i="91"/>
  <c r="G109" i="86"/>
  <c r="T108" i="89"/>
  <c r="N109" i="89" s="1"/>
  <c r="P109" i="89" s="1"/>
  <c r="F194" i="86"/>
  <c r="D195" i="86"/>
  <c r="J108" i="86"/>
  <c r="H87" i="65"/>
  <c r="J87" i="65" s="1"/>
  <c r="K76" i="65" s="1"/>
  <c r="O7" i="75"/>
  <c r="H51" i="54"/>
  <c r="J51" i="54" s="1"/>
  <c r="K40" i="54" s="1"/>
  <c r="J10" i="55" s="1"/>
  <c r="U86" i="60"/>
  <c r="N160" i="60"/>
  <c r="G62" i="58"/>
  <c r="R62" i="53"/>
  <c r="V62" i="53" s="1"/>
  <c r="S63" i="53" s="1"/>
  <c r="G108" i="61"/>
  <c r="S107" i="60"/>
  <c r="M108" i="60" s="1"/>
  <c r="K40" i="61"/>
  <c r="J10" i="62" s="1"/>
  <c r="H10" i="62" s="1"/>
  <c r="K40" i="58"/>
  <c r="J10" i="59" s="1"/>
  <c r="N51" i="53"/>
  <c r="P51" i="53" s="1"/>
  <c r="O160" i="53"/>
  <c r="D162" i="54"/>
  <c r="F162" i="54" s="1"/>
  <c r="I88" i="53"/>
  <c r="J166" i="112" l="1"/>
  <c r="F195" i="112"/>
  <c r="X184" i="112" s="1"/>
  <c r="D196" i="112"/>
  <c r="T166" i="111"/>
  <c r="N167" i="111" s="1"/>
  <c r="P167" i="111" s="1"/>
  <c r="G168" i="112" s="1"/>
  <c r="H168" i="112" s="1"/>
  <c r="G167" i="110"/>
  <c r="S167" i="111"/>
  <c r="R167" i="111" s="1"/>
  <c r="V167" i="111" s="1"/>
  <c r="G110" i="103"/>
  <c r="H110" i="103" s="1"/>
  <c r="H110" i="110"/>
  <c r="J109" i="110"/>
  <c r="D196" i="110"/>
  <c r="F195" i="110"/>
  <c r="X184" i="110" s="1"/>
  <c r="H14" i="109"/>
  <c r="L14" i="109"/>
  <c r="M14" i="109" s="1"/>
  <c r="L10" i="62"/>
  <c r="L10" i="59"/>
  <c r="H10" i="59"/>
  <c r="L10" i="55"/>
  <c r="M10" i="55" s="1"/>
  <c r="H10" i="55"/>
  <c r="H14" i="104"/>
  <c r="L14" i="104"/>
  <c r="M14" i="104" s="1"/>
  <c r="J14" i="97"/>
  <c r="J13" i="66"/>
  <c r="H13" i="66" s="1"/>
  <c r="H100" i="98"/>
  <c r="J100" i="98" s="1"/>
  <c r="D197" i="105"/>
  <c r="F196" i="105"/>
  <c r="J110" i="103"/>
  <c r="F195" i="103"/>
  <c r="X184" i="103" s="1"/>
  <c r="N19" i="106" s="1"/>
  <c r="D196" i="103"/>
  <c r="H100" i="91"/>
  <c r="J100" i="91" s="1"/>
  <c r="O194" i="89"/>
  <c r="X184" i="91"/>
  <c r="F196" i="98"/>
  <c r="D197" i="98"/>
  <c r="G101" i="91"/>
  <c r="G101" i="98"/>
  <c r="G110" i="93"/>
  <c r="H110" i="93" s="1"/>
  <c r="J110" i="93" s="1"/>
  <c r="F195" i="93"/>
  <c r="X184" i="93" s="1"/>
  <c r="D196" i="93"/>
  <c r="D196" i="58"/>
  <c r="F195" i="58"/>
  <c r="D197" i="61"/>
  <c r="F196" i="61"/>
  <c r="D196" i="65"/>
  <c r="F195" i="65"/>
  <c r="P184" i="65" s="1"/>
  <c r="N19" i="76" s="1"/>
  <c r="V100" i="89"/>
  <c r="G110" i="86"/>
  <c r="F196" i="91"/>
  <c r="O195" i="111" s="1"/>
  <c r="D197" i="91"/>
  <c r="T109" i="89"/>
  <c r="N110" i="89" s="1"/>
  <c r="P110" i="89" s="1"/>
  <c r="D196" i="86"/>
  <c r="F195" i="86"/>
  <c r="X184" i="86" s="1"/>
  <c r="N19" i="100" s="1"/>
  <c r="M10" i="87"/>
  <c r="R87" i="60"/>
  <c r="Q87" i="60" s="1"/>
  <c r="G88" i="65" s="1"/>
  <c r="N161" i="60"/>
  <c r="G63" i="58"/>
  <c r="N52" i="58" s="1"/>
  <c r="R63" i="53"/>
  <c r="V63" i="53" s="1"/>
  <c r="S64" i="53" s="1"/>
  <c r="O108" i="60"/>
  <c r="H109" i="86" s="1"/>
  <c r="J52" i="61"/>
  <c r="G52" i="54"/>
  <c r="H52" i="58"/>
  <c r="T51" i="53"/>
  <c r="O161" i="53"/>
  <c r="D163" i="54"/>
  <c r="F163" i="54" s="1"/>
  <c r="I89" i="53"/>
  <c r="D197" i="112" l="1"/>
  <c r="F196" i="112"/>
  <c r="J167" i="112"/>
  <c r="T167" i="111"/>
  <c r="N168" i="111" s="1"/>
  <c r="P168" i="111" s="1"/>
  <c r="G169" i="112" s="1"/>
  <c r="H169" i="112" s="1"/>
  <c r="G168" i="110"/>
  <c r="S168" i="111"/>
  <c r="R168" i="111" s="1"/>
  <c r="V168" i="111" s="1"/>
  <c r="J110" i="110"/>
  <c r="G111" i="103"/>
  <c r="H111" i="103" s="1"/>
  <c r="J111" i="103" s="1"/>
  <c r="K100" i="103" s="1"/>
  <c r="F196" i="110"/>
  <c r="D197" i="110"/>
  <c r="H14" i="97"/>
  <c r="L14" i="97"/>
  <c r="M14" i="97" s="1"/>
  <c r="L13" i="66"/>
  <c r="M13" i="66" s="1"/>
  <c r="H101" i="105"/>
  <c r="J100" i="105"/>
  <c r="D198" i="105"/>
  <c r="F197" i="105"/>
  <c r="D197" i="103"/>
  <c r="F196" i="103"/>
  <c r="N19" i="101"/>
  <c r="H101" i="91"/>
  <c r="J101" i="91" s="1"/>
  <c r="O195" i="89"/>
  <c r="D198" i="98"/>
  <c r="F197" i="98"/>
  <c r="H101" i="98"/>
  <c r="G111" i="93"/>
  <c r="F196" i="93"/>
  <c r="D197" i="93"/>
  <c r="F196" i="58"/>
  <c r="D197" i="58"/>
  <c r="F197" i="61"/>
  <c r="D198" i="61"/>
  <c r="D197" i="65"/>
  <c r="F196" i="65"/>
  <c r="S101" i="89"/>
  <c r="R101" i="89" s="1"/>
  <c r="G111" i="86"/>
  <c r="Y100" i="86" s="1"/>
  <c r="D198" i="91"/>
  <c r="F197" i="91"/>
  <c r="T110" i="89"/>
  <c r="D197" i="86"/>
  <c r="F196" i="86"/>
  <c r="J109" i="86"/>
  <c r="H88" i="65"/>
  <c r="J88" i="65" s="1"/>
  <c r="P8" i="75"/>
  <c r="H52" i="54"/>
  <c r="J52" i="54" s="1"/>
  <c r="U87" i="60"/>
  <c r="N162" i="60"/>
  <c r="G64" i="58"/>
  <c r="R64" i="53"/>
  <c r="V64" i="53" s="1"/>
  <c r="S65" i="53" s="1"/>
  <c r="M10" i="66"/>
  <c r="G109" i="61"/>
  <c r="S108" i="60"/>
  <c r="M109" i="60" s="1"/>
  <c r="M10" i="62"/>
  <c r="E6" i="114" s="1"/>
  <c r="M10" i="59"/>
  <c r="F6" i="114" s="1"/>
  <c r="J52" i="58"/>
  <c r="N52" i="53"/>
  <c r="P52" i="53" s="1"/>
  <c r="H53" i="61" s="1"/>
  <c r="O162" i="53"/>
  <c r="D164" i="54"/>
  <c r="F164" i="54" s="1"/>
  <c r="I90" i="53"/>
  <c r="J168" i="112" l="1"/>
  <c r="F197" i="112"/>
  <c r="D198" i="112"/>
  <c r="T168" i="111"/>
  <c r="N169" i="111" s="1"/>
  <c r="P169" i="111" s="1"/>
  <c r="G170" i="112" s="1"/>
  <c r="H170" i="112" s="1"/>
  <c r="G169" i="110"/>
  <c r="Y100" i="103"/>
  <c r="O12" i="106" s="1"/>
  <c r="S169" i="111"/>
  <c r="R169" i="111" s="1"/>
  <c r="V169" i="111" s="1"/>
  <c r="O196" i="89"/>
  <c r="O196" i="111"/>
  <c r="N100" i="103"/>
  <c r="Y100" i="110"/>
  <c r="N100" i="110"/>
  <c r="D198" i="110"/>
  <c r="F197" i="110"/>
  <c r="H111" i="110"/>
  <c r="J111" i="110" s="1"/>
  <c r="J15" i="102"/>
  <c r="D199" i="105"/>
  <c r="F198" i="105"/>
  <c r="G102" i="98"/>
  <c r="G102" i="105"/>
  <c r="H102" i="105" s="1"/>
  <c r="J101" i="105"/>
  <c r="D198" i="103"/>
  <c r="F197" i="103"/>
  <c r="O12" i="100"/>
  <c r="N100" i="93"/>
  <c r="Y100" i="93"/>
  <c r="O12" i="101" s="1"/>
  <c r="J101" i="98"/>
  <c r="D199" i="98"/>
  <c r="F198" i="98"/>
  <c r="H111" i="93"/>
  <c r="J111" i="93" s="1"/>
  <c r="K100" i="93" s="1"/>
  <c r="D198" i="93"/>
  <c r="F197" i="93"/>
  <c r="F197" i="58"/>
  <c r="D198" i="58"/>
  <c r="F198" i="61"/>
  <c r="D199" i="61"/>
  <c r="D198" i="65"/>
  <c r="F197" i="65"/>
  <c r="V101" i="89"/>
  <c r="S102" i="89" s="1"/>
  <c r="R102" i="89" s="1"/>
  <c r="G103" i="105" s="1"/>
  <c r="G102" i="91"/>
  <c r="D199" i="91"/>
  <c r="F198" i="91"/>
  <c r="N111" i="89"/>
  <c r="P111" i="89" s="1"/>
  <c r="D198" i="86"/>
  <c r="F197" i="86"/>
  <c r="R88" i="60"/>
  <c r="Q88" i="60" s="1"/>
  <c r="G89" i="65" s="1"/>
  <c r="N163" i="60"/>
  <c r="G65" i="58"/>
  <c r="R65" i="53"/>
  <c r="V65" i="53" s="1"/>
  <c r="S66" i="53" s="1"/>
  <c r="O109" i="60"/>
  <c r="H110" i="86" s="1"/>
  <c r="J53" i="61"/>
  <c r="G53" i="54"/>
  <c r="H53" i="58"/>
  <c r="T52" i="53"/>
  <c r="O163" i="53"/>
  <c r="D165" i="54"/>
  <c r="F165" i="54" s="1"/>
  <c r="I91" i="53"/>
  <c r="D199" i="112" l="1"/>
  <c r="F198" i="112"/>
  <c r="J169" i="112"/>
  <c r="T169" i="111"/>
  <c r="N170" i="111" s="1"/>
  <c r="P170" i="111" s="1"/>
  <c r="G171" i="112" s="1"/>
  <c r="H171" i="112" s="1"/>
  <c r="G170" i="110"/>
  <c r="S170" i="111"/>
  <c r="R170" i="111" s="1"/>
  <c r="V170" i="111" s="1"/>
  <c r="O197" i="89"/>
  <c r="O197" i="111"/>
  <c r="F198" i="110"/>
  <c r="D199" i="110"/>
  <c r="G112" i="103"/>
  <c r="H112" i="103" s="1"/>
  <c r="H112" i="110"/>
  <c r="K100" i="110"/>
  <c r="J15" i="108" s="1"/>
  <c r="L15" i="108" s="1"/>
  <c r="M15" i="108" s="1"/>
  <c r="H15" i="102"/>
  <c r="L15" i="102"/>
  <c r="M15" i="102" s="1"/>
  <c r="J15" i="92"/>
  <c r="H102" i="98"/>
  <c r="J102" i="98" s="1"/>
  <c r="H103" i="105"/>
  <c r="J102" i="105"/>
  <c r="D200" i="105"/>
  <c r="F199" i="105"/>
  <c r="D199" i="103"/>
  <c r="F198" i="103"/>
  <c r="D200" i="98"/>
  <c r="F199" i="98"/>
  <c r="G103" i="91"/>
  <c r="G103" i="98"/>
  <c r="G112" i="93"/>
  <c r="D199" i="93"/>
  <c r="F198" i="93"/>
  <c r="F198" i="58"/>
  <c r="D199" i="58"/>
  <c r="D200" i="61"/>
  <c r="F199" i="61"/>
  <c r="D199" i="65"/>
  <c r="F198" i="65"/>
  <c r="H102" i="91"/>
  <c r="V102" i="89"/>
  <c r="D200" i="91"/>
  <c r="F199" i="91"/>
  <c r="T111" i="89"/>
  <c r="N112" i="89" s="1"/>
  <c r="P112" i="89" s="1"/>
  <c r="G112" i="86"/>
  <c r="F198" i="86"/>
  <c r="D199" i="86"/>
  <c r="J110" i="86"/>
  <c r="H89" i="65"/>
  <c r="J89" i="65" s="1"/>
  <c r="H53" i="54"/>
  <c r="J53" i="54" s="1"/>
  <c r="N164" i="60"/>
  <c r="U88" i="60"/>
  <c r="G66" i="58"/>
  <c r="R66" i="53"/>
  <c r="V66" i="53" s="1"/>
  <c r="S67" i="53" s="1"/>
  <c r="G110" i="61"/>
  <c r="S109" i="60"/>
  <c r="M110" i="60" s="1"/>
  <c r="J53" i="58"/>
  <c r="N53" i="53"/>
  <c r="P53" i="53" s="1"/>
  <c r="H54" i="61" s="1"/>
  <c r="O164" i="53"/>
  <c r="D166" i="54"/>
  <c r="F166" i="54" s="1"/>
  <c r="I92" i="53"/>
  <c r="J171" i="112" l="1"/>
  <c r="J170" i="112"/>
  <c r="N160" i="112"/>
  <c r="Y160" i="112"/>
  <c r="D200" i="112"/>
  <c r="F199" i="112"/>
  <c r="H15" i="108"/>
  <c r="T170" i="111"/>
  <c r="N171" i="111" s="1"/>
  <c r="P171" i="111" s="1"/>
  <c r="G172" i="112" s="1"/>
  <c r="H172" i="112" s="1"/>
  <c r="G171" i="110"/>
  <c r="S171" i="111"/>
  <c r="R171" i="111" s="1"/>
  <c r="V171" i="111" s="1"/>
  <c r="O198" i="89"/>
  <c r="O198" i="111"/>
  <c r="D200" i="110"/>
  <c r="F199" i="110"/>
  <c r="J112" i="110"/>
  <c r="G113" i="103"/>
  <c r="H113" i="103" s="1"/>
  <c r="H113" i="110"/>
  <c r="H15" i="92"/>
  <c r="L15" i="92"/>
  <c r="M15" i="92" s="1"/>
  <c r="H103" i="98"/>
  <c r="J103" i="98" s="1"/>
  <c r="D201" i="105"/>
  <c r="F200" i="105"/>
  <c r="J103" i="105"/>
  <c r="J112" i="103"/>
  <c r="F199" i="103"/>
  <c r="D200" i="103"/>
  <c r="H112" i="93"/>
  <c r="D201" i="98"/>
  <c r="F200" i="98"/>
  <c r="G113" i="93"/>
  <c r="D200" i="93"/>
  <c r="F199" i="93"/>
  <c r="F199" i="58"/>
  <c r="D200" i="58"/>
  <c r="D201" i="61"/>
  <c r="F200" i="61"/>
  <c r="D200" i="65"/>
  <c r="F199" i="65"/>
  <c r="J102" i="91"/>
  <c r="H103" i="91"/>
  <c r="S103" i="89"/>
  <c r="R103" i="89" s="1"/>
  <c r="G104" i="105" s="1"/>
  <c r="G113" i="86"/>
  <c r="D201" i="91"/>
  <c r="F200" i="91"/>
  <c r="T112" i="89"/>
  <c r="F199" i="86"/>
  <c r="D200" i="86"/>
  <c r="N165" i="60"/>
  <c r="R89" i="60"/>
  <c r="Q89" i="60" s="1"/>
  <c r="G90" i="65" s="1"/>
  <c r="G67" i="58"/>
  <c r="R67" i="53"/>
  <c r="V67" i="53" s="1"/>
  <c r="S68" i="53" s="1"/>
  <c r="O110" i="60"/>
  <c r="J54" i="61"/>
  <c r="G54" i="54"/>
  <c r="H54" i="58"/>
  <c r="T53" i="53"/>
  <c r="O165" i="53"/>
  <c r="D167" i="54"/>
  <c r="F167" i="54" s="1"/>
  <c r="I93" i="53"/>
  <c r="D201" i="112" l="1"/>
  <c r="F200" i="112"/>
  <c r="K160" i="112"/>
  <c r="J20" i="109" s="1"/>
  <c r="T171" i="111"/>
  <c r="N172" i="111" s="1"/>
  <c r="P172" i="111" s="1"/>
  <c r="G173" i="112" s="1"/>
  <c r="H173" i="112" s="1"/>
  <c r="G172" i="110"/>
  <c r="S172" i="111"/>
  <c r="R172" i="111" s="1"/>
  <c r="V172" i="111" s="1"/>
  <c r="O199" i="89"/>
  <c r="O199" i="111"/>
  <c r="J113" i="110"/>
  <c r="D201" i="110"/>
  <c r="F200" i="110"/>
  <c r="J112" i="93"/>
  <c r="H104" i="105"/>
  <c r="D202" i="105"/>
  <c r="F201" i="105"/>
  <c r="J113" i="103"/>
  <c r="D201" i="103"/>
  <c r="F200" i="103"/>
  <c r="H113" i="93"/>
  <c r="J113" i="93" s="1"/>
  <c r="D202" i="98"/>
  <c r="F201" i="98"/>
  <c r="G104" i="91"/>
  <c r="H104" i="91" s="1"/>
  <c r="G104" i="98"/>
  <c r="H104" i="98" s="1"/>
  <c r="F200" i="93"/>
  <c r="D201" i="93"/>
  <c r="F200" i="58"/>
  <c r="D201" i="58"/>
  <c r="D202" i="61"/>
  <c r="F201" i="61"/>
  <c r="F200" i="65"/>
  <c r="D201" i="65"/>
  <c r="J103" i="91"/>
  <c r="V103" i="89"/>
  <c r="D202" i="91"/>
  <c r="F201" i="91"/>
  <c r="N113" i="89"/>
  <c r="P113" i="89" s="1"/>
  <c r="D201" i="86"/>
  <c r="F200" i="86"/>
  <c r="N100" i="86"/>
  <c r="H111" i="86"/>
  <c r="J111" i="86" s="1"/>
  <c r="H112" i="86" s="1"/>
  <c r="H90" i="65"/>
  <c r="J90" i="65" s="1"/>
  <c r="H54" i="54"/>
  <c r="J54" i="54" s="1"/>
  <c r="N166" i="60"/>
  <c r="U89" i="60"/>
  <c r="R68" i="53"/>
  <c r="V68" i="53" s="1"/>
  <c r="S69" i="53" s="1"/>
  <c r="G68" i="58"/>
  <c r="G111" i="61"/>
  <c r="N100" i="61" s="1"/>
  <c r="O12" i="76" s="1"/>
  <c r="S110" i="60"/>
  <c r="M111" i="60" s="1"/>
  <c r="J54" i="58"/>
  <c r="N54" i="53"/>
  <c r="P54" i="53" s="1"/>
  <c r="H55" i="61" s="1"/>
  <c r="O166" i="53"/>
  <c r="D168" i="54"/>
  <c r="F168" i="54" s="1"/>
  <c r="I94" i="53"/>
  <c r="J172" i="112" l="1"/>
  <c r="F201" i="112"/>
  <c r="D202" i="112"/>
  <c r="T172" i="111"/>
  <c r="N173" i="111" s="1"/>
  <c r="P173" i="111" s="1"/>
  <c r="G174" i="112" s="1"/>
  <c r="H174" i="112" s="1"/>
  <c r="G173" i="110"/>
  <c r="S173" i="111"/>
  <c r="R173" i="111" s="1"/>
  <c r="V173" i="111" s="1"/>
  <c r="O200" i="89"/>
  <c r="O200" i="111"/>
  <c r="G114" i="103"/>
  <c r="H114" i="103" s="1"/>
  <c r="D202" i="110"/>
  <c r="F201" i="110"/>
  <c r="D203" i="105"/>
  <c r="F202" i="105"/>
  <c r="J104" i="105"/>
  <c r="F201" i="103"/>
  <c r="D202" i="103"/>
  <c r="J104" i="98"/>
  <c r="D203" i="98"/>
  <c r="F202" i="98"/>
  <c r="G114" i="93"/>
  <c r="D202" i="93"/>
  <c r="F201" i="93"/>
  <c r="D202" i="58"/>
  <c r="F201" i="58"/>
  <c r="D203" i="61"/>
  <c r="F202" i="61"/>
  <c r="D202" i="65"/>
  <c r="F201" i="65"/>
  <c r="J104" i="91"/>
  <c r="S104" i="89"/>
  <c r="R104" i="89" s="1"/>
  <c r="G105" i="105" s="1"/>
  <c r="H105" i="105" s="1"/>
  <c r="D203" i="91"/>
  <c r="F202" i="91"/>
  <c r="T113" i="89"/>
  <c r="N114" i="89" s="1"/>
  <c r="P114" i="89" s="1"/>
  <c r="G114" i="86"/>
  <c r="F201" i="86"/>
  <c r="D202" i="86"/>
  <c r="K100" i="86"/>
  <c r="J15" i="87" s="1"/>
  <c r="L15" i="87" s="1"/>
  <c r="M15" i="87" s="1"/>
  <c r="R90" i="60"/>
  <c r="Q90" i="60" s="1"/>
  <c r="G91" i="65" s="1"/>
  <c r="N167" i="60"/>
  <c r="G69" i="58"/>
  <c r="R69" i="53"/>
  <c r="V69" i="53" s="1"/>
  <c r="S70" i="53" s="1"/>
  <c r="O111" i="60"/>
  <c r="J55" i="61"/>
  <c r="G55" i="54"/>
  <c r="H55" i="58"/>
  <c r="T54" i="53"/>
  <c r="O167" i="53"/>
  <c r="D169" i="54"/>
  <c r="F169" i="54" s="1"/>
  <c r="I95" i="53"/>
  <c r="D203" i="112" l="1"/>
  <c r="F202" i="112"/>
  <c r="J173" i="112"/>
  <c r="T173" i="111"/>
  <c r="N174" i="111" s="1"/>
  <c r="P174" i="111" s="1"/>
  <c r="G175" i="112" s="1"/>
  <c r="H175" i="112" s="1"/>
  <c r="G174" i="110"/>
  <c r="S174" i="111"/>
  <c r="R174" i="111" s="1"/>
  <c r="V174" i="111" s="1"/>
  <c r="O201" i="89"/>
  <c r="O201" i="111"/>
  <c r="G115" i="103"/>
  <c r="H115" i="103" s="1"/>
  <c r="D203" i="110"/>
  <c r="F202" i="110"/>
  <c r="H114" i="110"/>
  <c r="J105" i="105"/>
  <c r="D204" i="105"/>
  <c r="F203" i="105"/>
  <c r="D203" i="103"/>
  <c r="F202" i="103"/>
  <c r="J114" i="103"/>
  <c r="H114" i="93"/>
  <c r="J114" i="93" s="1"/>
  <c r="G105" i="91"/>
  <c r="H105" i="91" s="1"/>
  <c r="J105" i="91" s="1"/>
  <c r="G105" i="98"/>
  <c r="H105" i="98" s="1"/>
  <c r="D204" i="98"/>
  <c r="F203" i="98"/>
  <c r="G115" i="93"/>
  <c r="D203" i="93"/>
  <c r="F202" i="93"/>
  <c r="D203" i="58"/>
  <c r="F202" i="58"/>
  <c r="F203" i="61"/>
  <c r="D204" i="61"/>
  <c r="F202" i="65"/>
  <c r="D203" i="65"/>
  <c r="V104" i="89"/>
  <c r="D204" i="91"/>
  <c r="F203" i="91"/>
  <c r="G115" i="86"/>
  <c r="H15" i="87"/>
  <c r="T114" i="89"/>
  <c r="D203" i="86"/>
  <c r="F202" i="86"/>
  <c r="H91" i="65"/>
  <c r="J91" i="65" s="1"/>
  <c r="H55" i="54"/>
  <c r="J55" i="54" s="1"/>
  <c r="U90" i="60"/>
  <c r="N168" i="60"/>
  <c r="G70" i="58"/>
  <c r="R70" i="53"/>
  <c r="V70" i="53" s="1"/>
  <c r="S71" i="53" s="1"/>
  <c r="G112" i="61"/>
  <c r="S111" i="60"/>
  <c r="M112" i="60" s="1"/>
  <c r="J55" i="58"/>
  <c r="N55" i="53"/>
  <c r="P55" i="53" s="1"/>
  <c r="H56" i="61" s="1"/>
  <c r="O168" i="53"/>
  <c r="D170" i="54"/>
  <c r="F170" i="54" s="1"/>
  <c r="I96" i="53"/>
  <c r="D204" i="112" l="1"/>
  <c r="F203" i="112"/>
  <c r="J174" i="112"/>
  <c r="T174" i="111"/>
  <c r="N175" i="111" s="1"/>
  <c r="P175" i="111" s="1"/>
  <c r="G176" i="112" s="1"/>
  <c r="H176" i="112" s="1"/>
  <c r="G175" i="110"/>
  <c r="S175" i="111"/>
  <c r="R175" i="111" s="1"/>
  <c r="V175" i="111" s="1"/>
  <c r="O202" i="89"/>
  <c r="O202" i="111"/>
  <c r="D204" i="110"/>
  <c r="F203" i="110"/>
  <c r="H115" i="110"/>
  <c r="J114" i="110"/>
  <c r="D205" i="105"/>
  <c r="F204" i="105"/>
  <c r="F203" i="103"/>
  <c r="D204" i="103"/>
  <c r="J115" i="103"/>
  <c r="H115" i="93"/>
  <c r="J115" i="93" s="1"/>
  <c r="D205" i="98"/>
  <c r="F204" i="98"/>
  <c r="J105" i="98"/>
  <c r="D204" i="93"/>
  <c r="F203" i="93"/>
  <c r="D204" i="58"/>
  <c r="F203" i="58"/>
  <c r="D205" i="61"/>
  <c r="F204" i="61"/>
  <c r="D204" i="65"/>
  <c r="F203" i="65"/>
  <c r="S105" i="89"/>
  <c r="R105" i="89" s="1"/>
  <c r="G106" i="105" s="1"/>
  <c r="D205" i="91"/>
  <c r="F204" i="91"/>
  <c r="N115" i="89"/>
  <c r="P115" i="89" s="1"/>
  <c r="F203" i="86"/>
  <c r="D204" i="86"/>
  <c r="J112" i="86"/>
  <c r="R91" i="60"/>
  <c r="Q91" i="60" s="1"/>
  <c r="G92" i="65" s="1"/>
  <c r="N169" i="60"/>
  <c r="G71" i="58"/>
  <c r="R71" i="53"/>
  <c r="V71" i="53" s="1"/>
  <c r="S72" i="53" s="1"/>
  <c r="O112" i="60"/>
  <c r="J56" i="61"/>
  <c r="G56" i="54"/>
  <c r="H56" i="58"/>
  <c r="T55" i="53"/>
  <c r="O169" i="53"/>
  <c r="D171" i="54"/>
  <c r="F171" i="54" s="1"/>
  <c r="I97" i="53"/>
  <c r="D205" i="112" l="1"/>
  <c r="F204" i="112"/>
  <c r="J175" i="112"/>
  <c r="T175" i="111"/>
  <c r="N176" i="111" s="1"/>
  <c r="P176" i="111" s="1"/>
  <c r="G177" i="112" s="1"/>
  <c r="H177" i="112" s="1"/>
  <c r="G176" i="110"/>
  <c r="S176" i="111"/>
  <c r="R176" i="111" s="1"/>
  <c r="V176" i="111" s="1"/>
  <c r="O203" i="89"/>
  <c r="O203" i="111"/>
  <c r="J115" i="110"/>
  <c r="G116" i="103"/>
  <c r="H116" i="103" s="1"/>
  <c r="D205" i="110"/>
  <c r="F204" i="110"/>
  <c r="H106" i="105"/>
  <c r="D206" i="105"/>
  <c r="F205" i="105"/>
  <c r="D205" i="103"/>
  <c r="F204" i="103"/>
  <c r="G106" i="91"/>
  <c r="H106" i="91" s="1"/>
  <c r="J106" i="91" s="1"/>
  <c r="G106" i="98"/>
  <c r="H106" i="98" s="1"/>
  <c r="D206" i="98"/>
  <c r="F205" i="98"/>
  <c r="G116" i="93"/>
  <c r="F204" i="93"/>
  <c r="D205" i="93"/>
  <c r="D205" i="58"/>
  <c r="F204" i="58"/>
  <c r="F205" i="61"/>
  <c r="D206" i="61"/>
  <c r="F204" i="65"/>
  <c r="D205" i="65"/>
  <c r="V105" i="89"/>
  <c r="G116" i="86"/>
  <c r="D206" i="91"/>
  <c r="F205" i="91"/>
  <c r="T115" i="89"/>
  <c r="D205" i="86"/>
  <c r="F204" i="86"/>
  <c r="N160" i="54"/>
  <c r="H113" i="86"/>
  <c r="H92" i="65"/>
  <c r="J92" i="65" s="1"/>
  <c r="H56" i="54"/>
  <c r="J56" i="54" s="1"/>
  <c r="N170" i="60"/>
  <c r="U91" i="60"/>
  <c r="R72" i="53"/>
  <c r="V72" i="53" s="1"/>
  <c r="S73" i="53" s="1"/>
  <c r="G72" i="58"/>
  <c r="G113" i="61"/>
  <c r="S112" i="60"/>
  <c r="M113" i="60" s="1"/>
  <c r="J56" i="58"/>
  <c r="N56" i="53"/>
  <c r="P56" i="53" s="1"/>
  <c r="H57" i="61" s="1"/>
  <c r="O170" i="53"/>
  <c r="D172" i="54"/>
  <c r="F172" i="54" s="1"/>
  <c r="I98" i="53"/>
  <c r="J176" i="112" l="1"/>
  <c r="F205" i="112"/>
  <c r="D206" i="112"/>
  <c r="T176" i="111"/>
  <c r="N177" i="111" s="1"/>
  <c r="P177" i="111" s="1"/>
  <c r="G178" i="112" s="1"/>
  <c r="H178" i="112" s="1"/>
  <c r="G177" i="110"/>
  <c r="S177" i="111"/>
  <c r="R177" i="111" s="1"/>
  <c r="V177" i="111" s="1"/>
  <c r="O204" i="89"/>
  <c r="O204" i="111"/>
  <c r="D206" i="110"/>
  <c r="F205" i="110"/>
  <c r="H116" i="110"/>
  <c r="D207" i="105"/>
  <c r="F206" i="105"/>
  <c r="J106" i="105"/>
  <c r="D206" i="103"/>
  <c r="F205" i="103"/>
  <c r="J116" i="103"/>
  <c r="H116" i="93"/>
  <c r="J116" i="93" s="1"/>
  <c r="N17" i="75"/>
  <c r="D207" i="98"/>
  <c r="F206" i="98"/>
  <c r="J106" i="98"/>
  <c r="D206" i="93"/>
  <c r="F205" i="93"/>
  <c r="F205" i="58"/>
  <c r="D206" i="58"/>
  <c r="F206" i="61"/>
  <c r="D207" i="61"/>
  <c r="F205" i="65"/>
  <c r="D206" i="65"/>
  <c r="S106" i="89"/>
  <c r="R106" i="89" s="1"/>
  <c r="G107" i="105" s="1"/>
  <c r="H107" i="105" s="1"/>
  <c r="D207" i="91"/>
  <c r="F206" i="91"/>
  <c r="N116" i="89"/>
  <c r="P116" i="89" s="1"/>
  <c r="F205" i="86"/>
  <c r="D206" i="86"/>
  <c r="J113" i="86"/>
  <c r="R92" i="60"/>
  <c r="Q92" i="60" s="1"/>
  <c r="G93" i="65" s="1"/>
  <c r="H93" i="65" s="1"/>
  <c r="N171" i="60"/>
  <c r="R73" i="53"/>
  <c r="V73" i="53" s="1"/>
  <c r="S74" i="53" s="1"/>
  <c r="G73" i="58"/>
  <c r="O113" i="60"/>
  <c r="J57" i="61"/>
  <c r="G57" i="54"/>
  <c r="H57" i="54" s="1"/>
  <c r="H57" i="58"/>
  <c r="T56" i="53"/>
  <c r="O171" i="53"/>
  <c r="D173" i="54"/>
  <c r="F173" i="54" s="1"/>
  <c r="I99" i="53"/>
  <c r="D207" i="112" l="1"/>
  <c r="F206" i="112"/>
  <c r="J177" i="112"/>
  <c r="T177" i="111"/>
  <c r="N178" i="111" s="1"/>
  <c r="P178" i="111" s="1"/>
  <c r="G179" i="112" s="1"/>
  <c r="H179" i="112" s="1"/>
  <c r="G178" i="110"/>
  <c r="S178" i="111"/>
  <c r="R178" i="111" s="1"/>
  <c r="V178" i="111" s="1"/>
  <c r="O205" i="89"/>
  <c r="O205" i="111"/>
  <c r="F206" i="110"/>
  <c r="D207" i="110"/>
  <c r="G117" i="103"/>
  <c r="H117" i="103" s="1"/>
  <c r="J117" i="103" s="1"/>
  <c r="J116" i="110"/>
  <c r="J107" i="105"/>
  <c r="D208" i="105"/>
  <c r="F207" i="105"/>
  <c r="X196" i="105" s="1"/>
  <c r="D207" i="103"/>
  <c r="F206" i="103"/>
  <c r="G107" i="91"/>
  <c r="H107" i="91" s="1"/>
  <c r="J107" i="91" s="1"/>
  <c r="G107" i="98"/>
  <c r="H107" i="98" s="1"/>
  <c r="F207" i="98"/>
  <c r="X196" i="98" s="1"/>
  <c r="D208" i="98"/>
  <c r="G117" i="93"/>
  <c r="H117" i="93" s="1"/>
  <c r="J117" i="93" s="1"/>
  <c r="D207" i="93"/>
  <c r="F206" i="93"/>
  <c r="D207" i="58"/>
  <c r="F206" i="58"/>
  <c r="D208" i="61"/>
  <c r="F207" i="61"/>
  <c r="D207" i="65"/>
  <c r="F206" i="65"/>
  <c r="V106" i="89"/>
  <c r="G117" i="86"/>
  <c r="F207" i="91"/>
  <c r="O206" i="111" s="1"/>
  <c r="D208" i="91"/>
  <c r="T116" i="89"/>
  <c r="D207" i="86"/>
  <c r="F206" i="86"/>
  <c r="H114" i="86"/>
  <c r="J93" i="65"/>
  <c r="N172" i="60"/>
  <c r="U92" i="60"/>
  <c r="G74" i="58"/>
  <c r="R74" i="53"/>
  <c r="V74" i="53" s="1"/>
  <c r="S75" i="53" s="1"/>
  <c r="G114" i="61"/>
  <c r="S113" i="60"/>
  <c r="M114" i="60" s="1"/>
  <c r="J57" i="58"/>
  <c r="J57" i="54"/>
  <c r="N57" i="53"/>
  <c r="P57" i="53" s="1"/>
  <c r="H58" i="61" s="1"/>
  <c r="O172" i="53"/>
  <c r="D174" i="54"/>
  <c r="F174" i="54" s="1"/>
  <c r="I100" i="53"/>
  <c r="J178" i="112" l="1"/>
  <c r="D208" i="112"/>
  <c r="F207" i="112"/>
  <c r="X196" i="112" s="1"/>
  <c r="T178" i="111"/>
  <c r="N179" i="111" s="1"/>
  <c r="P179" i="111" s="1"/>
  <c r="G180" i="112" s="1"/>
  <c r="H180" i="112" s="1"/>
  <c r="G179" i="110"/>
  <c r="S179" i="111"/>
  <c r="R179" i="111" s="1"/>
  <c r="V179" i="111" s="1"/>
  <c r="F207" i="110"/>
  <c r="X196" i="110" s="1"/>
  <c r="D208" i="110"/>
  <c r="H117" i="110"/>
  <c r="D209" i="105"/>
  <c r="F208" i="105"/>
  <c r="D208" i="103"/>
  <c r="F207" i="103"/>
  <c r="X196" i="103" s="1"/>
  <c r="N20" i="106" s="1"/>
  <c r="O206" i="89"/>
  <c r="X196" i="91"/>
  <c r="F208" i="98"/>
  <c r="D209" i="98"/>
  <c r="J107" i="98"/>
  <c r="F207" i="93"/>
  <c r="X196" i="93" s="1"/>
  <c r="D208" i="93"/>
  <c r="D208" i="58"/>
  <c r="F207" i="58"/>
  <c r="D209" i="61"/>
  <c r="F208" i="61"/>
  <c r="D208" i="65"/>
  <c r="F207" i="65"/>
  <c r="P196" i="65" s="1"/>
  <c r="N20" i="76" s="1"/>
  <c r="S107" i="89"/>
  <c r="R107" i="89" s="1"/>
  <c r="G108" i="105" s="1"/>
  <c r="H108" i="105" s="1"/>
  <c r="F208" i="91"/>
  <c r="O207" i="111" s="1"/>
  <c r="D209" i="91"/>
  <c r="N117" i="89"/>
  <c r="P117" i="89" s="1"/>
  <c r="F207" i="86"/>
  <c r="X196" i="86" s="1"/>
  <c r="N20" i="100" s="1"/>
  <c r="D208" i="86"/>
  <c r="J114" i="86"/>
  <c r="R93" i="60"/>
  <c r="Q93" i="60" s="1"/>
  <c r="G94" i="65" s="1"/>
  <c r="H94" i="65" s="1"/>
  <c r="N173" i="60"/>
  <c r="G75" i="58"/>
  <c r="N64" i="58" s="1"/>
  <c r="R75" i="53"/>
  <c r="G76" i="58" s="1"/>
  <c r="O114" i="60"/>
  <c r="H115" i="86" s="1"/>
  <c r="J58" i="61"/>
  <c r="G58" i="54"/>
  <c r="H58" i="54" s="1"/>
  <c r="H58" i="58"/>
  <c r="T57" i="53"/>
  <c r="O173" i="53"/>
  <c r="D175" i="54"/>
  <c r="F175" i="54" s="1"/>
  <c r="I101" i="53"/>
  <c r="F208" i="112" l="1"/>
  <c r="D209" i="112"/>
  <c r="J179" i="112"/>
  <c r="T179" i="111"/>
  <c r="N180" i="111" s="1"/>
  <c r="P180" i="111" s="1"/>
  <c r="G181" i="112" s="1"/>
  <c r="H181" i="112" s="1"/>
  <c r="G180" i="110"/>
  <c r="S180" i="111"/>
  <c r="R180" i="111" s="1"/>
  <c r="V180" i="111" s="1"/>
  <c r="J117" i="110"/>
  <c r="D209" i="110"/>
  <c r="F208" i="110"/>
  <c r="G118" i="103"/>
  <c r="H118" i="103" s="1"/>
  <c r="J118" i="103" s="1"/>
  <c r="H118" i="110"/>
  <c r="J108" i="105"/>
  <c r="D210" i="105"/>
  <c r="F209" i="105"/>
  <c r="F208" i="103"/>
  <c r="D209" i="103"/>
  <c r="N20" i="101"/>
  <c r="O207" i="89"/>
  <c r="D210" i="98"/>
  <c r="F209" i="98"/>
  <c r="G108" i="91"/>
  <c r="H108" i="91" s="1"/>
  <c r="J108" i="91" s="1"/>
  <c r="G108" i="98"/>
  <c r="H108" i="98" s="1"/>
  <c r="G118" i="93"/>
  <c r="H118" i="93" s="1"/>
  <c r="J118" i="93" s="1"/>
  <c r="F208" i="93"/>
  <c r="D209" i="93"/>
  <c r="F208" i="58"/>
  <c r="D209" i="58"/>
  <c r="D210" i="61"/>
  <c r="F209" i="61"/>
  <c r="F208" i="65"/>
  <c r="D209" i="65"/>
  <c r="V107" i="89"/>
  <c r="D210" i="91"/>
  <c r="F209" i="91"/>
  <c r="G118" i="86"/>
  <c r="T117" i="89"/>
  <c r="F208" i="86"/>
  <c r="D209" i="86"/>
  <c r="J115" i="86"/>
  <c r="P9" i="75"/>
  <c r="U93" i="60"/>
  <c r="J94" i="65"/>
  <c r="N174" i="60"/>
  <c r="V75" i="53"/>
  <c r="S76" i="53" s="1"/>
  <c r="R76" i="53" s="1"/>
  <c r="V76" i="53" s="1"/>
  <c r="S77" i="53" s="1"/>
  <c r="G115" i="61"/>
  <c r="S114" i="60"/>
  <c r="M115" i="60" s="1"/>
  <c r="J58" i="58"/>
  <c r="J58" i="54"/>
  <c r="N58" i="53"/>
  <c r="P58" i="53" s="1"/>
  <c r="H59" i="61" s="1"/>
  <c r="O174" i="53"/>
  <c r="D176" i="54"/>
  <c r="F176" i="54" s="1"/>
  <c r="I102" i="53"/>
  <c r="J180" i="112" l="1"/>
  <c r="D210" i="112"/>
  <c r="F209" i="112"/>
  <c r="T180" i="111"/>
  <c r="N181" i="111" s="1"/>
  <c r="P181" i="111" s="1"/>
  <c r="G182" i="112" s="1"/>
  <c r="H182" i="112" s="1"/>
  <c r="G181" i="110"/>
  <c r="S181" i="111"/>
  <c r="R181" i="111" s="1"/>
  <c r="V181" i="111" s="1"/>
  <c r="O208" i="89"/>
  <c r="O208" i="111"/>
  <c r="J118" i="110"/>
  <c r="D210" i="110"/>
  <c r="F209" i="110"/>
  <c r="D211" i="105"/>
  <c r="F210" i="105"/>
  <c r="D210" i="103"/>
  <c r="F209" i="103"/>
  <c r="J108" i="98"/>
  <c r="D211" i="98"/>
  <c r="F210" i="98"/>
  <c r="D210" i="93"/>
  <c r="F209" i="93"/>
  <c r="D210" i="58"/>
  <c r="F209" i="58"/>
  <c r="D211" i="61"/>
  <c r="F210" i="61"/>
  <c r="F209" i="65"/>
  <c r="D210" i="65"/>
  <c r="S108" i="89"/>
  <c r="R108" i="89" s="1"/>
  <c r="G109" i="105" s="1"/>
  <c r="H109" i="105" s="1"/>
  <c r="D211" i="91"/>
  <c r="F210" i="91"/>
  <c r="N118" i="89"/>
  <c r="P118" i="89" s="1"/>
  <c r="F209" i="86"/>
  <c r="D210" i="86"/>
  <c r="N175" i="60"/>
  <c r="R94" i="60"/>
  <c r="Q94" i="60" s="1"/>
  <c r="G95" i="65" s="1"/>
  <c r="H95" i="65" s="1"/>
  <c r="R77" i="53"/>
  <c r="V77" i="53" s="1"/>
  <c r="S78" i="53" s="1"/>
  <c r="G77" i="58"/>
  <c r="O115" i="60"/>
  <c r="H116" i="86" s="1"/>
  <c r="J59" i="61"/>
  <c r="G59" i="54"/>
  <c r="H59" i="54" s="1"/>
  <c r="H59" i="58"/>
  <c r="T58" i="53"/>
  <c r="O175" i="53"/>
  <c r="D177" i="54"/>
  <c r="F177" i="54" s="1"/>
  <c r="I103" i="53"/>
  <c r="D211" i="112" l="1"/>
  <c r="F210" i="112"/>
  <c r="J181" i="112"/>
  <c r="T181" i="111"/>
  <c r="N182" i="111" s="1"/>
  <c r="P182" i="111" s="1"/>
  <c r="G183" i="112" s="1"/>
  <c r="H183" i="112" s="1"/>
  <c r="G182" i="110"/>
  <c r="S182" i="111"/>
  <c r="R182" i="111" s="1"/>
  <c r="V182" i="111" s="1"/>
  <c r="O209" i="89"/>
  <c r="O209" i="111"/>
  <c r="G119" i="103"/>
  <c r="H119" i="103" s="1"/>
  <c r="J119" i="103" s="1"/>
  <c r="H119" i="110"/>
  <c r="D211" i="110"/>
  <c r="F210" i="110"/>
  <c r="J109" i="105"/>
  <c r="D212" i="105"/>
  <c r="F211" i="105"/>
  <c r="F210" i="103"/>
  <c r="D211" i="103"/>
  <c r="D212" i="98"/>
  <c r="F211" i="98"/>
  <c r="G109" i="91"/>
  <c r="H109" i="91" s="1"/>
  <c r="J109" i="91" s="1"/>
  <c r="G109" i="98"/>
  <c r="H109" i="98" s="1"/>
  <c r="G119" i="93"/>
  <c r="H119" i="93" s="1"/>
  <c r="J119" i="93" s="1"/>
  <c r="F210" i="93"/>
  <c r="D211" i="93"/>
  <c r="F210" i="58"/>
  <c r="D211" i="58"/>
  <c r="D212" i="61"/>
  <c r="F211" i="61"/>
  <c r="D211" i="65"/>
  <c r="F210" i="65"/>
  <c r="V108" i="89"/>
  <c r="S109" i="89" s="1"/>
  <c r="R109" i="89" s="1"/>
  <c r="G110" i="105" s="1"/>
  <c r="H110" i="105" s="1"/>
  <c r="D212" i="91"/>
  <c r="F211" i="91"/>
  <c r="G119" i="86"/>
  <c r="T118" i="89"/>
  <c r="F210" i="86"/>
  <c r="D211" i="86"/>
  <c r="J116" i="86"/>
  <c r="U94" i="60"/>
  <c r="R95" i="60" s="1"/>
  <c r="Q95" i="60" s="1"/>
  <c r="G96" i="65" s="1"/>
  <c r="H96" i="65" s="1"/>
  <c r="J95" i="65"/>
  <c r="N176" i="60"/>
  <c r="R78" i="53"/>
  <c r="V78" i="53" s="1"/>
  <c r="S79" i="53" s="1"/>
  <c r="G78" i="58"/>
  <c r="G116" i="61"/>
  <c r="S115" i="60"/>
  <c r="M116" i="60" s="1"/>
  <c r="J59" i="58"/>
  <c r="J59" i="54"/>
  <c r="N59" i="53"/>
  <c r="P59" i="53" s="1"/>
  <c r="H60" i="61" s="1"/>
  <c r="O176" i="53"/>
  <c r="D178" i="54"/>
  <c r="F178" i="54" s="1"/>
  <c r="J182" i="112" l="1"/>
  <c r="J183" i="112"/>
  <c r="N172" i="112"/>
  <c r="Y172" i="112"/>
  <c r="D212" i="112"/>
  <c r="F211" i="112"/>
  <c r="T182" i="111"/>
  <c r="N183" i="111" s="1"/>
  <c r="P183" i="111" s="1"/>
  <c r="G184" i="112" s="1"/>
  <c r="H184" i="112" s="1"/>
  <c r="G183" i="110"/>
  <c r="S183" i="111"/>
  <c r="R183" i="111" s="1"/>
  <c r="V183" i="111" s="1"/>
  <c r="O210" i="89"/>
  <c r="O210" i="111"/>
  <c r="D212" i="110"/>
  <c r="F211" i="110"/>
  <c r="J119" i="110"/>
  <c r="J110" i="105"/>
  <c r="D213" i="105"/>
  <c r="F212" i="105"/>
  <c r="D212" i="103"/>
  <c r="F211" i="103"/>
  <c r="J109" i="98"/>
  <c r="G110" i="91"/>
  <c r="H110" i="91" s="1"/>
  <c r="J110" i="91" s="1"/>
  <c r="G110" i="98"/>
  <c r="H110" i="98" s="1"/>
  <c r="D213" i="98"/>
  <c r="F212" i="98"/>
  <c r="D212" i="93"/>
  <c r="F211" i="93"/>
  <c r="F211" i="58"/>
  <c r="D212" i="58"/>
  <c r="D213" i="61"/>
  <c r="F212" i="61"/>
  <c r="D212" i="65"/>
  <c r="F211" i="65"/>
  <c r="V109" i="89"/>
  <c r="S110" i="89" s="1"/>
  <c r="R110" i="89" s="1"/>
  <c r="G111" i="105" s="1"/>
  <c r="D213" i="91"/>
  <c r="F212" i="91"/>
  <c r="N119" i="89"/>
  <c r="P119" i="89" s="1"/>
  <c r="D212" i="86"/>
  <c r="F211" i="86"/>
  <c r="J96" i="65"/>
  <c r="U95" i="60"/>
  <c r="N177" i="60"/>
  <c r="G79" i="58"/>
  <c r="R79" i="53"/>
  <c r="V79" i="53" s="1"/>
  <c r="S80" i="53" s="1"/>
  <c r="O116" i="60"/>
  <c r="H117" i="86" s="1"/>
  <c r="J60" i="61"/>
  <c r="G60" i="54"/>
  <c r="H60" i="54" s="1"/>
  <c r="J60" i="54" s="1"/>
  <c r="H60" i="58"/>
  <c r="T59" i="53"/>
  <c r="O177" i="53"/>
  <c r="D179" i="54"/>
  <c r="F179" i="54" s="1"/>
  <c r="K172" i="112" l="1"/>
  <c r="J21" i="109" s="1"/>
  <c r="F212" i="112"/>
  <c r="D213" i="112"/>
  <c r="T183" i="111"/>
  <c r="N184" i="111" s="1"/>
  <c r="P184" i="111" s="1"/>
  <c r="G185" i="112" s="1"/>
  <c r="H185" i="112" s="1"/>
  <c r="G184" i="110"/>
  <c r="S184" i="111"/>
  <c r="R184" i="111" s="1"/>
  <c r="V184" i="111" s="1"/>
  <c r="O211" i="89"/>
  <c r="O211" i="111"/>
  <c r="G120" i="103"/>
  <c r="H120" i="103" s="1"/>
  <c r="J120" i="103" s="1"/>
  <c r="H120" i="110"/>
  <c r="D213" i="110"/>
  <c r="F212" i="110"/>
  <c r="D214" i="105"/>
  <c r="F213" i="105"/>
  <c r="Y100" i="105"/>
  <c r="P12" i="106" s="1"/>
  <c r="N100" i="105"/>
  <c r="H111" i="105"/>
  <c r="D213" i="103"/>
  <c r="F212" i="103"/>
  <c r="J110" i="98"/>
  <c r="G111" i="91"/>
  <c r="G111" i="98"/>
  <c r="D214" i="98"/>
  <c r="F213" i="98"/>
  <c r="G120" i="93"/>
  <c r="H120" i="93" s="1"/>
  <c r="J120" i="93" s="1"/>
  <c r="D213" i="93"/>
  <c r="F212" i="93"/>
  <c r="D213" i="58"/>
  <c r="F212" i="58"/>
  <c r="F213" i="61"/>
  <c r="D214" i="61"/>
  <c r="D213" i="65"/>
  <c r="F212" i="65"/>
  <c r="V110" i="89"/>
  <c r="D214" i="91"/>
  <c r="F213" i="91"/>
  <c r="G120" i="86"/>
  <c r="T119" i="89"/>
  <c r="D213" i="86"/>
  <c r="F212" i="86"/>
  <c r="J117" i="86"/>
  <c r="N178" i="60"/>
  <c r="R96" i="60"/>
  <c r="Q96" i="60" s="1"/>
  <c r="G97" i="65" s="1"/>
  <c r="H97" i="65" s="1"/>
  <c r="R80" i="53"/>
  <c r="V80" i="53" s="1"/>
  <c r="S81" i="53" s="1"/>
  <c r="G80" i="58"/>
  <c r="G117" i="61"/>
  <c r="S116" i="60"/>
  <c r="M117" i="60" s="1"/>
  <c r="J60" i="58"/>
  <c r="N60" i="53"/>
  <c r="P60" i="53" s="1"/>
  <c r="H61" i="61" s="1"/>
  <c r="O178" i="53"/>
  <c r="D180" i="54"/>
  <c r="F180" i="54" s="1"/>
  <c r="J184" i="112" l="1"/>
  <c r="D214" i="112"/>
  <c r="F213" i="112"/>
  <c r="T184" i="111"/>
  <c r="N185" i="111" s="1"/>
  <c r="P185" i="111" s="1"/>
  <c r="G186" i="112" s="1"/>
  <c r="H186" i="112" s="1"/>
  <c r="G185" i="110"/>
  <c r="O212" i="89"/>
  <c r="O212" i="111"/>
  <c r="S185" i="111"/>
  <c r="R185" i="111" s="1"/>
  <c r="V185" i="111" s="1"/>
  <c r="F213" i="110"/>
  <c r="D214" i="110"/>
  <c r="J120" i="110"/>
  <c r="N100" i="98"/>
  <c r="Y100" i="98"/>
  <c r="P12" i="101" s="1"/>
  <c r="J111" i="105"/>
  <c r="K100" i="105" s="1"/>
  <c r="D215" i="105"/>
  <c r="F214" i="105"/>
  <c r="D214" i="103"/>
  <c r="F213" i="103"/>
  <c r="N100" i="91"/>
  <c r="Y100" i="91"/>
  <c r="H111" i="91"/>
  <c r="J111" i="91" s="1"/>
  <c r="K100" i="91" s="1"/>
  <c r="J15" i="90" s="1"/>
  <c r="L15" i="90" s="1"/>
  <c r="M15" i="90" s="1"/>
  <c r="D215" i="98"/>
  <c r="F214" i="98"/>
  <c r="H111" i="98"/>
  <c r="D214" i="93"/>
  <c r="F213" i="93"/>
  <c r="F213" i="58"/>
  <c r="D214" i="58"/>
  <c r="D215" i="61"/>
  <c r="F214" i="61"/>
  <c r="F213" i="65"/>
  <c r="D214" i="65"/>
  <c r="S111" i="89"/>
  <c r="R111" i="89" s="1"/>
  <c r="D215" i="91"/>
  <c r="F214" i="91"/>
  <c r="N120" i="89"/>
  <c r="P120" i="89" s="1"/>
  <c r="D214" i="86"/>
  <c r="F213" i="86"/>
  <c r="N179" i="60"/>
  <c r="J97" i="65"/>
  <c r="U96" i="60"/>
  <c r="G81" i="58"/>
  <c r="R81" i="53"/>
  <c r="V81" i="53" s="1"/>
  <c r="S82" i="53" s="1"/>
  <c r="R82" i="53" s="1"/>
  <c r="O117" i="60"/>
  <c r="H118" i="86" s="1"/>
  <c r="J61" i="61"/>
  <c r="G61" i="54"/>
  <c r="H61" i="54" s="1"/>
  <c r="H61" i="58"/>
  <c r="T60" i="53"/>
  <c r="O179" i="53"/>
  <c r="D181" i="54"/>
  <c r="F181" i="54" s="1"/>
  <c r="D215" i="112" l="1"/>
  <c r="F214" i="112"/>
  <c r="J185" i="112"/>
  <c r="T185" i="111"/>
  <c r="N186" i="111" s="1"/>
  <c r="P186" i="111" s="1"/>
  <c r="G187" i="112" s="1"/>
  <c r="H187" i="112" s="1"/>
  <c r="G186" i="110"/>
  <c r="S186" i="111"/>
  <c r="R186" i="111" s="1"/>
  <c r="V186" i="111" s="1"/>
  <c r="O213" i="89"/>
  <c r="O213" i="111"/>
  <c r="D215" i="110"/>
  <c r="F214" i="110"/>
  <c r="G121" i="103"/>
  <c r="H121" i="103" s="1"/>
  <c r="J121" i="103" s="1"/>
  <c r="H121" i="110"/>
  <c r="J15" i="104"/>
  <c r="D216" i="105"/>
  <c r="F215" i="105"/>
  <c r="G112" i="98"/>
  <c r="G112" i="105"/>
  <c r="H112" i="105" s="1"/>
  <c r="F214" i="103"/>
  <c r="D215" i="103"/>
  <c r="P12" i="100"/>
  <c r="J111" i="98"/>
  <c r="K100" i="98" s="1"/>
  <c r="D216" i="98"/>
  <c r="F215" i="98"/>
  <c r="G121" i="93"/>
  <c r="H121" i="93" s="1"/>
  <c r="J121" i="93" s="1"/>
  <c r="F214" i="93"/>
  <c r="D215" i="93"/>
  <c r="D215" i="58"/>
  <c r="F214" i="58"/>
  <c r="F215" i="61"/>
  <c r="D216" i="61"/>
  <c r="D215" i="65"/>
  <c r="F214" i="65"/>
  <c r="V111" i="89"/>
  <c r="S112" i="89" s="1"/>
  <c r="R112" i="89" s="1"/>
  <c r="G113" i="105" s="1"/>
  <c r="G112" i="91"/>
  <c r="D216" i="91"/>
  <c r="F215" i="91"/>
  <c r="G121" i="86"/>
  <c r="T120" i="89"/>
  <c r="F214" i="86"/>
  <c r="D215" i="86"/>
  <c r="J118" i="86"/>
  <c r="N180" i="60"/>
  <c r="R97" i="60"/>
  <c r="Q97" i="60" s="1"/>
  <c r="G98" i="65" s="1"/>
  <c r="H98" i="65" s="1"/>
  <c r="G82" i="58"/>
  <c r="V82" i="53"/>
  <c r="S83" i="53" s="1"/>
  <c r="R83" i="53" s="1"/>
  <c r="G118" i="61"/>
  <c r="S117" i="60"/>
  <c r="G83" i="58"/>
  <c r="J61" i="58"/>
  <c r="J61" i="54"/>
  <c r="N61" i="53"/>
  <c r="P61" i="53" s="1"/>
  <c r="H62" i="61" s="1"/>
  <c r="O180" i="53"/>
  <c r="D182" i="54"/>
  <c r="F182" i="54" s="1"/>
  <c r="J186" i="112" l="1"/>
  <c r="D216" i="112"/>
  <c r="F215" i="112"/>
  <c r="T186" i="111"/>
  <c r="N187" i="111" s="1"/>
  <c r="P187" i="111" s="1"/>
  <c r="G188" i="112" s="1"/>
  <c r="H188" i="112" s="1"/>
  <c r="G187" i="110"/>
  <c r="S187" i="111"/>
  <c r="R187" i="111" s="1"/>
  <c r="V187" i="111" s="1"/>
  <c r="O214" i="89"/>
  <c r="O214" i="111"/>
  <c r="J121" i="110"/>
  <c r="D216" i="110"/>
  <c r="F215" i="110"/>
  <c r="L15" i="109"/>
  <c r="M15" i="109" s="1"/>
  <c r="H15" i="109"/>
  <c r="H15" i="104"/>
  <c r="L15" i="104"/>
  <c r="M15" i="104" s="1"/>
  <c r="J15" i="97"/>
  <c r="H112" i="98"/>
  <c r="J112" i="98" s="1"/>
  <c r="H15" i="90"/>
  <c r="D217" i="105"/>
  <c r="F216" i="105"/>
  <c r="D216" i="103"/>
  <c r="F215" i="103"/>
  <c r="H112" i="91"/>
  <c r="J112" i="91" s="1"/>
  <c r="D217" i="98"/>
  <c r="F216" i="98"/>
  <c r="G113" i="91"/>
  <c r="G113" i="98"/>
  <c r="D216" i="93"/>
  <c r="F215" i="93"/>
  <c r="F215" i="58"/>
  <c r="D216" i="58"/>
  <c r="D217" i="61"/>
  <c r="F216" i="61"/>
  <c r="F215" i="65"/>
  <c r="D216" i="65"/>
  <c r="V112" i="89"/>
  <c r="D217" i="91"/>
  <c r="F216" i="91"/>
  <c r="N121" i="89"/>
  <c r="P121" i="89" s="1"/>
  <c r="D216" i="86"/>
  <c r="F215" i="86"/>
  <c r="J98" i="65"/>
  <c r="N181" i="60"/>
  <c r="U97" i="60"/>
  <c r="V83" i="53"/>
  <c r="S84" i="53" s="1"/>
  <c r="R84" i="53" s="1"/>
  <c r="M118" i="60"/>
  <c r="O118" i="60" s="1"/>
  <c r="H119" i="86" s="1"/>
  <c r="J62" i="61"/>
  <c r="G62" i="54"/>
  <c r="H62" i="54" s="1"/>
  <c r="H62" i="58"/>
  <c r="T61" i="53"/>
  <c r="O181" i="53"/>
  <c r="D183" i="54"/>
  <c r="F183" i="54" s="1"/>
  <c r="F216" i="112" l="1"/>
  <c r="D217" i="112"/>
  <c r="J187" i="112"/>
  <c r="T187" i="111"/>
  <c r="N188" i="111" s="1"/>
  <c r="P188" i="111" s="1"/>
  <c r="G189" i="112" s="1"/>
  <c r="H189" i="112" s="1"/>
  <c r="G188" i="110"/>
  <c r="S188" i="111"/>
  <c r="R188" i="111" s="1"/>
  <c r="V188" i="111" s="1"/>
  <c r="O215" i="89"/>
  <c r="O215" i="111"/>
  <c r="D217" i="110"/>
  <c r="F216" i="110"/>
  <c r="G122" i="103"/>
  <c r="H122" i="103" s="1"/>
  <c r="J122" i="103" s="1"/>
  <c r="H122" i="110"/>
  <c r="H15" i="97"/>
  <c r="L15" i="97"/>
  <c r="M15" i="97" s="1"/>
  <c r="H113" i="98"/>
  <c r="J113" i="98" s="1"/>
  <c r="J112" i="105"/>
  <c r="H113" i="105"/>
  <c r="D218" i="105"/>
  <c r="F217" i="105"/>
  <c r="F216" i="103"/>
  <c r="D217" i="103"/>
  <c r="H113" i="91"/>
  <c r="J113" i="91" s="1"/>
  <c r="D218" i="98"/>
  <c r="F217" i="98"/>
  <c r="G122" i="93"/>
  <c r="H122" i="93" s="1"/>
  <c r="J122" i="93" s="1"/>
  <c r="D217" i="93"/>
  <c r="F216" i="93"/>
  <c r="D217" i="58"/>
  <c r="F216" i="58"/>
  <c r="D218" i="61"/>
  <c r="F217" i="61"/>
  <c r="F216" i="65"/>
  <c r="D217" i="65"/>
  <c r="S113" i="89"/>
  <c r="R113" i="89" s="1"/>
  <c r="D218" i="91"/>
  <c r="F217" i="91"/>
  <c r="G122" i="86"/>
  <c r="T121" i="89"/>
  <c r="D217" i="86"/>
  <c r="F216" i="86"/>
  <c r="N172" i="54"/>
  <c r="J119" i="86"/>
  <c r="N182" i="60"/>
  <c r="R98" i="60"/>
  <c r="Q98" i="60" s="1"/>
  <c r="G99" i="65" s="1"/>
  <c r="N88" i="65" s="1"/>
  <c r="P11" i="76" s="1"/>
  <c r="G85" i="58"/>
  <c r="G84" i="58"/>
  <c r="G119" i="61"/>
  <c r="S118" i="60"/>
  <c r="M119" i="60" s="1"/>
  <c r="O119" i="60" s="1"/>
  <c r="H120" i="86" s="1"/>
  <c r="V84" i="53"/>
  <c r="J62" i="58"/>
  <c r="J62" i="54"/>
  <c r="N62" i="53"/>
  <c r="P62" i="53" s="1"/>
  <c r="H63" i="61" s="1"/>
  <c r="J63" i="61" s="1"/>
  <c r="H64" i="61" s="1"/>
  <c r="O182" i="53"/>
  <c r="D184" i="54"/>
  <c r="F184" i="54" s="1"/>
  <c r="J188" i="112" l="1"/>
  <c r="D218" i="112"/>
  <c r="F217" i="112"/>
  <c r="T188" i="111"/>
  <c r="N189" i="111" s="1"/>
  <c r="P189" i="111" s="1"/>
  <c r="G190" i="112" s="1"/>
  <c r="H190" i="112" s="1"/>
  <c r="G189" i="110"/>
  <c r="S189" i="111"/>
  <c r="R189" i="111" s="1"/>
  <c r="V189" i="111" s="1"/>
  <c r="O216" i="89"/>
  <c r="O216" i="111"/>
  <c r="J122" i="110"/>
  <c r="D218" i="110"/>
  <c r="F217" i="110"/>
  <c r="D219" i="105"/>
  <c r="F218" i="105"/>
  <c r="J113" i="105"/>
  <c r="G114" i="98"/>
  <c r="G114" i="105"/>
  <c r="H114" i="105" s="1"/>
  <c r="D218" i="103"/>
  <c r="F217" i="103"/>
  <c r="N18" i="75"/>
  <c r="D219" i="98"/>
  <c r="F218" i="98"/>
  <c r="D218" i="93"/>
  <c r="F217" i="93"/>
  <c r="F217" i="58"/>
  <c r="D218" i="58"/>
  <c r="F218" i="61"/>
  <c r="D219" i="61"/>
  <c r="D218" i="65"/>
  <c r="F217" i="65"/>
  <c r="V113" i="89"/>
  <c r="S114" i="89" s="1"/>
  <c r="R114" i="89" s="1"/>
  <c r="G115" i="105" s="1"/>
  <c r="G114" i="91"/>
  <c r="D219" i="91"/>
  <c r="F218" i="91"/>
  <c r="N122" i="89"/>
  <c r="P122" i="89" s="1"/>
  <c r="D218" i="86"/>
  <c r="F217" i="86"/>
  <c r="J120" i="86"/>
  <c r="H99" i="65"/>
  <c r="J99" i="65" s="1"/>
  <c r="K88" i="65" s="1"/>
  <c r="N183" i="60"/>
  <c r="U98" i="60"/>
  <c r="G120" i="61"/>
  <c r="S119" i="60"/>
  <c r="M120" i="60" s="1"/>
  <c r="K52" i="61"/>
  <c r="J11" i="62" s="1"/>
  <c r="H11" i="62" s="1"/>
  <c r="S85" i="53"/>
  <c r="R85" i="53" s="1"/>
  <c r="G63" i="54"/>
  <c r="P52" i="54" s="1"/>
  <c r="H63" i="58"/>
  <c r="J63" i="58" s="1"/>
  <c r="T62" i="53"/>
  <c r="O183" i="53"/>
  <c r="D185" i="54"/>
  <c r="F185" i="54" s="1"/>
  <c r="D219" i="112" l="1"/>
  <c r="F218" i="112"/>
  <c r="J189" i="112"/>
  <c r="T189" i="111"/>
  <c r="N190" i="111" s="1"/>
  <c r="P190" i="111" s="1"/>
  <c r="G191" i="112" s="1"/>
  <c r="H191" i="112" s="1"/>
  <c r="G190" i="110"/>
  <c r="S190" i="111"/>
  <c r="R190" i="111" s="1"/>
  <c r="V190" i="111" s="1"/>
  <c r="O217" i="89"/>
  <c r="O217" i="111"/>
  <c r="G123" i="103"/>
  <c r="N112" i="103" s="1"/>
  <c r="D219" i="110"/>
  <c r="F218" i="110"/>
  <c r="L11" i="62"/>
  <c r="J14" i="66"/>
  <c r="H14" i="66" s="1"/>
  <c r="H114" i="98"/>
  <c r="J114" i="98" s="1"/>
  <c r="J114" i="105"/>
  <c r="H115" i="105"/>
  <c r="F219" i="105"/>
  <c r="X208" i="105" s="1"/>
  <c r="D220" i="105"/>
  <c r="F218" i="103"/>
  <c r="D219" i="103"/>
  <c r="H114" i="91"/>
  <c r="J114" i="91" s="1"/>
  <c r="F219" i="98"/>
  <c r="X208" i="98" s="1"/>
  <c r="D220" i="98"/>
  <c r="G115" i="91"/>
  <c r="G115" i="98"/>
  <c r="G123" i="93"/>
  <c r="F218" i="93"/>
  <c r="D219" i="93"/>
  <c r="F218" i="58"/>
  <c r="D219" i="58"/>
  <c r="D220" i="61"/>
  <c r="F219" i="61"/>
  <c r="F218" i="65"/>
  <c r="D219" i="65"/>
  <c r="V114" i="89"/>
  <c r="F219" i="91"/>
  <c r="O218" i="111" s="1"/>
  <c r="D220" i="91"/>
  <c r="T122" i="89"/>
  <c r="G123" i="86"/>
  <c r="Y112" i="86" s="1"/>
  <c r="F218" i="86"/>
  <c r="D219" i="86"/>
  <c r="M11" i="87"/>
  <c r="O8" i="75"/>
  <c r="H63" i="54"/>
  <c r="J63" i="54" s="1"/>
  <c r="N184" i="60"/>
  <c r="R99" i="60"/>
  <c r="Q99" i="60" s="1"/>
  <c r="G100" i="65" s="1"/>
  <c r="G86" i="58"/>
  <c r="O120" i="60"/>
  <c r="H121" i="86" s="1"/>
  <c r="V85" i="53"/>
  <c r="K52" i="58"/>
  <c r="J11" i="59" s="1"/>
  <c r="N63" i="53"/>
  <c r="P63" i="53" s="1"/>
  <c r="O184" i="53"/>
  <c r="D186" i="54"/>
  <c r="F186" i="54" s="1"/>
  <c r="H123" i="103" l="1"/>
  <c r="J123" i="103" s="1"/>
  <c r="Y112" i="103"/>
  <c r="O13" i="106" s="1"/>
  <c r="J190" i="112"/>
  <c r="F219" i="112"/>
  <c r="X208" i="112" s="1"/>
  <c r="D220" i="112"/>
  <c r="T190" i="111"/>
  <c r="N191" i="111" s="1"/>
  <c r="P191" i="111" s="1"/>
  <c r="G192" i="112" s="1"/>
  <c r="H192" i="112" s="1"/>
  <c r="G191" i="110"/>
  <c r="S191" i="111"/>
  <c r="R191" i="111" s="1"/>
  <c r="V191" i="111" s="1"/>
  <c r="D220" i="110"/>
  <c r="F219" i="110"/>
  <c r="X208" i="110" s="1"/>
  <c r="N112" i="110"/>
  <c r="Y112" i="110"/>
  <c r="H123" i="110"/>
  <c r="J123" i="110" s="1"/>
  <c r="L11" i="59"/>
  <c r="H11" i="59"/>
  <c r="L14" i="66"/>
  <c r="M14" i="66" s="1"/>
  <c r="H115" i="98"/>
  <c r="J115" i="98" s="1"/>
  <c r="D221" i="105"/>
  <c r="F220" i="105"/>
  <c r="J115" i="105"/>
  <c r="K112" i="103"/>
  <c r="F219" i="103"/>
  <c r="X208" i="103" s="1"/>
  <c r="N21" i="106" s="1"/>
  <c r="D220" i="103"/>
  <c r="H115" i="91"/>
  <c r="J115" i="91" s="1"/>
  <c r="O13" i="100"/>
  <c r="O218" i="89"/>
  <c r="X208" i="91"/>
  <c r="N112" i="93"/>
  <c r="Y112" i="93"/>
  <c r="O13" i="101" s="1"/>
  <c r="F220" i="98"/>
  <c r="D221" i="98"/>
  <c r="H123" i="93"/>
  <c r="J123" i="93" s="1"/>
  <c r="K112" i="93" s="1"/>
  <c r="F219" i="93"/>
  <c r="X208" i="93" s="1"/>
  <c r="D220" i="93"/>
  <c r="N123" i="89"/>
  <c r="P123" i="89" s="1"/>
  <c r="D220" i="58"/>
  <c r="F219" i="58"/>
  <c r="D221" i="61"/>
  <c r="F220" i="61"/>
  <c r="D220" i="65"/>
  <c r="F219" i="65"/>
  <c r="P208" i="65" s="1"/>
  <c r="N21" i="76" s="1"/>
  <c r="S115" i="89"/>
  <c r="R115" i="89" s="1"/>
  <c r="G116" i="105" s="1"/>
  <c r="H116" i="105" s="1"/>
  <c r="F220" i="91"/>
  <c r="O219" i="111" s="1"/>
  <c r="D221" i="91"/>
  <c r="F219" i="86"/>
  <c r="X208" i="86" s="1"/>
  <c r="N21" i="100" s="1"/>
  <c r="D220" i="86"/>
  <c r="J121" i="86"/>
  <c r="H100" i="65"/>
  <c r="J100" i="65" s="1"/>
  <c r="U99" i="60"/>
  <c r="R100" i="60" s="1"/>
  <c r="Q100" i="60" s="1"/>
  <c r="G101" i="65" s="1"/>
  <c r="N185" i="60"/>
  <c r="M11" i="66"/>
  <c r="G121" i="61"/>
  <c r="S120" i="60"/>
  <c r="M121" i="60" s="1"/>
  <c r="J64" i="61"/>
  <c r="S86" i="53"/>
  <c r="R86" i="53" s="1"/>
  <c r="G64" i="54"/>
  <c r="H64" i="58"/>
  <c r="K52" i="54"/>
  <c r="J11" i="55" s="1"/>
  <c r="T63" i="53"/>
  <c r="N64" i="53" s="1"/>
  <c r="P64" i="53" s="1"/>
  <c r="H65" i="61" s="1"/>
  <c r="O185" i="53"/>
  <c r="D187" i="54"/>
  <c r="F187" i="54" s="1"/>
  <c r="D221" i="112" l="1"/>
  <c r="F220" i="112"/>
  <c r="J191" i="112"/>
  <c r="T191" i="111"/>
  <c r="N192" i="111" s="1"/>
  <c r="P192" i="111" s="1"/>
  <c r="G193" i="112" s="1"/>
  <c r="H193" i="112" s="1"/>
  <c r="G192" i="110"/>
  <c r="S192" i="111"/>
  <c r="R192" i="111" s="1"/>
  <c r="V192" i="111" s="1"/>
  <c r="G124" i="103"/>
  <c r="H124" i="103" s="1"/>
  <c r="H124" i="110"/>
  <c r="K112" i="110"/>
  <c r="J16" i="108" s="1"/>
  <c r="L16" i="108" s="1"/>
  <c r="M16" i="108" s="1"/>
  <c r="F220" i="110"/>
  <c r="D221" i="110"/>
  <c r="L11" i="55"/>
  <c r="M11" i="55" s="1"/>
  <c r="H11" i="55"/>
  <c r="J16" i="102"/>
  <c r="J16" i="92"/>
  <c r="J116" i="105"/>
  <c r="D222" i="105"/>
  <c r="F221" i="105"/>
  <c r="D221" i="103"/>
  <c r="F220" i="103"/>
  <c r="N21" i="101"/>
  <c r="O219" i="89"/>
  <c r="D222" i="98"/>
  <c r="F221" i="98"/>
  <c r="G116" i="91"/>
  <c r="H116" i="91" s="1"/>
  <c r="G116" i="98"/>
  <c r="F220" i="93"/>
  <c r="D221" i="93"/>
  <c r="T123" i="89"/>
  <c r="G124" i="93"/>
  <c r="G124" i="86"/>
  <c r="D221" i="58"/>
  <c r="F220" i="58"/>
  <c r="D222" i="61"/>
  <c r="F221" i="61"/>
  <c r="D221" i="65"/>
  <c r="F220" i="65"/>
  <c r="V115" i="89"/>
  <c r="D222" i="91"/>
  <c r="F221" i="91"/>
  <c r="F220" i="86"/>
  <c r="D221" i="86"/>
  <c r="H101" i="65"/>
  <c r="J101" i="65" s="1"/>
  <c r="H64" i="54"/>
  <c r="J64" i="54" s="1"/>
  <c r="U100" i="60"/>
  <c r="N186" i="60"/>
  <c r="G87" i="58"/>
  <c r="N76" i="58" s="1"/>
  <c r="O121" i="60"/>
  <c r="H122" i="86" s="1"/>
  <c r="J65" i="61"/>
  <c r="M11" i="59"/>
  <c r="F7" i="114" s="1"/>
  <c r="V86" i="53"/>
  <c r="G65" i="54"/>
  <c r="H65" i="58"/>
  <c r="J64" i="58"/>
  <c r="T64" i="53"/>
  <c r="N65" i="53" s="1"/>
  <c r="O186" i="53"/>
  <c r="D188" i="54"/>
  <c r="F188" i="54" s="1"/>
  <c r="J192" i="112" l="1"/>
  <c r="D222" i="112"/>
  <c r="F221" i="112"/>
  <c r="H16" i="108"/>
  <c r="T192" i="111"/>
  <c r="N193" i="111" s="1"/>
  <c r="P193" i="111" s="1"/>
  <c r="G194" i="112" s="1"/>
  <c r="H194" i="112" s="1"/>
  <c r="G193" i="110"/>
  <c r="S193" i="111"/>
  <c r="R193" i="111" s="1"/>
  <c r="V193" i="111" s="1"/>
  <c r="O220" i="89"/>
  <c r="O220" i="111"/>
  <c r="J124" i="110"/>
  <c r="D222" i="110"/>
  <c r="F221" i="110"/>
  <c r="H16" i="102"/>
  <c r="L16" i="102"/>
  <c r="M16" i="102" s="1"/>
  <c r="H16" i="92"/>
  <c r="L16" i="92"/>
  <c r="M16" i="92" s="1"/>
  <c r="H116" i="98"/>
  <c r="J116" i="98" s="1"/>
  <c r="D223" i="105"/>
  <c r="F222" i="105"/>
  <c r="J124" i="103"/>
  <c r="D222" i="103"/>
  <c r="F221" i="103"/>
  <c r="H124" i="93"/>
  <c r="D223" i="98"/>
  <c r="F222" i="98"/>
  <c r="D222" i="93"/>
  <c r="F221" i="93"/>
  <c r="F221" i="58"/>
  <c r="D222" i="58"/>
  <c r="D223" i="61"/>
  <c r="F222" i="61"/>
  <c r="F221" i="65"/>
  <c r="D222" i="65"/>
  <c r="J116" i="91"/>
  <c r="S116" i="89"/>
  <c r="R116" i="89" s="1"/>
  <c r="G117" i="105" s="1"/>
  <c r="D223" i="91"/>
  <c r="F222" i="91"/>
  <c r="D222" i="86"/>
  <c r="F221" i="86"/>
  <c r="J122" i="86"/>
  <c r="H65" i="54"/>
  <c r="J65" i="54" s="1"/>
  <c r="P10" i="75"/>
  <c r="N187" i="60"/>
  <c r="R101" i="60"/>
  <c r="Q101" i="60" s="1"/>
  <c r="G102" i="65" s="1"/>
  <c r="G122" i="61"/>
  <c r="S121" i="60"/>
  <c r="M122" i="60" s="1"/>
  <c r="M11" i="62"/>
  <c r="E7" i="114" s="1"/>
  <c r="S87" i="53"/>
  <c r="J65" i="58"/>
  <c r="P65" i="53"/>
  <c r="H66" i="61" s="1"/>
  <c r="O187" i="53"/>
  <c r="D189" i="54"/>
  <c r="F189" i="54" s="1"/>
  <c r="D223" i="112" l="1"/>
  <c r="F222" i="112"/>
  <c r="J193" i="112"/>
  <c r="T193" i="111"/>
  <c r="N194" i="111" s="1"/>
  <c r="P194" i="111" s="1"/>
  <c r="G195" i="112" s="1"/>
  <c r="H195" i="112" s="1"/>
  <c r="G194" i="110"/>
  <c r="S194" i="111"/>
  <c r="R194" i="111" s="1"/>
  <c r="V194" i="111" s="1"/>
  <c r="O221" i="89"/>
  <c r="O221" i="111"/>
  <c r="D223" i="110"/>
  <c r="F222" i="110"/>
  <c r="H117" i="105"/>
  <c r="D224" i="105"/>
  <c r="F223" i="105"/>
  <c r="D223" i="103"/>
  <c r="F222" i="103"/>
  <c r="D224" i="98"/>
  <c r="F223" i="98"/>
  <c r="G117" i="91"/>
  <c r="H117" i="91" s="1"/>
  <c r="G117" i="98"/>
  <c r="H117" i="98" s="1"/>
  <c r="D223" i="93"/>
  <c r="F222" i="93"/>
  <c r="J124" i="93"/>
  <c r="F222" i="58"/>
  <c r="D223" i="58"/>
  <c r="D224" i="61"/>
  <c r="F223" i="61"/>
  <c r="D223" i="65"/>
  <c r="F222" i="65"/>
  <c r="V116" i="89"/>
  <c r="D224" i="91"/>
  <c r="F223" i="91"/>
  <c r="D223" i="86"/>
  <c r="F222" i="86"/>
  <c r="H102" i="65"/>
  <c r="J102" i="65" s="1"/>
  <c r="N188" i="60"/>
  <c r="U101" i="60"/>
  <c r="R87" i="53"/>
  <c r="V87" i="53" s="1"/>
  <c r="S88" i="53" s="1"/>
  <c r="O122" i="60"/>
  <c r="J66" i="61"/>
  <c r="G66" i="54"/>
  <c r="H66" i="58"/>
  <c r="T65" i="53"/>
  <c r="N66" i="53" s="1"/>
  <c r="O188" i="53"/>
  <c r="D190" i="54"/>
  <c r="F190" i="54" s="1"/>
  <c r="J195" i="112" l="1"/>
  <c r="J194" i="112"/>
  <c r="Y184" i="112"/>
  <c r="N184" i="112"/>
  <c r="F223" i="112"/>
  <c r="D224" i="112"/>
  <c r="T194" i="111"/>
  <c r="N195" i="111" s="1"/>
  <c r="P195" i="111" s="1"/>
  <c r="G196" i="112" s="1"/>
  <c r="H196" i="112" s="1"/>
  <c r="G195" i="110"/>
  <c r="S195" i="111"/>
  <c r="R195" i="111" s="1"/>
  <c r="V195" i="111" s="1"/>
  <c r="O222" i="89"/>
  <c r="O222" i="111"/>
  <c r="D224" i="110"/>
  <c r="F223" i="110"/>
  <c r="J117" i="105"/>
  <c r="D225" i="105"/>
  <c r="F224" i="105"/>
  <c r="F223" i="103"/>
  <c r="D224" i="103"/>
  <c r="J117" i="98"/>
  <c r="D225" i="98"/>
  <c r="F224" i="98"/>
  <c r="D224" i="93"/>
  <c r="F223" i="93"/>
  <c r="D224" i="58"/>
  <c r="F223" i="58"/>
  <c r="D225" i="61"/>
  <c r="F224" i="61"/>
  <c r="D224" i="65"/>
  <c r="F223" i="65"/>
  <c r="J117" i="91"/>
  <c r="S117" i="89"/>
  <c r="R117" i="89" s="1"/>
  <c r="G118" i="105" s="1"/>
  <c r="D225" i="91"/>
  <c r="F224" i="91"/>
  <c r="F223" i="86"/>
  <c r="D224" i="86"/>
  <c r="N112" i="86"/>
  <c r="H123" i="86"/>
  <c r="J123" i="86" s="1"/>
  <c r="H124" i="86" s="1"/>
  <c r="H66" i="54"/>
  <c r="J66" i="54" s="1"/>
  <c r="N189" i="60"/>
  <c r="R102" i="60"/>
  <c r="Q102" i="60" s="1"/>
  <c r="G103" i="65" s="1"/>
  <c r="G88" i="58"/>
  <c r="R88" i="53"/>
  <c r="V88" i="53" s="1"/>
  <c r="S89" i="53" s="1"/>
  <c r="G123" i="61"/>
  <c r="N112" i="61" s="1"/>
  <c r="O13" i="76" s="1"/>
  <c r="S122" i="60"/>
  <c r="M123" i="60" s="1"/>
  <c r="J66" i="58"/>
  <c r="P66" i="53"/>
  <c r="H67" i="61" s="1"/>
  <c r="O189" i="53"/>
  <c r="D191" i="54"/>
  <c r="F191" i="54" s="1"/>
  <c r="D225" i="112" l="1"/>
  <c r="F224" i="112"/>
  <c r="K184" i="112"/>
  <c r="J22" i="109" s="1"/>
  <c r="T195" i="111"/>
  <c r="N196" i="111" s="1"/>
  <c r="P196" i="111" s="1"/>
  <c r="G197" i="112" s="1"/>
  <c r="H197" i="112" s="1"/>
  <c r="G196" i="110"/>
  <c r="S196" i="111"/>
  <c r="R196" i="111" s="1"/>
  <c r="V196" i="111" s="1"/>
  <c r="O223" i="89"/>
  <c r="O223" i="111"/>
  <c r="D225" i="110"/>
  <c r="F224" i="110"/>
  <c r="D226" i="105"/>
  <c r="F225" i="105"/>
  <c r="H118" i="105"/>
  <c r="D225" i="103"/>
  <c r="F224" i="103"/>
  <c r="D226" i="98"/>
  <c r="F225" i="98"/>
  <c r="G118" i="91"/>
  <c r="H118" i="91" s="1"/>
  <c r="J118" i="91" s="1"/>
  <c r="G118" i="98"/>
  <c r="H118" i="98" s="1"/>
  <c r="F224" i="93"/>
  <c r="D225" i="93"/>
  <c r="F224" i="58"/>
  <c r="D225" i="58"/>
  <c r="F225" i="61"/>
  <c r="D226" i="61"/>
  <c r="D225" i="65"/>
  <c r="F224" i="65"/>
  <c r="V117" i="89"/>
  <c r="D226" i="91"/>
  <c r="F225" i="91"/>
  <c r="D225" i="86"/>
  <c r="F224" i="86"/>
  <c r="K112" i="86"/>
  <c r="J16" i="87" s="1"/>
  <c r="L16" i="87" s="1"/>
  <c r="M16" i="87" s="1"/>
  <c r="H103" i="65"/>
  <c r="J103" i="65" s="1"/>
  <c r="N190" i="60"/>
  <c r="U102" i="60"/>
  <c r="G89" i="58"/>
  <c r="R89" i="53"/>
  <c r="V89" i="53" s="1"/>
  <c r="S90" i="53" s="1"/>
  <c r="O123" i="60"/>
  <c r="J67" i="61"/>
  <c r="G67" i="54"/>
  <c r="H67" i="58"/>
  <c r="T66" i="53"/>
  <c r="N67" i="53" s="1"/>
  <c r="O190" i="53"/>
  <c r="D192" i="54"/>
  <c r="F192" i="54" s="1"/>
  <c r="D226" i="112" l="1"/>
  <c r="F225" i="112"/>
  <c r="J196" i="112"/>
  <c r="T196" i="111"/>
  <c r="N197" i="111" s="1"/>
  <c r="P197" i="111" s="1"/>
  <c r="G198" i="112" s="1"/>
  <c r="H198" i="112" s="1"/>
  <c r="G197" i="110"/>
  <c r="S197" i="111"/>
  <c r="R197" i="111" s="1"/>
  <c r="V197" i="111" s="1"/>
  <c r="O224" i="89"/>
  <c r="O224" i="111"/>
  <c r="D226" i="110"/>
  <c r="F225" i="110"/>
  <c r="J118" i="105"/>
  <c r="D227" i="105"/>
  <c r="F226" i="105"/>
  <c r="F225" i="103"/>
  <c r="D226" i="103"/>
  <c r="J118" i="98"/>
  <c r="D227" i="98"/>
  <c r="F226" i="98"/>
  <c r="D226" i="93"/>
  <c r="F225" i="93"/>
  <c r="D226" i="58"/>
  <c r="F225" i="58"/>
  <c r="D227" i="61"/>
  <c r="F226" i="61"/>
  <c r="D226" i="65"/>
  <c r="F225" i="65"/>
  <c r="S118" i="89"/>
  <c r="R118" i="89" s="1"/>
  <c r="G119" i="105" s="1"/>
  <c r="H119" i="105" s="1"/>
  <c r="D227" i="91"/>
  <c r="F226" i="91"/>
  <c r="H16" i="87"/>
  <c r="F225" i="86"/>
  <c r="D226" i="86"/>
  <c r="H67" i="54"/>
  <c r="J67" i="54" s="1"/>
  <c r="R103" i="60"/>
  <c r="Q103" i="60" s="1"/>
  <c r="G104" i="65" s="1"/>
  <c r="N191" i="60"/>
  <c r="G90" i="58"/>
  <c r="R90" i="53"/>
  <c r="V90" i="53" s="1"/>
  <c r="S91" i="53" s="1"/>
  <c r="G124" i="61"/>
  <c r="S123" i="60"/>
  <c r="M124" i="60" s="1"/>
  <c r="J67" i="58"/>
  <c r="P67" i="53"/>
  <c r="H68" i="61" s="1"/>
  <c r="O191" i="53"/>
  <c r="D193" i="54"/>
  <c r="F193" i="54" s="1"/>
  <c r="D227" i="112" l="1"/>
  <c r="F226" i="112"/>
  <c r="J197" i="112"/>
  <c r="T197" i="111"/>
  <c r="N198" i="111" s="1"/>
  <c r="P198" i="111" s="1"/>
  <c r="G199" i="112" s="1"/>
  <c r="H199" i="112" s="1"/>
  <c r="G198" i="110"/>
  <c r="S198" i="111"/>
  <c r="R198" i="111" s="1"/>
  <c r="V198" i="111" s="1"/>
  <c r="O225" i="89"/>
  <c r="O225" i="111"/>
  <c r="D227" i="110"/>
  <c r="F226" i="110"/>
  <c r="J119" i="105"/>
  <c r="D228" i="105"/>
  <c r="F227" i="105"/>
  <c r="D227" i="103"/>
  <c r="F226" i="103"/>
  <c r="G119" i="91"/>
  <c r="H119" i="91" s="1"/>
  <c r="J119" i="91" s="1"/>
  <c r="G119" i="98"/>
  <c r="H119" i="98" s="1"/>
  <c r="D228" i="98"/>
  <c r="F227" i="98"/>
  <c r="D227" i="93"/>
  <c r="F226" i="93"/>
  <c r="F226" i="58"/>
  <c r="D227" i="58"/>
  <c r="D228" i="61"/>
  <c r="F227" i="61"/>
  <c r="D227" i="65"/>
  <c r="F226" i="65"/>
  <c r="V118" i="89"/>
  <c r="D228" i="91"/>
  <c r="F227" i="91"/>
  <c r="D227" i="86"/>
  <c r="F226" i="86"/>
  <c r="J124" i="86"/>
  <c r="H104" i="65"/>
  <c r="J104" i="65" s="1"/>
  <c r="N192" i="60"/>
  <c r="U103" i="60"/>
  <c r="G91" i="58"/>
  <c r="R91" i="53"/>
  <c r="V91" i="53" s="1"/>
  <c r="S92" i="53" s="1"/>
  <c r="O124" i="60"/>
  <c r="J68" i="61"/>
  <c r="G68" i="54"/>
  <c r="H68" i="58"/>
  <c r="T67" i="53"/>
  <c r="N68" i="53" s="1"/>
  <c r="O192" i="53"/>
  <c r="D194" i="54"/>
  <c r="F194" i="54" s="1"/>
  <c r="F227" i="112" l="1"/>
  <c r="D228" i="112"/>
  <c r="J198" i="112"/>
  <c r="T198" i="111"/>
  <c r="N199" i="111" s="1"/>
  <c r="P199" i="111" s="1"/>
  <c r="G200" i="112" s="1"/>
  <c r="H200" i="112" s="1"/>
  <c r="G199" i="110"/>
  <c r="O226" i="89"/>
  <c r="O226" i="111"/>
  <c r="S199" i="111"/>
  <c r="R199" i="111" s="1"/>
  <c r="V199" i="111" s="1"/>
  <c r="D228" i="110"/>
  <c r="F227" i="110"/>
  <c r="D229" i="105"/>
  <c r="F228" i="105"/>
  <c r="D228" i="103"/>
  <c r="F227" i="103"/>
  <c r="D229" i="98"/>
  <c r="F228" i="98"/>
  <c r="J119" i="98"/>
  <c r="D228" i="93"/>
  <c r="F227" i="93"/>
  <c r="D228" i="58"/>
  <c r="F227" i="58"/>
  <c r="F228" i="61"/>
  <c r="D229" i="61"/>
  <c r="D228" i="65"/>
  <c r="F227" i="65"/>
  <c r="S119" i="89"/>
  <c r="R119" i="89" s="1"/>
  <c r="G120" i="105" s="1"/>
  <c r="H120" i="105" s="1"/>
  <c r="D229" i="91"/>
  <c r="F228" i="91"/>
  <c r="F227" i="86"/>
  <c r="D228" i="86"/>
  <c r="H68" i="54"/>
  <c r="J68" i="54" s="1"/>
  <c r="N193" i="60"/>
  <c r="R104" i="60"/>
  <c r="Q104" i="60" s="1"/>
  <c r="G105" i="65" s="1"/>
  <c r="H105" i="65" s="1"/>
  <c r="G92" i="58"/>
  <c r="R92" i="53"/>
  <c r="V92" i="53" s="1"/>
  <c r="S93" i="53" s="1"/>
  <c r="G125" i="61"/>
  <c r="S124" i="60"/>
  <c r="M125" i="60" s="1"/>
  <c r="J68" i="58"/>
  <c r="P68" i="53"/>
  <c r="H69" i="61" s="1"/>
  <c r="O193" i="53"/>
  <c r="D195" i="54"/>
  <c r="F195" i="54" s="1"/>
  <c r="J199" i="112" l="1"/>
  <c r="D229" i="112"/>
  <c r="F228" i="112"/>
  <c r="T199" i="111"/>
  <c r="N200" i="111" s="1"/>
  <c r="P200" i="111" s="1"/>
  <c r="G201" i="112" s="1"/>
  <c r="H201" i="112" s="1"/>
  <c r="G200" i="110"/>
  <c r="S200" i="111"/>
  <c r="R200" i="111" s="1"/>
  <c r="V200" i="111" s="1"/>
  <c r="O227" i="89"/>
  <c r="O227" i="111"/>
  <c r="F228" i="110"/>
  <c r="D229" i="110"/>
  <c r="J120" i="105"/>
  <c r="D230" i="105"/>
  <c r="F229" i="105"/>
  <c r="D229" i="103"/>
  <c r="F228" i="103"/>
  <c r="G120" i="91"/>
  <c r="H120" i="91" s="1"/>
  <c r="J120" i="91" s="1"/>
  <c r="G120" i="98"/>
  <c r="H120" i="98" s="1"/>
  <c r="D230" i="98"/>
  <c r="F229" i="98"/>
  <c r="F228" i="93"/>
  <c r="D229" i="93"/>
  <c r="F228" i="58"/>
  <c r="D229" i="58"/>
  <c r="D230" i="61"/>
  <c r="F229" i="61"/>
  <c r="D229" i="65"/>
  <c r="F228" i="65"/>
  <c r="V119" i="89"/>
  <c r="D230" i="91"/>
  <c r="F229" i="91"/>
  <c r="D229" i="86"/>
  <c r="F228" i="86"/>
  <c r="N184" i="54"/>
  <c r="N194" i="60"/>
  <c r="U104" i="60"/>
  <c r="J105" i="65"/>
  <c r="G93" i="58"/>
  <c r="R93" i="53"/>
  <c r="V93" i="53" s="1"/>
  <c r="S94" i="53" s="1"/>
  <c r="O125" i="60"/>
  <c r="J69" i="61"/>
  <c r="G69" i="54"/>
  <c r="H69" i="54" s="1"/>
  <c r="J69" i="54" s="1"/>
  <c r="H69" i="58"/>
  <c r="T68" i="53"/>
  <c r="N69" i="53" s="1"/>
  <c r="O194" i="53"/>
  <c r="D196" i="54"/>
  <c r="F196" i="54" s="1"/>
  <c r="D230" i="112" l="1"/>
  <c r="F229" i="112"/>
  <c r="J200" i="112"/>
  <c r="T200" i="111"/>
  <c r="N201" i="111" s="1"/>
  <c r="P201" i="111" s="1"/>
  <c r="G202" i="112" s="1"/>
  <c r="H202" i="112" s="1"/>
  <c r="G201" i="110"/>
  <c r="S201" i="111"/>
  <c r="R201" i="111" s="1"/>
  <c r="V201" i="111" s="1"/>
  <c r="O228" i="89"/>
  <c r="O228" i="111"/>
  <c r="D230" i="110"/>
  <c r="F229" i="110"/>
  <c r="D231" i="105"/>
  <c r="F230" i="105"/>
  <c r="F229" i="103"/>
  <c r="D230" i="103"/>
  <c r="N19" i="75"/>
  <c r="D231" i="98"/>
  <c r="F230" i="98"/>
  <c r="J120" i="98"/>
  <c r="D230" i="93"/>
  <c r="F229" i="93"/>
  <c r="D230" i="58"/>
  <c r="F229" i="58"/>
  <c r="F230" i="61"/>
  <c r="D231" i="61"/>
  <c r="F229" i="65"/>
  <c r="D230" i="65"/>
  <c r="S120" i="89"/>
  <c r="R120" i="89" s="1"/>
  <c r="G121" i="105" s="1"/>
  <c r="H121" i="105" s="1"/>
  <c r="D231" i="91"/>
  <c r="F230" i="91"/>
  <c r="F229" i="86"/>
  <c r="D230" i="86"/>
  <c r="N195" i="60"/>
  <c r="R105" i="60"/>
  <c r="Q105" i="60" s="1"/>
  <c r="G106" i="65" s="1"/>
  <c r="H106" i="65" s="1"/>
  <c r="G94" i="58"/>
  <c r="R94" i="53"/>
  <c r="V94" i="53" s="1"/>
  <c r="S95" i="53" s="1"/>
  <c r="G126" i="61"/>
  <c r="S125" i="60"/>
  <c r="M126" i="60" s="1"/>
  <c r="J69" i="58"/>
  <c r="P69" i="53"/>
  <c r="H70" i="61" s="1"/>
  <c r="O195" i="53"/>
  <c r="D197" i="54"/>
  <c r="F197" i="54" s="1"/>
  <c r="J201" i="112" l="1"/>
  <c r="D231" i="112"/>
  <c r="F230" i="112"/>
  <c r="T201" i="111"/>
  <c r="N202" i="111" s="1"/>
  <c r="P202" i="111" s="1"/>
  <c r="G203" i="112" s="1"/>
  <c r="H203" i="112" s="1"/>
  <c r="G202" i="110"/>
  <c r="O229" i="89"/>
  <c r="O229" i="111"/>
  <c r="S202" i="111"/>
  <c r="R202" i="111" s="1"/>
  <c r="V202" i="111" s="1"/>
  <c r="D231" i="110"/>
  <c r="F230" i="110"/>
  <c r="J121" i="105"/>
  <c r="D232" i="105"/>
  <c r="F231" i="105"/>
  <c r="X220" i="105" s="1"/>
  <c r="D231" i="103"/>
  <c r="F230" i="103"/>
  <c r="G121" i="91"/>
  <c r="H121" i="91" s="1"/>
  <c r="J121" i="91" s="1"/>
  <c r="G121" i="98"/>
  <c r="H121" i="98" s="1"/>
  <c r="F231" i="98"/>
  <c r="X220" i="98" s="1"/>
  <c r="D232" i="98"/>
  <c r="D231" i="93"/>
  <c r="F230" i="93"/>
  <c r="D231" i="58"/>
  <c r="F230" i="58"/>
  <c r="F231" i="61"/>
  <c r="D232" i="61"/>
  <c r="D231" i="65"/>
  <c r="F230" i="65"/>
  <c r="V120" i="89"/>
  <c r="F231" i="91"/>
  <c r="O230" i="111" s="1"/>
  <c r="D232" i="91"/>
  <c r="D231" i="86"/>
  <c r="F230" i="86"/>
  <c r="J106" i="65"/>
  <c r="N196" i="60"/>
  <c r="U105" i="60"/>
  <c r="R95" i="53"/>
  <c r="V95" i="53" s="1"/>
  <c r="S96" i="53" s="1"/>
  <c r="G95" i="58"/>
  <c r="O126" i="60"/>
  <c r="J70" i="61"/>
  <c r="G70" i="54"/>
  <c r="H70" i="54" s="1"/>
  <c r="H70" i="58"/>
  <c r="T69" i="53"/>
  <c r="N70" i="53" s="1"/>
  <c r="O196" i="53"/>
  <c r="D198" i="54"/>
  <c r="F198" i="54" s="1"/>
  <c r="D232" i="112" l="1"/>
  <c r="F231" i="112"/>
  <c r="X220" i="112" s="1"/>
  <c r="J202" i="112"/>
  <c r="T202" i="111"/>
  <c r="N203" i="111" s="1"/>
  <c r="P203" i="111" s="1"/>
  <c r="G204" i="112" s="1"/>
  <c r="H204" i="112" s="1"/>
  <c r="G203" i="110"/>
  <c r="S203" i="111"/>
  <c r="R203" i="111" s="1"/>
  <c r="V203" i="111" s="1"/>
  <c r="F231" i="110"/>
  <c r="X220" i="110" s="1"/>
  <c r="D232" i="110"/>
  <c r="D233" i="105"/>
  <c r="F232" i="105"/>
  <c r="D232" i="103"/>
  <c r="F231" i="103"/>
  <c r="X220" i="103" s="1"/>
  <c r="N22" i="106" s="1"/>
  <c r="O230" i="89"/>
  <c r="X220" i="91"/>
  <c r="F232" i="98"/>
  <c r="D233" i="98"/>
  <c r="J121" i="98"/>
  <c r="F231" i="93"/>
  <c r="X220" i="93" s="1"/>
  <c r="D232" i="93"/>
  <c r="D232" i="58"/>
  <c r="F231" i="58"/>
  <c r="F232" i="61"/>
  <c r="D233" i="61"/>
  <c r="D232" i="65"/>
  <c r="F231" i="65"/>
  <c r="P220" i="65" s="1"/>
  <c r="N22" i="76" s="1"/>
  <c r="S121" i="89"/>
  <c r="R121" i="89" s="1"/>
  <c r="G122" i="105" s="1"/>
  <c r="H122" i="105" s="1"/>
  <c r="F232" i="91"/>
  <c r="O231" i="111" s="1"/>
  <c r="D233" i="91"/>
  <c r="D232" i="86"/>
  <c r="F231" i="86"/>
  <c r="X220" i="86" s="1"/>
  <c r="N22" i="100" s="1"/>
  <c r="R106" i="60"/>
  <c r="Q106" i="60" s="1"/>
  <c r="G107" i="65" s="1"/>
  <c r="H107" i="65" s="1"/>
  <c r="N197" i="60"/>
  <c r="G96" i="58"/>
  <c r="R96" i="53"/>
  <c r="V96" i="53" s="1"/>
  <c r="S97" i="53" s="1"/>
  <c r="G127" i="61"/>
  <c r="S126" i="60"/>
  <c r="M127" i="60" s="1"/>
  <c r="J70" i="58"/>
  <c r="J70" i="54"/>
  <c r="P70" i="53"/>
  <c r="H71" i="61" s="1"/>
  <c r="O197" i="53"/>
  <c r="D199" i="54"/>
  <c r="F199" i="54" s="1"/>
  <c r="J203" i="112" l="1"/>
  <c r="D233" i="112"/>
  <c r="F232" i="112"/>
  <c r="T203" i="111"/>
  <c r="N204" i="111" s="1"/>
  <c r="P204" i="111" s="1"/>
  <c r="G205" i="112" s="1"/>
  <c r="H205" i="112" s="1"/>
  <c r="G204" i="110"/>
  <c r="S204" i="111"/>
  <c r="R204" i="111" s="1"/>
  <c r="V204" i="111" s="1"/>
  <c r="D233" i="110"/>
  <c r="F232" i="110"/>
  <c r="J122" i="105"/>
  <c r="D234" i="105"/>
  <c r="F233" i="105"/>
  <c r="D233" i="103"/>
  <c r="F232" i="103"/>
  <c r="N22" i="101"/>
  <c r="O231" i="89"/>
  <c r="D234" i="98"/>
  <c r="F233" i="98"/>
  <c r="G122" i="91"/>
  <c r="H122" i="91" s="1"/>
  <c r="J122" i="91" s="1"/>
  <c r="G122" i="98"/>
  <c r="H122" i="98" s="1"/>
  <c r="F232" i="93"/>
  <c r="D233" i="93"/>
  <c r="D233" i="58"/>
  <c r="F232" i="58"/>
  <c r="D234" i="61"/>
  <c r="F233" i="61"/>
  <c r="D233" i="65"/>
  <c r="F232" i="65"/>
  <c r="V121" i="89"/>
  <c r="D234" i="91"/>
  <c r="F233" i="91"/>
  <c r="F232" i="86"/>
  <c r="D233" i="86"/>
  <c r="U106" i="60"/>
  <c r="J107" i="65"/>
  <c r="N198" i="60"/>
  <c r="G97" i="58"/>
  <c r="R97" i="53"/>
  <c r="V97" i="53" s="1"/>
  <c r="S98" i="53" s="1"/>
  <c r="O127" i="60"/>
  <c r="J71" i="61"/>
  <c r="G71" i="54"/>
  <c r="H71" i="54" s="1"/>
  <c r="J71" i="54" s="1"/>
  <c r="H71" i="58"/>
  <c r="T70" i="53"/>
  <c r="N71" i="53" s="1"/>
  <c r="O198" i="53"/>
  <c r="D200" i="54"/>
  <c r="F200" i="54" s="1"/>
  <c r="D234" i="112" l="1"/>
  <c r="F233" i="112"/>
  <c r="J204" i="112"/>
  <c r="T204" i="111"/>
  <c r="N205" i="111" s="1"/>
  <c r="P205" i="111" s="1"/>
  <c r="G206" i="112" s="1"/>
  <c r="H206" i="112" s="1"/>
  <c r="G205" i="110"/>
  <c r="S205" i="111"/>
  <c r="R205" i="111" s="1"/>
  <c r="V205" i="111" s="1"/>
  <c r="O232" i="89"/>
  <c r="O232" i="111"/>
  <c r="D234" i="110"/>
  <c r="F233" i="110"/>
  <c r="D235" i="105"/>
  <c r="F234" i="105"/>
  <c r="D234" i="103"/>
  <c r="F233" i="103"/>
  <c r="J122" i="98"/>
  <c r="D235" i="98"/>
  <c r="F234" i="98"/>
  <c r="D234" i="93"/>
  <c r="F233" i="93"/>
  <c r="D234" i="58"/>
  <c r="F233" i="58"/>
  <c r="F234" i="61"/>
  <c r="D235" i="61"/>
  <c r="F233" i="65"/>
  <c r="D234" i="65"/>
  <c r="S122" i="89"/>
  <c r="R122" i="89" s="1"/>
  <c r="G123" i="105" s="1"/>
  <c r="D235" i="91"/>
  <c r="F234" i="91"/>
  <c r="F233" i="86"/>
  <c r="D234" i="86"/>
  <c r="N199" i="60"/>
  <c r="R107" i="60"/>
  <c r="Q107" i="60" s="1"/>
  <c r="G108" i="65" s="1"/>
  <c r="H108" i="65" s="1"/>
  <c r="R98" i="53"/>
  <c r="V98" i="53" s="1"/>
  <c r="S99" i="53" s="1"/>
  <c r="G98" i="58"/>
  <c r="G128" i="61"/>
  <c r="S127" i="60"/>
  <c r="M128" i="60" s="1"/>
  <c r="J71" i="58"/>
  <c r="P71" i="53"/>
  <c r="H72" i="61" s="1"/>
  <c r="O199" i="53"/>
  <c r="D201" i="54"/>
  <c r="F201" i="54" s="1"/>
  <c r="J205" i="112" l="1"/>
  <c r="D235" i="112"/>
  <c r="F234" i="112"/>
  <c r="T205" i="111"/>
  <c r="N206" i="111" s="1"/>
  <c r="P206" i="111" s="1"/>
  <c r="G207" i="112" s="1"/>
  <c r="H207" i="112" s="1"/>
  <c r="G206" i="110"/>
  <c r="S206" i="111"/>
  <c r="R206" i="111" s="1"/>
  <c r="V206" i="111" s="1"/>
  <c r="O233" i="89"/>
  <c r="O233" i="111"/>
  <c r="D235" i="110"/>
  <c r="F234" i="110"/>
  <c r="F235" i="105"/>
  <c r="D236" i="105"/>
  <c r="Y112" i="105"/>
  <c r="P13" i="106" s="1"/>
  <c r="N112" i="105"/>
  <c r="H123" i="105"/>
  <c r="J123" i="105" s="1"/>
  <c r="D235" i="103"/>
  <c r="F234" i="103"/>
  <c r="F235" i="98"/>
  <c r="D236" i="98"/>
  <c r="G123" i="91"/>
  <c r="G123" i="98"/>
  <c r="Y112" i="98" s="1"/>
  <c r="P13" i="101" s="1"/>
  <c r="D235" i="93"/>
  <c r="F234" i="93"/>
  <c r="V122" i="89"/>
  <c r="D235" i="58"/>
  <c r="F234" i="58"/>
  <c r="F235" i="61"/>
  <c r="D236" i="61"/>
  <c r="F234" i="65"/>
  <c r="D235" i="65"/>
  <c r="D236" i="91"/>
  <c r="F235" i="91"/>
  <c r="F234" i="86"/>
  <c r="D235" i="86"/>
  <c r="N200" i="60"/>
  <c r="U107" i="60"/>
  <c r="J108" i="65"/>
  <c r="G99" i="58"/>
  <c r="N88" i="58" s="1"/>
  <c r="R99" i="53"/>
  <c r="V99" i="53" s="1"/>
  <c r="S100" i="53" s="1"/>
  <c r="O128" i="60"/>
  <c r="J72" i="61"/>
  <c r="G72" i="54"/>
  <c r="H72" i="54" s="1"/>
  <c r="J72" i="54" s="1"/>
  <c r="H72" i="58"/>
  <c r="T71" i="53"/>
  <c r="N72" i="53" s="1"/>
  <c r="O200" i="53"/>
  <c r="D202" i="54"/>
  <c r="F202" i="54" s="1"/>
  <c r="F235" i="112" l="1"/>
  <c r="D236" i="112"/>
  <c r="Y196" i="112"/>
  <c r="N196" i="112"/>
  <c r="J207" i="112"/>
  <c r="J206" i="112"/>
  <c r="T206" i="111"/>
  <c r="N207" i="111" s="1"/>
  <c r="P207" i="111" s="1"/>
  <c r="G208" i="112" s="1"/>
  <c r="H208" i="112" s="1"/>
  <c r="G207" i="110"/>
  <c r="O234" i="89"/>
  <c r="O234" i="111"/>
  <c r="S207" i="111"/>
  <c r="R207" i="111" s="1"/>
  <c r="V207" i="111" s="1"/>
  <c r="D236" i="110"/>
  <c r="F235" i="110"/>
  <c r="D237" i="105"/>
  <c r="F236" i="105"/>
  <c r="K112" i="105"/>
  <c r="F235" i="103"/>
  <c r="D236" i="103"/>
  <c r="N112" i="91"/>
  <c r="Y112" i="91"/>
  <c r="H123" i="91"/>
  <c r="J123" i="91" s="1"/>
  <c r="N112" i="98"/>
  <c r="H123" i="98"/>
  <c r="J123" i="98" s="1"/>
  <c r="D237" i="98"/>
  <c r="F236" i="98"/>
  <c r="F235" i="93"/>
  <c r="D236" i="93"/>
  <c r="N124" i="89"/>
  <c r="P124" i="89" s="1"/>
  <c r="D236" i="58"/>
  <c r="F235" i="58"/>
  <c r="D237" i="61"/>
  <c r="F236" i="61"/>
  <c r="F235" i="65"/>
  <c r="D236" i="65"/>
  <c r="S123" i="89"/>
  <c r="R123" i="89" s="1"/>
  <c r="G124" i="105" s="1"/>
  <c r="H124" i="105" s="1"/>
  <c r="D237" i="91"/>
  <c r="F236" i="91"/>
  <c r="F235" i="86"/>
  <c r="D236" i="86"/>
  <c r="P11" i="75"/>
  <c r="N201" i="60"/>
  <c r="R108" i="60"/>
  <c r="Q108" i="60" s="1"/>
  <c r="G109" i="65" s="1"/>
  <c r="H109" i="65" s="1"/>
  <c r="G100" i="58"/>
  <c r="R100" i="53"/>
  <c r="V100" i="53" s="1"/>
  <c r="S101" i="53" s="1"/>
  <c r="G129" i="61"/>
  <c r="S128" i="60"/>
  <c r="M129" i="60" s="1"/>
  <c r="J72" i="58"/>
  <c r="P72" i="53"/>
  <c r="H73" i="61" s="1"/>
  <c r="O201" i="53"/>
  <c r="D203" i="54"/>
  <c r="F203" i="54" s="1"/>
  <c r="D237" i="112" l="1"/>
  <c r="F236" i="112"/>
  <c r="K196" i="112"/>
  <c r="J23" i="109" s="1"/>
  <c r="T207" i="111"/>
  <c r="N208" i="111" s="1"/>
  <c r="P208" i="111" s="1"/>
  <c r="G209" i="112" s="1"/>
  <c r="H209" i="112" s="1"/>
  <c r="G208" i="110"/>
  <c r="S208" i="111"/>
  <c r="R208" i="111" s="1"/>
  <c r="V208" i="111" s="1"/>
  <c r="O235" i="89"/>
  <c r="O235" i="111"/>
  <c r="G125" i="103"/>
  <c r="H125" i="103" s="1"/>
  <c r="D237" i="110"/>
  <c r="F236" i="110"/>
  <c r="J16" i="104"/>
  <c r="J124" i="105"/>
  <c r="D238" i="105"/>
  <c r="F237" i="105"/>
  <c r="F236" i="103"/>
  <c r="D237" i="103"/>
  <c r="P13" i="100"/>
  <c r="V123" i="89"/>
  <c r="S124" i="89" s="1"/>
  <c r="R124" i="89" s="1"/>
  <c r="G125" i="105" s="1"/>
  <c r="H125" i="105" s="1"/>
  <c r="G124" i="98"/>
  <c r="D238" i="98"/>
  <c r="F237" i="98"/>
  <c r="K112" i="98"/>
  <c r="G125" i="86"/>
  <c r="G125" i="93"/>
  <c r="D237" i="93"/>
  <c r="F236" i="93"/>
  <c r="T124" i="89"/>
  <c r="K112" i="91"/>
  <c r="J16" i="90" s="1"/>
  <c r="L16" i="90" s="1"/>
  <c r="M16" i="90" s="1"/>
  <c r="D237" i="58"/>
  <c r="F236" i="58"/>
  <c r="D238" i="61"/>
  <c r="F237" i="61"/>
  <c r="F236" i="65"/>
  <c r="D237" i="65"/>
  <c r="G124" i="91"/>
  <c r="D238" i="91"/>
  <c r="F237" i="91"/>
  <c r="F236" i="86"/>
  <c r="D237" i="86"/>
  <c r="J109" i="65"/>
  <c r="N202" i="60"/>
  <c r="U108" i="60"/>
  <c r="G101" i="58"/>
  <c r="R101" i="53"/>
  <c r="V101" i="53" s="1"/>
  <c r="S102" i="53" s="1"/>
  <c r="O129" i="60"/>
  <c r="J73" i="61"/>
  <c r="G73" i="54"/>
  <c r="H73" i="54" s="1"/>
  <c r="J73" i="54" s="1"/>
  <c r="H73" i="58"/>
  <c r="T72" i="53"/>
  <c r="N73" i="53" s="1"/>
  <c r="O202" i="53"/>
  <c r="D204" i="54"/>
  <c r="F204" i="54" s="1"/>
  <c r="D238" i="112" l="1"/>
  <c r="F237" i="112"/>
  <c r="J208" i="112"/>
  <c r="T208" i="111"/>
  <c r="N209" i="111" s="1"/>
  <c r="P209" i="111" s="1"/>
  <c r="G210" i="112" s="1"/>
  <c r="H210" i="112" s="1"/>
  <c r="G209" i="110"/>
  <c r="O236" i="89"/>
  <c r="O236" i="111"/>
  <c r="S209" i="111"/>
  <c r="R209" i="111" s="1"/>
  <c r="V209" i="111" s="1"/>
  <c r="D238" i="110"/>
  <c r="F237" i="110"/>
  <c r="H125" i="110"/>
  <c r="L16" i="109"/>
  <c r="M16" i="109" s="1"/>
  <c r="H16" i="109"/>
  <c r="H16" i="104"/>
  <c r="L16" i="104"/>
  <c r="M16" i="104" s="1"/>
  <c r="J16" i="97"/>
  <c r="H124" i="98"/>
  <c r="J125" i="105"/>
  <c r="D239" i="105"/>
  <c r="F238" i="105"/>
  <c r="F237" i="103"/>
  <c r="D238" i="103"/>
  <c r="J125" i="103"/>
  <c r="H125" i="86"/>
  <c r="J125" i="86" s="1"/>
  <c r="H124" i="91"/>
  <c r="G125" i="91"/>
  <c r="G125" i="98"/>
  <c r="D239" i="98"/>
  <c r="F238" i="98"/>
  <c r="H16" i="90"/>
  <c r="D238" i="93"/>
  <c r="F237" i="93"/>
  <c r="H125" i="93"/>
  <c r="N125" i="89"/>
  <c r="P125" i="89" s="1"/>
  <c r="F237" i="58"/>
  <c r="D238" i="58"/>
  <c r="D239" i="61"/>
  <c r="F238" i="61"/>
  <c r="D238" i="65"/>
  <c r="F237" i="65"/>
  <c r="V124" i="89"/>
  <c r="D239" i="91"/>
  <c r="F238" i="91"/>
  <c r="D238" i="86"/>
  <c r="F237" i="86"/>
  <c r="N203" i="60"/>
  <c r="R109" i="60"/>
  <c r="Q109" i="60" s="1"/>
  <c r="G110" i="65" s="1"/>
  <c r="H110" i="65" s="1"/>
  <c r="G102" i="58"/>
  <c r="R102" i="53"/>
  <c r="V102" i="53" s="1"/>
  <c r="S103" i="53" s="1"/>
  <c r="G130" i="61"/>
  <c r="S129" i="60"/>
  <c r="M130" i="60" s="1"/>
  <c r="J73" i="58"/>
  <c r="P73" i="53"/>
  <c r="H74" i="61" s="1"/>
  <c r="O203" i="53"/>
  <c r="D205" i="54"/>
  <c r="F205" i="54" s="1"/>
  <c r="D239" i="112" l="1"/>
  <c r="F238" i="112"/>
  <c r="J209" i="112"/>
  <c r="T209" i="111"/>
  <c r="N210" i="111" s="1"/>
  <c r="P210" i="111" s="1"/>
  <c r="G211" i="112" s="1"/>
  <c r="H211" i="112" s="1"/>
  <c r="G210" i="110"/>
  <c r="S210" i="111"/>
  <c r="R210" i="111" s="1"/>
  <c r="V210" i="111" s="1"/>
  <c r="O237" i="89"/>
  <c r="O237" i="111"/>
  <c r="J125" i="110"/>
  <c r="G126" i="103"/>
  <c r="H126" i="103" s="1"/>
  <c r="D239" i="110"/>
  <c r="F238" i="110"/>
  <c r="H16" i="97"/>
  <c r="L16" i="97"/>
  <c r="M16" i="97" s="1"/>
  <c r="D240" i="105"/>
  <c r="F239" i="105"/>
  <c r="F238" i="103"/>
  <c r="D239" i="103"/>
  <c r="D240" i="98"/>
  <c r="F239" i="98"/>
  <c r="H125" i="98"/>
  <c r="J124" i="98"/>
  <c r="G126" i="86"/>
  <c r="G126" i="93"/>
  <c r="J125" i="93"/>
  <c r="D239" i="93"/>
  <c r="F238" i="93"/>
  <c r="T125" i="89"/>
  <c r="N126" i="89" s="1"/>
  <c r="P126" i="89" s="1"/>
  <c r="D239" i="58"/>
  <c r="F238" i="58"/>
  <c r="F239" i="61"/>
  <c r="D240" i="61"/>
  <c r="F238" i="65"/>
  <c r="D239" i="65"/>
  <c r="J124" i="91"/>
  <c r="H125" i="91"/>
  <c r="S125" i="89"/>
  <c r="R125" i="89" s="1"/>
  <c r="D240" i="91"/>
  <c r="F239" i="91"/>
  <c r="F238" i="86"/>
  <c r="D239" i="86"/>
  <c r="U109" i="60"/>
  <c r="J110" i="65"/>
  <c r="N204" i="60"/>
  <c r="G103" i="58"/>
  <c r="R103" i="53"/>
  <c r="V103" i="53" s="1"/>
  <c r="S104" i="53" s="1"/>
  <c r="O130" i="60"/>
  <c r="J74" i="61"/>
  <c r="G74" i="54"/>
  <c r="H74" i="54" s="1"/>
  <c r="H74" i="58"/>
  <c r="T73" i="53"/>
  <c r="O204" i="53"/>
  <c r="D206" i="54"/>
  <c r="F206" i="54" s="1"/>
  <c r="F239" i="112" l="1"/>
  <c r="D240" i="112"/>
  <c r="J210" i="112"/>
  <c r="T210" i="111"/>
  <c r="N211" i="111" s="1"/>
  <c r="P211" i="111" s="1"/>
  <c r="G212" i="112" s="1"/>
  <c r="H212" i="112" s="1"/>
  <c r="G211" i="110"/>
  <c r="S211" i="111"/>
  <c r="R211" i="111" s="1"/>
  <c r="V211" i="111" s="1"/>
  <c r="O238" i="89"/>
  <c r="O238" i="111"/>
  <c r="G127" i="103"/>
  <c r="H127" i="103" s="1"/>
  <c r="D240" i="110"/>
  <c r="F239" i="110"/>
  <c r="H126" i="110"/>
  <c r="G126" i="98"/>
  <c r="G126" i="105"/>
  <c r="D241" i="105"/>
  <c r="F240" i="105"/>
  <c r="J126" i="103"/>
  <c r="F239" i="103"/>
  <c r="D240" i="103"/>
  <c r="H126" i="86"/>
  <c r="J126" i="86" s="1"/>
  <c r="H126" i="93"/>
  <c r="J126" i="93" s="1"/>
  <c r="J125" i="98"/>
  <c r="D241" i="98"/>
  <c r="F240" i="98"/>
  <c r="G127" i="86"/>
  <c r="G127" i="93"/>
  <c r="F239" i="93"/>
  <c r="D240" i="93"/>
  <c r="T126" i="89"/>
  <c r="F239" i="58"/>
  <c r="D240" i="58"/>
  <c r="D241" i="61"/>
  <c r="F240" i="61"/>
  <c r="D240" i="65"/>
  <c r="F239" i="65"/>
  <c r="V125" i="89"/>
  <c r="S126" i="89" s="1"/>
  <c r="R126" i="89" s="1"/>
  <c r="G127" i="105" s="1"/>
  <c r="G126" i="91"/>
  <c r="J125" i="91"/>
  <c r="D241" i="91"/>
  <c r="F240" i="91"/>
  <c r="D240" i="86"/>
  <c r="F239" i="86"/>
  <c r="N205" i="60"/>
  <c r="R110" i="60"/>
  <c r="Q110" i="60" s="1"/>
  <c r="G111" i="65" s="1"/>
  <c r="N100" i="65" s="1"/>
  <c r="P12" i="76" s="1"/>
  <c r="G104" i="58"/>
  <c r="R104" i="53"/>
  <c r="V104" i="53" s="1"/>
  <c r="S105" i="53" s="1"/>
  <c r="G131" i="61"/>
  <c r="S130" i="60"/>
  <c r="J74" i="58"/>
  <c r="J74" i="54"/>
  <c r="N74" i="53"/>
  <c r="P74" i="53" s="1"/>
  <c r="H75" i="61" s="1"/>
  <c r="J75" i="61" s="1"/>
  <c r="H76" i="61" s="1"/>
  <c r="O205" i="53"/>
  <c r="D207" i="54"/>
  <c r="F207" i="54" s="1"/>
  <c r="D241" i="112" l="1"/>
  <c r="F240" i="112"/>
  <c r="J211" i="112"/>
  <c r="T211" i="111"/>
  <c r="N212" i="111" s="1"/>
  <c r="P212" i="111" s="1"/>
  <c r="G213" i="112" s="1"/>
  <c r="H213" i="112" s="1"/>
  <c r="G212" i="110"/>
  <c r="O239" i="89"/>
  <c r="O239" i="111"/>
  <c r="S212" i="111"/>
  <c r="R212" i="111" s="1"/>
  <c r="V212" i="111" s="1"/>
  <c r="H127" i="110"/>
  <c r="J126" i="110"/>
  <c r="D241" i="110"/>
  <c r="F240" i="110"/>
  <c r="H126" i="98"/>
  <c r="J126" i="98" s="1"/>
  <c r="D242" i="105"/>
  <c r="F241" i="105"/>
  <c r="H126" i="105"/>
  <c r="J127" i="103"/>
  <c r="D241" i="103"/>
  <c r="F240" i="103"/>
  <c r="H127" i="86"/>
  <c r="J127" i="86" s="1"/>
  <c r="H126" i="91"/>
  <c r="J126" i="91" s="1"/>
  <c r="H127" i="93"/>
  <c r="J127" i="93" s="1"/>
  <c r="D242" i="98"/>
  <c r="F241" i="98"/>
  <c r="G127" i="91"/>
  <c r="G127" i="98"/>
  <c r="D241" i="93"/>
  <c r="F240" i="93"/>
  <c r="N127" i="89"/>
  <c r="P127" i="89" s="1"/>
  <c r="D241" i="58"/>
  <c r="F240" i="58"/>
  <c r="F241" i="61"/>
  <c r="D242" i="61"/>
  <c r="D241" i="65"/>
  <c r="F240" i="65"/>
  <c r="V126" i="89"/>
  <c r="D242" i="91"/>
  <c r="F241" i="91"/>
  <c r="D241" i="86"/>
  <c r="F240" i="86"/>
  <c r="N196" i="54"/>
  <c r="H111" i="65"/>
  <c r="J111" i="65" s="1"/>
  <c r="K100" i="65" s="1"/>
  <c r="U110" i="60"/>
  <c r="N206" i="60"/>
  <c r="G105" i="58"/>
  <c r="R105" i="53"/>
  <c r="V105" i="53" s="1"/>
  <c r="S106" i="53" s="1"/>
  <c r="M131" i="60"/>
  <c r="O131" i="60" s="1"/>
  <c r="K64" i="61"/>
  <c r="J12" i="62" s="1"/>
  <c r="H12" i="62" s="1"/>
  <c r="G75" i="54"/>
  <c r="P64" i="54" s="1"/>
  <c r="H75" i="58"/>
  <c r="J75" i="58" s="1"/>
  <c r="T74" i="53"/>
  <c r="O206" i="53"/>
  <c r="D208" i="54"/>
  <c r="F208" i="54" s="1"/>
  <c r="J212" i="112" l="1"/>
  <c r="D242" i="112"/>
  <c r="F241" i="112"/>
  <c r="T212" i="111"/>
  <c r="N213" i="111" s="1"/>
  <c r="P213" i="111" s="1"/>
  <c r="G214" i="112" s="1"/>
  <c r="H214" i="112" s="1"/>
  <c r="G213" i="110"/>
  <c r="O240" i="89"/>
  <c r="O240" i="111"/>
  <c r="S213" i="111"/>
  <c r="R213" i="111" s="1"/>
  <c r="V213" i="111" s="1"/>
  <c r="G128" i="103"/>
  <c r="H128" i="103" s="1"/>
  <c r="H128" i="110"/>
  <c r="J127" i="110"/>
  <c r="D242" i="110"/>
  <c r="F241" i="110"/>
  <c r="L12" i="62"/>
  <c r="M12" i="62" s="1"/>
  <c r="J15" i="66"/>
  <c r="H15" i="66" s="1"/>
  <c r="H127" i="105"/>
  <c r="J126" i="105"/>
  <c r="D243" i="105"/>
  <c r="F243" i="105" s="1"/>
  <c r="F242" i="105"/>
  <c r="D242" i="103"/>
  <c r="F241" i="103"/>
  <c r="H127" i="91"/>
  <c r="J127" i="91" s="1"/>
  <c r="N20" i="75"/>
  <c r="H127" i="98"/>
  <c r="D243" i="98"/>
  <c r="F243" i="98" s="1"/>
  <c r="F242" i="98"/>
  <c r="D242" i="93"/>
  <c r="F241" i="93"/>
  <c r="G128" i="86"/>
  <c r="H128" i="86" s="1"/>
  <c r="J128" i="86" s="1"/>
  <c r="G128" i="93"/>
  <c r="H128" i="93" s="1"/>
  <c r="T127" i="89"/>
  <c r="D242" i="58"/>
  <c r="F241" i="58"/>
  <c r="D243" i="61"/>
  <c r="F243" i="61" s="1"/>
  <c r="F242" i="61"/>
  <c r="D242" i="65"/>
  <c r="F241" i="65"/>
  <c r="S127" i="89"/>
  <c r="R127" i="89" s="1"/>
  <c r="D243" i="91"/>
  <c r="F243" i="91" s="1"/>
  <c r="O242" i="111" s="1"/>
  <c r="F242" i="91"/>
  <c r="D242" i="86"/>
  <c r="F241" i="86"/>
  <c r="O9" i="75"/>
  <c r="H75" i="54"/>
  <c r="J75" i="54" s="1"/>
  <c r="K64" i="54" s="1"/>
  <c r="J12" i="55" s="1"/>
  <c r="N207" i="60"/>
  <c r="R111" i="60"/>
  <c r="Q111" i="60" s="1"/>
  <c r="G112" i="65" s="1"/>
  <c r="G106" i="58"/>
  <c r="R106" i="53"/>
  <c r="V106" i="53" s="1"/>
  <c r="S107" i="53" s="1"/>
  <c r="G132" i="61"/>
  <c r="S131" i="60"/>
  <c r="M132" i="60" s="1"/>
  <c r="O132" i="60" s="1"/>
  <c r="K64" i="58"/>
  <c r="J12" i="59" s="1"/>
  <c r="N75" i="53"/>
  <c r="P75" i="53" s="1"/>
  <c r="O207" i="53"/>
  <c r="D209" i="54"/>
  <c r="F209" i="54" s="1"/>
  <c r="D243" i="112" l="1"/>
  <c r="F243" i="112" s="1"/>
  <c r="F242" i="112"/>
  <c r="J213" i="112"/>
  <c r="T213" i="111"/>
  <c r="N214" i="111" s="1"/>
  <c r="P214" i="111" s="1"/>
  <c r="G215" i="112" s="1"/>
  <c r="H215" i="112" s="1"/>
  <c r="G214" i="110"/>
  <c r="S214" i="111"/>
  <c r="R214" i="111" s="1"/>
  <c r="V214" i="111" s="1"/>
  <c r="O241" i="89"/>
  <c r="O241" i="111"/>
  <c r="J128" i="110"/>
  <c r="D243" i="110"/>
  <c r="F243" i="110" s="1"/>
  <c r="F242" i="110"/>
  <c r="L12" i="59"/>
  <c r="M12" i="59" s="1"/>
  <c r="F8" i="114" s="1"/>
  <c r="H12" i="59"/>
  <c r="L12" i="55"/>
  <c r="M12" i="55" s="1"/>
  <c r="E8" i="114" s="1"/>
  <c r="H12" i="55"/>
  <c r="L15" i="66"/>
  <c r="M15" i="66" s="1"/>
  <c r="X232" i="98"/>
  <c r="X232" i="105"/>
  <c r="G128" i="98"/>
  <c r="H128" i="98" s="1"/>
  <c r="G128" i="105"/>
  <c r="H128" i="105" s="1"/>
  <c r="J127" i="105"/>
  <c r="J128" i="103"/>
  <c r="D243" i="103"/>
  <c r="F243" i="103" s="1"/>
  <c r="F242" i="103"/>
  <c r="O242" i="89"/>
  <c r="X232" i="91"/>
  <c r="J127" i="98"/>
  <c r="J128" i="93"/>
  <c r="D243" i="93"/>
  <c r="F243" i="93" s="1"/>
  <c r="F242" i="93"/>
  <c r="N128" i="89"/>
  <c r="P128" i="89" s="1"/>
  <c r="F242" i="58"/>
  <c r="D243" i="58"/>
  <c r="F243" i="58" s="1"/>
  <c r="D243" i="65"/>
  <c r="F243" i="65" s="1"/>
  <c r="F242" i="65"/>
  <c r="V127" i="89"/>
  <c r="S128" i="89" s="1"/>
  <c r="R128" i="89" s="1"/>
  <c r="G128" i="91"/>
  <c r="F242" i="86"/>
  <c r="D243" i="86"/>
  <c r="F243" i="86" s="1"/>
  <c r="H112" i="65"/>
  <c r="J112" i="65" s="1"/>
  <c r="N208" i="60"/>
  <c r="U111" i="60"/>
  <c r="G107" i="58"/>
  <c r="R107" i="53"/>
  <c r="V107" i="53" s="1"/>
  <c r="S108" i="53" s="1"/>
  <c r="G133" i="61"/>
  <c r="S132" i="60"/>
  <c r="M133" i="60" s="1"/>
  <c r="J76" i="61"/>
  <c r="G76" i="54"/>
  <c r="H76" i="58"/>
  <c r="T75" i="53"/>
  <c r="N76" i="53" s="1"/>
  <c r="O208" i="53"/>
  <c r="D210" i="54"/>
  <c r="F210" i="54" s="1"/>
  <c r="X232" i="112" l="1"/>
  <c r="X232" i="110"/>
  <c r="J214" i="112"/>
  <c r="T214" i="111"/>
  <c r="N215" i="111" s="1"/>
  <c r="P215" i="111" s="1"/>
  <c r="G216" i="112" s="1"/>
  <c r="H216" i="112" s="1"/>
  <c r="G215" i="110"/>
  <c r="S215" i="111"/>
  <c r="R215" i="111" s="1"/>
  <c r="V215" i="111" s="1"/>
  <c r="G129" i="103"/>
  <c r="H129" i="103" s="1"/>
  <c r="J129" i="103" s="1"/>
  <c r="H129" i="110"/>
  <c r="G129" i="98"/>
  <c r="H129" i="98" s="1"/>
  <c r="G129" i="105"/>
  <c r="H129" i="105" s="1"/>
  <c r="J128" i="105"/>
  <c r="X232" i="103"/>
  <c r="N23" i="106" s="1"/>
  <c r="X232" i="86"/>
  <c r="N23" i="100" s="1"/>
  <c r="X232" i="93"/>
  <c r="J128" i="98"/>
  <c r="G129" i="86"/>
  <c r="H129" i="86" s="1"/>
  <c r="J129" i="86" s="1"/>
  <c r="G129" i="93"/>
  <c r="H129" i="93" s="1"/>
  <c r="T128" i="89"/>
  <c r="P232" i="65"/>
  <c r="N23" i="76" s="1"/>
  <c r="V128" i="89"/>
  <c r="S129" i="89" s="1"/>
  <c r="R129" i="89" s="1"/>
  <c r="G130" i="105" s="1"/>
  <c r="G129" i="91"/>
  <c r="H128" i="91"/>
  <c r="H76" i="54"/>
  <c r="J76" i="54" s="1"/>
  <c r="R112" i="60"/>
  <c r="Q112" i="60" s="1"/>
  <c r="G113" i="65" s="1"/>
  <c r="N209" i="60"/>
  <c r="G108" i="58"/>
  <c r="R108" i="53"/>
  <c r="V108" i="53" s="1"/>
  <c r="S109" i="53" s="1"/>
  <c r="O133" i="60"/>
  <c r="J76" i="58"/>
  <c r="P76" i="53"/>
  <c r="H77" i="61" s="1"/>
  <c r="O209" i="53"/>
  <c r="D211" i="54"/>
  <c r="F211" i="54" s="1"/>
  <c r="J215" i="112" l="1"/>
  <c r="T215" i="111"/>
  <c r="N216" i="111" s="1"/>
  <c r="P216" i="111" s="1"/>
  <c r="G217" i="112" s="1"/>
  <c r="H217" i="112" s="1"/>
  <c r="G216" i="110"/>
  <c r="S216" i="111"/>
  <c r="R216" i="111" s="1"/>
  <c r="V216" i="111" s="1"/>
  <c r="J129" i="110"/>
  <c r="J129" i="105"/>
  <c r="H130" i="105"/>
  <c r="N23" i="101"/>
  <c r="G130" i="91"/>
  <c r="G130" i="98"/>
  <c r="H130" i="98" s="1"/>
  <c r="J129" i="98"/>
  <c r="J129" i="93"/>
  <c r="N129" i="89"/>
  <c r="P129" i="89" s="1"/>
  <c r="J128" i="91"/>
  <c r="H129" i="91"/>
  <c r="V129" i="89"/>
  <c r="H113" i="65"/>
  <c r="J113" i="65" s="1"/>
  <c r="U112" i="60"/>
  <c r="N210" i="60"/>
  <c r="G109" i="58"/>
  <c r="R109" i="53"/>
  <c r="V109" i="53" s="1"/>
  <c r="S110" i="53" s="1"/>
  <c r="G134" i="61"/>
  <c r="S133" i="60"/>
  <c r="M134" i="60" s="1"/>
  <c r="J77" i="61"/>
  <c r="G77" i="54"/>
  <c r="H77" i="58"/>
  <c r="T76" i="53"/>
  <c r="N77" i="53" s="1"/>
  <c r="O210" i="53"/>
  <c r="D212" i="54"/>
  <c r="F212" i="54" s="1"/>
  <c r="J216" i="112" l="1"/>
  <c r="T216" i="111"/>
  <c r="N217" i="111" s="1"/>
  <c r="P217" i="111" s="1"/>
  <c r="G218" i="112" s="1"/>
  <c r="H218" i="112" s="1"/>
  <c r="G217" i="110"/>
  <c r="S217" i="111"/>
  <c r="R217" i="111" s="1"/>
  <c r="V217" i="111" s="1"/>
  <c r="G130" i="103"/>
  <c r="H130" i="103" s="1"/>
  <c r="J130" i="103" s="1"/>
  <c r="H130" i="110"/>
  <c r="J130" i="105"/>
  <c r="J130" i="98"/>
  <c r="G130" i="86"/>
  <c r="H130" i="86" s="1"/>
  <c r="J130" i="86" s="1"/>
  <c r="G130" i="93"/>
  <c r="H130" i="93" s="1"/>
  <c r="T129" i="89"/>
  <c r="J129" i="91"/>
  <c r="H130" i="91"/>
  <c r="S130" i="89"/>
  <c r="R130" i="89" s="1"/>
  <c r="G131" i="105" s="1"/>
  <c r="H131" i="105" s="1"/>
  <c r="H77" i="54"/>
  <c r="J77" i="54" s="1"/>
  <c r="N211" i="60"/>
  <c r="R113" i="60"/>
  <c r="Q113" i="60" s="1"/>
  <c r="G114" i="65" s="1"/>
  <c r="G110" i="58"/>
  <c r="R110" i="53"/>
  <c r="V110" i="53" s="1"/>
  <c r="S111" i="53" s="1"/>
  <c r="O134" i="60"/>
  <c r="J77" i="58"/>
  <c r="P77" i="53"/>
  <c r="H78" i="61" s="1"/>
  <c r="O211" i="53"/>
  <c r="D213" i="54"/>
  <c r="F213" i="54" s="1"/>
  <c r="J217" i="112" l="1"/>
  <c r="T217" i="111"/>
  <c r="N218" i="111" s="1"/>
  <c r="P218" i="111" s="1"/>
  <c r="G219" i="112" s="1"/>
  <c r="H219" i="112" s="1"/>
  <c r="G218" i="110"/>
  <c r="S218" i="111"/>
  <c r="R218" i="111" s="1"/>
  <c r="V218" i="111" s="1"/>
  <c r="J130" i="110"/>
  <c r="J131" i="105"/>
  <c r="G131" i="91"/>
  <c r="H131" i="91" s="1"/>
  <c r="G131" i="98"/>
  <c r="H131" i="98" s="1"/>
  <c r="J130" i="93"/>
  <c r="N130" i="89"/>
  <c r="P130" i="89" s="1"/>
  <c r="J130" i="91"/>
  <c r="V130" i="89"/>
  <c r="S131" i="89" s="1"/>
  <c r="R131" i="89" s="1"/>
  <c r="G132" i="105" s="1"/>
  <c r="H132" i="105" s="1"/>
  <c r="H114" i="65"/>
  <c r="J114" i="65" s="1"/>
  <c r="N212" i="60"/>
  <c r="U113" i="60"/>
  <c r="G111" i="58"/>
  <c r="N100" i="58" s="1"/>
  <c r="R111" i="53"/>
  <c r="V111" i="53" s="1"/>
  <c r="S112" i="53" s="1"/>
  <c r="G135" i="61"/>
  <c r="N124" i="61" s="1"/>
  <c r="O14" i="76" s="1"/>
  <c r="S134" i="60"/>
  <c r="M135" i="60" s="1"/>
  <c r="J78" i="61"/>
  <c r="G78" i="54"/>
  <c r="H78" i="58"/>
  <c r="T77" i="53"/>
  <c r="N78" i="53" s="1"/>
  <c r="O212" i="53"/>
  <c r="D214" i="54"/>
  <c r="F214" i="54" s="1"/>
  <c r="N208" i="112" l="1"/>
  <c r="Y208" i="112"/>
  <c r="J218" i="112"/>
  <c r="J219" i="112"/>
  <c r="T218" i="111"/>
  <c r="N219" i="111" s="1"/>
  <c r="P219" i="111" s="1"/>
  <c r="G220" i="112" s="1"/>
  <c r="H220" i="112" s="1"/>
  <c r="G219" i="110"/>
  <c r="S219" i="111"/>
  <c r="R219" i="111" s="1"/>
  <c r="V219" i="111" s="1"/>
  <c r="G131" i="103"/>
  <c r="H131" i="103" s="1"/>
  <c r="J131" i="103" s="1"/>
  <c r="H131" i="110"/>
  <c r="J132" i="105"/>
  <c r="G132" i="91"/>
  <c r="H132" i="91" s="1"/>
  <c r="G132" i="98"/>
  <c r="H132" i="98" s="1"/>
  <c r="J131" i="98"/>
  <c r="G131" i="86"/>
  <c r="H131" i="86" s="1"/>
  <c r="J131" i="86" s="1"/>
  <c r="G131" i="93"/>
  <c r="H131" i="93" s="1"/>
  <c r="T130" i="89"/>
  <c r="J131" i="91"/>
  <c r="V131" i="89"/>
  <c r="S132" i="89" s="1"/>
  <c r="R132" i="89" s="1"/>
  <c r="G133" i="105" s="1"/>
  <c r="H133" i="105" s="1"/>
  <c r="P12" i="75"/>
  <c r="H78" i="54"/>
  <c r="J78" i="54" s="1"/>
  <c r="R114" i="60"/>
  <c r="Q114" i="60" s="1"/>
  <c r="G115" i="65" s="1"/>
  <c r="N213" i="60"/>
  <c r="G112" i="58"/>
  <c r="R112" i="53"/>
  <c r="V112" i="53" s="1"/>
  <c r="S113" i="53" s="1"/>
  <c r="O135" i="60"/>
  <c r="J78" i="58"/>
  <c r="P78" i="53"/>
  <c r="H79" i="61" s="1"/>
  <c r="O213" i="53"/>
  <c r="D215" i="54"/>
  <c r="F215" i="54" s="1"/>
  <c r="K208" i="112" l="1"/>
  <c r="J24" i="109" s="1"/>
  <c r="T219" i="111"/>
  <c r="N220" i="111" s="1"/>
  <c r="P220" i="111" s="1"/>
  <c r="G221" i="112" s="1"/>
  <c r="H221" i="112" s="1"/>
  <c r="G220" i="110"/>
  <c r="S220" i="111"/>
  <c r="R220" i="111" s="1"/>
  <c r="V220" i="111" s="1"/>
  <c r="J131" i="110"/>
  <c r="J133" i="105"/>
  <c r="J132" i="98"/>
  <c r="G133" i="91"/>
  <c r="H133" i="91" s="1"/>
  <c r="G133" i="98"/>
  <c r="H133" i="98" s="1"/>
  <c r="J131" i="93"/>
  <c r="N131" i="89"/>
  <c r="P131" i="89" s="1"/>
  <c r="J132" i="91"/>
  <c r="V132" i="89"/>
  <c r="H115" i="65"/>
  <c r="J115" i="65" s="1"/>
  <c r="N214" i="60"/>
  <c r="U114" i="60"/>
  <c r="G113" i="58"/>
  <c r="R113" i="53"/>
  <c r="V113" i="53" s="1"/>
  <c r="S114" i="53" s="1"/>
  <c r="G136" i="61"/>
  <c r="S135" i="60"/>
  <c r="M136" i="60" s="1"/>
  <c r="J79" i="61"/>
  <c r="G79" i="54"/>
  <c r="H79" i="58"/>
  <c r="T78" i="53"/>
  <c r="N79" i="53" s="1"/>
  <c r="O214" i="53"/>
  <c r="D216" i="54"/>
  <c r="F216" i="54" s="1"/>
  <c r="J220" i="112" l="1"/>
  <c r="T220" i="111"/>
  <c r="N221" i="111" s="1"/>
  <c r="P221" i="111" s="1"/>
  <c r="G222" i="112" s="1"/>
  <c r="H222" i="112" s="1"/>
  <c r="G221" i="110"/>
  <c r="S221" i="111"/>
  <c r="R221" i="111" s="1"/>
  <c r="V221" i="111" s="1"/>
  <c r="G132" i="103"/>
  <c r="H132" i="103" s="1"/>
  <c r="J132" i="103" s="1"/>
  <c r="H132" i="110"/>
  <c r="J133" i="98"/>
  <c r="G132" i="86"/>
  <c r="H132" i="86" s="1"/>
  <c r="G132" i="93"/>
  <c r="H132" i="93" s="1"/>
  <c r="T131" i="89"/>
  <c r="J133" i="91"/>
  <c r="S133" i="89"/>
  <c r="R133" i="89" s="1"/>
  <c r="G134" i="105" s="1"/>
  <c r="H134" i="105" s="1"/>
  <c r="H79" i="54"/>
  <c r="J79" i="54" s="1"/>
  <c r="N215" i="60"/>
  <c r="R115" i="60"/>
  <c r="Q115" i="60" s="1"/>
  <c r="G116" i="65" s="1"/>
  <c r="R114" i="53"/>
  <c r="V114" i="53" s="1"/>
  <c r="S115" i="53" s="1"/>
  <c r="G114" i="58"/>
  <c r="O136" i="60"/>
  <c r="J79" i="58"/>
  <c r="P79" i="53"/>
  <c r="H80" i="61" s="1"/>
  <c r="O215" i="53"/>
  <c r="D217" i="54"/>
  <c r="F217" i="54" s="1"/>
  <c r="J221" i="112" l="1"/>
  <c r="T221" i="111"/>
  <c r="N222" i="111" s="1"/>
  <c r="P222" i="111" s="1"/>
  <c r="G223" i="112" s="1"/>
  <c r="H223" i="112" s="1"/>
  <c r="G222" i="110"/>
  <c r="S222" i="111"/>
  <c r="R222" i="111" s="1"/>
  <c r="V222" i="111" s="1"/>
  <c r="J132" i="110"/>
  <c r="J134" i="105"/>
  <c r="G134" i="91"/>
  <c r="H134" i="91" s="1"/>
  <c r="J134" i="91" s="1"/>
  <c r="G134" i="98"/>
  <c r="H134" i="98" s="1"/>
  <c r="J132" i="93"/>
  <c r="J132" i="86"/>
  <c r="N132" i="89"/>
  <c r="P132" i="89" s="1"/>
  <c r="V133" i="89"/>
  <c r="H116" i="65"/>
  <c r="J116" i="65" s="1"/>
  <c r="N216" i="60"/>
  <c r="U115" i="60"/>
  <c r="G115" i="58"/>
  <c r="R115" i="53"/>
  <c r="V115" i="53" s="1"/>
  <c r="S116" i="53" s="1"/>
  <c r="G137" i="61"/>
  <c r="S136" i="60"/>
  <c r="M137" i="60" s="1"/>
  <c r="J80" i="61"/>
  <c r="G80" i="54"/>
  <c r="H80" i="58"/>
  <c r="T79" i="53"/>
  <c r="N80" i="53" s="1"/>
  <c r="O216" i="53"/>
  <c r="D218" i="54"/>
  <c r="F218" i="54" s="1"/>
  <c r="J222" i="112" l="1"/>
  <c r="T222" i="111"/>
  <c r="N223" i="111" s="1"/>
  <c r="P223" i="111" s="1"/>
  <c r="G224" i="112" s="1"/>
  <c r="H224" i="112" s="1"/>
  <c r="G223" i="110"/>
  <c r="S223" i="111"/>
  <c r="R223" i="111" s="1"/>
  <c r="V223" i="111" s="1"/>
  <c r="G133" i="103"/>
  <c r="H133" i="103" s="1"/>
  <c r="J133" i="103" s="1"/>
  <c r="H133" i="110"/>
  <c r="J134" i="98"/>
  <c r="G133" i="86"/>
  <c r="H133" i="86" s="1"/>
  <c r="G133" i="93"/>
  <c r="H133" i="93" s="1"/>
  <c r="T132" i="89"/>
  <c r="N133" i="89" s="1"/>
  <c r="P133" i="89" s="1"/>
  <c r="S134" i="89"/>
  <c r="R134" i="89" s="1"/>
  <c r="G135" i="105" s="1"/>
  <c r="H80" i="54"/>
  <c r="J80" i="54" s="1"/>
  <c r="R116" i="60"/>
  <c r="Q116" i="60" s="1"/>
  <c r="G117" i="65" s="1"/>
  <c r="H117" i="65" s="1"/>
  <c r="N217" i="60"/>
  <c r="G116" i="58"/>
  <c r="R116" i="53"/>
  <c r="V116" i="53" s="1"/>
  <c r="S117" i="53" s="1"/>
  <c r="O137" i="60"/>
  <c r="J80" i="58"/>
  <c r="P80" i="53"/>
  <c r="H81" i="61" s="1"/>
  <c r="O217" i="53"/>
  <c r="D219" i="54"/>
  <c r="F219" i="54" s="1"/>
  <c r="J223" i="112" l="1"/>
  <c r="T223" i="111"/>
  <c r="N224" i="111" s="1"/>
  <c r="P224" i="111" s="1"/>
  <c r="G225" i="112" s="1"/>
  <c r="H225" i="112" s="1"/>
  <c r="G224" i="110"/>
  <c r="S224" i="111"/>
  <c r="R224" i="111" s="1"/>
  <c r="V224" i="111" s="1"/>
  <c r="G134" i="103"/>
  <c r="H134" i="103" s="1"/>
  <c r="J134" i="103" s="1"/>
  <c r="H134" i="110"/>
  <c r="J133" i="110"/>
  <c r="N124" i="105"/>
  <c r="Y124" i="105"/>
  <c r="P14" i="106" s="1"/>
  <c r="H135" i="105"/>
  <c r="G135" i="91"/>
  <c r="G135" i="98"/>
  <c r="Y124" i="98" s="1"/>
  <c r="P14" i="101" s="1"/>
  <c r="G134" i="86"/>
  <c r="H134" i="86" s="1"/>
  <c r="G134" i="93"/>
  <c r="H134" i="93" s="1"/>
  <c r="J133" i="93"/>
  <c r="T133" i="89"/>
  <c r="N134" i="89" s="1"/>
  <c r="P134" i="89" s="1"/>
  <c r="J133" i="86"/>
  <c r="V134" i="89"/>
  <c r="N208" i="54"/>
  <c r="N218" i="60"/>
  <c r="J117" i="65"/>
  <c r="U116" i="60"/>
  <c r="G117" i="58"/>
  <c r="R117" i="53"/>
  <c r="V117" i="53" s="1"/>
  <c r="S118" i="53" s="1"/>
  <c r="G138" i="61"/>
  <c r="S137" i="60"/>
  <c r="M138" i="60" s="1"/>
  <c r="J81" i="61"/>
  <c r="G81" i="54"/>
  <c r="H81" i="54" s="1"/>
  <c r="H81" i="58"/>
  <c r="T80" i="53"/>
  <c r="N81" i="53" s="1"/>
  <c r="O218" i="53"/>
  <c r="D220" i="54"/>
  <c r="F220" i="54" s="1"/>
  <c r="J224" i="112" l="1"/>
  <c r="T224" i="111"/>
  <c r="N225" i="111" s="1"/>
  <c r="P225" i="111" s="1"/>
  <c r="G226" i="112" s="1"/>
  <c r="H226" i="112" s="1"/>
  <c r="G225" i="110"/>
  <c r="S225" i="111"/>
  <c r="R225" i="111" s="1"/>
  <c r="V225" i="111" s="1"/>
  <c r="J134" i="110"/>
  <c r="G135" i="103"/>
  <c r="Y124" i="103" s="1"/>
  <c r="O14" i="106" s="1"/>
  <c r="J135" i="105"/>
  <c r="K124" i="105" s="1"/>
  <c r="N124" i="91"/>
  <c r="Y124" i="91"/>
  <c r="N21" i="75"/>
  <c r="H135" i="91"/>
  <c r="J135" i="91" s="1"/>
  <c r="K124" i="91" s="1"/>
  <c r="J17" i="90" s="1"/>
  <c r="L17" i="90" s="1"/>
  <c r="M17" i="90" s="1"/>
  <c r="N124" i="98"/>
  <c r="H135" i="98"/>
  <c r="J134" i="93"/>
  <c r="G135" i="86"/>
  <c r="H135" i="86" s="1"/>
  <c r="J135" i="86" s="1"/>
  <c r="G135" i="93"/>
  <c r="T134" i="89"/>
  <c r="J134" i="86"/>
  <c r="S135" i="89"/>
  <c r="R135" i="89" s="1"/>
  <c r="R117" i="60"/>
  <c r="Q117" i="60" s="1"/>
  <c r="G118" i="65" s="1"/>
  <c r="H118" i="65" s="1"/>
  <c r="N219" i="60"/>
  <c r="G118" i="58"/>
  <c r="R118" i="53"/>
  <c r="V118" i="53" s="1"/>
  <c r="S119" i="53" s="1"/>
  <c r="O138" i="60"/>
  <c r="J81" i="58"/>
  <c r="J81" i="54"/>
  <c r="P81" i="53"/>
  <c r="H82" i="61" s="1"/>
  <c r="O219" i="53"/>
  <c r="D221" i="54"/>
  <c r="F221" i="54" s="1"/>
  <c r="J225" i="112" l="1"/>
  <c r="T225" i="111"/>
  <c r="N226" i="111" s="1"/>
  <c r="P226" i="111" s="1"/>
  <c r="G227" i="112" s="1"/>
  <c r="H227" i="112" s="1"/>
  <c r="G226" i="110"/>
  <c r="S226" i="111"/>
  <c r="R226" i="111" s="1"/>
  <c r="V226" i="111" s="1"/>
  <c r="H135" i="103"/>
  <c r="J135" i="103" s="1"/>
  <c r="K124" i="103" s="1"/>
  <c r="N124" i="103"/>
  <c r="N124" i="110"/>
  <c r="Y124" i="110"/>
  <c r="H135" i="110"/>
  <c r="J135" i="110" s="1"/>
  <c r="J17" i="104"/>
  <c r="G136" i="98"/>
  <c r="G136" i="105"/>
  <c r="H136" i="105" s="1"/>
  <c r="P14" i="100"/>
  <c r="N124" i="86"/>
  <c r="Y124" i="86"/>
  <c r="N124" i="93"/>
  <c r="Y124" i="93"/>
  <c r="O14" i="101" s="1"/>
  <c r="J135" i="98"/>
  <c r="K124" i="98" s="1"/>
  <c r="H135" i="93"/>
  <c r="J135" i="93" s="1"/>
  <c r="K124" i="86"/>
  <c r="J17" i="87" s="1"/>
  <c r="L17" i="87" s="1"/>
  <c r="M17" i="87" s="1"/>
  <c r="N135" i="89"/>
  <c r="P135" i="89" s="1"/>
  <c r="V135" i="89"/>
  <c r="S136" i="89" s="1"/>
  <c r="R136" i="89" s="1"/>
  <c r="G137" i="105" s="1"/>
  <c r="G136" i="91"/>
  <c r="N220" i="60"/>
  <c r="J118" i="65"/>
  <c r="U117" i="60"/>
  <c r="G119" i="58"/>
  <c r="R119" i="53"/>
  <c r="V119" i="53" s="1"/>
  <c r="S120" i="53" s="1"/>
  <c r="G139" i="61"/>
  <c r="S138" i="60"/>
  <c r="M139" i="60" s="1"/>
  <c r="J82" i="61"/>
  <c r="G82" i="54"/>
  <c r="H82" i="54" s="1"/>
  <c r="J82" i="54" s="1"/>
  <c r="H82" i="58"/>
  <c r="T81" i="53"/>
  <c r="N82" i="53" s="1"/>
  <c r="O220" i="53"/>
  <c r="D222" i="54"/>
  <c r="F222" i="54" s="1"/>
  <c r="J226" i="112" l="1"/>
  <c r="T226" i="111"/>
  <c r="N227" i="111" s="1"/>
  <c r="P227" i="111" s="1"/>
  <c r="G228" i="112" s="1"/>
  <c r="H228" i="112" s="1"/>
  <c r="G227" i="110"/>
  <c r="S227" i="111"/>
  <c r="R227" i="111" s="1"/>
  <c r="V227" i="111" s="1"/>
  <c r="G136" i="103"/>
  <c r="H136" i="103" s="1"/>
  <c r="H136" i="110"/>
  <c r="K124" i="110"/>
  <c r="J17" i="108" s="1"/>
  <c r="L17" i="109"/>
  <c r="M17" i="109" s="1"/>
  <c r="H17" i="109"/>
  <c r="H17" i="104"/>
  <c r="L17" i="104"/>
  <c r="M17" i="104" s="1"/>
  <c r="J17" i="102"/>
  <c r="J17" i="97"/>
  <c r="H136" i="98"/>
  <c r="J136" i="98" s="1"/>
  <c r="H17" i="90"/>
  <c r="O14" i="100"/>
  <c r="G137" i="91"/>
  <c r="G137" i="98"/>
  <c r="G136" i="86"/>
  <c r="G136" i="93"/>
  <c r="K124" i="93"/>
  <c r="H17" i="87"/>
  <c r="T135" i="89"/>
  <c r="H136" i="91"/>
  <c r="V136" i="89"/>
  <c r="N221" i="60"/>
  <c r="R118" i="60"/>
  <c r="Q118" i="60" s="1"/>
  <c r="G119" i="65" s="1"/>
  <c r="H119" i="65" s="1"/>
  <c r="G120" i="58"/>
  <c r="R120" i="53"/>
  <c r="V120" i="53" s="1"/>
  <c r="S121" i="53" s="1"/>
  <c r="O139" i="60"/>
  <c r="J82" i="58"/>
  <c r="P82" i="53"/>
  <c r="H83" i="61" s="1"/>
  <c r="O221" i="53"/>
  <c r="D223" i="54"/>
  <c r="F223" i="54" s="1"/>
  <c r="J227" i="112" l="1"/>
  <c r="T227" i="111"/>
  <c r="N228" i="111" s="1"/>
  <c r="P228" i="111" s="1"/>
  <c r="G229" i="112" s="1"/>
  <c r="H229" i="112" s="1"/>
  <c r="G228" i="110"/>
  <c r="S228" i="111"/>
  <c r="R228" i="111" s="1"/>
  <c r="V228" i="111" s="1"/>
  <c r="J136" i="110"/>
  <c r="L17" i="108"/>
  <c r="M17" i="108" s="1"/>
  <c r="H17" i="108"/>
  <c r="H17" i="102"/>
  <c r="L17" i="102"/>
  <c r="M17" i="102" s="1"/>
  <c r="H17" i="97"/>
  <c r="L17" i="97"/>
  <c r="M17" i="97" s="1"/>
  <c r="J17" i="92"/>
  <c r="J136" i="105"/>
  <c r="H137" i="105"/>
  <c r="J136" i="103"/>
  <c r="H136" i="86"/>
  <c r="J136" i="86" s="1"/>
  <c r="H136" i="93"/>
  <c r="J136" i="93" s="1"/>
  <c r="H137" i="98"/>
  <c r="N136" i="89"/>
  <c r="P136" i="89" s="1"/>
  <c r="J136" i="91"/>
  <c r="H137" i="91"/>
  <c r="S137" i="89"/>
  <c r="R137" i="89" s="1"/>
  <c r="N222" i="60"/>
  <c r="U118" i="60"/>
  <c r="J119" i="65"/>
  <c r="G121" i="58"/>
  <c r="R121" i="53"/>
  <c r="V121" i="53" s="1"/>
  <c r="S122" i="53" s="1"/>
  <c r="G140" i="61"/>
  <c r="S139" i="60"/>
  <c r="M140" i="60" s="1"/>
  <c r="J83" i="61"/>
  <c r="G83" i="54"/>
  <c r="H83" i="54" s="1"/>
  <c r="H83" i="58"/>
  <c r="T82" i="53"/>
  <c r="N83" i="53" s="1"/>
  <c r="O222" i="53"/>
  <c r="D224" i="54"/>
  <c r="F224" i="54" s="1"/>
  <c r="J228" i="112" l="1"/>
  <c r="T228" i="111"/>
  <c r="N229" i="111" s="1"/>
  <c r="P229" i="111" s="1"/>
  <c r="G230" i="112" s="1"/>
  <c r="H230" i="112" s="1"/>
  <c r="G229" i="110"/>
  <c r="S229" i="111"/>
  <c r="R229" i="111" s="1"/>
  <c r="V229" i="111" s="1"/>
  <c r="G137" i="103"/>
  <c r="H137" i="103" s="1"/>
  <c r="H17" i="92"/>
  <c r="L17" i="92"/>
  <c r="M17" i="92" s="1"/>
  <c r="G138" i="98"/>
  <c r="G138" i="105"/>
  <c r="H138" i="105" s="1"/>
  <c r="J137" i="105"/>
  <c r="J137" i="98"/>
  <c r="G137" i="86"/>
  <c r="G137" i="93"/>
  <c r="T136" i="89"/>
  <c r="N137" i="89" s="1"/>
  <c r="P137" i="89" s="1"/>
  <c r="V137" i="89"/>
  <c r="S138" i="89" s="1"/>
  <c r="R138" i="89" s="1"/>
  <c r="G139" i="105" s="1"/>
  <c r="G138" i="91"/>
  <c r="J137" i="91"/>
  <c r="N223" i="60"/>
  <c r="R119" i="60"/>
  <c r="Q119" i="60" s="1"/>
  <c r="G120" i="65" s="1"/>
  <c r="H120" i="65" s="1"/>
  <c r="G122" i="58"/>
  <c r="R122" i="53"/>
  <c r="V122" i="53" s="1"/>
  <c r="S123" i="53" s="1"/>
  <c r="O140" i="60"/>
  <c r="J83" i="58"/>
  <c r="J83" i="54"/>
  <c r="P83" i="53"/>
  <c r="H84" i="61" s="1"/>
  <c r="O223" i="53"/>
  <c r="D225" i="54"/>
  <c r="F225" i="54" s="1"/>
  <c r="J229" i="112" l="1"/>
  <c r="T229" i="111"/>
  <c r="N230" i="111" s="1"/>
  <c r="P230" i="111" s="1"/>
  <c r="G231" i="112" s="1"/>
  <c r="H231" i="112" s="1"/>
  <c r="G230" i="110"/>
  <c r="S230" i="111"/>
  <c r="R230" i="111" s="1"/>
  <c r="V230" i="111" s="1"/>
  <c r="G138" i="103"/>
  <c r="H138" i="103" s="1"/>
  <c r="H137" i="110"/>
  <c r="H138" i="98"/>
  <c r="J138" i="98" s="1"/>
  <c r="J138" i="105"/>
  <c r="H139" i="105"/>
  <c r="J137" i="103"/>
  <c r="H137" i="86"/>
  <c r="J137" i="86" s="1"/>
  <c r="H138" i="91"/>
  <c r="J138" i="91" s="1"/>
  <c r="G139" i="91"/>
  <c r="G139" i="98"/>
  <c r="G138" i="86"/>
  <c r="G138" i="93"/>
  <c r="H137" i="93"/>
  <c r="T137" i="89"/>
  <c r="V138" i="89"/>
  <c r="S139" i="89" s="1"/>
  <c r="R139" i="89" s="1"/>
  <c r="G140" i="105" s="1"/>
  <c r="N224" i="60"/>
  <c r="U119" i="60"/>
  <c r="J120" i="65"/>
  <c r="R123" i="53"/>
  <c r="V123" i="53" s="1"/>
  <c r="S124" i="53" s="1"/>
  <c r="G123" i="58"/>
  <c r="N112" i="58" s="1"/>
  <c r="G141" i="61"/>
  <c r="S140" i="60"/>
  <c r="M141" i="60" s="1"/>
  <c r="J84" i="61"/>
  <c r="G84" i="54"/>
  <c r="H84" i="54" s="1"/>
  <c r="H84" i="58"/>
  <c r="T83" i="53"/>
  <c r="N84" i="53" s="1"/>
  <c r="O224" i="53"/>
  <c r="D226" i="54"/>
  <c r="F226" i="54" s="1"/>
  <c r="Y220" i="112" l="1"/>
  <c r="N220" i="112"/>
  <c r="J231" i="112"/>
  <c r="J230" i="112"/>
  <c r="T230" i="111"/>
  <c r="N231" i="111" s="1"/>
  <c r="P231" i="111" s="1"/>
  <c r="G232" i="112" s="1"/>
  <c r="H232" i="112" s="1"/>
  <c r="G231" i="110"/>
  <c r="S231" i="111"/>
  <c r="R231" i="111" s="1"/>
  <c r="V231" i="111" s="1"/>
  <c r="H138" i="110"/>
  <c r="J137" i="110"/>
  <c r="H139" i="98"/>
  <c r="J139" i="98" s="1"/>
  <c r="H140" i="105"/>
  <c r="J139" i="105"/>
  <c r="J138" i="103"/>
  <c r="H138" i="86"/>
  <c r="J138" i="86" s="1"/>
  <c r="H139" i="91"/>
  <c r="J139" i="91" s="1"/>
  <c r="G140" i="91"/>
  <c r="G140" i="98"/>
  <c r="H138" i="93"/>
  <c r="J137" i="93"/>
  <c r="N138" i="89"/>
  <c r="P138" i="89" s="1"/>
  <c r="V139" i="89"/>
  <c r="S140" i="89" s="1"/>
  <c r="R140" i="89" s="1"/>
  <c r="G141" i="105" s="1"/>
  <c r="P13" i="75"/>
  <c r="R120" i="60"/>
  <c r="Q120" i="60" s="1"/>
  <c r="G121" i="65" s="1"/>
  <c r="H121" i="65" s="1"/>
  <c r="N225" i="60"/>
  <c r="R124" i="53"/>
  <c r="V124" i="53" s="1"/>
  <c r="S125" i="53" s="1"/>
  <c r="G124" i="58"/>
  <c r="O141" i="60"/>
  <c r="J84" i="58"/>
  <c r="J84" i="54"/>
  <c r="P84" i="53"/>
  <c r="H85" i="61" s="1"/>
  <c r="O225" i="53"/>
  <c r="D227" i="54"/>
  <c r="F227" i="54" s="1"/>
  <c r="K220" i="112" l="1"/>
  <c r="J25" i="109" s="1"/>
  <c r="T231" i="111"/>
  <c r="N232" i="111" s="1"/>
  <c r="P232" i="111" s="1"/>
  <c r="G233" i="112" s="1"/>
  <c r="H233" i="112" s="1"/>
  <c r="G232" i="110"/>
  <c r="S232" i="111"/>
  <c r="R232" i="111" s="1"/>
  <c r="V232" i="111" s="1"/>
  <c r="G139" i="103"/>
  <c r="H139" i="103" s="1"/>
  <c r="H139" i="110"/>
  <c r="J138" i="110"/>
  <c r="H140" i="98"/>
  <c r="J140" i="98" s="1"/>
  <c r="J140" i="105"/>
  <c r="H141" i="105"/>
  <c r="H140" i="91"/>
  <c r="J140" i="91" s="1"/>
  <c r="G141" i="91"/>
  <c r="G141" i="98"/>
  <c r="G139" i="86"/>
  <c r="G139" i="93"/>
  <c r="H139" i="93" s="1"/>
  <c r="J138" i="93"/>
  <c r="T138" i="89"/>
  <c r="V140" i="89"/>
  <c r="J121" i="65"/>
  <c r="N226" i="60"/>
  <c r="U120" i="60"/>
  <c r="G125" i="58"/>
  <c r="R125" i="53"/>
  <c r="V125" i="53" s="1"/>
  <c r="S126" i="53" s="1"/>
  <c r="G142" i="61"/>
  <c r="S141" i="60"/>
  <c r="M142" i="60" s="1"/>
  <c r="J85" i="61"/>
  <c r="G85" i="54"/>
  <c r="H85" i="54" s="1"/>
  <c r="H85" i="58"/>
  <c r="T84" i="53"/>
  <c r="N85" i="53" s="1"/>
  <c r="O226" i="53"/>
  <c r="D228" i="54"/>
  <c r="F228" i="54" s="1"/>
  <c r="J232" i="112" l="1"/>
  <c r="T232" i="111"/>
  <c r="N233" i="111" s="1"/>
  <c r="P233" i="111" s="1"/>
  <c r="G234" i="112" s="1"/>
  <c r="H234" i="112" s="1"/>
  <c r="G233" i="110"/>
  <c r="S233" i="111"/>
  <c r="R233" i="111" s="1"/>
  <c r="V233" i="111" s="1"/>
  <c r="J139" i="110"/>
  <c r="H141" i="98"/>
  <c r="J141" i="98" s="1"/>
  <c r="J141" i="105"/>
  <c r="J139" i="103"/>
  <c r="H139" i="86"/>
  <c r="J139" i="86" s="1"/>
  <c r="H141" i="91"/>
  <c r="J141" i="91" s="1"/>
  <c r="J139" i="93"/>
  <c r="N139" i="89"/>
  <c r="P139" i="89" s="1"/>
  <c r="S141" i="89"/>
  <c r="R141" i="89" s="1"/>
  <c r="G142" i="105" s="1"/>
  <c r="R121" i="60"/>
  <c r="Q121" i="60" s="1"/>
  <c r="G122" i="65" s="1"/>
  <c r="H122" i="65" s="1"/>
  <c r="N227" i="60"/>
  <c r="G126" i="58"/>
  <c r="R126" i="53"/>
  <c r="V126" i="53" s="1"/>
  <c r="S127" i="53" s="1"/>
  <c r="O142" i="60"/>
  <c r="J85" i="58"/>
  <c r="J85" i="54"/>
  <c r="P85" i="53"/>
  <c r="H86" i="61" s="1"/>
  <c r="O227" i="53"/>
  <c r="D229" i="54"/>
  <c r="F229" i="54" s="1"/>
  <c r="J233" i="112" l="1"/>
  <c r="T233" i="111"/>
  <c r="N234" i="111" s="1"/>
  <c r="P234" i="111" s="1"/>
  <c r="G235" i="112" s="1"/>
  <c r="H235" i="112" s="1"/>
  <c r="G234" i="110"/>
  <c r="S234" i="111"/>
  <c r="R234" i="111" s="1"/>
  <c r="V234" i="111" s="1"/>
  <c r="G140" i="103"/>
  <c r="H140" i="103" s="1"/>
  <c r="H142" i="105"/>
  <c r="G142" i="91"/>
  <c r="H142" i="91" s="1"/>
  <c r="J142" i="91" s="1"/>
  <c r="G142" i="98"/>
  <c r="H142" i="98" s="1"/>
  <c r="G140" i="86"/>
  <c r="G140" i="93"/>
  <c r="H140" i="93" s="1"/>
  <c r="T139" i="89"/>
  <c r="V141" i="89"/>
  <c r="S142" i="89" s="1"/>
  <c r="R142" i="89" s="1"/>
  <c r="G143" i="105" s="1"/>
  <c r="U121" i="60"/>
  <c r="J122" i="65"/>
  <c r="N228" i="60"/>
  <c r="G127" i="58"/>
  <c r="R127" i="53"/>
  <c r="V127" i="53" s="1"/>
  <c r="S128" i="53" s="1"/>
  <c r="G143" i="61"/>
  <c r="S142" i="60"/>
  <c r="M143" i="60" s="1"/>
  <c r="J86" i="61"/>
  <c r="G86" i="54"/>
  <c r="H86" i="54" s="1"/>
  <c r="H86" i="58"/>
  <c r="T85" i="53"/>
  <c r="N86" i="53" s="1"/>
  <c r="O228" i="53"/>
  <c r="D230" i="54"/>
  <c r="F230" i="54" s="1"/>
  <c r="J234" i="112" l="1"/>
  <c r="T234" i="111"/>
  <c r="N235" i="111" s="1"/>
  <c r="P235" i="111" s="1"/>
  <c r="G236" i="112" s="1"/>
  <c r="H236" i="112" s="1"/>
  <c r="G235" i="110"/>
  <c r="S235" i="111"/>
  <c r="R235" i="111" s="1"/>
  <c r="V235" i="111" s="1"/>
  <c r="H140" i="110"/>
  <c r="J142" i="105"/>
  <c r="H143" i="105"/>
  <c r="J140" i="103"/>
  <c r="H140" i="86"/>
  <c r="J140" i="86" s="1"/>
  <c r="G143" i="91"/>
  <c r="H143" i="91" s="1"/>
  <c r="J143" i="91" s="1"/>
  <c r="G143" i="98"/>
  <c r="H143" i="98" s="1"/>
  <c r="J142" i="98"/>
  <c r="J140" i="93"/>
  <c r="N140" i="89"/>
  <c r="P140" i="89" s="1"/>
  <c r="V142" i="89"/>
  <c r="S143" i="89" s="1"/>
  <c r="R143" i="89" s="1"/>
  <c r="G144" i="105" s="1"/>
  <c r="N229" i="60"/>
  <c r="R122" i="60"/>
  <c r="Q122" i="60" s="1"/>
  <c r="G123" i="65" s="1"/>
  <c r="N112" i="65" s="1"/>
  <c r="P13" i="76" s="1"/>
  <c r="G128" i="58"/>
  <c r="R128" i="53"/>
  <c r="V128" i="53" s="1"/>
  <c r="S129" i="53" s="1"/>
  <c r="O143" i="60"/>
  <c r="J86" i="58"/>
  <c r="J86" i="54"/>
  <c r="P86" i="53"/>
  <c r="H87" i="61" s="1"/>
  <c r="J87" i="61" s="1"/>
  <c r="H88" i="61" s="1"/>
  <c r="O229" i="53"/>
  <c r="D231" i="54"/>
  <c r="F231" i="54" s="1"/>
  <c r="J235" i="112" l="1"/>
  <c r="T235" i="111"/>
  <c r="N236" i="111" s="1"/>
  <c r="P236" i="111" s="1"/>
  <c r="G237" i="112" s="1"/>
  <c r="H237" i="112" s="1"/>
  <c r="G236" i="110"/>
  <c r="S236" i="111"/>
  <c r="R236" i="111" s="1"/>
  <c r="V236" i="111" s="1"/>
  <c r="G141" i="103"/>
  <c r="H141" i="103" s="1"/>
  <c r="J141" i="103" s="1"/>
  <c r="H141" i="110"/>
  <c r="J140" i="110"/>
  <c r="H144" i="105"/>
  <c r="J143" i="105"/>
  <c r="G144" i="91"/>
  <c r="H144" i="91" s="1"/>
  <c r="J144" i="91" s="1"/>
  <c r="G144" i="98"/>
  <c r="H144" i="98" s="1"/>
  <c r="J143" i="98"/>
  <c r="G141" i="86"/>
  <c r="H141" i="86" s="1"/>
  <c r="J141" i="86" s="1"/>
  <c r="G141" i="93"/>
  <c r="H141" i="93" s="1"/>
  <c r="T140" i="89"/>
  <c r="V143" i="89"/>
  <c r="N220" i="54"/>
  <c r="H123" i="65"/>
  <c r="J123" i="65" s="1"/>
  <c r="K112" i="65" s="1"/>
  <c r="N230" i="60"/>
  <c r="U122" i="60"/>
  <c r="G129" i="58"/>
  <c r="R129" i="53"/>
  <c r="V129" i="53" s="1"/>
  <c r="S130" i="53" s="1"/>
  <c r="G144" i="61"/>
  <c r="S143" i="60"/>
  <c r="M144" i="60" s="1"/>
  <c r="K76" i="61"/>
  <c r="J13" i="62" s="1"/>
  <c r="H13" i="62" s="1"/>
  <c r="G87" i="54"/>
  <c r="P76" i="54" s="1"/>
  <c r="H87" i="58"/>
  <c r="J87" i="58" s="1"/>
  <c r="T86" i="53"/>
  <c r="O230" i="53"/>
  <c r="D232" i="54"/>
  <c r="F232" i="54" s="1"/>
  <c r="J236" i="112" l="1"/>
  <c r="T236" i="111"/>
  <c r="N237" i="111" s="1"/>
  <c r="P237" i="111" s="1"/>
  <c r="G238" i="112" s="1"/>
  <c r="H238" i="112" s="1"/>
  <c r="G237" i="110"/>
  <c r="S237" i="111"/>
  <c r="R237" i="111" s="1"/>
  <c r="V237" i="111" s="1"/>
  <c r="J141" i="110"/>
  <c r="L13" i="62"/>
  <c r="M13" i="62" s="1"/>
  <c r="J16" i="66"/>
  <c r="H16" i="66" s="1"/>
  <c r="J144" i="105"/>
  <c r="N22" i="75"/>
  <c r="J144" i="98"/>
  <c r="J141" i="93"/>
  <c r="N141" i="89"/>
  <c r="P141" i="89" s="1"/>
  <c r="S144" i="89"/>
  <c r="R144" i="89" s="1"/>
  <c r="G145" i="105" s="1"/>
  <c r="H145" i="105" s="1"/>
  <c r="O10" i="75"/>
  <c r="H87" i="54"/>
  <c r="J87" i="54" s="1"/>
  <c r="R123" i="60"/>
  <c r="Q123" i="60" s="1"/>
  <c r="G124" i="65" s="1"/>
  <c r="N231" i="60"/>
  <c r="G130" i="58"/>
  <c r="R130" i="53"/>
  <c r="V130" i="53" s="1"/>
  <c r="S131" i="53" s="1"/>
  <c r="O144" i="60"/>
  <c r="K76" i="58"/>
  <c r="J13" i="59" s="1"/>
  <c r="N87" i="53"/>
  <c r="P87" i="53" s="1"/>
  <c r="O231" i="53"/>
  <c r="D233" i="54"/>
  <c r="F233" i="54" s="1"/>
  <c r="J237" i="112" l="1"/>
  <c r="T237" i="111"/>
  <c r="N238" i="111" s="1"/>
  <c r="P238" i="111" s="1"/>
  <c r="G239" i="112" s="1"/>
  <c r="H239" i="112" s="1"/>
  <c r="G238" i="110"/>
  <c r="S238" i="111"/>
  <c r="R238" i="111" s="1"/>
  <c r="V238" i="111" s="1"/>
  <c r="G142" i="103"/>
  <c r="H142" i="103" s="1"/>
  <c r="J142" i="103" s="1"/>
  <c r="H142" i="110"/>
  <c r="L13" i="59"/>
  <c r="M13" i="59" s="1"/>
  <c r="F9" i="114" s="1"/>
  <c r="H13" i="59"/>
  <c r="L16" i="66"/>
  <c r="M16" i="66" s="1"/>
  <c r="J145" i="105"/>
  <c r="G145" i="91"/>
  <c r="H145" i="91" s="1"/>
  <c r="J145" i="91" s="1"/>
  <c r="G145" i="98"/>
  <c r="H145" i="98" s="1"/>
  <c r="G142" i="86"/>
  <c r="H142" i="86" s="1"/>
  <c r="J142" i="86" s="1"/>
  <c r="G142" i="93"/>
  <c r="H142" i="93" s="1"/>
  <c r="T141" i="89"/>
  <c r="V144" i="89"/>
  <c r="H124" i="65"/>
  <c r="J124" i="65" s="1"/>
  <c r="N232" i="60"/>
  <c r="U123" i="60"/>
  <c r="G131" i="58"/>
  <c r="R131" i="53"/>
  <c r="V131" i="53" s="1"/>
  <c r="S132" i="53" s="1"/>
  <c r="G145" i="61"/>
  <c r="S144" i="60"/>
  <c r="M145" i="60" s="1"/>
  <c r="J88" i="61"/>
  <c r="G88" i="54"/>
  <c r="H88" i="58"/>
  <c r="K76" i="54"/>
  <c r="J13" i="55" s="1"/>
  <c r="T87" i="53"/>
  <c r="N88" i="53" s="1"/>
  <c r="O232" i="53"/>
  <c r="D234" i="54"/>
  <c r="F234" i="54" s="1"/>
  <c r="J238" i="112" l="1"/>
  <c r="T238" i="111"/>
  <c r="N239" i="111" s="1"/>
  <c r="P239" i="111" s="1"/>
  <c r="G240" i="112" s="1"/>
  <c r="H240" i="112" s="1"/>
  <c r="G239" i="110"/>
  <c r="S239" i="111"/>
  <c r="R239" i="111" s="1"/>
  <c r="V239" i="111" s="1"/>
  <c r="J142" i="110"/>
  <c r="L13" i="55"/>
  <c r="M13" i="55" s="1"/>
  <c r="E9" i="114" s="1"/>
  <c r="H13" i="55"/>
  <c r="J145" i="98"/>
  <c r="J142" i="93"/>
  <c r="N142" i="89"/>
  <c r="P142" i="89" s="1"/>
  <c r="S145" i="89"/>
  <c r="R145" i="89" s="1"/>
  <c r="G146" i="105" s="1"/>
  <c r="H146" i="105" s="1"/>
  <c r="H88" i="54"/>
  <c r="J88" i="54" s="1"/>
  <c r="N233" i="60"/>
  <c r="R124" i="60"/>
  <c r="Q124" i="60" s="1"/>
  <c r="G125" i="65" s="1"/>
  <c r="G132" i="58"/>
  <c r="R132" i="53"/>
  <c r="V132" i="53" s="1"/>
  <c r="S133" i="53" s="1"/>
  <c r="O145" i="60"/>
  <c r="J88" i="58"/>
  <c r="P88" i="53"/>
  <c r="H89" i="61" s="1"/>
  <c r="O233" i="53"/>
  <c r="D235" i="54"/>
  <c r="F235" i="54" s="1"/>
  <c r="J239" i="112" l="1"/>
  <c r="T239" i="111"/>
  <c r="N240" i="111" s="1"/>
  <c r="P240" i="111" s="1"/>
  <c r="G241" i="112" s="1"/>
  <c r="H241" i="112" s="1"/>
  <c r="G240" i="110"/>
  <c r="S240" i="111"/>
  <c r="R240" i="111" s="1"/>
  <c r="V240" i="111" s="1"/>
  <c r="G143" i="103"/>
  <c r="H143" i="103" s="1"/>
  <c r="J143" i="103" s="1"/>
  <c r="H143" i="110"/>
  <c r="J146" i="105"/>
  <c r="G146" i="91"/>
  <c r="H146" i="91" s="1"/>
  <c r="J146" i="91" s="1"/>
  <c r="G146" i="98"/>
  <c r="H146" i="98" s="1"/>
  <c r="G143" i="86"/>
  <c r="H143" i="86" s="1"/>
  <c r="J143" i="86" s="1"/>
  <c r="G143" i="93"/>
  <c r="H143" i="93" s="1"/>
  <c r="T142" i="89"/>
  <c r="V145" i="89"/>
  <c r="H125" i="65"/>
  <c r="J125" i="65" s="1"/>
  <c r="N234" i="60"/>
  <c r="U124" i="60"/>
  <c r="G133" i="58"/>
  <c r="R133" i="53"/>
  <c r="V133" i="53" s="1"/>
  <c r="S134" i="53" s="1"/>
  <c r="G146" i="61"/>
  <c r="S145" i="60"/>
  <c r="M146" i="60" s="1"/>
  <c r="J89" i="61"/>
  <c r="G89" i="54"/>
  <c r="H89" i="58"/>
  <c r="T88" i="53"/>
  <c r="O234" i="53"/>
  <c r="D236" i="54"/>
  <c r="F236" i="54" s="1"/>
  <c r="J240" i="112" l="1"/>
  <c r="T240" i="111"/>
  <c r="N241" i="111" s="1"/>
  <c r="P241" i="111" s="1"/>
  <c r="G242" i="112" s="1"/>
  <c r="H242" i="112" s="1"/>
  <c r="G241" i="110"/>
  <c r="S241" i="111"/>
  <c r="R241" i="111" s="1"/>
  <c r="V241" i="111" s="1"/>
  <c r="J143" i="110"/>
  <c r="J146" i="98"/>
  <c r="J143" i="93"/>
  <c r="N143" i="89"/>
  <c r="P143" i="89" s="1"/>
  <c r="S146" i="89"/>
  <c r="R146" i="89" s="1"/>
  <c r="G147" i="105" s="1"/>
  <c r="H89" i="54"/>
  <c r="J89" i="54" s="1"/>
  <c r="R125" i="60"/>
  <c r="Q125" i="60" s="1"/>
  <c r="G126" i="65" s="1"/>
  <c r="N235" i="60"/>
  <c r="R134" i="53"/>
  <c r="V134" i="53" s="1"/>
  <c r="S135" i="53" s="1"/>
  <c r="G134" i="58"/>
  <c r="O146" i="60"/>
  <c r="J89" i="58"/>
  <c r="N89" i="53"/>
  <c r="P89" i="53" s="1"/>
  <c r="H90" i="61" s="1"/>
  <c r="O235" i="53"/>
  <c r="D237" i="54"/>
  <c r="F237" i="54" s="1"/>
  <c r="J241" i="112" l="1"/>
  <c r="T241" i="111"/>
  <c r="N242" i="111" s="1"/>
  <c r="P242" i="111" s="1"/>
  <c r="G243" i="112" s="1"/>
  <c r="H243" i="112" s="1"/>
  <c r="G242" i="110"/>
  <c r="S242" i="111"/>
  <c r="R242" i="111" s="1"/>
  <c r="V242" i="111" s="1"/>
  <c r="G144" i="103"/>
  <c r="H144" i="103" s="1"/>
  <c r="J144" i="103" s="1"/>
  <c r="H144" i="110"/>
  <c r="Y136" i="105"/>
  <c r="P15" i="106" s="1"/>
  <c r="N136" i="105"/>
  <c r="H147" i="105"/>
  <c r="G147" i="91"/>
  <c r="G147" i="98"/>
  <c r="Y136" i="98" s="1"/>
  <c r="P15" i="101" s="1"/>
  <c r="G144" i="86"/>
  <c r="H144" i="86" s="1"/>
  <c r="J144" i="86" s="1"/>
  <c r="G144" i="93"/>
  <c r="H144" i="93" s="1"/>
  <c r="T143" i="89"/>
  <c r="V146" i="89"/>
  <c r="H126" i="65"/>
  <c r="J126" i="65" s="1"/>
  <c r="U125" i="60"/>
  <c r="N236" i="60"/>
  <c r="G135" i="58"/>
  <c r="N124" i="58" s="1"/>
  <c r="R135" i="53"/>
  <c r="V135" i="53" s="1"/>
  <c r="S136" i="53" s="1"/>
  <c r="G147" i="61"/>
  <c r="N136" i="61" s="1"/>
  <c r="O15" i="76" s="1"/>
  <c r="S146" i="60"/>
  <c r="M147" i="60" s="1"/>
  <c r="J90" i="61"/>
  <c r="G90" i="54"/>
  <c r="H90" i="58"/>
  <c r="T89" i="53"/>
  <c r="N90" i="53" s="1"/>
  <c r="O236" i="53"/>
  <c r="D238" i="54"/>
  <c r="F238" i="54" s="1"/>
  <c r="N232" i="112" l="1"/>
  <c r="Y232" i="112"/>
  <c r="J243" i="112"/>
  <c r="K232" i="112" s="1"/>
  <c r="J26" i="109" s="1"/>
  <c r="J242" i="112"/>
  <c r="T242" i="111"/>
  <c r="G243" i="110"/>
  <c r="J144" i="110"/>
  <c r="J147" i="105"/>
  <c r="K136" i="105" s="1"/>
  <c r="N136" i="91"/>
  <c r="Y136" i="91"/>
  <c r="H147" i="91"/>
  <c r="J147" i="91" s="1"/>
  <c r="K136" i="91" s="1"/>
  <c r="J18" i="90" s="1"/>
  <c r="L18" i="90" s="1"/>
  <c r="M18" i="90" s="1"/>
  <c r="N136" i="98"/>
  <c r="H147" i="98"/>
  <c r="J144" i="93"/>
  <c r="N144" i="89"/>
  <c r="P144" i="89" s="1"/>
  <c r="S147" i="89"/>
  <c r="R147" i="89" s="1"/>
  <c r="P14" i="75"/>
  <c r="H90" i="54"/>
  <c r="J90" i="54" s="1"/>
  <c r="N237" i="60"/>
  <c r="R126" i="60"/>
  <c r="Q126" i="60" s="1"/>
  <c r="G127" i="65" s="1"/>
  <c r="G136" i="58"/>
  <c r="R136" i="53"/>
  <c r="V136" i="53" s="1"/>
  <c r="S137" i="53" s="1"/>
  <c r="O147" i="60"/>
  <c r="J90" i="58"/>
  <c r="P90" i="53"/>
  <c r="H91" i="61" s="1"/>
  <c r="O237" i="53"/>
  <c r="D239" i="54"/>
  <c r="F239" i="54" s="1"/>
  <c r="G145" i="103" l="1"/>
  <c r="H145" i="103" s="1"/>
  <c r="J145" i="103" s="1"/>
  <c r="H145" i="110"/>
  <c r="J18" i="104"/>
  <c r="G148" i="98"/>
  <c r="G148" i="105"/>
  <c r="H148" i="105" s="1"/>
  <c r="P15" i="100"/>
  <c r="J147" i="98"/>
  <c r="K136" i="98" s="1"/>
  <c r="H18" i="90"/>
  <c r="G145" i="86"/>
  <c r="H145" i="86" s="1"/>
  <c r="G145" i="93"/>
  <c r="H145" i="93" s="1"/>
  <c r="T144" i="89"/>
  <c r="V147" i="89"/>
  <c r="S148" i="89" s="1"/>
  <c r="R148" i="89" s="1"/>
  <c r="G149" i="105" s="1"/>
  <c r="G148" i="91"/>
  <c r="H127" i="65"/>
  <c r="J127" i="65" s="1"/>
  <c r="U126" i="60"/>
  <c r="N238" i="60"/>
  <c r="G137" i="58"/>
  <c r="R137" i="53"/>
  <c r="V137" i="53" s="1"/>
  <c r="S138" i="53" s="1"/>
  <c r="G148" i="61"/>
  <c r="S147" i="60"/>
  <c r="M148" i="60" s="1"/>
  <c r="J91" i="61"/>
  <c r="G91" i="54"/>
  <c r="H91" i="58"/>
  <c r="T90" i="53"/>
  <c r="N91" i="53" s="1"/>
  <c r="O238" i="53"/>
  <c r="D240" i="54"/>
  <c r="F240" i="54" s="1"/>
  <c r="J145" i="110" l="1"/>
  <c r="H18" i="109"/>
  <c r="L18" i="109"/>
  <c r="M18" i="109" s="1"/>
  <c r="H18" i="104"/>
  <c r="L18" i="104"/>
  <c r="M18" i="104" s="1"/>
  <c r="J18" i="97"/>
  <c r="H148" i="98"/>
  <c r="J148" i="98" s="1"/>
  <c r="G149" i="91"/>
  <c r="G149" i="98"/>
  <c r="J145" i="93"/>
  <c r="J145" i="86"/>
  <c r="N145" i="89"/>
  <c r="P145" i="89" s="1"/>
  <c r="H148" i="91"/>
  <c r="V148" i="89"/>
  <c r="H91" i="54"/>
  <c r="J91" i="54" s="1"/>
  <c r="N239" i="60"/>
  <c r="R127" i="60"/>
  <c r="Q127" i="60" s="1"/>
  <c r="G128" i="65" s="1"/>
  <c r="R138" i="53"/>
  <c r="V138" i="53" s="1"/>
  <c r="S139" i="53" s="1"/>
  <c r="G138" i="58"/>
  <c r="O148" i="60"/>
  <c r="J91" i="58"/>
  <c r="P91" i="53"/>
  <c r="H92" i="61" s="1"/>
  <c r="O239" i="53"/>
  <c r="D241" i="54"/>
  <c r="F241" i="54" s="1"/>
  <c r="G146" i="103" l="1"/>
  <c r="H146" i="103" s="1"/>
  <c r="J146" i="103" s="1"/>
  <c r="H146" i="110"/>
  <c r="H18" i="97"/>
  <c r="L18" i="97"/>
  <c r="M18" i="97" s="1"/>
  <c r="H149" i="105"/>
  <c r="J148" i="105"/>
  <c r="H149" i="98"/>
  <c r="G146" i="86"/>
  <c r="H146" i="86" s="1"/>
  <c r="G146" i="93"/>
  <c r="H146" i="93" s="1"/>
  <c r="T145" i="89"/>
  <c r="H149" i="91"/>
  <c r="J148" i="91"/>
  <c r="S149" i="89"/>
  <c r="R149" i="89" s="1"/>
  <c r="H128" i="65"/>
  <c r="J128" i="65" s="1"/>
  <c r="N240" i="60"/>
  <c r="U127" i="60"/>
  <c r="G139" i="58"/>
  <c r="R139" i="53"/>
  <c r="V139" i="53" s="1"/>
  <c r="S140" i="53" s="1"/>
  <c r="G149" i="61"/>
  <c r="S148" i="60"/>
  <c r="M149" i="60" s="1"/>
  <c r="J92" i="61"/>
  <c r="G92" i="54"/>
  <c r="H92" i="58"/>
  <c r="T91" i="53"/>
  <c r="N92" i="53" s="1"/>
  <c r="O240" i="53"/>
  <c r="D242" i="54"/>
  <c r="F242" i="54" s="1"/>
  <c r="J146" i="110" l="1"/>
  <c r="G150" i="98"/>
  <c r="G150" i="105"/>
  <c r="H150" i="105" s="1"/>
  <c r="J149" i="105"/>
  <c r="J149" i="98"/>
  <c r="J146" i="93"/>
  <c r="J146" i="86"/>
  <c r="N146" i="89"/>
  <c r="P146" i="89" s="1"/>
  <c r="V149" i="89"/>
  <c r="S150" i="89" s="1"/>
  <c r="R150" i="89" s="1"/>
  <c r="G151" i="105" s="1"/>
  <c r="G150" i="91"/>
  <c r="J149" i="91"/>
  <c r="H92" i="54"/>
  <c r="J92" i="54" s="1"/>
  <c r="N241" i="60"/>
  <c r="R128" i="60"/>
  <c r="Q128" i="60" s="1"/>
  <c r="G129" i="65" s="1"/>
  <c r="H129" i="65" s="1"/>
  <c r="R140" i="53"/>
  <c r="V140" i="53" s="1"/>
  <c r="S141" i="53" s="1"/>
  <c r="G140" i="58"/>
  <c r="O149" i="60"/>
  <c r="J92" i="58"/>
  <c r="P92" i="53"/>
  <c r="H93" i="61" s="1"/>
  <c r="O241" i="53"/>
  <c r="D243" i="54"/>
  <c r="F243" i="54" s="1"/>
  <c r="G147" i="103" l="1"/>
  <c r="Y136" i="103" s="1"/>
  <c r="O15" i="106" s="1"/>
  <c r="H150" i="98"/>
  <c r="J150" i="98" s="1"/>
  <c r="H151" i="105"/>
  <c r="J150" i="105"/>
  <c r="H150" i="91"/>
  <c r="J150" i="91" s="1"/>
  <c r="G151" i="91"/>
  <c r="G151" i="98"/>
  <c r="G147" i="86"/>
  <c r="G147" i="93"/>
  <c r="Y136" i="93" s="1"/>
  <c r="O15" i="101" s="1"/>
  <c r="T146" i="89"/>
  <c r="V150" i="89"/>
  <c r="S151" i="89" s="1"/>
  <c r="R151" i="89" s="1"/>
  <c r="G152" i="105" s="1"/>
  <c r="N232" i="54"/>
  <c r="N242" i="60"/>
  <c r="U128" i="60"/>
  <c r="J129" i="65"/>
  <c r="G141" i="58"/>
  <c r="R141" i="53"/>
  <c r="V141" i="53" s="1"/>
  <c r="S142" i="53" s="1"/>
  <c r="G150" i="61"/>
  <c r="S149" i="60"/>
  <c r="M150" i="60" s="1"/>
  <c r="J93" i="61"/>
  <c r="G93" i="54"/>
  <c r="H93" i="54" s="1"/>
  <c r="H93" i="58"/>
  <c r="T92" i="53"/>
  <c r="N93" i="53" s="1"/>
  <c r="O242" i="53"/>
  <c r="N136" i="103" l="1"/>
  <c r="H147" i="103"/>
  <c r="J147" i="103" s="1"/>
  <c r="K136" i="103" s="1"/>
  <c r="Y136" i="110"/>
  <c r="N136" i="110"/>
  <c r="H147" i="110"/>
  <c r="J147" i="110" s="1"/>
  <c r="H151" i="98"/>
  <c r="J151" i="98" s="1"/>
  <c r="H152" i="105"/>
  <c r="J151" i="105"/>
  <c r="N136" i="86"/>
  <c r="Y136" i="86"/>
  <c r="H151" i="91"/>
  <c r="J151" i="91" s="1"/>
  <c r="N23" i="75"/>
  <c r="G152" i="91"/>
  <c r="G152" i="98"/>
  <c r="H147" i="86"/>
  <c r="J147" i="86" s="1"/>
  <c r="K136" i="86" s="1"/>
  <c r="J18" i="87" s="1"/>
  <c r="L18" i="87" s="1"/>
  <c r="M18" i="87" s="1"/>
  <c r="N136" i="93"/>
  <c r="H147" i="93"/>
  <c r="J147" i="93" s="1"/>
  <c r="N147" i="89"/>
  <c r="P147" i="89" s="1"/>
  <c r="V151" i="89"/>
  <c r="S152" i="89" s="1"/>
  <c r="R152" i="89" s="1"/>
  <c r="G153" i="105" s="1"/>
  <c r="R129" i="60"/>
  <c r="Q129" i="60" s="1"/>
  <c r="G130" i="65" s="1"/>
  <c r="H130" i="65" s="1"/>
  <c r="R142" i="53"/>
  <c r="V142" i="53" s="1"/>
  <c r="S143" i="53" s="1"/>
  <c r="G142" i="58"/>
  <c r="O150" i="60"/>
  <c r="J93" i="58"/>
  <c r="J93" i="54"/>
  <c r="P93" i="53"/>
  <c r="H94" i="61" s="1"/>
  <c r="K136" i="110" l="1"/>
  <c r="J18" i="108" s="1"/>
  <c r="G148" i="103"/>
  <c r="H148" i="103" s="1"/>
  <c r="J18" i="102"/>
  <c r="H152" i="98"/>
  <c r="J152" i="98" s="1"/>
  <c r="H153" i="105"/>
  <c r="J152" i="105"/>
  <c r="O15" i="100"/>
  <c r="H152" i="91"/>
  <c r="J152" i="91" s="1"/>
  <c r="G153" i="91"/>
  <c r="G153" i="98"/>
  <c r="G148" i="86"/>
  <c r="G148" i="93"/>
  <c r="K136" i="93"/>
  <c r="H18" i="87"/>
  <c r="T147" i="89"/>
  <c r="V152" i="89"/>
  <c r="S153" i="89" s="1"/>
  <c r="R153" i="89" s="1"/>
  <c r="G154" i="105" s="1"/>
  <c r="U129" i="60"/>
  <c r="J130" i="65"/>
  <c r="G143" i="58"/>
  <c r="R143" i="53"/>
  <c r="V143" i="53" s="1"/>
  <c r="S144" i="53" s="1"/>
  <c r="G151" i="61"/>
  <c r="S150" i="60"/>
  <c r="M151" i="60" s="1"/>
  <c r="J94" i="61"/>
  <c r="G94" i="54"/>
  <c r="H94" i="54" s="1"/>
  <c r="H94" i="58"/>
  <c r="T93" i="53"/>
  <c r="N94" i="53" s="1"/>
  <c r="H148" i="110" l="1"/>
  <c r="H18" i="108"/>
  <c r="L18" i="108"/>
  <c r="M18" i="108" s="1"/>
  <c r="H18" i="102"/>
  <c r="L18" i="102"/>
  <c r="M18" i="102" s="1"/>
  <c r="J18" i="92"/>
  <c r="H153" i="98"/>
  <c r="J153" i="98" s="1"/>
  <c r="H154" i="105"/>
  <c r="J153" i="105"/>
  <c r="J148" i="103"/>
  <c r="H148" i="86"/>
  <c r="J148" i="86" s="1"/>
  <c r="H153" i="91"/>
  <c r="J153" i="91" s="1"/>
  <c r="H148" i="93"/>
  <c r="J148" i="93" s="1"/>
  <c r="G154" i="91"/>
  <c r="G154" i="98"/>
  <c r="N148" i="89"/>
  <c r="P148" i="89" s="1"/>
  <c r="V153" i="89"/>
  <c r="S154" i="89" s="1"/>
  <c r="R154" i="89" s="1"/>
  <c r="G155" i="105" s="1"/>
  <c r="R130" i="60"/>
  <c r="Q130" i="60" s="1"/>
  <c r="G131" i="65" s="1"/>
  <c r="H131" i="65" s="1"/>
  <c r="R144" i="53"/>
  <c r="V144" i="53" s="1"/>
  <c r="S145" i="53" s="1"/>
  <c r="G144" i="58"/>
  <c r="O151" i="60"/>
  <c r="J94" i="58"/>
  <c r="J94" i="54"/>
  <c r="P94" i="53"/>
  <c r="H95" i="61" s="1"/>
  <c r="J148" i="110" l="1"/>
  <c r="G149" i="103"/>
  <c r="H149" i="103" s="1"/>
  <c r="H18" i="92"/>
  <c r="L18" i="92"/>
  <c r="M18" i="92" s="1"/>
  <c r="H154" i="98"/>
  <c r="J154" i="98" s="1"/>
  <c r="H155" i="105"/>
  <c r="J154" i="105"/>
  <c r="H154" i="91"/>
  <c r="J154" i="91" s="1"/>
  <c r="G155" i="91"/>
  <c r="G155" i="98"/>
  <c r="G149" i="86"/>
  <c r="G149" i="93"/>
  <c r="T148" i="89"/>
  <c r="V154" i="89"/>
  <c r="S155" i="89" s="1"/>
  <c r="R155" i="89" s="1"/>
  <c r="G156" i="105" s="1"/>
  <c r="U130" i="60"/>
  <c r="J131" i="65"/>
  <c r="G145" i="58"/>
  <c r="R145" i="53"/>
  <c r="V145" i="53" s="1"/>
  <c r="S146" i="53" s="1"/>
  <c r="G152" i="61"/>
  <c r="S151" i="60"/>
  <c r="M152" i="60" s="1"/>
  <c r="J95" i="61"/>
  <c r="G95" i="54"/>
  <c r="H95" i="54" s="1"/>
  <c r="J95" i="54" s="1"/>
  <c r="H95" i="58"/>
  <c r="T94" i="53"/>
  <c r="N95" i="53" s="1"/>
  <c r="H149" i="110" l="1"/>
  <c r="H155" i="98"/>
  <c r="J155" i="98" s="1"/>
  <c r="H156" i="105"/>
  <c r="J155" i="105"/>
  <c r="J149" i="103"/>
  <c r="H149" i="86"/>
  <c r="J149" i="86" s="1"/>
  <c r="H155" i="91"/>
  <c r="J155" i="91" s="1"/>
  <c r="G156" i="91"/>
  <c r="G156" i="98"/>
  <c r="H149" i="93"/>
  <c r="N149" i="89"/>
  <c r="P149" i="89" s="1"/>
  <c r="V155" i="89"/>
  <c r="S156" i="89" s="1"/>
  <c r="R156" i="89" s="1"/>
  <c r="G157" i="105" s="1"/>
  <c r="R131" i="60"/>
  <c r="Q131" i="60" s="1"/>
  <c r="G132" i="65" s="1"/>
  <c r="H132" i="65" s="1"/>
  <c r="G146" i="58"/>
  <c r="R146" i="53"/>
  <c r="V146" i="53" s="1"/>
  <c r="S147" i="53" s="1"/>
  <c r="O152" i="60"/>
  <c r="J95" i="58"/>
  <c r="P95" i="53"/>
  <c r="H96" i="61" s="1"/>
  <c r="J149" i="110" l="1"/>
  <c r="G150" i="103"/>
  <c r="H150" i="103" s="1"/>
  <c r="H156" i="98"/>
  <c r="J156" i="98" s="1"/>
  <c r="H157" i="105"/>
  <c r="J156" i="105"/>
  <c r="H156" i="91"/>
  <c r="J156" i="91" s="1"/>
  <c r="G157" i="91"/>
  <c r="G157" i="98"/>
  <c r="G150" i="86"/>
  <c r="G150" i="93"/>
  <c r="J149" i="93"/>
  <c r="T149" i="89"/>
  <c r="V156" i="89"/>
  <c r="S157" i="89" s="1"/>
  <c r="R157" i="89" s="1"/>
  <c r="G158" i="105" s="1"/>
  <c r="U131" i="60"/>
  <c r="J132" i="65"/>
  <c r="R147" i="53"/>
  <c r="V147" i="53" s="1"/>
  <c r="S148" i="53" s="1"/>
  <c r="G147" i="58"/>
  <c r="N136" i="58" s="1"/>
  <c r="G153" i="61"/>
  <c r="S152" i="60"/>
  <c r="M153" i="60" s="1"/>
  <c r="J96" i="61"/>
  <c r="G96" i="54"/>
  <c r="H96" i="54" s="1"/>
  <c r="J96" i="54" s="1"/>
  <c r="H96" i="58"/>
  <c r="T95" i="53"/>
  <c r="N96" i="53" s="1"/>
  <c r="H150" i="110" l="1"/>
  <c r="H157" i="98"/>
  <c r="J157" i="98" s="1"/>
  <c r="H158" i="105"/>
  <c r="J157" i="105"/>
  <c r="J150" i="103"/>
  <c r="H157" i="91"/>
  <c r="J157" i="91" s="1"/>
  <c r="H150" i="86"/>
  <c r="J150" i="86" s="1"/>
  <c r="H150" i="93"/>
  <c r="J150" i="93" s="1"/>
  <c r="G158" i="91"/>
  <c r="G158" i="98"/>
  <c r="N150" i="89"/>
  <c r="P150" i="89" s="1"/>
  <c r="V157" i="89"/>
  <c r="S158" i="89" s="1"/>
  <c r="R158" i="89" s="1"/>
  <c r="G159" i="105" s="1"/>
  <c r="P15" i="75"/>
  <c r="R132" i="60"/>
  <c r="Q132" i="60" s="1"/>
  <c r="G133" i="65" s="1"/>
  <c r="H133" i="65" s="1"/>
  <c r="R148" i="53"/>
  <c r="V148" i="53" s="1"/>
  <c r="S149" i="53" s="1"/>
  <c r="G148" i="58"/>
  <c r="O153" i="60"/>
  <c r="J96" i="58"/>
  <c r="P96" i="53"/>
  <c r="J150" i="110" l="1"/>
  <c r="G151" i="103"/>
  <c r="H151" i="103" s="1"/>
  <c r="H158" i="98"/>
  <c r="J158" i="98" s="1"/>
  <c r="H158" i="91"/>
  <c r="J158" i="91" s="1"/>
  <c r="N148" i="105"/>
  <c r="Y148" i="105"/>
  <c r="P16" i="106" s="1"/>
  <c r="H159" i="105"/>
  <c r="J158" i="105"/>
  <c r="G159" i="91"/>
  <c r="G159" i="98"/>
  <c r="G151" i="86"/>
  <c r="G151" i="93"/>
  <c r="T150" i="89"/>
  <c r="V158" i="89"/>
  <c r="U132" i="60"/>
  <c r="J133" i="65"/>
  <c r="G149" i="58"/>
  <c r="R149" i="53"/>
  <c r="V149" i="53" s="1"/>
  <c r="S150" i="53" s="1"/>
  <c r="G154" i="61"/>
  <c r="S153" i="60"/>
  <c r="M154" i="60" s="1"/>
  <c r="H97" i="58"/>
  <c r="J97" i="58" s="1"/>
  <c r="H97" i="61"/>
  <c r="T96" i="53"/>
  <c r="G97" i="54"/>
  <c r="H151" i="110" l="1"/>
  <c r="N148" i="98"/>
  <c r="Y148" i="98"/>
  <c r="P16" i="101" s="1"/>
  <c r="J159" i="105"/>
  <c r="K148" i="105" s="1"/>
  <c r="J151" i="103"/>
  <c r="H151" i="86"/>
  <c r="J151" i="86" s="1"/>
  <c r="N148" i="91"/>
  <c r="Y148" i="91"/>
  <c r="H151" i="93"/>
  <c r="J151" i="93" s="1"/>
  <c r="H159" i="91"/>
  <c r="J159" i="91" s="1"/>
  <c r="K148" i="91" s="1"/>
  <c r="J19" i="90" s="1"/>
  <c r="L19" i="90" s="1"/>
  <c r="M19" i="90" s="1"/>
  <c r="H159" i="98"/>
  <c r="N151" i="89"/>
  <c r="P151" i="89" s="1"/>
  <c r="S159" i="89"/>
  <c r="R159" i="89" s="1"/>
  <c r="G160" i="105" s="1"/>
  <c r="H160" i="105" s="1"/>
  <c r="R133" i="60"/>
  <c r="Q133" i="60" s="1"/>
  <c r="G134" i="65" s="1"/>
  <c r="H134" i="65" s="1"/>
  <c r="G150" i="58"/>
  <c r="R150" i="53"/>
  <c r="V150" i="53" s="1"/>
  <c r="S151" i="53" s="1"/>
  <c r="O154" i="60"/>
  <c r="J97" i="61"/>
  <c r="H97" i="54"/>
  <c r="N97" i="53"/>
  <c r="P97" i="53" s="1"/>
  <c r="H98" i="61" s="1"/>
  <c r="J151" i="110" l="1"/>
  <c r="G152" i="103"/>
  <c r="H152" i="103" s="1"/>
  <c r="J19" i="104"/>
  <c r="P16" i="100"/>
  <c r="G160" i="91"/>
  <c r="G160" i="98"/>
  <c r="J159" i="98"/>
  <c r="K148" i="98" s="1"/>
  <c r="H19" i="90"/>
  <c r="G152" i="86"/>
  <c r="G152" i="93"/>
  <c r="H152" i="93" s="1"/>
  <c r="T151" i="89"/>
  <c r="V159" i="89"/>
  <c r="U133" i="60"/>
  <c r="J134" i="65"/>
  <c r="G151" i="58"/>
  <c r="R151" i="53"/>
  <c r="V151" i="53" s="1"/>
  <c r="S152" i="53" s="1"/>
  <c r="G155" i="61"/>
  <c r="S154" i="60"/>
  <c r="M155" i="60" s="1"/>
  <c r="J98" i="61"/>
  <c r="G98" i="54"/>
  <c r="H98" i="54" s="1"/>
  <c r="H98" i="58"/>
  <c r="J97" i="54"/>
  <c r="T97" i="53"/>
  <c r="H152" i="110" l="1"/>
  <c r="L19" i="109"/>
  <c r="M19" i="109" s="1"/>
  <c r="H19" i="109"/>
  <c r="H19" i="104"/>
  <c r="L19" i="104"/>
  <c r="M19" i="104" s="1"/>
  <c r="J19" i="97"/>
  <c r="H160" i="98"/>
  <c r="J160" i="98" s="1"/>
  <c r="J160" i="105"/>
  <c r="J152" i="103"/>
  <c r="H152" i="86"/>
  <c r="J152" i="86" s="1"/>
  <c r="H160" i="91"/>
  <c r="J160" i="91" s="1"/>
  <c r="J152" i="93"/>
  <c r="N152" i="89"/>
  <c r="P152" i="89" s="1"/>
  <c r="S160" i="89"/>
  <c r="R160" i="89" s="1"/>
  <c r="G161" i="105" s="1"/>
  <c r="R134" i="60"/>
  <c r="Q134" i="60" s="1"/>
  <c r="G135" i="65" s="1"/>
  <c r="N124" i="65" s="1"/>
  <c r="P14" i="76" s="1"/>
  <c r="R152" i="53"/>
  <c r="V152" i="53" s="1"/>
  <c r="S153" i="53" s="1"/>
  <c r="G152" i="58"/>
  <c r="O155" i="60"/>
  <c r="J98" i="58"/>
  <c r="J98" i="54"/>
  <c r="N98" i="53"/>
  <c r="P98" i="53" s="1"/>
  <c r="H99" i="61" s="1"/>
  <c r="J99" i="61" s="1"/>
  <c r="H100" i="61" s="1"/>
  <c r="G153" i="103" l="1"/>
  <c r="H153" i="103" s="1"/>
  <c r="J153" i="103" s="1"/>
  <c r="H153" i="110"/>
  <c r="J152" i="110"/>
  <c r="H19" i="97"/>
  <c r="L19" i="97"/>
  <c r="M19" i="97" s="1"/>
  <c r="H161" i="105"/>
  <c r="G161" i="91"/>
  <c r="G161" i="98"/>
  <c r="G153" i="86"/>
  <c r="H153" i="86" s="1"/>
  <c r="J153" i="86" s="1"/>
  <c r="G153" i="93"/>
  <c r="H153" i="93" s="1"/>
  <c r="T152" i="89"/>
  <c r="V160" i="89"/>
  <c r="H135" i="65"/>
  <c r="J135" i="65" s="1"/>
  <c r="K124" i="65" s="1"/>
  <c r="U134" i="60"/>
  <c r="G153" i="58"/>
  <c r="R153" i="53"/>
  <c r="V153" i="53" s="1"/>
  <c r="S154" i="53" s="1"/>
  <c r="G156" i="61"/>
  <c r="S155" i="60"/>
  <c r="M156" i="60" s="1"/>
  <c r="K88" i="61"/>
  <c r="J14" i="62" s="1"/>
  <c r="H14" i="62" s="1"/>
  <c r="G99" i="54"/>
  <c r="P88" i="54" s="1"/>
  <c r="H99" i="58"/>
  <c r="J99" i="58" s="1"/>
  <c r="T98" i="53"/>
  <c r="J153" i="110" l="1"/>
  <c r="L14" i="62"/>
  <c r="M14" i="62" s="1"/>
  <c r="J17" i="66"/>
  <c r="H17" i="66" s="1"/>
  <c r="J161" i="105"/>
  <c r="H161" i="91"/>
  <c r="J161" i="91" s="1"/>
  <c r="H161" i="98"/>
  <c r="J153" i="93"/>
  <c r="N153" i="89"/>
  <c r="P153" i="89" s="1"/>
  <c r="S161" i="89"/>
  <c r="R161" i="89" s="1"/>
  <c r="O11" i="75"/>
  <c r="H99" i="54"/>
  <c r="J99" i="54" s="1"/>
  <c r="K88" i="54" s="1"/>
  <c r="J14" i="55" s="1"/>
  <c r="R135" i="60"/>
  <c r="Q135" i="60" s="1"/>
  <c r="G136" i="65" s="1"/>
  <c r="R154" i="53"/>
  <c r="V154" i="53" s="1"/>
  <c r="S155" i="53" s="1"/>
  <c r="G154" i="58"/>
  <c r="O156" i="60"/>
  <c r="K88" i="58"/>
  <c r="J14" i="59" s="1"/>
  <c r="N99" i="53"/>
  <c r="P99" i="53" s="1"/>
  <c r="G154" i="103" l="1"/>
  <c r="H154" i="103" s="1"/>
  <c r="J154" i="103" s="1"/>
  <c r="H154" i="110"/>
  <c r="L14" i="59"/>
  <c r="M14" i="59" s="1"/>
  <c r="F10" i="114" s="1"/>
  <c r="H14" i="59"/>
  <c r="L14" i="55"/>
  <c r="M14" i="55" s="1"/>
  <c r="E10" i="114" s="1"/>
  <c r="H14" i="55"/>
  <c r="L17" i="66"/>
  <c r="M17" i="66" s="1"/>
  <c r="G162" i="98"/>
  <c r="G162" i="105"/>
  <c r="J161" i="98"/>
  <c r="G154" i="86"/>
  <c r="H154" i="86" s="1"/>
  <c r="J154" i="86" s="1"/>
  <c r="G154" i="93"/>
  <c r="H154" i="93" s="1"/>
  <c r="T153" i="89"/>
  <c r="V161" i="89"/>
  <c r="S162" i="89" s="1"/>
  <c r="R162" i="89" s="1"/>
  <c r="G163" i="105" s="1"/>
  <c r="G162" i="91"/>
  <c r="H136" i="65"/>
  <c r="J136" i="65" s="1"/>
  <c r="U135" i="60"/>
  <c r="G155" i="58"/>
  <c r="R155" i="53"/>
  <c r="V155" i="53" s="1"/>
  <c r="S156" i="53" s="1"/>
  <c r="G157" i="61"/>
  <c r="S156" i="60"/>
  <c r="M157" i="60" s="1"/>
  <c r="J100" i="61"/>
  <c r="G100" i="54"/>
  <c r="H100" i="58"/>
  <c r="T99" i="53"/>
  <c r="J154" i="110" l="1"/>
  <c r="H162" i="98"/>
  <c r="J162" i="98" s="1"/>
  <c r="H162" i="105"/>
  <c r="H162" i="91"/>
  <c r="J162" i="91" s="1"/>
  <c r="G163" i="91"/>
  <c r="G163" i="98"/>
  <c r="J154" i="93"/>
  <c r="N154" i="89"/>
  <c r="P154" i="89" s="1"/>
  <c r="V162" i="89"/>
  <c r="S163" i="89" s="1"/>
  <c r="R163" i="89" s="1"/>
  <c r="G164" i="105" s="1"/>
  <c r="H100" i="54"/>
  <c r="J100" i="54" s="1"/>
  <c r="R136" i="60"/>
  <c r="Q136" i="60" s="1"/>
  <c r="G137" i="65" s="1"/>
  <c r="G156" i="58"/>
  <c r="R156" i="53"/>
  <c r="V156" i="53" s="1"/>
  <c r="S157" i="53" s="1"/>
  <c r="O157" i="60"/>
  <c r="J100" i="58"/>
  <c r="N100" i="53"/>
  <c r="P100" i="53" s="1"/>
  <c r="H101" i="61" s="1"/>
  <c r="G155" i="103" l="1"/>
  <c r="H155" i="103" s="1"/>
  <c r="J155" i="103" s="1"/>
  <c r="H155" i="110"/>
  <c r="H163" i="98"/>
  <c r="J163" i="98" s="1"/>
  <c r="H163" i="105"/>
  <c r="J162" i="105"/>
  <c r="H163" i="91"/>
  <c r="J163" i="91" s="1"/>
  <c r="G164" i="91"/>
  <c r="G164" i="98"/>
  <c r="G155" i="86"/>
  <c r="H155" i="86" s="1"/>
  <c r="J155" i="86" s="1"/>
  <c r="G155" i="93"/>
  <c r="H155" i="93" s="1"/>
  <c r="T154" i="89"/>
  <c r="V163" i="89"/>
  <c r="S164" i="89" s="1"/>
  <c r="R164" i="89" s="1"/>
  <c r="G165" i="105" s="1"/>
  <c r="H137" i="65"/>
  <c r="J137" i="65" s="1"/>
  <c r="U136" i="60"/>
  <c r="G157" i="58"/>
  <c r="R157" i="53"/>
  <c r="V157" i="53" s="1"/>
  <c r="S158" i="53" s="1"/>
  <c r="G158" i="61"/>
  <c r="S157" i="60"/>
  <c r="M158" i="60" s="1"/>
  <c r="J101" i="61"/>
  <c r="G101" i="54"/>
  <c r="H101" i="58"/>
  <c r="T100" i="53"/>
  <c r="J155" i="110" l="1"/>
  <c r="H164" i="98"/>
  <c r="J164" i="98" s="1"/>
  <c r="H164" i="105"/>
  <c r="J163" i="105"/>
  <c r="H164" i="91"/>
  <c r="J164" i="91" s="1"/>
  <c r="G165" i="91"/>
  <c r="G165" i="98"/>
  <c r="J155" i="93"/>
  <c r="N155" i="89"/>
  <c r="P155" i="89" s="1"/>
  <c r="V164" i="89"/>
  <c r="S165" i="89" s="1"/>
  <c r="R165" i="89" s="1"/>
  <c r="G166" i="105" s="1"/>
  <c r="H101" i="54"/>
  <c r="J101" i="54" s="1"/>
  <c r="R137" i="60"/>
  <c r="Q137" i="60" s="1"/>
  <c r="G138" i="65" s="1"/>
  <c r="R158" i="53"/>
  <c r="V158" i="53" s="1"/>
  <c r="S159" i="53" s="1"/>
  <c r="G158" i="58"/>
  <c r="O158" i="60"/>
  <c r="J101" i="58"/>
  <c r="N101" i="53"/>
  <c r="P101" i="53" s="1"/>
  <c r="H102" i="61" s="1"/>
  <c r="G156" i="103" l="1"/>
  <c r="H156" i="103" s="1"/>
  <c r="J156" i="103" s="1"/>
  <c r="H156" i="110"/>
  <c r="H165" i="98"/>
  <c r="J165" i="98" s="1"/>
  <c r="H165" i="105"/>
  <c r="J164" i="105"/>
  <c r="H165" i="91"/>
  <c r="J165" i="91" s="1"/>
  <c r="G166" i="91"/>
  <c r="G166" i="98"/>
  <c r="G156" i="86"/>
  <c r="H156" i="86" s="1"/>
  <c r="J156" i="86" s="1"/>
  <c r="G156" i="93"/>
  <c r="H156" i="93" s="1"/>
  <c r="T155" i="89"/>
  <c r="V165" i="89"/>
  <c r="S166" i="89" s="1"/>
  <c r="R166" i="89" s="1"/>
  <c r="G167" i="105" s="1"/>
  <c r="H138" i="65"/>
  <c r="J138" i="65" s="1"/>
  <c r="U137" i="60"/>
  <c r="G159" i="58"/>
  <c r="N148" i="58" s="1"/>
  <c r="R159" i="53"/>
  <c r="V159" i="53" s="1"/>
  <c r="S160" i="53" s="1"/>
  <c r="G159" i="61"/>
  <c r="N148" i="61" s="1"/>
  <c r="O16" i="76" s="1"/>
  <c r="S158" i="60"/>
  <c r="M159" i="60" s="1"/>
  <c r="J102" i="61"/>
  <c r="G102" i="54"/>
  <c r="H102" i="58"/>
  <c r="T101" i="53"/>
  <c r="J156" i="110" l="1"/>
  <c r="H166" i="98"/>
  <c r="J166" i="98" s="1"/>
  <c r="H166" i="105"/>
  <c r="J165" i="105"/>
  <c r="H166" i="91"/>
  <c r="J166" i="91" s="1"/>
  <c r="G167" i="91"/>
  <c r="G167" i="98"/>
  <c r="J156" i="93"/>
  <c r="N156" i="89"/>
  <c r="P156" i="89" s="1"/>
  <c r="V166" i="89"/>
  <c r="P16" i="75"/>
  <c r="H102" i="54"/>
  <c r="J102" i="54" s="1"/>
  <c r="R138" i="60"/>
  <c r="Q138" i="60" s="1"/>
  <c r="G139" i="65" s="1"/>
  <c r="G160" i="58"/>
  <c r="R160" i="53"/>
  <c r="V160" i="53" s="1"/>
  <c r="S161" i="53" s="1"/>
  <c r="O159" i="60"/>
  <c r="J102" i="58"/>
  <c r="N102" i="53"/>
  <c r="P102" i="53" s="1"/>
  <c r="H103" i="61" s="1"/>
  <c r="G157" i="103" l="1"/>
  <c r="H157" i="103" s="1"/>
  <c r="J157" i="103" s="1"/>
  <c r="H157" i="110"/>
  <c r="H167" i="98"/>
  <c r="J167" i="98" s="1"/>
  <c r="H167" i="105"/>
  <c r="J166" i="105"/>
  <c r="H167" i="91"/>
  <c r="J167" i="91" s="1"/>
  <c r="G157" i="86"/>
  <c r="H157" i="86" s="1"/>
  <c r="G157" i="93"/>
  <c r="H157" i="93" s="1"/>
  <c r="T156" i="89"/>
  <c r="S167" i="89"/>
  <c r="R167" i="89" s="1"/>
  <c r="G168" i="105" s="1"/>
  <c r="H139" i="65"/>
  <c r="J139" i="65" s="1"/>
  <c r="U138" i="60"/>
  <c r="G161" i="58"/>
  <c r="R161" i="53"/>
  <c r="V161" i="53" s="1"/>
  <c r="S162" i="53" s="1"/>
  <c r="G160" i="61"/>
  <c r="S159" i="60"/>
  <c r="M160" i="60" s="1"/>
  <c r="J103" i="61"/>
  <c r="G103" i="54"/>
  <c r="H103" i="58"/>
  <c r="T102" i="53"/>
  <c r="J157" i="110" l="1"/>
  <c r="H168" i="105"/>
  <c r="J167" i="105"/>
  <c r="G168" i="91"/>
  <c r="H168" i="91" s="1"/>
  <c r="J168" i="91" s="1"/>
  <c r="G168" i="98"/>
  <c r="H168" i="98" s="1"/>
  <c r="J157" i="93"/>
  <c r="J157" i="86"/>
  <c r="N157" i="89"/>
  <c r="P157" i="89" s="1"/>
  <c r="V167" i="89"/>
  <c r="S168" i="89" s="1"/>
  <c r="R168" i="89" s="1"/>
  <c r="G169" i="105" s="1"/>
  <c r="H103" i="54"/>
  <c r="J103" i="54" s="1"/>
  <c r="R139" i="60"/>
  <c r="Q139" i="60" s="1"/>
  <c r="G140" i="65" s="1"/>
  <c r="R162" i="53"/>
  <c r="V162" i="53" s="1"/>
  <c r="S163" i="53" s="1"/>
  <c r="G162" i="58"/>
  <c r="O160" i="60"/>
  <c r="J103" i="58"/>
  <c r="N103" i="53"/>
  <c r="P103" i="53" s="1"/>
  <c r="H104" i="61" s="1"/>
  <c r="G158" i="103" l="1"/>
  <c r="H158" i="103" s="1"/>
  <c r="J158" i="103" s="1"/>
  <c r="H158" i="110"/>
  <c r="H169" i="105"/>
  <c r="J168" i="105"/>
  <c r="G169" i="91"/>
  <c r="H169" i="91" s="1"/>
  <c r="J169" i="91" s="1"/>
  <c r="G169" i="98"/>
  <c r="H169" i="98" s="1"/>
  <c r="J168" i="98"/>
  <c r="G158" i="86"/>
  <c r="H158" i="86" s="1"/>
  <c r="G158" i="93"/>
  <c r="H158" i="93" s="1"/>
  <c r="T157" i="89"/>
  <c r="N158" i="89" s="1"/>
  <c r="P158" i="89" s="1"/>
  <c r="V168" i="89"/>
  <c r="S169" i="89" s="1"/>
  <c r="R169" i="89" s="1"/>
  <c r="G170" i="105" s="1"/>
  <c r="H140" i="65"/>
  <c r="J140" i="65" s="1"/>
  <c r="U139" i="60"/>
  <c r="G163" i="58"/>
  <c r="R163" i="53"/>
  <c r="V163" i="53" s="1"/>
  <c r="S164" i="53" s="1"/>
  <c r="G161" i="61"/>
  <c r="S160" i="60"/>
  <c r="M161" i="60" s="1"/>
  <c r="J104" i="61"/>
  <c r="G104" i="54"/>
  <c r="H104" i="58"/>
  <c r="T103" i="53"/>
  <c r="G159" i="103" l="1"/>
  <c r="N148" i="103" s="1"/>
  <c r="H159" i="110"/>
  <c r="J159" i="110" s="1"/>
  <c r="J158" i="110"/>
  <c r="H170" i="105"/>
  <c r="J169" i="105"/>
  <c r="J169" i="98"/>
  <c r="G170" i="91"/>
  <c r="H170" i="91" s="1"/>
  <c r="J170" i="91" s="1"/>
  <c r="G170" i="98"/>
  <c r="H170" i="98" s="1"/>
  <c r="G159" i="86"/>
  <c r="G159" i="93"/>
  <c r="J158" i="93"/>
  <c r="J158" i="86"/>
  <c r="T158" i="89"/>
  <c r="V169" i="89"/>
  <c r="S170" i="89" s="1"/>
  <c r="R170" i="89" s="1"/>
  <c r="G171" i="105" s="1"/>
  <c r="H104" i="54"/>
  <c r="J104" i="54" s="1"/>
  <c r="R140" i="60"/>
  <c r="Q140" i="60" s="1"/>
  <c r="G141" i="65" s="1"/>
  <c r="H141" i="65" s="1"/>
  <c r="R164" i="53"/>
  <c r="V164" i="53" s="1"/>
  <c r="S165" i="53" s="1"/>
  <c r="G164" i="58"/>
  <c r="O161" i="60"/>
  <c r="J104" i="58"/>
  <c r="N104" i="53"/>
  <c r="P104" i="53" s="1"/>
  <c r="H105" i="61" s="1"/>
  <c r="Y148" i="103" l="1"/>
  <c r="O16" i="106" s="1"/>
  <c r="H159" i="103"/>
  <c r="J159" i="103" s="1"/>
  <c r="K148" i="110"/>
  <c r="J19" i="108" s="1"/>
  <c r="Y148" i="110"/>
  <c r="N148" i="110"/>
  <c r="Y160" i="105"/>
  <c r="P17" i="106" s="1"/>
  <c r="N160" i="105"/>
  <c r="H171" i="105"/>
  <c r="J170" i="105"/>
  <c r="K148" i="103"/>
  <c r="N148" i="86"/>
  <c r="Y148" i="86"/>
  <c r="N148" i="93"/>
  <c r="Y148" i="93"/>
  <c r="O16" i="101" s="1"/>
  <c r="J170" i="98"/>
  <c r="G171" i="91"/>
  <c r="G171" i="98"/>
  <c r="H159" i="86"/>
  <c r="J159" i="86" s="1"/>
  <c r="K148" i="86" s="1"/>
  <c r="J19" i="87" s="1"/>
  <c r="L19" i="87" s="1"/>
  <c r="M19" i="87" s="1"/>
  <c r="H159" i="93"/>
  <c r="J159" i="93" s="1"/>
  <c r="K148" i="93" s="1"/>
  <c r="N159" i="89"/>
  <c r="P159" i="89" s="1"/>
  <c r="V170" i="89"/>
  <c r="U140" i="60"/>
  <c r="J141" i="65"/>
  <c r="G165" i="58"/>
  <c r="R165" i="53"/>
  <c r="V165" i="53" s="1"/>
  <c r="S166" i="53" s="1"/>
  <c r="G162" i="61"/>
  <c r="S161" i="60"/>
  <c r="M162" i="60" s="1"/>
  <c r="J105" i="61"/>
  <c r="G105" i="54"/>
  <c r="H105" i="54" s="1"/>
  <c r="H105" i="58"/>
  <c r="T104" i="53"/>
  <c r="G160" i="103" l="1"/>
  <c r="H160" i="103" s="1"/>
  <c r="L19" i="108"/>
  <c r="M19" i="108" s="1"/>
  <c r="H19" i="108"/>
  <c r="J19" i="102"/>
  <c r="J19" i="92"/>
  <c r="N160" i="98"/>
  <c r="Y160" i="98"/>
  <c r="P17" i="101" s="1"/>
  <c r="J171" i="105"/>
  <c r="K160" i="105" s="1"/>
  <c r="O16" i="100"/>
  <c r="N160" i="91"/>
  <c r="Y160" i="91"/>
  <c r="H171" i="91"/>
  <c r="J171" i="91" s="1"/>
  <c r="K160" i="91" s="1"/>
  <c r="J20" i="90" s="1"/>
  <c r="L20" i="90" s="1"/>
  <c r="M20" i="90" s="1"/>
  <c r="H171" i="98"/>
  <c r="G160" i="86"/>
  <c r="G160" i="93"/>
  <c r="H19" i="87"/>
  <c r="T159" i="89"/>
  <c r="S171" i="89"/>
  <c r="R171" i="89" s="1"/>
  <c r="R141" i="60"/>
  <c r="Q141" i="60" s="1"/>
  <c r="G142" i="65" s="1"/>
  <c r="H142" i="65" s="1"/>
  <c r="R166" i="53"/>
  <c r="V166" i="53" s="1"/>
  <c r="S167" i="53" s="1"/>
  <c r="G166" i="58"/>
  <c r="O162" i="60"/>
  <c r="J105" i="58"/>
  <c r="J105" i="54"/>
  <c r="N105" i="53"/>
  <c r="P105" i="53" s="1"/>
  <c r="H106" i="61" s="1"/>
  <c r="H160" i="110" l="1"/>
  <c r="J20" i="104"/>
  <c r="H19" i="102"/>
  <c r="L19" i="102"/>
  <c r="M19" i="102" s="1"/>
  <c r="H19" i="92"/>
  <c r="L19" i="92"/>
  <c r="M19" i="92" s="1"/>
  <c r="G172" i="98"/>
  <c r="G172" i="105"/>
  <c r="H172" i="105" s="1"/>
  <c r="J160" i="103"/>
  <c r="P17" i="100"/>
  <c r="H160" i="86"/>
  <c r="J160" i="86" s="1"/>
  <c r="H160" i="93"/>
  <c r="J171" i="98"/>
  <c r="K160" i="98" s="1"/>
  <c r="H20" i="90"/>
  <c r="N160" i="89"/>
  <c r="P160" i="89" s="1"/>
  <c r="V171" i="89"/>
  <c r="S172" i="89" s="1"/>
  <c r="R172" i="89" s="1"/>
  <c r="G173" i="105" s="1"/>
  <c r="G172" i="91"/>
  <c r="U141" i="60"/>
  <c r="J142" i="65"/>
  <c r="G167" i="58"/>
  <c r="R167" i="53"/>
  <c r="V167" i="53" s="1"/>
  <c r="S168" i="53" s="1"/>
  <c r="G163" i="61"/>
  <c r="S162" i="60"/>
  <c r="M163" i="60" s="1"/>
  <c r="J106" i="61"/>
  <c r="G106" i="54"/>
  <c r="H106" i="54" s="1"/>
  <c r="H106" i="58"/>
  <c r="T105" i="53"/>
  <c r="J160" i="110" l="1"/>
  <c r="G161" i="103"/>
  <c r="H161" i="103" s="1"/>
  <c r="L20" i="109"/>
  <c r="M20" i="109" s="1"/>
  <c r="H20" i="109"/>
  <c r="H20" i="104"/>
  <c r="L20" i="104"/>
  <c r="M20" i="104" s="1"/>
  <c r="J20" i="97"/>
  <c r="H172" i="98"/>
  <c r="J172" i="98" s="1"/>
  <c r="H172" i="91"/>
  <c r="J172" i="91" s="1"/>
  <c r="G173" i="91"/>
  <c r="G173" i="98"/>
  <c r="J160" i="93"/>
  <c r="G161" i="86"/>
  <c r="G161" i="93"/>
  <c r="T160" i="89"/>
  <c r="V172" i="89"/>
  <c r="R142" i="60"/>
  <c r="Q142" i="60" s="1"/>
  <c r="G143" i="65" s="1"/>
  <c r="H143" i="65" s="1"/>
  <c r="R168" i="53"/>
  <c r="V168" i="53" s="1"/>
  <c r="S169" i="53" s="1"/>
  <c r="G168" i="58"/>
  <c r="O163" i="60"/>
  <c r="J106" i="58"/>
  <c r="J106" i="54"/>
  <c r="N106" i="53"/>
  <c r="P106" i="53" s="1"/>
  <c r="H107" i="61" s="1"/>
  <c r="H161" i="110" l="1"/>
  <c r="H20" i="97"/>
  <c r="L20" i="97"/>
  <c r="M20" i="97" s="1"/>
  <c r="H173" i="98"/>
  <c r="J173" i="98" s="1"/>
  <c r="H173" i="105"/>
  <c r="J172" i="105"/>
  <c r="J161" i="103"/>
  <c r="H161" i="86"/>
  <c r="J161" i="86" s="1"/>
  <c r="H173" i="91"/>
  <c r="J173" i="91" s="1"/>
  <c r="H161" i="93"/>
  <c r="J161" i="93" s="1"/>
  <c r="N161" i="89"/>
  <c r="P161" i="89" s="1"/>
  <c r="S173" i="89"/>
  <c r="R173" i="89" s="1"/>
  <c r="G174" i="105" s="1"/>
  <c r="U142" i="60"/>
  <c r="J143" i="65"/>
  <c r="G169" i="58"/>
  <c r="R169" i="53"/>
  <c r="V169" i="53" s="1"/>
  <c r="S170" i="53" s="1"/>
  <c r="G164" i="61"/>
  <c r="S163" i="60"/>
  <c r="M164" i="60" s="1"/>
  <c r="J107" i="61"/>
  <c r="G107" i="54"/>
  <c r="H107" i="54" s="1"/>
  <c r="H107" i="58"/>
  <c r="T106" i="53"/>
  <c r="J161" i="110" l="1"/>
  <c r="G162" i="103"/>
  <c r="H162" i="103" s="1"/>
  <c r="H174" i="105"/>
  <c r="J173" i="105"/>
  <c r="G174" i="91"/>
  <c r="G174" i="98"/>
  <c r="G162" i="86"/>
  <c r="G162" i="93"/>
  <c r="T161" i="89"/>
  <c r="V173" i="89"/>
  <c r="R143" i="60"/>
  <c r="Q143" i="60" s="1"/>
  <c r="G144" i="65" s="1"/>
  <c r="H144" i="65" s="1"/>
  <c r="R170" i="53"/>
  <c r="V170" i="53" s="1"/>
  <c r="S171" i="53" s="1"/>
  <c r="G170" i="58"/>
  <c r="O164" i="60"/>
  <c r="J107" i="58"/>
  <c r="J107" i="54"/>
  <c r="N107" i="53"/>
  <c r="P107" i="53" s="1"/>
  <c r="H108" i="61" s="1"/>
  <c r="H162" i="110" l="1"/>
  <c r="J174" i="105"/>
  <c r="J162" i="103"/>
  <c r="H162" i="86"/>
  <c r="J162" i="86" s="1"/>
  <c r="H174" i="91"/>
  <c r="J174" i="91" s="1"/>
  <c r="H174" i="98"/>
  <c r="H162" i="93"/>
  <c r="N162" i="89"/>
  <c r="P162" i="89" s="1"/>
  <c r="S174" i="89"/>
  <c r="R174" i="89" s="1"/>
  <c r="G175" i="105" s="1"/>
  <c r="U143" i="60"/>
  <c r="J144" i="65"/>
  <c r="G171" i="58"/>
  <c r="N160" i="58" s="1"/>
  <c r="R171" i="53"/>
  <c r="V171" i="53" s="1"/>
  <c r="S172" i="53" s="1"/>
  <c r="G165" i="61"/>
  <c r="S164" i="60"/>
  <c r="M165" i="60" s="1"/>
  <c r="J108" i="61"/>
  <c r="G108" i="54"/>
  <c r="H108" i="54" s="1"/>
  <c r="H108" i="58"/>
  <c r="T107" i="53"/>
  <c r="J162" i="110" l="1"/>
  <c r="G163" i="103"/>
  <c r="H163" i="103" s="1"/>
  <c r="H175" i="105"/>
  <c r="J174" i="98"/>
  <c r="G175" i="91"/>
  <c r="G175" i="98"/>
  <c r="G163" i="86"/>
  <c r="G163" i="93"/>
  <c r="J162" i="93"/>
  <c r="T162" i="89"/>
  <c r="V174" i="89"/>
  <c r="P17" i="75"/>
  <c r="R144" i="60"/>
  <c r="Q144" i="60" s="1"/>
  <c r="G145" i="65" s="1"/>
  <c r="H145" i="65" s="1"/>
  <c r="G172" i="58"/>
  <c r="R172" i="53"/>
  <c r="V172" i="53" s="1"/>
  <c r="S173" i="53" s="1"/>
  <c r="O165" i="60"/>
  <c r="J108" i="58"/>
  <c r="J108" i="54"/>
  <c r="N108" i="53"/>
  <c r="P108" i="53" s="1"/>
  <c r="H109" i="61" s="1"/>
  <c r="H163" i="110" l="1"/>
  <c r="H175" i="98"/>
  <c r="J175" i="98" s="1"/>
  <c r="J175" i="105"/>
  <c r="J163" i="103"/>
  <c r="H163" i="86"/>
  <c r="J163" i="86" s="1"/>
  <c r="H175" i="91"/>
  <c r="J175" i="91" s="1"/>
  <c r="H163" i="93"/>
  <c r="J163" i="93" s="1"/>
  <c r="N163" i="89"/>
  <c r="P163" i="89" s="1"/>
  <c r="S175" i="89"/>
  <c r="R175" i="89" s="1"/>
  <c r="G176" i="105" s="1"/>
  <c r="U144" i="60"/>
  <c r="J145" i="65"/>
  <c r="G173" i="58"/>
  <c r="R173" i="53"/>
  <c r="V173" i="53" s="1"/>
  <c r="S174" i="53" s="1"/>
  <c r="G166" i="61"/>
  <c r="S165" i="60"/>
  <c r="M166" i="60" s="1"/>
  <c r="J109" i="61"/>
  <c r="G109" i="54"/>
  <c r="H109" i="54" s="1"/>
  <c r="H109" i="58"/>
  <c r="T108" i="53"/>
  <c r="J163" i="110" l="1"/>
  <c r="G164" i="103"/>
  <c r="H164" i="103" s="1"/>
  <c r="H176" i="105"/>
  <c r="G176" i="91"/>
  <c r="G176" i="98"/>
  <c r="H176" i="98" s="1"/>
  <c r="G164" i="86"/>
  <c r="G164" i="93"/>
  <c r="H164" i="93" s="1"/>
  <c r="T163" i="89"/>
  <c r="V175" i="89"/>
  <c r="R145" i="60"/>
  <c r="Q145" i="60" s="1"/>
  <c r="G146" i="65" s="1"/>
  <c r="H146" i="65" s="1"/>
  <c r="G174" i="58"/>
  <c r="R174" i="53"/>
  <c r="V174" i="53" s="1"/>
  <c r="S175" i="53" s="1"/>
  <c r="O166" i="60"/>
  <c r="J109" i="58"/>
  <c r="J109" i="54"/>
  <c r="N109" i="53"/>
  <c r="P109" i="53" s="1"/>
  <c r="H110" i="61" s="1"/>
  <c r="H164" i="110" l="1"/>
  <c r="J176" i="105"/>
  <c r="J164" i="103"/>
  <c r="H164" i="86"/>
  <c r="J164" i="86" s="1"/>
  <c r="H176" i="91"/>
  <c r="J176" i="91" s="1"/>
  <c r="J176" i="98"/>
  <c r="J164" i="93"/>
  <c r="N164" i="89"/>
  <c r="P164" i="89" s="1"/>
  <c r="S176" i="89"/>
  <c r="R176" i="89" s="1"/>
  <c r="G177" i="105" s="1"/>
  <c r="U145" i="60"/>
  <c r="J146" i="65"/>
  <c r="G175" i="58"/>
  <c r="R175" i="53"/>
  <c r="V175" i="53" s="1"/>
  <c r="S176" i="53" s="1"/>
  <c r="G167" i="61"/>
  <c r="S166" i="60"/>
  <c r="M167" i="60" s="1"/>
  <c r="J110" i="61"/>
  <c r="G110" i="54"/>
  <c r="H110" i="54" s="1"/>
  <c r="H110" i="58"/>
  <c r="T109" i="53"/>
  <c r="J164" i="110" l="1"/>
  <c r="G165" i="103"/>
  <c r="H165" i="103" s="1"/>
  <c r="J165" i="103" s="1"/>
  <c r="H165" i="110"/>
  <c r="H177" i="105"/>
  <c r="G177" i="91"/>
  <c r="H177" i="91" s="1"/>
  <c r="J177" i="91" s="1"/>
  <c r="G177" i="98"/>
  <c r="H177" i="98" s="1"/>
  <c r="G165" i="86"/>
  <c r="H165" i="86" s="1"/>
  <c r="J165" i="86" s="1"/>
  <c r="G165" i="93"/>
  <c r="H165" i="93" s="1"/>
  <c r="T164" i="89"/>
  <c r="V176" i="89"/>
  <c r="R146" i="60"/>
  <c r="Q146" i="60" s="1"/>
  <c r="G147" i="65" s="1"/>
  <c r="N136" i="65" s="1"/>
  <c r="P15" i="76" s="1"/>
  <c r="R176" i="53"/>
  <c r="V176" i="53" s="1"/>
  <c r="S177" i="53" s="1"/>
  <c r="G176" i="58"/>
  <c r="O167" i="60"/>
  <c r="J110" i="58"/>
  <c r="J110" i="54"/>
  <c r="N110" i="53"/>
  <c r="P110" i="53" s="1"/>
  <c r="H111" i="61" s="1"/>
  <c r="J111" i="61" s="1"/>
  <c r="H112" i="61" s="1"/>
  <c r="J165" i="110" l="1"/>
  <c r="J177" i="105"/>
  <c r="J177" i="98"/>
  <c r="J165" i="93"/>
  <c r="N165" i="89"/>
  <c r="P165" i="89" s="1"/>
  <c r="S177" i="89"/>
  <c r="R177" i="89" s="1"/>
  <c r="G178" i="105" s="1"/>
  <c r="H178" i="105" s="1"/>
  <c r="H147" i="65"/>
  <c r="J147" i="65" s="1"/>
  <c r="K136" i="65" s="1"/>
  <c r="U146" i="60"/>
  <c r="G177" i="58"/>
  <c r="R177" i="53"/>
  <c r="V177" i="53" s="1"/>
  <c r="S178" i="53" s="1"/>
  <c r="G168" i="61"/>
  <c r="S167" i="60"/>
  <c r="M168" i="60" s="1"/>
  <c r="K100" i="61"/>
  <c r="J15" i="62" s="1"/>
  <c r="H15" i="62" s="1"/>
  <c r="G111" i="54"/>
  <c r="P100" i="54" s="1"/>
  <c r="H111" i="58"/>
  <c r="J111" i="58" s="1"/>
  <c r="T110" i="53"/>
  <c r="G166" i="103" l="1"/>
  <c r="H166" i="103" s="1"/>
  <c r="J166" i="103" s="1"/>
  <c r="H166" i="110"/>
  <c r="L15" i="62"/>
  <c r="M15" i="62" s="1"/>
  <c r="J18" i="66"/>
  <c r="H18" i="66" s="1"/>
  <c r="J178" i="105"/>
  <c r="G178" i="91"/>
  <c r="H178" i="91" s="1"/>
  <c r="J178" i="91" s="1"/>
  <c r="G178" i="98"/>
  <c r="H178" i="98" s="1"/>
  <c r="G166" i="86"/>
  <c r="H166" i="86" s="1"/>
  <c r="J166" i="86" s="1"/>
  <c r="G166" i="93"/>
  <c r="H166" i="93" s="1"/>
  <c r="T165" i="89"/>
  <c r="V177" i="89"/>
  <c r="O12" i="75"/>
  <c r="H111" i="54"/>
  <c r="J111" i="54" s="1"/>
  <c r="K100" i="54" s="1"/>
  <c r="J15" i="55" s="1"/>
  <c r="R147" i="60"/>
  <c r="Q147" i="60" s="1"/>
  <c r="G148" i="65" s="1"/>
  <c r="R178" i="53"/>
  <c r="V178" i="53" s="1"/>
  <c r="S179" i="53" s="1"/>
  <c r="G178" i="58"/>
  <c r="O168" i="60"/>
  <c r="K100" i="58"/>
  <c r="J15" i="59" s="1"/>
  <c r="N111" i="53"/>
  <c r="P111" i="53" s="1"/>
  <c r="J166" i="110" l="1"/>
  <c r="L15" i="59"/>
  <c r="M15" i="59" s="1"/>
  <c r="F11" i="114" s="1"/>
  <c r="H15" i="59"/>
  <c r="L15" i="55"/>
  <c r="M15" i="55" s="1"/>
  <c r="E11" i="114" s="1"/>
  <c r="H15" i="55"/>
  <c r="L18" i="66"/>
  <c r="M18" i="66" s="1"/>
  <c r="J178" i="98"/>
  <c r="J166" i="93"/>
  <c r="N166" i="89"/>
  <c r="P166" i="89" s="1"/>
  <c r="S178" i="89"/>
  <c r="R178" i="89" s="1"/>
  <c r="G179" i="105" s="1"/>
  <c r="H179" i="105" s="1"/>
  <c r="H148" i="65"/>
  <c r="J148" i="65" s="1"/>
  <c r="U147" i="60"/>
  <c r="G179" i="58"/>
  <c r="R179" i="53"/>
  <c r="V179" i="53" s="1"/>
  <c r="S180" i="53" s="1"/>
  <c r="G169" i="61"/>
  <c r="S168" i="60"/>
  <c r="M169" i="60" s="1"/>
  <c r="J112" i="61"/>
  <c r="G112" i="54"/>
  <c r="H112" i="58"/>
  <c r="T111" i="53"/>
  <c r="G167" i="103" l="1"/>
  <c r="H167" i="103" s="1"/>
  <c r="J167" i="103" s="1"/>
  <c r="H167" i="110"/>
  <c r="J179" i="105"/>
  <c r="G179" i="91"/>
  <c r="H179" i="91" s="1"/>
  <c r="G179" i="98"/>
  <c r="H179" i="98" s="1"/>
  <c r="G167" i="86"/>
  <c r="H167" i="86" s="1"/>
  <c r="J167" i="86" s="1"/>
  <c r="G167" i="93"/>
  <c r="H167" i="93" s="1"/>
  <c r="T166" i="89"/>
  <c r="V178" i="89"/>
  <c r="H112" i="54"/>
  <c r="J112" i="54" s="1"/>
  <c r="R148" i="60"/>
  <c r="Q148" i="60" s="1"/>
  <c r="G149" i="65" s="1"/>
  <c r="R180" i="53"/>
  <c r="V180" i="53" s="1"/>
  <c r="S181" i="53" s="1"/>
  <c r="G180" i="58"/>
  <c r="O169" i="60"/>
  <c r="J112" i="58"/>
  <c r="N112" i="53"/>
  <c r="P112" i="53" s="1"/>
  <c r="H113" i="61" s="1"/>
  <c r="J167" i="110" l="1"/>
  <c r="J179" i="98"/>
  <c r="J167" i="93"/>
  <c r="N167" i="89"/>
  <c r="P167" i="89" s="1"/>
  <c r="J179" i="91"/>
  <c r="S179" i="89"/>
  <c r="R179" i="89" s="1"/>
  <c r="G180" i="105" s="1"/>
  <c r="H180" i="105" s="1"/>
  <c r="H149" i="65"/>
  <c r="J149" i="65" s="1"/>
  <c r="U148" i="60"/>
  <c r="G181" i="58"/>
  <c r="R181" i="53"/>
  <c r="V181" i="53" s="1"/>
  <c r="S182" i="53" s="1"/>
  <c r="G170" i="61"/>
  <c r="S169" i="60"/>
  <c r="M170" i="60" s="1"/>
  <c r="J113" i="61"/>
  <c r="G113" i="54"/>
  <c r="H113" i="58"/>
  <c r="T112" i="53"/>
  <c r="G168" i="103" l="1"/>
  <c r="H168" i="103" s="1"/>
  <c r="J168" i="103" s="1"/>
  <c r="H168" i="110"/>
  <c r="J180" i="105"/>
  <c r="G180" i="91"/>
  <c r="H180" i="91" s="1"/>
  <c r="G180" i="98"/>
  <c r="H180" i="98" s="1"/>
  <c r="G168" i="86"/>
  <c r="H168" i="86" s="1"/>
  <c r="J168" i="86" s="1"/>
  <c r="G168" i="93"/>
  <c r="H168" i="93" s="1"/>
  <c r="T167" i="89"/>
  <c r="V179" i="89"/>
  <c r="H113" i="54"/>
  <c r="J113" i="54" s="1"/>
  <c r="R149" i="60"/>
  <c r="Q149" i="60" s="1"/>
  <c r="G150" i="65" s="1"/>
  <c r="R182" i="53"/>
  <c r="V182" i="53" s="1"/>
  <c r="S183" i="53" s="1"/>
  <c r="G182" i="58"/>
  <c r="O170" i="60"/>
  <c r="J113" i="58"/>
  <c r="N113" i="53"/>
  <c r="P113" i="53" s="1"/>
  <c r="H114" i="61" s="1"/>
  <c r="J168" i="110" l="1"/>
  <c r="J180" i="98"/>
  <c r="J168" i="93"/>
  <c r="N168" i="89"/>
  <c r="P168" i="89" s="1"/>
  <c r="J180" i="91"/>
  <c r="S180" i="89"/>
  <c r="R180" i="89" s="1"/>
  <c r="G181" i="105" s="1"/>
  <c r="H181" i="105" s="1"/>
  <c r="H150" i="65"/>
  <c r="J150" i="65" s="1"/>
  <c r="U149" i="60"/>
  <c r="G183" i="58"/>
  <c r="N172" i="58" s="1"/>
  <c r="R183" i="53"/>
  <c r="V183" i="53" s="1"/>
  <c r="S184" i="53" s="1"/>
  <c r="G171" i="61"/>
  <c r="N160" i="61" s="1"/>
  <c r="O17" i="76" s="1"/>
  <c r="S170" i="60"/>
  <c r="M171" i="60" s="1"/>
  <c r="J114" i="61"/>
  <c r="G114" i="54"/>
  <c r="H114" i="58"/>
  <c r="T113" i="53"/>
  <c r="G169" i="103" l="1"/>
  <c r="H169" i="103" s="1"/>
  <c r="J169" i="103" s="1"/>
  <c r="H169" i="110"/>
  <c r="J181" i="105"/>
  <c r="G181" i="91"/>
  <c r="H181" i="91" s="1"/>
  <c r="G181" i="98"/>
  <c r="H181" i="98" s="1"/>
  <c r="G169" i="86"/>
  <c r="H169" i="86" s="1"/>
  <c r="J169" i="86" s="1"/>
  <c r="G169" i="93"/>
  <c r="H169" i="93" s="1"/>
  <c r="T168" i="89"/>
  <c r="V180" i="89"/>
  <c r="P18" i="75"/>
  <c r="H114" i="54"/>
  <c r="J114" i="54" s="1"/>
  <c r="R150" i="60"/>
  <c r="Q150" i="60" s="1"/>
  <c r="G151" i="65" s="1"/>
  <c r="G184" i="58"/>
  <c r="R184" i="53"/>
  <c r="V184" i="53" s="1"/>
  <c r="S185" i="53" s="1"/>
  <c r="O171" i="60"/>
  <c r="J114" i="58"/>
  <c r="N114" i="53"/>
  <c r="P114" i="53" s="1"/>
  <c r="H115" i="61" s="1"/>
  <c r="J169" i="110" l="1"/>
  <c r="J181" i="98"/>
  <c r="J169" i="93"/>
  <c r="N169" i="89"/>
  <c r="P169" i="89" s="1"/>
  <c r="J181" i="91"/>
  <c r="S181" i="89"/>
  <c r="R181" i="89" s="1"/>
  <c r="G182" i="105" s="1"/>
  <c r="H182" i="105" s="1"/>
  <c r="H151" i="65"/>
  <c r="J151" i="65" s="1"/>
  <c r="U150" i="60"/>
  <c r="R185" i="53"/>
  <c r="V185" i="53" s="1"/>
  <c r="S186" i="53" s="1"/>
  <c r="G185" i="58"/>
  <c r="G172" i="61"/>
  <c r="S171" i="60"/>
  <c r="M172" i="60" s="1"/>
  <c r="J115" i="61"/>
  <c r="G115" i="54"/>
  <c r="H115" i="58"/>
  <c r="T114" i="53"/>
  <c r="G170" i="103" l="1"/>
  <c r="H170" i="103" s="1"/>
  <c r="J170" i="103" s="1"/>
  <c r="H170" i="110"/>
  <c r="J182" i="105"/>
  <c r="G182" i="91"/>
  <c r="H182" i="91" s="1"/>
  <c r="J182" i="91" s="1"/>
  <c r="G182" i="98"/>
  <c r="H182" i="98" s="1"/>
  <c r="G170" i="86"/>
  <c r="H170" i="86" s="1"/>
  <c r="G170" i="93"/>
  <c r="H170" i="93" s="1"/>
  <c r="T169" i="89"/>
  <c r="V181" i="89"/>
  <c r="H115" i="54"/>
  <c r="J115" i="54" s="1"/>
  <c r="R151" i="60"/>
  <c r="Q151" i="60" s="1"/>
  <c r="G152" i="65" s="1"/>
  <c r="R186" i="53"/>
  <c r="V186" i="53" s="1"/>
  <c r="S187" i="53" s="1"/>
  <c r="G186" i="58"/>
  <c r="O172" i="60"/>
  <c r="J115" i="58"/>
  <c r="N115" i="53"/>
  <c r="P115" i="53" s="1"/>
  <c r="H116" i="61" s="1"/>
  <c r="J170" i="110" l="1"/>
  <c r="J182" i="98"/>
  <c r="J170" i="93"/>
  <c r="J170" i="86"/>
  <c r="N170" i="89"/>
  <c r="P170" i="89" s="1"/>
  <c r="S182" i="89"/>
  <c r="R182" i="89" s="1"/>
  <c r="G183" i="105" s="1"/>
  <c r="H152" i="65"/>
  <c r="J152" i="65" s="1"/>
  <c r="U151" i="60"/>
  <c r="R187" i="53"/>
  <c r="V187" i="53" s="1"/>
  <c r="S188" i="53" s="1"/>
  <c r="G187" i="58"/>
  <c r="G173" i="61"/>
  <c r="S172" i="60"/>
  <c r="M173" i="60" s="1"/>
  <c r="J116" i="61"/>
  <c r="G116" i="54"/>
  <c r="H116" i="58"/>
  <c r="T115" i="53"/>
  <c r="G171" i="103" l="1"/>
  <c r="Y160" i="103" s="1"/>
  <c r="O17" i="106" s="1"/>
  <c r="N172" i="105"/>
  <c r="Y172" i="105"/>
  <c r="P18" i="106" s="1"/>
  <c r="H183" i="105"/>
  <c r="G183" i="91"/>
  <c r="G183" i="98"/>
  <c r="Y172" i="98" s="1"/>
  <c r="P18" i="101" s="1"/>
  <c r="G171" i="86"/>
  <c r="G171" i="93"/>
  <c r="Y160" i="93" s="1"/>
  <c r="O17" i="101" s="1"/>
  <c r="T170" i="89"/>
  <c r="V182" i="89"/>
  <c r="H116" i="54"/>
  <c r="J116" i="54" s="1"/>
  <c r="R152" i="60"/>
  <c r="Q152" i="60" s="1"/>
  <c r="G153" i="65" s="1"/>
  <c r="H153" i="65" s="1"/>
  <c r="G188" i="58"/>
  <c r="R188" i="53"/>
  <c r="V188" i="53" s="1"/>
  <c r="S189" i="53" s="1"/>
  <c r="O173" i="60"/>
  <c r="J116" i="58"/>
  <c r="N116" i="53"/>
  <c r="P116" i="53" s="1"/>
  <c r="H117" i="61" s="1"/>
  <c r="H171" i="103" l="1"/>
  <c r="J171" i="103" s="1"/>
  <c r="K160" i="103" s="1"/>
  <c r="N160" i="103"/>
  <c r="N160" i="110"/>
  <c r="Y160" i="110"/>
  <c r="H171" i="110"/>
  <c r="J171" i="110" s="1"/>
  <c r="J183" i="105"/>
  <c r="K172" i="105" s="1"/>
  <c r="N160" i="86"/>
  <c r="Y160" i="86"/>
  <c r="H183" i="91"/>
  <c r="J183" i="91" s="1"/>
  <c r="K172" i="91" s="1"/>
  <c r="J21" i="90" s="1"/>
  <c r="L21" i="90" s="1"/>
  <c r="M21" i="90" s="1"/>
  <c r="Y172" i="91"/>
  <c r="N172" i="91"/>
  <c r="N172" i="98"/>
  <c r="H183" i="98"/>
  <c r="H171" i="86"/>
  <c r="J171" i="86" s="1"/>
  <c r="K160" i="86" s="1"/>
  <c r="J20" i="87" s="1"/>
  <c r="L20" i="87" s="1"/>
  <c r="M20" i="87" s="1"/>
  <c r="N160" i="93"/>
  <c r="H171" i="93"/>
  <c r="J171" i="93" s="1"/>
  <c r="N171" i="89"/>
  <c r="P171" i="89" s="1"/>
  <c r="S183" i="89"/>
  <c r="R183" i="89" s="1"/>
  <c r="U152" i="60"/>
  <c r="J153" i="65"/>
  <c r="G189" i="58"/>
  <c r="R189" i="53"/>
  <c r="V189" i="53" s="1"/>
  <c r="S190" i="53" s="1"/>
  <c r="G174" i="61"/>
  <c r="S173" i="60"/>
  <c r="M174" i="60" s="1"/>
  <c r="J117" i="61"/>
  <c r="G117" i="54"/>
  <c r="H117" i="54" s="1"/>
  <c r="H117" i="58"/>
  <c r="T116" i="53"/>
  <c r="K160" i="110" l="1"/>
  <c r="J20" i="108" s="1"/>
  <c r="G172" i="103"/>
  <c r="H172" i="103" s="1"/>
  <c r="J21" i="104"/>
  <c r="J20" i="102"/>
  <c r="G184" i="98"/>
  <c r="G184" i="105"/>
  <c r="H184" i="105" s="1"/>
  <c r="P18" i="100"/>
  <c r="O17" i="100"/>
  <c r="J183" i="98"/>
  <c r="K172" i="98" s="1"/>
  <c r="H21" i="90"/>
  <c r="G172" i="86"/>
  <c r="G172" i="93"/>
  <c r="K160" i="93"/>
  <c r="H20" i="87"/>
  <c r="T171" i="89"/>
  <c r="V183" i="89"/>
  <c r="S184" i="89" s="1"/>
  <c r="R184" i="89" s="1"/>
  <c r="G185" i="105" s="1"/>
  <c r="G184" i="91"/>
  <c r="R153" i="60"/>
  <c r="Q153" i="60" s="1"/>
  <c r="G154" i="65" s="1"/>
  <c r="H154" i="65" s="1"/>
  <c r="R190" i="53"/>
  <c r="V190" i="53" s="1"/>
  <c r="S191" i="53" s="1"/>
  <c r="G190" i="58"/>
  <c r="O174" i="60"/>
  <c r="J117" i="58"/>
  <c r="J117" i="54"/>
  <c r="N117" i="53"/>
  <c r="P117" i="53" s="1"/>
  <c r="H118" i="61" s="1"/>
  <c r="H172" i="110" l="1"/>
  <c r="L21" i="109"/>
  <c r="M21" i="109" s="1"/>
  <c r="H21" i="109"/>
  <c r="L20" i="108"/>
  <c r="M20" i="108" s="1"/>
  <c r="H20" i="108"/>
  <c r="H21" i="104"/>
  <c r="L21" i="104"/>
  <c r="M21" i="104" s="1"/>
  <c r="H20" i="102"/>
  <c r="L20" i="102"/>
  <c r="M20" i="102" s="1"/>
  <c r="J21" i="97"/>
  <c r="J20" i="92"/>
  <c r="H184" i="98"/>
  <c r="J184" i="98" s="1"/>
  <c r="J172" i="103"/>
  <c r="H172" i="86"/>
  <c r="J172" i="86" s="1"/>
  <c r="H184" i="91"/>
  <c r="J184" i="91" s="1"/>
  <c r="H172" i="93"/>
  <c r="J172" i="93" s="1"/>
  <c r="G185" i="91"/>
  <c r="G185" i="98"/>
  <c r="N172" i="89"/>
  <c r="P172" i="89" s="1"/>
  <c r="V184" i="89"/>
  <c r="U153" i="60"/>
  <c r="J154" i="65"/>
  <c r="R191" i="53"/>
  <c r="V191" i="53" s="1"/>
  <c r="S192" i="53" s="1"/>
  <c r="G191" i="58"/>
  <c r="G175" i="61"/>
  <c r="S174" i="60"/>
  <c r="M175" i="60" s="1"/>
  <c r="J118" i="61"/>
  <c r="G118" i="54"/>
  <c r="H118" i="54" s="1"/>
  <c r="H118" i="58"/>
  <c r="T117" i="53"/>
  <c r="J172" i="110" l="1"/>
  <c r="G173" i="103"/>
  <c r="H173" i="103" s="1"/>
  <c r="H21" i="97"/>
  <c r="L21" i="97"/>
  <c r="M21" i="97" s="1"/>
  <c r="H20" i="92"/>
  <c r="L20" i="92"/>
  <c r="M20" i="92" s="1"/>
  <c r="H185" i="98"/>
  <c r="J185" i="98" s="1"/>
  <c r="H185" i="105"/>
  <c r="J184" i="105"/>
  <c r="H185" i="91"/>
  <c r="J185" i="91" s="1"/>
  <c r="G173" i="86"/>
  <c r="G173" i="93"/>
  <c r="T172" i="89"/>
  <c r="S185" i="89"/>
  <c r="R185" i="89" s="1"/>
  <c r="R154" i="60"/>
  <c r="Q154" i="60" s="1"/>
  <c r="G155" i="65" s="1"/>
  <c r="H155" i="65" s="1"/>
  <c r="G192" i="58"/>
  <c r="R192" i="53"/>
  <c r="V192" i="53" s="1"/>
  <c r="S193" i="53" s="1"/>
  <c r="O175" i="60"/>
  <c r="J118" i="58"/>
  <c r="J118" i="54"/>
  <c r="N118" i="53"/>
  <c r="P118" i="53" s="1"/>
  <c r="H119" i="61" s="1"/>
  <c r="H173" i="110" l="1"/>
  <c r="G186" i="98"/>
  <c r="G186" i="105"/>
  <c r="H186" i="105" s="1"/>
  <c r="J185" i="105"/>
  <c r="J173" i="103"/>
  <c r="H173" i="86"/>
  <c r="J173" i="86" s="1"/>
  <c r="H173" i="93"/>
  <c r="N173" i="89"/>
  <c r="P173" i="89" s="1"/>
  <c r="V185" i="89"/>
  <c r="S186" i="89" s="1"/>
  <c r="R186" i="89" s="1"/>
  <c r="G187" i="105" s="1"/>
  <c r="G186" i="91"/>
  <c r="U154" i="60"/>
  <c r="J155" i="65"/>
  <c r="G193" i="58"/>
  <c r="R193" i="53"/>
  <c r="V193" i="53" s="1"/>
  <c r="S194" i="53" s="1"/>
  <c r="G176" i="61"/>
  <c r="S175" i="60"/>
  <c r="M176" i="60" s="1"/>
  <c r="J119" i="61"/>
  <c r="G119" i="54"/>
  <c r="H119" i="54" s="1"/>
  <c r="H119" i="58"/>
  <c r="T118" i="53"/>
  <c r="G174" i="103" l="1"/>
  <c r="H174" i="103" s="1"/>
  <c r="H174" i="110"/>
  <c r="J173" i="110"/>
  <c r="H186" i="98"/>
  <c r="J186" i="98" s="1"/>
  <c r="H187" i="105"/>
  <c r="J186" i="105"/>
  <c r="H186" i="91"/>
  <c r="J186" i="91" s="1"/>
  <c r="G187" i="91"/>
  <c r="G187" i="98"/>
  <c r="G174" i="86"/>
  <c r="G174" i="93"/>
  <c r="J173" i="93"/>
  <c r="T173" i="89"/>
  <c r="V186" i="89"/>
  <c r="R155" i="60"/>
  <c r="Q155" i="60" s="1"/>
  <c r="G156" i="65" s="1"/>
  <c r="H156" i="65" s="1"/>
  <c r="R194" i="53"/>
  <c r="V194" i="53" s="1"/>
  <c r="S195" i="53" s="1"/>
  <c r="G194" i="58"/>
  <c r="O176" i="60"/>
  <c r="J119" i="58"/>
  <c r="J119" i="54"/>
  <c r="N119" i="53"/>
  <c r="P119" i="53" s="1"/>
  <c r="H120" i="61" s="1"/>
  <c r="J174" i="110" l="1"/>
  <c r="H187" i="98"/>
  <c r="J187" i="98" s="1"/>
  <c r="J187" i="105"/>
  <c r="J174" i="103"/>
  <c r="H174" i="86"/>
  <c r="J174" i="86" s="1"/>
  <c r="H187" i="91"/>
  <c r="J187" i="91" s="1"/>
  <c r="H174" i="93"/>
  <c r="J174" i="93" s="1"/>
  <c r="N174" i="89"/>
  <c r="P174" i="89" s="1"/>
  <c r="S187" i="89"/>
  <c r="R187" i="89" s="1"/>
  <c r="G188" i="105" s="1"/>
  <c r="U155" i="60"/>
  <c r="J156" i="65"/>
  <c r="G195" i="58"/>
  <c r="N184" i="58" s="1"/>
  <c r="R195" i="53"/>
  <c r="V195" i="53" s="1"/>
  <c r="S196" i="53" s="1"/>
  <c r="G177" i="61"/>
  <c r="S176" i="60"/>
  <c r="M177" i="60" s="1"/>
  <c r="J120" i="61"/>
  <c r="G120" i="54"/>
  <c r="H120" i="54" s="1"/>
  <c r="H120" i="58"/>
  <c r="T119" i="53"/>
  <c r="G175" i="103" l="1"/>
  <c r="H175" i="103" s="1"/>
  <c r="H188" i="105"/>
  <c r="G188" i="91"/>
  <c r="G188" i="98"/>
  <c r="G175" i="86"/>
  <c r="G175" i="93"/>
  <c r="T174" i="89"/>
  <c r="V187" i="89"/>
  <c r="P19" i="75"/>
  <c r="R156" i="60"/>
  <c r="Q156" i="60" s="1"/>
  <c r="G157" i="65" s="1"/>
  <c r="H157" i="65" s="1"/>
  <c r="R196" i="53"/>
  <c r="V196" i="53" s="1"/>
  <c r="S197" i="53" s="1"/>
  <c r="G196" i="58"/>
  <c r="O177" i="60"/>
  <c r="J120" i="58"/>
  <c r="J120" i="54"/>
  <c r="N120" i="53"/>
  <c r="P120" i="53" s="1"/>
  <c r="H121" i="61" s="1"/>
  <c r="H175" i="110" l="1"/>
  <c r="H188" i="98"/>
  <c r="J188" i="98" s="1"/>
  <c r="J188" i="105"/>
  <c r="J175" i="103"/>
  <c r="H175" i="86"/>
  <c r="J175" i="86" s="1"/>
  <c r="H188" i="91"/>
  <c r="J188" i="91" s="1"/>
  <c r="H175" i="93"/>
  <c r="J175" i="93" s="1"/>
  <c r="N175" i="89"/>
  <c r="P175" i="89" s="1"/>
  <c r="S188" i="89"/>
  <c r="R188" i="89" s="1"/>
  <c r="G189" i="105" s="1"/>
  <c r="U156" i="60"/>
  <c r="J157" i="65"/>
  <c r="G197" i="58"/>
  <c r="R197" i="53"/>
  <c r="V197" i="53" s="1"/>
  <c r="S198" i="53" s="1"/>
  <c r="G178" i="61"/>
  <c r="S177" i="60"/>
  <c r="M178" i="60" s="1"/>
  <c r="J121" i="61"/>
  <c r="T120" i="53"/>
  <c r="N121" i="53" s="1"/>
  <c r="P121" i="53" s="1"/>
  <c r="H122" i="61" s="1"/>
  <c r="H121" i="58"/>
  <c r="G121" i="54"/>
  <c r="J175" i="110" l="1"/>
  <c r="G176" i="103"/>
  <c r="H176" i="103" s="1"/>
  <c r="H189" i="105"/>
  <c r="G189" i="91"/>
  <c r="G189" i="98"/>
  <c r="G176" i="86"/>
  <c r="G176" i="93"/>
  <c r="H176" i="93" s="1"/>
  <c r="T175" i="89"/>
  <c r="V188" i="89"/>
  <c r="R157" i="60"/>
  <c r="Q157" i="60" s="1"/>
  <c r="G158" i="65" s="1"/>
  <c r="H158" i="65" s="1"/>
  <c r="G198" i="58"/>
  <c r="R198" i="53"/>
  <c r="V198" i="53" s="1"/>
  <c r="S199" i="53" s="1"/>
  <c r="O178" i="60"/>
  <c r="J122" i="61"/>
  <c r="J121" i="58"/>
  <c r="G122" i="54"/>
  <c r="H122" i="58"/>
  <c r="H121" i="54"/>
  <c r="T121" i="53"/>
  <c r="H176" i="110" l="1"/>
  <c r="H189" i="98"/>
  <c r="J189" i="98" s="1"/>
  <c r="J189" i="105"/>
  <c r="J176" i="103"/>
  <c r="H176" i="86"/>
  <c r="J176" i="86" s="1"/>
  <c r="H189" i="91"/>
  <c r="J189" i="91" s="1"/>
  <c r="J176" i="93"/>
  <c r="N176" i="89"/>
  <c r="P176" i="89" s="1"/>
  <c r="S189" i="89"/>
  <c r="R189" i="89" s="1"/>
  <c r="G190" i="105" s="1"/>
  <c r="U157" i="60"/>
  <c r="J158" i="65"/>
  <c r="R199" i="53"/>
  <c r="V199" i="53" s="1"/>
  <c r="S200" i="53" s="1"/>
  <c r="G199" i="58"/>
  <c r="G179" i="61"/>
  <c r="S178" i="60"/>
  <c r="M179" i="60" s="1"/>
  <c r="J122" i="58"/>
  <c r="H122" i="54"/>
  <c r="J122" i="54" s="1"/>
  <c r="J121" i="54"/>
  <c r="N122" i="53"/>
  <c r="P122" i="53" s="1"/>
  <c r="H123" i="61" s="1"/>
  <c r="J123" i="61" s="1"/>
  <c r="H124" i="61" s="1"/>
  <c r="J176" i="110" l="1"/>
  <c r="G177" i="103"/>
  <c r="H177" i="103" s="1"/>
  <c r="J177" i="103" s="1"/>
  <c r="H177" i="110"/>
  <c r="H190" i="105"/>
  <c r="G190" i="91"/>
  <c r="G190" i="98"/>
  <c r="H190" i="98" s="1"/>
  <c r="G177" i="86"/>
  <c r="H177" i="86" s="1"/>
  <c r="J177" i="86" s="1"/>
  <c r="G177" i="93"/>
  <c r="H177" i="93" s="1"/>
  <c r="T176" i="89"/>
  <c r="N177" i="89" s="1"/>
  <c r="P177" i="89" s="1"/>
  <c r="V189" i="89"/>
  <c r="R158" i="60"/>
  <c r="Q158" i="60" s="1"/>
  <c r="G159" i="65" s="1"/>
  <c r="N148" i="65" s="1"/>
  <c r="P16" i="76" s="1"/>
  <c r="R200" i="53"/>
  <c r="V200" i="53" s="1"/>
  <c r="S201" i="53" s="1"/>
  <c r="G200" i="58"/>
  <c r="O179" i="60"/>
  <c r="K112" i="61"/>
  <c r="J16" i="62" s="1"/>
  <c r="H16" i="62" s="1"/>
  <c r="G123" i="54"/>
  <c r="P112" i="54" s="1"/>
  <c r="H123" i="58"/>
  <c r="J123" i="58" s="1"/>
  <c r="T122" i="53"/>
  <c r="J177" i="110" l="1"/>
  <c r="G178" i="103"/>
  <c r="H178" i="103" s="1"/>
  <c r="J178" i="103" s="1"/>
  <c r="H178" i="110"/>
  <c r="L16" i="62"/>
  <c r="M16" i="62" s="1"/>
  <c r="J190" i="105"/>
  <c r="H190" i="91"/>
  <c r="J190" i="91" s="1"/>
  <c r="J190" i="98"/>
  <c r="G178" i="86"/>
  <c r="H178" i="86" s="1"/>
  <c r="J178" i="86" s="1"/>
  <c r="G178" i="93"/>
  <c r="H178" i="93" s="1"/>
  <c r="J177" i="93"/>
  <c r="T177" i="89"/>
  <c r="S190" i="89"/>
  <c r="R190" i="89" s="1"/>
  <c r="G191" i="105" s="1"/>
  <c r="H191" i="105" s="1"/>
  <c r="H159" i="65"/>
  <c r="J159" i="65" s="1"/>
  <c r="K148" i="65" s="1"/>
  <c r="O13" i="75"/>
  <c r="H123" i="54"/>
  <c r="J123" i="54" s="1"/>
  <c r="U158" i="60"/>
  <c r="R201" i="53"/>
  <c r="V201" i="53" s="1"/>
  <c r="S202" i="53" s="1"/>
  <c r="G201" i="58"/>
  <c r="G180" i="61"/>
  <c r="S179" i="60"/>
  <c r="M180" i="60" s="1"/>
  <c r="K112" i="58"/>
  <c r="J16" i="59" s="1"/>
  <c r="N123" i="53"/>
  <c r="P123" i="53" s="1"/>
  <c r="J178" i="110" l="1"/>
  <c r="L16" i="59"/>
  <c r="M16" i="59" s="1"/>
  <c r="F12" i="114" s="1"/>
  <c r="H16" i="59"/>
  <c r="J19" i="66"/>
  <c r="H19" i="66" s="1"/>
  <c r="J191" i="105"/>
  <c r="G191" i="91"/>
  <c r="H191" i="91" s="1"/>
  <c r="J191" i="91" s="1"/>
  <c r="G191" i="98"/>
  <c r="H191" i="98" s="1"/>
  <c r="J178" i="93"/>
  <c r="N178" i="89"/>
  <c r="P178" i="89" s="1"/>
  <c r="V190" i="89"/>
  <c r="R159" i="60"/>
  <c r="Q159" i="60" s="1"/>
  <c r="G160" i="65" s="1"/>
  <c r="R202" i="53"/>
  <c r="V202" i="53" s="1"/>
  <c r="S203" i="53" s="1"/>
  <c r="G202" i="58"/>
  <c r="O180" i="60"/>
  <c r="J124" i="61"/>
  <c r="G124" i="54"/>
  <c r="H124" i="58"/>
  <c r="K112" i="54"/>
  <c r="J16" i="55" s="1"/>
  <c r="T123" i="53"/>
  <c r="N124" i="53" s="1"/>
  <c r="G179" i="103" l="1"/>
  <c r="H179" i="103" s="1"/>
  <c r="J179" i="103" s="1"/>
  <c r="H179" i="110"/>
  <c r="L16" i="55"/>
  <c r="M16" i="55" s="1"/>
  <c r="E12" i="114" s="1"/>
  <c r="H16" i="55"/>
  <c r="L19" i="66"/>
  <c r="M19" i="66" s="1"/>
  <c r="J191" i="98"/>
  <c r="G179" i="86"/>
  <c r="H179" i="86" s="1"/>
  <c r="J179" i="86" s="1"/>
  <c r="G179" i="93"/>
  <c r="H179" i="93" s="1"/>
  <c r="T178" i="89"/>
  <c r="S191" i="89"/>
  <c r="R191" i="89" s="1"/>
  <c r="G192" i="105" s="1"/>
  <c r="H192" i="105" s="1"/>
  <c r="H160" i="65"/>
  <c r="J160" i="65" s="1"/>
  <c r="H124" i="54"/>
  <c r="J124" i="54" s="1"/>
  <c r="U159" i="60"/>
  <c r="R203" i="53"/>
  <c r="V203" i="53" s="1"/>
  <c r="S204" i="53" s="1"/>
  <c r="G203" i="58"/>
  <c r="G181" i="61"/>
  <c r="S180" i="60"/>
  <c r="M181" i="60" s="1"/>
  <c r="J124" i="58"/>
  <c r="P124" i="53"/>
  <c r="H125" i="61" s="1"/>
  <c r="J179" i="110" l="1"/>
  <c r="J192" i="105"/>
  <c r="G192" i="91"/>
  <c r="H192" i="91" s="1"/>
  <c r="J192" i="91" s="1"/>
  <c r="G192" i="98"/>
  <c r="H192" i="98" s="1"/>
  <c r="J179" i="93"/>
  <c r="N179" i="89"/>
  <c r="P179" i="89" s="1"/>
  <c r="V191" i="89"/>
  <c r="S192" i="89" s="1"/>
  <c r="R192" i="89" s="1"/>
  <c r="G193" i="105" s="1"/>
  <c r="H193" i="105" s="1"/>
  <c r="R160" i="60"/>
  <c r="Q160" i="60" s="1"/>
  <c r="G161" i="65" s="1"/>
  <c r="G204" i="58"/>
  <c r="R204" i="53"/>
  <c r="V204" i="53" s="1"/>
  <c r="S205" i="53" s="1"/>
  <c r="O181" i="60"/>
  <c r="J125" i="61"/>
  <c r="G125" i="54"/>
  <c r="H125" i="58"/>
  <c r="T124" i="53"/>
  <c r="G180" i="103" l="1"/>
  <c r="H180" i="103" s="1"/>
  <c r="J180" i="103" s="1"/>
  <c r="H180" i="110"/>
  <c r="J193" i="105"/>
  <c r="G193" i="91"/>
  <c r="H193" i="91" s="1"/>
  <c r="J193" i="91" s="1"/>
  <c r="G193" i="98"/>
  <c r="H193" i="98" s="1"/>
  <c r="J192" i="98"/>
  <c r="G180" i="86"/>
  <c r="H180" i="86" s="1"/>
  <c r="J180" i="86" s="1"/>
  <c r="G180" i="93"/>
  <c r="H180" i="93" s="1"/>
  <c r="T179" i="89"/>
  <c r="V192" i="89"/>
  <c r="S193" i="89" s="1"/>
  <c r="R193" i="89" s="1"/>
  <c r="G194" i="105" s="1"/>
  <c r="H194" i="105" s="1"/>
  <c r="H161" i="65"/>
  <c r="J161" i="65" s="1"/>
  <c r="H125" i="54"/>
  <c r="J125" i="54" s="1"/>
  <c r="U160" i="60"/>
  <c r="G205" i="58"/>
  <c r="R205" i="53"/>
  <c r="V205" i="53" s="1"/>
  <c r="S206" i="53" s="1"/>
  <c r="G182" i="61"/>
  <c r="S181" i="60"/>
  <c r="M182" i="60" s="1"/>
  <c r="J125" i="58"/>
  <c r="N125" i="53"/>
  <c r="P125" i="53" s="1"/>
  <c r="H126" i="61" s="1"/>
  <c r="J180" i="110" l="1"/>
  <c r="J194" i="105"/>
  <c r="J193" i="98"/>
  <c r="G194" i="91"/>
  <c r="H194" i="91" s="1"/>
  <c r="J194" i="91" s="1"/>
  <c r="G194" i="98"/>
  <c r="H194" i="98" s="1"/>
  <c r="J180" i="93"/>
  <c r="N180" i="89"/>
  <c r="P180" i="89" s="1"/>
  <c r="V193" i="89"/>
  <c r="R161" i="60"/>
  <c r="Q161" i="60" s="1"/>
  <c r="G162" i="65" s="1"/>
  <c r="R206" i="53"/>
  <c r="V206" i="53" s="1"/>
  <c r="S207" i="53" s="1"/>
  <c r="G206" i="58"/>
  <c r="O182" i="60"/>
  <c r="J126" i="61"/>
  <c r="G126" i="54"/>
  <c r="H126" i="58"/>
  <c r="T125" i="53"/>
  <c r="N126" i="53" s="1"/>
  <c r="G181" i="103" l="1"/>
  <c r="H181" i="103" s="1"/>
  <c r="J181" i="103" s="1"/>
  <c r="H181" i="110"/>
  <c r="J194" i="98"/>
  <c r="G181" i="86"/>
  <c r="H181" i="86" s="1"/>
  <c r="J181" i="86" s="1"/>
  <c r="G181" i="93"/>
  <c r="H181" i="93" s="1"/>
  <c r="T180" i="89"/>
  <c r="S194" i="89"/>
  <c r="R194" i="89" s="1"/>
  <c r="G195" i="105" s="1"/>
  <c r="H162" i="65"/>
  <c r="J162" i="65" s="1"/>
  <c r="H126" i="54"/>
  <c r="J126" i="54" s="1"/>
  <c r="U161" i="60"/>
  <c r="R207" i="53"/>
  <c r="G208" i="58" s="1"/>
  <c r="G207" i="58"/>
  <c r="N196" i="58" s="1"/>
  <c r="G183" i="61"/>
  <c r="N172" i="61" s="1"/>
  <c r="O18" i="76" s="1"/>
  <c r="S182" i="60"/>
  <c r="M183" i="60" s="1"/>
  <c r="J126" i="58"/>
  <c r="P126" i="53"/>
  <c r="H127" i="61" s="1"/>
  <c r="J181" i="110" l="1"/>
  <c r="Y184" i="105"/>
  <c r="P19" i="106" s="1"/>
  <c r="N184" i="105"/>
  <c r="H195" i="105"/>
  <c r="G195" i="91"/>
  <c r="N184" i="91" s="1"/>
  <c r="G195" i="98"/>
  <c r="Y184" i="98" s="1"/>
  <c r="P19" i="101" s="1"/>
  <c r="J181" i="93"/>
  <c r="N181" i="89"/>
  <c r="P181" i="89" s="1"/>
  <c r="V194" i="89"/>
  <c r="P20" i="75"/>
  <c r="R162" i="60"/>
  <c r="Q162" i="60" s="1"/>
  <c r="G163" i="65" s="1"/>
  <c r="V207" i="53"/>
  <c r="S208" i="53" s="1"/>
  <c r="O183" i="60"/>
  <c r="J127" i="61"/>
  <c r="G127" i="54"/>
  <c r="H127" i="58"/>
  <c r="T126" i="53"/>
  <c r="N127" i="53" s="1"/>
  <c r="G182" i="103" l="1"/>
  <c r="H182" i="103" s="1"/>
  <c r="J182" i="103" s="1"/>
  <c r="H182" i="110"/>
  <c r="J195" i="105"/>
  <c r="K184" i="105" s="1"/>
  <c r="H195" i="91"/>
  <c r="J195" i="91" s="1"/>
  <c r="K184" i="91" s="1"/>
  <c r="J22" i="90" s="1"/>
  <c r="L22" i="90" s="1"/>
  <c r="M22" i="90" s="1"/>
  <c r="Y184" i="91"/>
  <c r="N184" i="98"/>
  <c r="H195" i="98"/>
  <c r="G182" i="86"/>
  <c r="H182" i="86" s="1"/>
  <c r="G182" i="93"/>
  <c r="H182" i="93" s="1"/>
  <c r="T181" i="89"/>
  <c r="S195" i="89"/>
  <c r="R195" i="89" s="1"/>
  <c r="H163" i="65"/>
  <c r="J163" i="65" s="1"/>
  <c r="H127" i="54"/>
  <c r="J127" i="54" s="1"/>
  <c r="U162" i="60"/>
  <c r="R208" i="53"/>
  <c r="G209" i="58" s="1"/>
  <c r="G184" i="61"/>
  <c r="S183" i="60"/>
  <c r="M184" i="60" s="1"/>
  <c r="J127" i="58"/>
  <c r="P127" i="53"/>
  <c r="H128" i="61" s="1"/>
  <c r="J182" i="110" l="1"/>
  <c r="J22" i="104"/>
  <c r="G196" i="98"/>
  <c r="G196" i="105"/>
  <c r="H196" i="105" s="1"/>
  <c r="P19" i="100"/>
  <c r="J195" i="98"/>
  <c r="K184" i="98" s="1"/>
  <c r="H22" i="90"/>
  <c r="J182" i="93"/>
  <c r="J182" i="86"/>
  <c r="N182" i="89"/>
  <c r="P182" i="89" s="1"/>
  <c r="V195" i="89"/>
  <c r="S196" i="89" s="1"/>
  <c r="R196" i="89" s="1"/>
  <c r="G197" i="105" s="1"/>
  <c r="G196" i="91"/>
  <c r="R163" i="60"/>
  <c r="Q163" i="60" s="1"/>
  <c r="G164" i="65" s="1"/>
  <c r="V208" i="53"/>
  <c r="S209" i="53" s="1"/>
  <c r="O184" i="60"/>
  <c r="J128" i="61"/>
  <c r="G128" i="54"/>
  <c r="H128" i="58"/>
  <c r="T127" i="53"/>
  <c r="N128" i="53" s="1"/>
  <c r="G183" i="103" l="1"/>
  <c r="Y172" i="103" s="1"/>
  <c r="O18" i="106" s="1"/>
  <c r="H22" i="109"/>
  <c r="L22" i="109"/>
  <c r="M22" i="109" s="1"/>
  <c r="H22" i="104"/>
  <c r="L22" i="104"/>
  <c r="M22" i="104" s="1"/>
  <c r="J22" i="97"/>
  <c r="H196" i="98"/>
  <c r="J196" i="98" s="1"/>
  <c r="H196" i="91"/>
  <c r="J196" i="91" s="1"/>
  <c r="G197" i="91"/>
  <c r="G197" i="98"/>
  <c r="G183" i="86"/>
  <c r="G183" i="93"/>
  <c r="Y172" i="93" s="1"/>
  <c r="O18" i="101" s="1"/>
  <c r="T182" i="89"/>
  <c r="V196" i="89"/>
  <c r="H164" i="65"/>
  <c r="J164" i="65" s="1"/>
  <c r="H128" i="54"/>
  <c r="J128" i="54" s="1"/>
  <c r="U163" i="60"/>
  <c r="R209" i="53"/>
  <c r="G210" i="58" s="1"/>
  <c r="G185" i="61"/>
  <c r="S184" i="60"/>
  <c r="M185" i="60" s="1"/>
  <c r="J128" i="58"/>
  <c r="P128" i="53"/>
  <c r="H129" i="61" s="1"/>
  <c r="H183" i="103" l="1"/>
  <c r="J183" i="103" s="1"/>
  <c r="K172" i="103" s="1"/>
  <c r="N172" i="103"/>
  <c r="Y172" i="110"/>
  <c r="N172" i="110"/>
  <c r="H183" i="110"/>
  <c r="J183" i="110" s="1"/>
  <c r="H22" i="97"/>
  <c r="L22" i="97"/>
  <c r="M22" i="97" s="1"/>
  <c r="H197" i="105"/>
  <c r="J196" i="105"/>
  <c r="N172" i="86"/>
  <c r="Y172" i="86"/>
  <c r="H197" i="91"/>
  <c r="J197" i="91" s="1"/>
  <c r="H197" i="98"/>
  <c r="H183" i="86"/>
  <c r="J183" i="86" s="1"/>
  <c r="K172" i="86" s="1"/>
  <c r="J21" i="87" s="1"/>
  <c r="L21" i="87" s="1"/>
  <c r="M21" i="87" s="1"/>
  <c r="N172" i="93"/>
  <c r="H183" i="93"/>
  <c r="J183" i="93" s="1"/>
  <c r="N183" i="89"/>
  <c r="P183" i="89" s="1"/>
  <c r="S197" i="89"/>
  <c r="R197" i="89" s="1"/>
  <c r="R164" i="60"/>
  <c r="Q164" i="60" s="1"/>
  <c r="G165" i="65" s="1"/>
  <c r="H165" i="65" s="1"/>
  <c r="V209" i="53"/>
  <c r="S210" i="53" s="1"/>
  <c r="O185" i="60"/>
  <c r="J129" i="61"/>
  <c r="G129" i="54"/>
  <c r="H129" i="54" s="1"/>
  <c r="H129" i="58"/>
  <c r="T128" i="53"/>
  <c r="N129" i="53" s="1"/>
  <c r="G184" i="103" l="1"/>
  <c r="H184" i="103" s="1"/>
  <c r="H184" i="110"/>
  <c r="K172" i="110"/>
  <c r="J21" i="108" s="1"/>
  <c r="J21" i="102"/>
  <c r="G198" i="98"/>
  <c r="G198" i="105"/>
  <c r="H198" i="105" s="1"/>
  <c r="J197" i="105"/>
  <c r="O18" i="100"/>
  <c r="J197" i="98"/>
  <c r="G184" i="86"/>
  <c r="G184" i="93"/>
  <c r="K172" i="93"/>
  <c r="H21" i="87"/>
  <c r="T183" i="89"/>
  <c r="V197" i="89"/>
  <c r="S198" i="89" s="1"/>
  <c r="R198" i="89" s="1"/>
  <c r="G199" i="105" s="1"/>
  <c r="G198" i="91"/>
  <c r="U164" i="60"/>
  <c r="J165" i="65"/>
  <c r="R210" i="53"/>
  <c r="G211" i="58" s="1"/>
  <c r="G186" i="61"/>
  <c r="S185" i="60"/>
  <c r="M186" i="60" s="1"/>
  <c r="J129" i="58"/>
  <c r="J129" i="54"/>
  <c r="P129" i="53"/>
  <c r="H130" i="61" s="1"/>
  <c r="J184" i="110" l="1"/>
  <c r="H21" i="108"/>
  <c r="L21" i="108"/>
  <c r="M21" i="108" s="1"/>
  <c r="H21" i="102"/>
  <c r="L21" i="102"/>
  <c r="M21" i="102" s="1"/>
  <c r="J21" i="92"/>
  <c r="H198" i="98"/>
  <c r="J198" i="98" s="1"/>
  <c r="H199" i="105"/>
  <c r="J198" i="105"/>
  <c r="J184" i="103"/>
  <c r="H184" i="86"/>
  <c r="J184" i="86" s="1"/>
  <c r="H198" i="91"/>
  <c r="J198" i="91" s="1"/>
  <c r="H184" i="93"/>
  <c r="J184" i="93" s="1"/>
  <c r="G199" i="91"/>
  <c r="G199" i="98"/>
  <c r="N184" i="89"/>
  <c r="P184" i="89" s="1"/>
  <c r="V198" i="89"/>
  <c r="R165" i="60"/>
  <c r="Q165" i="60" s="1"/>
  <c r="G166" i="65" s="1"/>
  <c r="H166" i="65" s="1"/>
  <c r="V210" i="53"/>
  <c r="S211" i="53" s="1"/>
  <c r="O186" i="60"/>
  <c r="J130" i="61"/>
  <c r="G130" i="54"/>
  <c r="H130" i="54" s="1"/>
  <c r="H130" i="58"/>
  <c r="T129" i="53"/>
  <c r="N130" i="53" s="1"/>
  <c r="G185" i="103" l="1"/>
  <c r="H185" i="103" s="1"/>
  <c r="H21" i="92"/>
  <c r="L21" i="92"/>
  <c r="M21" i="92" s="1"/>
  <c r="H199" i="98"/>
  <c r="J199" i="98" s="1"/>
  <c r="J199" i="105"/>
  <c r="H199" i="91"/>
  <c r="J199" i="91" s="1"/>
  <c r="G185" i="86"/>
  <c r="G185" i="93"/>
  <c r="T184" i="89"/>
  <c r="S199" i="89"/>
  <c r="R199" i="89" s="1"/>
  <c r="G200" i="105" s="1"/>
  <c r="U165" i="60"/>
  <c r="J166" i="65"/>
  <c r="R211" i="53"/>
  <c r="G212" i="58" s="1"/>
  <c r="G187" i="61"/>
  <c r="S186" i="60"/>
  <c r="M187" i="60" s="1"/>
  <c r="J130" i="58"/>
  <c r="J130" i="54"/>
  <c r="P130" i="53"/>
  <c r="H131" i="61" s="1"/>
  <c r="H185" i="110" l="1"/>
  <c r="H200" i="105"/>
  <c r="J185" i="103"/>
  <c r="H185" i="86"/>
  <c r="J185" i="86" s="1"/>
  <c r="G200" i="91"/>
  <c r="G200" i="98"/>
  <c r="H200" i="98" s="1"/>
  <c r="H185" i="93"/>
  <c r="N185" i="89"/>
  <c r="P185" i="89" s="1"/>
  <c r="V199" i="89"/>
  <c r="R166" i="60"/>
  <c r="Q166" i="60" s="1"/>
  <c r="G167" i="65" s="1"/>
  <c r="H167" i="65" s="1"/>
  <c r="V211" i="53"/>
  <c r="S212" i="53" s="1"/>
  <c r="O187" i="60"/>
  <c r="J131" i="61"/>
  <c r="G131" i="54"/>
  <c r="H131" i="54" s="1"/>
  <c r="H131" i="58"/>
  <c r="T130" i="53"/>
  <c r="N131" i="53" s="1"/>
  <c r="G186" i="103" l="1"/>
  <c r="H186" i="103" s="1"/>
  <c r="H186" i="110"/>
  <c r="J185" i="110"/>
  <c r="J200" i="105"/>
  <c r="H200" i="91"/>
  <c r="J200" i="91" s="1"/>
  <c r="J200" i="98"/>
  <c r="G186" i="86"/>
  <c r="G186" i="93"/>
  <c r="J185" i="93"/>
  <c r="T185" i="89"/>
  <c r="S200" i="89"/>
  <c r="R200" i="89" s="1"/>
  <c r="G201" i="105" s="1"/>
  <c r="U166" i="60"/>
  <c r="J167" i="65"/>
  <c r="R212" i="53"/>
  <c r="G213" i="58" s="1"/>
  <c r="G188" i="61"/>
  <c r="S187" i="60"/>
  <c r="M188" i="60" s="1"/>
  <c r="J131" i="58"/>
  <c r="J131" i="54"/>
  <c r="P131" i="53"/>
  <c r="H132" i="61" s="1"/>
  <c r="J186" i="110" l="1"/>
  <c r="H201" i="105"/>
  <c r="J186" i="103"/>
  <c r="H186" i="86"/>
  <c r="J186" i="86" s="1"/>
  <c r="H186" i="93"/>
  <c r="J186" i="93" s="1"/>
  <c r="G201" i="91"/>
  <c r="G201" i="98"/>
  <c r="H201" i="98" s="1"/>
  <c r="N186" i="89"/>
  <c r="P186" i="89" s="1"/>
  <c r="V200" i="89"/>
  <c r="R167" i="60"/>
  <c r="Q167" i="60" s="1"/>
  <c r="G168" i="65" s="1"/>
  <c r="H168" i="65" s="1"/>
  <c r="V212" i="53"/>
  <c r="S213" i="53" s="1"/>
  <c r="O188" i="60"/>
  <c r="J132" i="61"/>
  <c r="G132" i="54"/>
  <c r="H132" i="54" s="1"/>
  <c r="H132" i="58"/>
  <c r="T131" i="53"/>
  <c r="N132" i="53" s="1"/>
  <c r="G187" i="103" l="1"/>
  <c r="H187" i="103" s="1"/>
  <c r="J201" i="105"/>
  <c r="H201" i="91"/>
  <c r="J201" i="91" s="1"/>
  <c r="J201" i="98"/>
  <c r="G187" i="86"/>
  <c r="G187" i="93"/>
  <c r="T186" i="89"/>
  <c r="S201" i="89"/>
  <c r="R201" i="89" s="1"/>
  <c r="G202" i="105" s="1"/>
  <c r="U167" i="60"/>
  <c r="J168" i="65"/>
  <c r="R213" i="53"/>
  <c r="G214" i="58" s="1"/>
  <c r="G189" i="61"/>
  <c r="S188" i="60"/>
  <c r="M189" i="60" s="1"/>
  <c r="J132" i="58"/>
  <c r="J132" i="54"/>
  <c r="P132" i="53"/>
  <c r="H133" i="61" s="1"/>
  <c r="H187" i="110" l="1"/>
  <c r="H202" i="105"/>
  <c r="J187" i="103"/>
  <c r="H187" i="86"/>
  <c r="J187" i="86" s="1"/>
  <c r="H187" i="93"/>
  <c r="J187" i="93" s="1"/>
  <c r="G202" i="91"/>
  <c r="H202" i="91" s="1"/>
  <c r="G202" i="98"/>
  <c r="H202" i="98" s="1"/>
  <c r="N187" i="89"/>
  <c r="P187" i="89" s="1"/>
  <c r="V201" i="89"/>
  <c r="R168" i="60"/>
  <c r="Q168" i="60" s="1"/>
  <c r="G169" i="65" s="1"/>
  <c r="H169" i="65" s="1"/>
  <c r="V213" i="53"/>
  <c r="S214" i="53" s="1"/>
  <c r="O189" i="60"/>
  <c r="J133" i="61"/>
  <c r="G133" i="54"/>
  <c r="H133" i="54" s="1"/>
  <c r="H133" i="58"/>
  <c r="T132" i="53"/>
  <c r="N133" i="53" s="1"/>
  <c r="G188" i="103" l="1"/>
  <c r="H188" i="103" s="1"/>
  <c r="H188" i="110"/>
  <c r="J187" i="110"/>
  <c r="J202" i="105"/>
  <c r="J202" i="98"/>
  <c r="G188" i="86"/>
  <c r="G188" i="93"/>
  <c r="H188" i="93" s="1"/>
  <c r="T187" i="89"/>
  <c r="J202" i="91"/>
  <c r="S202" i="89"/>
  <c r="R202" i="89" s="1"/>
  <c r="G203" i="105" s="1"/>
  <c r="H203" i="105" s="1"/>
  <c r="U168" i="60"/>
  <c r="J169" i="65"/>
  <c r="R214" i="53"/>
  <c r="G215" i="58" s="1"/>
  <c r="G190" i="61"/>
  <c r="S189" i="60"/>
  <c r="M190" i="60" s="1"/>
  <c r="J133" i="58"/>
  <c r="J133" i="54"/>
  <c r="P133" i="53"/>
  <c r="H134" i="61" s="1"/>
  <c r="J188" i="110" l="1"/>
  <c r="J203" i="105"/>
  <c r="J188" i="103"/>
  <c r="H188" i="86"/>
  <c r="J188" i="86" s="1"/>
  <c r="G203" i="91"/>
  <c r="H203" i="91" s="1"/>
  <c r="G203" i="98"/>
  <c r="H203" i="98" s="1"/>
  <c r="J188" i="93"/>
  <c r="N188" i="89"/>
  <c r="P188" i="89" s="1"/>
  <c r="V202" i="89"/>
  <c r="R169" i="60"/>
  <c r="Q169" i="60" s="1"/>
  <c r="G170" i="65" s="1"/>
  <c r="H170" i="65" s="1"/>
  <c r="V214" i="53"/>
  <c r="S215" i="53" s="1"/>
  <c r="O190" i="60"/>
  <c r="J134" i="61"/>
  <c r="G134" i="54"/>
  <c r="H134" i="54" s="1"/>
  <c r="H134" i="58"/>
  <c r="T133" i="53"/>
  <c r="G189" i="103" l="1"/>
  <c r="H189" i="103" s="1"/>
  <c r="J189" i="103" s="1"/>
  <c r="H189" i="110"/>
  <c r="J203" i="98"/>
  <c r="G189" i="86"/>
  <c r="H189" i="86" s="1"/>
  <c r="J189" i="86" s="1"/>
  <c r="G189" i="93"/>
  <c r="H189" i="93" s="1"/>
  <c r="T188" i="89"/>
  <c r="J203" i="91"/>
  <c r="S203" i="89"/>
  <c r="R203" i="89" s="1"/>
  <c r="G204" i="105" s="1"/>
  <c r="H204" i="105" s="1"/>
  <c r="U169" i="60"/>
  <c r="J170" i="65"/>
  <c r="R215" i="53"/>
  <c r="G216" i="58" s="1"/>
  <c r="G191" i="61"/>
  <c r="S190" i="60"/>
  <c r="M191" i="60" s="1"/>
  <c r="J134" i="58"/>
  <c r="J134" i="54"/>
  <c r="N134" i="53"/>
  <c r="P134" i="53" s="1"/>
  <c r="H135" i="61" s="1"/>
  <c r="J135" i="61" s="1"/>
  <c r="H136" i="61" s="1"/>
  <c r="J189" i="110" l="1"/>
  <c r="J204" i="105"/>
  <c r="G204" i="91"/>
  <c r="H204" i="91" s="1"/>
  <c r="J204" i="91" s="1"/>
  <c r="G204" i="98"/>
  <c r="H204" i="98" s="1"/>
  <c r="J189" i="93"/>
  <c r="N189" i="89"/>
  <c r="P189" i="89" s="1"/>
  <c r="V203" i="89"/>
  <c r="R170" i="60"/>
  <c r="Q170" i="60" s="1"/>
  <c r="G171" i="65" s="1"/>
  <c r="N160" i="65" s="1"/>
  <c r="P17" i="76" s="1"/>
  <c r="V215" i="53"/>
  <c r="S216" i="53" s="1"/>
  <c r="O191" i="60"/>
  <c r="K124" i="61"/>
  <c r="J17" i="62" s="1"/>
  <c r="H17" i="62" s="1"/>
  <c r="G135" i="54"/>
  <c r="P124" i="54" s="1"/>
  <c r="H135" i="58"/>
  <c r="J135" i="58" s="1"/>
  <c r="T134" i="53"/>
  <c r="G190" i="103" l="1"/>
  <c r="H190" i="103" s="1"/>
  <c r="J190" i="103" s="1"/>
  <c r="H190" i="110"/>
  <c r="L17" i="62"/>
  <c r="M17" i="62" s="1"/>
  <c r="J204" i="98"/>
  <c r="G190" i="86"/>
  <c r="H190" i="86" s="1"/>
  <c r="J190" i="86" s="1"/>
  <c r="G190" i="93"/>
  <c r="H190" i="93" s="1"/>
  <c r="T189" i="89"/>
  <c r="S204" i="89"/>
  <c r="R204" i="89" s="1"/>
  <c r="G205" i="105" s="1"/>
  <c r="H205" i="105" s="1"/>
  <c r="H171" i="65"/>
  <c r="J171" i="65" s="1"/>
  <c r="K160" i="65" s="1"/>
  <c r="O14" i="75"/>
  <c r="H135" i="54"/>
  <c r="J135" i="54" s="1"/>
  <c r="U170" i="60"/>
  <c r="R216" i="53"/>
  <c r="G217" i="58" s="1"/>
  <c r="G192" i="61"/>
  <c r="S191" i="60"/>
  <c r="M192" i="60" s="1"/>
  <c r="K124" i="58"/>
  <c r="J17" i="59" s="1"/>
  <c r="N135" i="53"/>
  <c r="P135" i="53" s="1"/>
  <c r="J190" i="110" l="1"/>
  <c r="L17" i="59"/>
  <c r="M17" i="59" s="1"/>
  <c r="F13" i="114" s="1"/>
  <c r="H17" i="59"/>
  <c r="J20" i="66"/>
  <c r="H20" i="66" s="1"/>
  <c r="J205" i="105"/>
  <c r="G205" i="91"/>
  <c r="H205" i="91" s="1"/>
  <c r="J205" i="91" s="1"/>
  <c r="G205" i="98"/>
  <c r="H205" i="98" s="1"/>
  <c r="J190" i="93"/>
  <c r="N190" i="89"/>
  <c r="P190" i="89" s="1"/>
  <c r="V204" i="89"/>
  <c r="R171" i="60"/>
  <c r="Q171" i="60" s="1"/>
  <c r="G172" i="65" s="1"/>
  <c r="V216" i="53"/>
  <c r="S217" i="53" s="1"/>
  <c r="O192" i="60"/>
  <c r="J136" i="61"/>
  <c r="G136" i="54"/>
  <c r="H136" i="58"/>
  <c r="K124" i="54"/>
  <c r="J17" i="55" s="1"/>
  <c r="T135" i="53"/>
  <c r="G191" i="103" l="1"/>
  <c r="H191" i="103" s="1"/>
  <c r="J191" i="103" s="1"/>
  <c r="H191" i="110"/>
  <c r="L17" i="55"/>
  <c r="M17" i="55" s="1"/>
  <c r="E13" i="114" s="1"/>
  <c r="H17" i="55"/>
  <c r="L20" i="66"/>
  <c r="M20" i="66" s="1"/>
  <c r="J205" i="98"/>
  <c r="G191" i="86"/>
  <c r="H191" i="86" s="1"/>
  <c r="J191" i="86" s="1"/>
  <c r="G191" i="93"/>
  <c r="H191" i="93" s="1"/>
  <c r="T190" i="89"/>
  <c r="S205" i="89"/>
  <c r="R205" i="89" s="1"/>
  <c r="G206" i="105" s="1"/>
  <c r="H206" i="105" s="1"/>
  <c r="H172" i="65"/>
  <c r="J172" i="65" s="1"/>
  <c r="H136" i="54"/>
  <c r="J136" i="54" s="1"/>
  <c r="U171" i="60"/>
  <c r="R217" i="53"/>
  <c r="G218" i="58" s="1"/>
  <c r="G193" i="61"/>
  <c r="S192" i="60"/>
  <c r="M193" i="60" s="1"/>
  <c r="J136" i="58"/>
  <c r="N136" i="53"/>
  <c r="P136" i="53" s="1"/>
  <c r="H137" i="61" s="1"/>
  <c r="J191" i="110" l="1"/>
  <c r="J206" i="105"/>
  <c r="G206" i="91"/>
  <c r="H206" i="91" s="1"/>
  <c r="J206" i="91" s="1"/>
  <c r="G206" i="98"/>
  <c r="H206" i="98" s="1"/>
  <c r="J191" i="93"/>
  <c r="N191" i="89"/>
  <c r="P191" i="89" s="1"/>
  <c r="V205" i="89"/>
  <c r="R172" i="60"/>
  <c r="Q172" i="60" s="1"/>
  <c r="G173" i="65" s="1"/>
  <c r="V217" i="53"/>
  <c r="S218" i="53" s="1"/>
  <c r="O193" i="60"/>
  <c r="J137" i="61"/>
  <c r="G137" i="54"/>
  <c r="H137" i="58"/>
  <c r="T136" i="53"/>
  <c r="G192" i="103" l="1"/>
  <c r="H192" i="103" s="1"/>
  <c r="J192" i="103" s="1"/>
  <c r="H192" i="110"/>
  <c r="J206" i="98"/>
  <c r="G192" i="86"/>
  <c r="H192" i="86" s="1"/>
  <c r="J192" i="86" s="1"/>
  <c r="G192" i="93"/>
  <c r="H192" i="93" s="1"/>
  <c r="T191" i="89"/>
  <c r="S206" i="89"/>
  <c r="R206" i="89" s="1"/>
  <c r="G207" i="105" s="1"/>
  <c r="H173" i="65"/>
  <c r="J173" i="65" s="1"/>
  <c r="H137" i="54"/>
  <c r="J137" i="54" s="1"/>
  <c r="U172" i="60"/>
  <c r="R218" i="53"/>
  <c r="G219" i="58" s="1"/>
  <c r="N208" i="58" s="1"/>
  <c r="G194" i="61"/>
  <c r="S193" i="60"/>
  <c r="M194" i="60" s="1"/>
  <c r="J137" i="58"/>
  <c r="N137" i="53"/>
  <c r="P137" i="53" s="1"/>
  <c r="H138" i="61" s="1"/>
  <c r="J192" i="110" l="1"/>
  <c r="Y196" i="105"/>
  <c r="P20" i="106" s="1"/>
  <c r="N196" i="105"/>
  <c r="H207" i="105"/>
  <c r="G207" i="91"/>
  <c r="N196" i="91" s="1"/>
  <c r="G207" i="98"/>
  <c r="Y196" i="98" s="1"/>
  <c r="P20" i="101" s="1"/>
  <c r="J192" i="93"/>
  <c r="N192" i="89"/>
  <c r="P192" i="89" s="1"/>
  <c r="V206" i="89"/>
  <c r="P21" i="75"/>
  <c r="R173" i="60"/>
  <c r="Q173" i="60" s="1"/>
  <c r="G174" i="65" s="1"/>
  <c r="V218" i="53"/>
  <c r="S219" i="53" s="1"/>
  <c r="O194" i="60"/>
  <c r="J138" i="61"/>
  <c r="G138" i="54"/>
  <c r="H138" i="58"/>
  <c r="T137" i="53"/>
  <c r="N138" i="53" s="1"/>
  <c r="G193" i="103" l="1"/>
  <c r="H193" i="103" s="1"/>
  <c r="J193" i="103" s="1"/>
  <c r="H193" i="110"/>
  <c r="J207" i="105"/>
  <c r="K196" i="105" s="1"/>
  <c r="H207" i="91"/>
  <c r="J207" i="91" s="1"/>
  <c r="K196" i="91" s="1"/>
  <c r="J23" i="90" s="1"/>
  <c r="L23" i="90" s="1"/>
  <c r="M23" i="90" s="1"/>
  <c r="Y196" i="91"/>
  <c r="N196" i="98"/>
  <c r="H207" i="98"/>
  <c r="G193" i="86"/>
  <c r="H193" i="86" s="1"/>
  <c r="J193" i="86" s="1"/>
  <c r="G193" i="93"/>
  <c r="H193" i="93" s="1"/>
  <c r="T192" i="89"/>
  <c r="S207" i="89"/>
  <c r="R207" i="89" s="1"/>
  <c r="H174" i="65"/>
  <c r="J174" i="65" s="1"/>
  <c r="H138" i="54"/>
  <c r="J138" i="54" s="1"/>
  <c r="U173" i="60"/>
  <c r="R219" i="53"/>
  <c r="V219" i="53" s="1"/>
  <c r="S220" i="53" s="1"/>
  <c r="G195" i="61"/>
  <c r="N184" i="61" s="1"/>
  <c r="O19" i="76" s="1"/>
  <c r="S194" i="60"/>
  <c r="M195" i="60" s="1"/>
  <c r="J138" i="58"/>
  <c r="P138" i="53"/>
  <c r="H139" i="61" s="1"/>
  <c r="J193" i="110" l="1"/>
  <c r="J23" i="104"/>
  <c r="G208" i="98"/>
  <c r="G208" i="105"/>
  <c r="H208" i="105" s="1"/>
  <c r="P20" i="100"/>
  <c r="J207" i="98"/>
  <c r="K196" i="98" s="1"/>
  <c r="H23" i="90"/>
  <c r="J193" i="93"/>
  <c r="N193" i="89"/>
  <c r="P193" i="89" s="1"/>
  <c r="V207" i="89"/>
  <c r="S208" i="89" s="1"/>
  <c r="R208" i="89" s="1"/>
  <c r="G209" i="105" s="1"/>
  <c r="G208" i="91"/>
  <c r="R174" i="60"/>
  <c r="Q174" i="60" s="1"/>
  <c r="G175" i="65" s="1"/>
  <c r="G220" i="58"/>
  <c r="R220" i="53"/>
  <c r="V220" i="53" s="1"/>
  <c r="S221" i="53" s="1"/>
  <c r="O195" i="60"/>
  <c r="J139" i="61"/>
  <c r="G139" i="54"/>
  <c r="H139" i="58"/>
  <c r="T138" i="53"/>
  <c r="N139" i="53" s="1"/>
  <c r="G194" i="103" l="1"/>
  <c r="H194" i="103" s="1"/>
  <c r="J194" i="103" s="1"/>
  <c r="H194" i="110"/>
  <c r="H23" i="109"/>
  <c r="L23" i="109"/>
  <c r="M23" i="109" s="1"/>
  <c r="H23" i="104"/>
  <c r="L23" i="104"/>
  <c r="M23" i="104" s="1"/>
  <c r="J23" i="97"/>
  <c r="H208" i="98"/>
  <c r="J208" i="98" s="1"/>
  <c r="H208" i="91"/>
  <c r="J208" i="91" s="1"/>
  <c r="G209" i="91"/>
  <c r="G209" i="98"/>
  <c r="G194" i="86"/>
  <c r="H194" i="86" s="1"/>
  <c r="G194" i="93"/>
  <c r="H194" i="93" s="1"/>
  <c r="T193" i="89"/>
  <c r="V208" i="89"/>
  <c r="H175" i="65"/>
  <c r="J175" i="65" s="1"/>
  <c r="H139" i="54"/>
  <c r="J139" i="54" s="1"/>
  <c r="U174" i="60"/>
  <c r="R221" i="53"/>
  <c r="V221" i="53" s="1"/>
  <c r="S222" i="53" s="1"/>
  <c r="G221" i="58"/>
  <c r="G196" i="61"/>
  <c r="S195" i="60"/>
  <c r="M196" i="60" s="1"/>
  <c r="J139" i="58"/>
  <c r="P139" i="53"/>
  <c r="H140" i="61" s="1"/>
  <c r="J194" i="110" l="1"/>
  <c r="H23" i="97"/>
  <c r="L23" i="97"/>
  <c r="M23" i="97" s="1"/>
  <c r="H209" i="98"/>
  <c r="J209" i="98" s="1"/>
  <c r="H209" i="105"/>
  <c r="J208" i="105"/>
  <c r="H209" i="91"/>
  <c r="J209" i="91" s="1"/>
  <c r="J194" i="93"/>
  <c r="J194" i="86"/>
  <c r="N194" i="89"/>
  <c r="P194" i="89" s="1"/>
  <c r="S209" i="89"/>
  <c r="R209" i="89" s="1"/>
  <c r="R175" i="60"/>
  <c r="Q175" i="60" s="1"/>
  <c r="G176" i="65" s="1"/>
  <c r="R222" i="53"/>
  <c r="V222" i="53" s="1"/>
  <c r="S223" i="53" s="1"/>
  <c r="G222" i="58"/>
  <c r="O196" i="60"/>
  <c r="J140" i="61"/>
  <c r="G140" i="54"/>
  <c r="H140" i="58"/>
  <c r="T139" i="53"/>
  <c r="N140" i="53" s="1"/>
  <c r="G195" i="103" l="1"/>
  <c r="N184" i="103" s="1"/>
  <c r="G210" i="98"/>
  <c r="G210" i="105"/>
  <c r="H210" i="105" s="1"/>
  <c r="J209" i="105"/>
  <c r="G195" i="86"/>
  <c r="G195" i="93"/>
  <c r="Y184" i="93" s="1"/>
  <c r="O19" i="101" s="1"/>
  <c r="T194" i="89"/>
  <c r="N195" i="89" s="1"/>
  <c r="P195" i="89" s="1"/>
  <c r="V209" i="89"/>
  <c r="S210" i="89" s="1"/>
  <c r="R210" i="89" s="1"/>
  <c r="G211" i="105" s="1"/>
  <c r="G210" i="91"/>
  <c r="H176" i="65"/>
  <c r="J176" i="65" s="1"/>
  <c r="H140" i="54"/>
  <c r="J140" i="54" s="1"/>
  <c r="U175" i="60"/>
  <c r="R223" i="53"/>
  <c r="V223" i="53" s="1"/>
  <c r="S224" i="53" s="1"/>
  <c r="G223" i="58"/>
  <c r="G197" i="61"/>
  <c r="S196" i="60"/>
  <c r="M197" i="60" s="1"/>
  <c r="J140" i="58"/>
  <c r="P140" i="53"/>
  <c r="H141" i="61" s="1"/>
  <c r="H195" i="103" l="1"/>
  <c r="J195" i="103" s="1"/>
  <c r="K184" i="103" s="1"/>
  <c r="G196" i="103"/>
  <c r="Y184" i="103"/>
  <c r="O19" i="106" s="1"/>
  <c r="Y184" i="110"/>
  <c r="N184" i="110"/>
  <c r="H195" i="110"/>
  <c r="J195" i="110" s="1"/>
  <c r="H210" i="98"/>
  <c r="J210" i="98" s="1"/>
  <c r="H211" i="105"/>
  <c r="J210" i="105"/>
  <c r="N184" i="86"/>
  <c r="Y184" i="86"/>
  <c r="G211" i="91"/>
  <c r="G211" i="98"/>
  <c r="H195" i="86"/>
  <c r="J195" i="86" s="1"/>
  <c r="G196" i="86"/>
  <c r="G196" i="93"/>
  <c r="N184" i="93"/>
  <c r="H195" i="93"/>
  <c r="J195" i="93" s="1"/>
  <c r="T195" i="89"/>
  <c r="N196" i="89" s="1"/>
  <c r="P196" i="89" s="1"/>
  <c r="H210" i="91"/>
  <c r="V210" i="89"/>
  <c r="R176" i="60"/>
  <c r="Q176" i="60" s="1"/>
  <c r="G177" i="65" s="1"/>
  <c r="H177" i="65" s="1"/>
  <c r="R224" i="53"/>
  <c r="V224" i="53" s="1"/>
  <c r="S225" i="53" s="1"/>
  <c r="G224" i="58"/>
  <c r="O197" i="60"/>
  <c r="J141" i="61"/>
  <c r="G141" i="54"/>
  <c r="H141" i="54" s="1"/>
  <c r="H141" i="58"/>
  <c r="T140" i="53"/>
  <c r="N141" i="53" s="1"/>
  <c r="H196" i="103" l="1"/>
  <c r="J196" i="103" s="1"/>
  <c r="H196" i="110"/>
  <c r="K184" i="110"/>
  <c r="J22" i="108" s="1"/>
  <c r="G197" i="103"/>
  <c r="H211" i="98"/>
  <c r="J211" i="98" s="1"/>
  <c r="J22" i="102"/>
  <c r="J211" i="105"/>
  <c r="O19" i="100"/>
  <c r="H196" i="93"/>
  <c r="H196" i="86"/>
  <c r="J196" i="86" s="1"/>
  <c r="K184" i="86"/>
  <c r="K184" i="93"/>
  <c r="G197" i="86"/>
  <c r="G197" i="93"/>
  <c r="T196" i="89"/>
  <c r="H211" i="91"/>
  <c r="J210" i="91"/>
  <c r="S211" i="89"/>
  <c r="R211" i="89" s="1"/>
  <c r="G212" i="105" s="1"/>
  <c r="U176" i="60"/>
  <c r="J177" i="65"/>
  <c r="R225" i="53"/>
  <c r="V225" i="53" s="1"/>
  <c r="S226" i="53" s="1"/>
  <c r="G225" i="58"/>
  <c r="G198" i="61"/>
  <c r="S197" i="60"/>
  <c r="M198" i="60" s="1"/>
  <c r="J141" i="58"/>
  <c r="J141" i="54"/>
  <c r="P141" i="53"/>
  <c r="H142" i="61" s="1"/>
  <c r="H197" i="103" l="1"/>
  <c r="J197" i="103" s="1"/>
  <c r="J196" i="110"/>
  <c r="H197" i="110"/>
  <c r="H22" i="108"/>
  <c r="L22" i="108"/>
  <c r="M22" i="108" s="1"/>
  <c r="H22" i="102"/>
  <c r="L22" i="102"/>
  <c r="M22" i="102" s="1"/>
  <c r="J22" i="87"/>
  <c r="J22" i="92"/>
  <c r="H212" i="105"/>
  <c r="G212" i="91"/>
  <c r="H212" i="91" s="1"/>
  <c r="G212" i="98"/>
  <c r="H197" i="86"/>
  <c r="J197" i="86" s="1"/>
  <c r="J196" i="93"/>
  <c r="H197" i="93"/>
  <c r="N197" i="89"/>
  <c r="P197" i="89" s="1"/>
  <c r="J211" i="91"/>
  <c r="V211" i="89"/>
  <c r="S212" i="89" s="1"/>
  <c r="R212" i="89" s="1"/>
  <c r="G213" i="105" s="1"/>
  <c r="R177" i="60"/>
  <c r="Q177" i="60" s="1"/>
  <c r="G178" i="65" s="1"/>
  <c r="H178" i="65" s="1"/>
  <c r="R226" i="53"/>
  <c r="V226" i="53" s="1"/>
  <c r="S227" i="53" s="1"/>
  <c r="G226" i="58"/>
  <c r="O198" i="60"/>
  <c r="J142" i="61"/>
  <c r="G142" i="54"/>
  <c r="H142" i="54" s="1"/>
  <c r="H142" i="58"/>
  <c r="T141" i="53"/>
  <c r="N142" i="53" s="1"/>
  <c r="G198" i="103" l="1"/>
  <c r="H198" i="103" s="1"/>
  <c r="H198" i="110"/>
  <c r="J197" i="110"/>
  <c r="H22" i="87"/>
  <c r="L22" i="87"/>
  <c r="M22" i="87" s="1"/>
  <c r="H22" i="92"/>
  <c r="L22" i="92"/>
  <c r="M22" i="92" s="1"/>
  <c r="H212" i="98"/>
  <c r="J212" i="98" s="1"/>
  <c r="H213" i="105"/>
  <c r="J212" i="105"/>
  <c r="G213" i="91"/>
  <c r="H213" i="91" s="1"/>
  <c r="G213" i="98"/>
  <c r="J197" i="93"/>
  <c r="G198" i="86"/>
  <c r="G198" i="93"/>
  <c r="T197" i="89"/>
  <c r="J212" i="91"/>
  <c r="V212" i="89"/>
  <c r="S213" i="89" s="1"/>
  <c r="R213" i="89" s="1"/>
  <c r="G214" i="105" s="1"/>
  <c r="U177" i="60"/>
  <c r="J178" i="65"/>
  <c r="R227" i="53"/>
  <c r="V227" i="53" s="1"/>
  <c r="S228" i="53" s="1"/>
  <c r="G227" i="58"/>
  <c r="G199" i="61"/>
  <c r="S198" i="60"/>
  <c r="M199" i="60" s="1"/>
  <c r="J142" i="58"/>
  <c r="J142" i="54"/>
  <c r="P142" i="53"/>
  <c r="H143" i="61" s="1"/>
  <c r="J198" i="110" l="1"/>
  <c r="H213" i="98"/>
  <c r="J213" i="98" s="1"/>
  <c r="H214" i="105"/>
  <c r="J213" i="105"/>
  <c r="J198" i="103"/>
  <c r="H198" i="86"/>
  <c r="J198" i="86" s="1"/>
  <c r="G214" i="91"/>
  <c r="H214" i="91" s="1"/>
  <c r="G214" i="98"/>
  <c r="H198" i="93"/>
  <c r="N198" i="89"/>
  <c r="P198" i="89" s="1"/>
  <c r="J213" i="91"/>
  <c r="V213" i="89"/>
  <c r="R178" i="60"/>
  <c r="Q178" i="60" s="1"/>
  <c r="G179" i="65" s="1"/>
  <c r="H179" i="65" s="1"/>
  <c r="R228" i="53"/>
  <c r="V228" i="53" s="1"/>
  <c r="S229" i="53" s="1"/>
  <c r="G228" i="58"/>
  <c r="O199" i="60"/>
  <c r="J143" i="61"/>
  <c r="G143" i="54"/>
  <c r="H143" i="54" s="1"/>
  <c r="H143" i="58"/>
  <c r="T142" i="53"/>
  <c r="N143" i="53" s="1"/>
  <c r="G199" i="103" l="1"/>
  <c r="H199" i="103" s="1"/>
  <c r="H214" i="98"/>
  <c r="J214" i="98" s="1"/>
  <c r="J214" i="105"/>
  <c r="G199" i="86"/>
  <c r="H199" i="86" s="1"/>
  <c r="J199" i="86" s="1"/>
  <c r="G199" i="93"/>
  <c r="H199" i="93" s="1"/>
  <c r="J198" i="93"/>
  <c r="T198" i="89"/>
  <c r="J214" i="91"/>
  <c r="S214" i="89"/>
  <c r="R214" i="89" s="1"/>
  <c r="G215" i="105" s="1"/>
  <c r="U178" i="60"/>
  <c r="J179" i="65"/>
  <c r="R229" i="53"/>
  <c r="V229" i="53" s="1"/>
  <c r="S230" i="53" s="1"/>
  <c r="G229" i="58"/>
  <c r="G200" i="61"/>
  <c r="S199" i="60"/>
  <c r="M200" i="60" s="1"/>
  <c r="J143" i="58"/>
  <c r="J143" i="54"/>
  <c r="P143" i="53"/>
  <c r="H144" i="61" s="1"/>
  <c r="H199" i="110" l="1"/>
  <c r="H215" i="105"/>
  <c r="J199" i="103"/>
  <c r="G215" i="91"/>
  <c r="H215" i="91" s="1"/>
  <c r="J215" i="91" s="1"/>
  <c r="G215" i="98"/>
  <c r="H215" i="98" s="1"/>
  <c r="J199" i="93"/>
  <c r="N199" i="89"/>
  <c r="P199" i="89" s="1"/>
  <c r="V214" i="89"/>
  <c r="S215" i="89" s="1"/>
  <c r="R215" i="89" s="1"/>
  <c r="G216" i="105" s="1"/>
  <c r="R179" i="60"/>
  <c r="Q179" i="60" s="1"/>
  <c r="G180" i="65" s="1"/>
  <c r="H180" i="65" s="1"/>
  <c r="R230" i="53"/>
  <c r="V230" i="53" s="1"/>
  <c r="S231" i="53" s="1"/>
  <c r="G230" i="58"/>
  <c r="O200" i="60"/>
  <c r="J144" i="61"/>
  <c r="G144" i="54"/>
  <c r="H144" i="54" s="1"/>
  <c r="H144" i="58"/>
  <c r="T143" i="53"/>
  <c r="N144" i="53" s="1"/>
  <c r="G200" i="103" l="1"/>
  <c r="H200" i="103" s="1"/>
  <c r="H200" i="110"/>
  <c r="J199" i="110"/>
  <c r="H216" i="105"/>
  <c r="J215" i="105"/>
  <c r="G216" i="91"/>
  <c r="H216" i="91" s="1"/>
  <c r="J216" i="91" s="1"/>
  <c r="G216" i="98"/>
  <c r="H216" i="98" s="1"/>
  <c r="J215" i="98"/>
  <c r="G200" i="86"/>
  <c r="H200" i="86" s="1"/>
  <c r="J200" i="86" s="1"/>
  <c r="G200" i="93"/>
  <c r="H200" i="93" s="1"/>
  <c r="T199" i="89"/>
  <c r="V215" i="89"/>
  <c r="S216" i="89" s="1"/>
  <c r="R216" i="89" s="1"/>
  <c r="G217" i="105" s="1"/>
  <c r="U179" i="60"/>
  <c r="J180" i="65"/>
  <c r="R231" i="53"/>
  <c r="V231" i="53" s="1"/>
  <c r="S232" i="53" s="1"/>
  <c r="G231" i="58"/>
  <c r="N220" i="58" s="1"/>
  <c r="G201" i="61"/>
  <c r="S200" i="60"/>
  <c r="M201" i="60" s="1"/>
  <c r="J144" i="58"/>
  <c r="J144" i="54"/>
  <c r="P144" i="53"/>
  <c r="H145" i="61" s="1"/>
  <c r="J200" i="110" l="1"/>
  <c r="H217" i="105"/>
  <c r="J216" i="105"/>
  <c r="J200" i="103"/>
  <c r="J216" i="98"/>
  <c r="G217" i="91"/>
  <c r="H217" i="91" s="1"/>
  <c r="J217" i="91" s="1"/>
  <c r="G217" i="98"/>
  <c r="H217" i="98" s="1"/>
  <c r="J200" i="93"/>
  <c r="N200" i="89"/>
  <c r="P200" i="89" s="1"/>
  <c r="V216" i="89"/>
  <c r="P22" i="75"/>
  <c r="R180" i="60"/>
  <c r="Q180" i="60" s="1"/>
  <c r="G181" i="65" s="1"/>
  <c r="H181" i="65" s="1"/>
  <c r="G232" i="58"/>
  <c r="R232" i="53"/>
  <c r="G233" i="58" s="1"/>
  <c r="O201" i="60"/>
  <c r="J145" i="61"/>
  <c r="G145" i="54"/>
  <c r="H145" i="54" s="1"/>
  <c r="H145" i="58"/>
  <c r="T144" i="53"/>
  <c r="N145" i="53" s="1"/>
  <c r="G201" i="103" l="1"/>
  <c r="H201" i="103" s="1"/>
  <c r="J201" i="103" s="1"/>
  <c r="J217" i="105"/>
  <c r="J217" i="98"/>
  <c r="G201" i="86"/>
  <c r="H201" i="86" s="1"/>
  <c r="J201" i="86" s="1"/>
  <c r="G201" i="93"/>
  <c r="H201" i="93" s="1"/>
  <c r="T200" i="89"/>
  <c r="S217" i="89"/>
  <c r="R217" i="89" s="1"/>
  <c r="G218" i="105" s="1"/>
  <c r="H218" i="105" s="1"/>
  <c r="U180" i="60"/>
  <c r="J181" i="65"/>
  <c r="V232" i="53"/>
  <c r="S233" i="53" s="1"/>
  <c r="R233" i="53" s="1"/>
  <c r="V233" i="53" s="1"/>
  <c r="S234" i="53" s="1"/>
  <c r="G202" i="61"/>
  <c r="S201" i="60"/>
  <c r="M202" i="60" s="1"/>
  <c r="J145" i="58"/>
  <c r="J145" i="54"/>
  <c r="P145" i="53"/>
  <c r="H146" i="61" s="1"/>
  <c r="H201" i="110" l="1"/>
  <c r="J218" i="105"/>
  <c r="G218" i="91"/>
  <c r="H218" i="91" s="1"/>
  <c r="J218" i="91" s="1"/>
  <c r="G218" i="98"/>
  <c r="H218" i="98" s="1"/>
  <c r="J201" i="93"/>
  <c r="N201" i="89"/>
  <c r="P201" i="89" s="1"/>
  <c r="V217" i="89"/>
  <c r="R181" i="60"/>
  <c r="Q181" i="60" s="1"/>
  <c r="G182" i="65" s="1"/>
  <c r="H182" i="65" s="1"/>
  <c r="R234" i="53"/>
  <c r="V234" i="53" s="1"/>
  <c r="S235" i="53" s="1"/>
  <c r="G234" i="58"/>
  <c r="O202" i="60"/>
  <c r="J146" i="61"/>
  <c r="G146" i="54"/>
  <c r="H146" i="54" s="1"/>
  <c r="H146" i="58"/>
  <c r="T145" i="53"/>
  <c r="G202" i="103" l="1"/>
  <c r="H202" i="103" s="1"/>
  <c r="J202" i="103" s="1"/>
  <c r="H202" i="110"/>
  <c r="J201" i="110"/>
  <c r="J218" i="98"/>
  <c r="G202" i="86"/>
  <c r="H202" i="86" s="1"/>
  <c r="J202" i="86" s="1"/>
  <c r="G202" i="93"/>
  <c r="H202" i="93" s="1"/>
  <c r="T201" i="89"/>
  <c r="S218" i="89"/>
  <c r="R218" i="89" s="1"/>
  <c r="G219" i="105" s="1"/>
  <c r="U181" i="60"/>
  <c r="J182" i="65"/>
  <c r="R235" i="53"/>
  <c r="V235" i="53" s="1"/>
  <c r="S236" i="53" s="1"/>
  <c r="G235" i="58"/>
  <c r="G203" i="61"/>
  <c r="S202" i="60"/>
  <c r="M203" i="60" s="1"/>
  <c r="J146" i="58"/>
  <c r="J146" i="54"/>
  <c r="N146" i="53"/>
  <c r="P146" i="53" s="1"/>
  <c r="H147" i="61" s="1"/>
  <c r="J147" i="61" s="1"/>
  <c r="H148" i="61" s="1"/>
  <c r="J202" i="110" l="1"/>
  <c r="N208" i="105"/>
  <c r="Y208" i="105"/>
  <c r="P21" i="106" s="1"/>
  <c r="H219" i="105"/>
  <c r="G219" i="91"/>
  <c r="N208" i="91" s="1"/>
  <c r="G219" i="98"/>
  <c r="Y208" i="98" s="1"/>
  <c r="P21" i="101" s="1"/>
  <c r="J202" i="93"/>
  <c r="N202" i="89"/>
  <c r="P202" i="89" s="1"/>
  <c r="V218" i="89"/>
  <c r="R182" i="60"/>
  <c r="Q182" i="60" s="1"/>
  <c r="G183" i="65" s="1"/>
  <c r="N172" i="65" s="1"/>
  <c r="P18" i="76" s="1"/>
  <c r="R236" i="53"/>
  <c r="V236" i="53" s="1"/>
  <c r="S237" i="53" s="1"/>
  <c r="G236" i="58"/>
  <c r="O203" i="60"/>
  <c r="K136" i="61"/>
  <c r="J18" i="62" s="1"/>
  <c r="H18" i="62" s="1"/>
  <c r="G147" i="54"/>
  <c r="P136" i="54" s="1"/>
  <c r="H147" i="58"/>
  <c r="J147" i="58" s="1"/>
  <c r="T146" i="53"/>
  <c r="G203" i="103" l="1"/>
  <c r="H203" i="103" s="1"/>
  <c r="J203" i="103" s="1"/>
  <c r="H203" i="110"/>
  <c r="L18" i="62"/>
  <c r="M18" i="62" s="1"/>
  <c r="J219" i="105"/>
  <c r="K208" i="105" s="1"/>
  <c r="H219" i="91"/>
  <c r="J219" i="91" s="1"/>
  <c r="K208" i="91" s="1"/>
  <c r="J24" i="90" s="1"/>
  <c r="L24" i="90" s="1"/>
  <c r="M24" i="90" s="1"/>
  <c r="Y208" i="91"/>
  <c r="N208" i="98"/>
  <c r="H219" i="98"/>
  <c r="G203" i="86"/>
  <c r="H203" i="86" s="1"/>
  <c r="J203" i="86" s="1"/>
  <c r="G203" i="93"/>
  <c r="H203" i="93" s="1"/>
  <c r="T202" i="89"/>
  <c r="N203" i="89" s="1"/>
  <c r="P203" i="89" s="1"/>
  <c r="S219" i="89"/>
  <c r="R219" i="89" s="1"/>
  <c r="H183" i="65"/>
  <c r="J183" i="65" s="1"/>
  <c r="K172" i="65" s="1"/>
  <c r="O15" i="75"/>
  <c r="H147" i="54"/>
  <c r="J147" i="54" s="1"/>
  <c r="U182" i="60"/>
  <c r="R237" i="53"/>
  <c r="V237" i="53" s="1"/>
  <c r="S238" i="53" s="1"/>
  <c r="G237" i="58"/>
  <c r="G204" i="61"/>
  <c r="S203" i="60"/>
  <c r="M204" i="60" s="1"/>
  <c r="K136" i="58"/>
  <c r="J18" i="59" s="1"/>
  <c r="N147" i="53"/>
  <c r="P147" i="53" s="1"/>
  <c r="J203" i="110" l="1"/>
  <c r="G204" i="103"/>
  <c r="H204" i="103" s="1"/>
  <c r="J204" i="103" s="1"/>
  <c r="H204" i="110"/>
  <c r="L18" i="59"/>
  <c r="M18" i="59" s="1"/>
  <c r="F14" i="114" s="1"/>
  <c r="H18" i="59"/>
  <c r="J24" i="104"/>
  <c r="J21" i="66"/>
  <c r="H21" i="66" s="1"/>
  <c r="G220" i="98"/>
  <c r="G220" i="105"/>
  <c r="H220" i="105" s="1"/>
  <c r="P21" i="100"/>
  <c r="J219" i="98"/>
  <c r="K208" i="98" s="1"/>
  <c r="H24" i="90"/>
  <c r="G204" i="86"/>
  <c r="H204" i="86" s="1"/>
  <c r="J204" i="86" s="1"/>
  <c r="G204" i="93"/>
  <c r="H204" i="93" s="1"/>
  <c r="J203" i="93"/>
  <c r="T203" i="89"/>
  <c r="V219" i="89"/>
  <c r="S220" i="89" s="1"/>
  <c r="R220" i="89" s="1"/>
  <c r="G221" i="105" s="1"/>
  <c r="G220" i="91"/>
  <c r="R183" i="60"/>
  <c r="Q183" i="60" s="1"/>
  <c r="G184" i="65" s="1"/>
  <c r="R238" i="53"/>
  <c r="V238" i="53" s="1"/>
  <c r="S239" i="53" s="1"/>
  <c r="G238" i="58"/>
  <c r="O204" i="60"/>
  <c r="J148" i="61"/>
  <c r="G148" i="54"/>
  <c r="H148" i="58"/>
  <c r="K136" i="54"/>
  <c r="J18" i="55" s="1"/>
  <c r="T147" i="53"/>
  <c r="J204" i="110" l="1"/>
  <c r="L24" i="109"/>
  <c r="M24" i="109" s="1"/>
  <c r="H24" i="109"/>
  <c r="L18" i="55"/>
  <c r="M18" i="55" s="1"/>
  <c r="E14" i="114" s="1"/>
  <c r="H18" i="55"/>
  <c r="H24" i="104"/>
  <c r="L24" i="104"/>
  <c r="M24" i="104" s="1"/>
  <c r="J24" i="97"/>
  <c r="L21" i="66"/>
  <c r="M21" i="66" s="1"/>
  <c r="H220" i="98"/>
  <c r="J220" i="98" s="1"/>
  <c r="H220" i="91"/>
  <c r="J220" i="91" s="1"/>
  <c r="G221" i="91"/>
  <c r="G221" i="98"/>
  <c r="J204" i="93"/>
  <c r="N204" i="89"/>
  <c r="P204" i="89" s="1"/>
  <c r="V220" i="89"/>
  <c r="H184" i="65"/>
  <c r="J184" i="65" s="1"/>
  <c r="H148" i="54"/>
  <c r="J148" i="54" s="1"/>
  <c r="U183" i="60"/>
  <c r="R239" i="53"/>
  <c r="V239" i="53" s="1"/>
  <c r="S240" i="53" s="1"/>
  <c r="G239" i="58"/>
  <c r="G205" i="61"/>
  <c r="S204" i="60"/>
  <c r="M205" i="60" s="1"/>
  <c r="J148" i="58"/>
  <c r="N148" i="53"/>
  <c r="P148" i="53" s="1"/>
  <c r="H149" i="61" s="1"/>
  <c r="G205" i="103" l="1"/>
  <c r="H205" i="103" s="1"/>
  <c r="J205" i="103" s="1"/>
  <c r="H205" i="110"/>
  <c r="H24" i="97"/>
  <c r="L24" i="97"/>
  <c r="M24" i="97" s="1"/>
  <c r="H221" i="105"/>
  <c r="J220" i="105"/>
  <c r="H221" i="91"/>
  <c r="J221" i="91" s="1"/>
  <c r="H221" i="98"/>
  <c r="G205" i="86"/>
  <c r="H205" i="86" s="1"/>
  <c r="J205" i="86" s="1"/>
  <c r="G205" i="93"/>
  <c r="H205" i="93" s="1"/>
  <c r="T204" i="89"/>
  <c r="S221" i="89"/>
  <c r="R221" i="89" s="1"/>
  <c r="R184" i="60"/>
  <c r="Q184" i="60" s="1"/>
  <c r="G185" i="65" s="1"/>
  <c r="R240" i="53"/>
  <c r="V240" i="53" s="1"/>
  <c r="S241" i="53" s="1"/>
  <c r="G240" i="58"/>
  <c r="O205" i="60"/>
  <c r="J149" i="61"/>
  <c r="G149" i="54"/>
  <c r="H149" i="58"/>
  <c r="T148" i="53"/>
  <c r="N149" i="53" s="1"/>
  <c r="J205" i="110" l="1"/>
  <c r="G222" i="98"/>
  <c r="G222" i="105"/>
  <c r="H222" i="105" s="1"/>
  <c r="J221" i="105"/>
  <c r="J221" i="98"/>
  <c r="J205" i="93"/>
  <c r="N205" i="89"/>
  <c r="P205" i="89" s="1"/>
  <c r="V221" i="89"/>
  <c r="S222" i="89" s="1"/>
  <c r="R222" i="89" s="1"/>
  <c r="G223" i="105" s="1"/>
  <c r="G222" i="91"/>
  <c r="H185" i="65"/>
  <c r="J185" i="65" s="1"/>
  <c r="H149" i="54"/>
  <c r="J149" i="54" s="1"/>
  <c r="U184" i="60"/>
  <c r="R241" i="53"/>
  <c r="V241" i="53" s="1"/>
  <c r="S242" i="53" s="1"/>
  <c r="G241" i="58"/>
  <c r="G206" i="61"/>
  <c r="S205" i="60"/>
  <c r="M206" i="60" s="1"/>
  <c r="J149" i="58"/>
  <c r="P149" i="53"/>
  <c r="H150" i="61" s="1"/>
  <c r="G206" i="103" l="1"/>
  <c r="H206" i="103" s="1"/>
  <c r="J206" i="103" s="1"/>
  <c r="H206" i="110"/>
  <c r="H222" i="98"/>
  <c r="J222" i="98" s="1"/>
  <c r="H223" i="105"/>
  <c r="J222" i="105"/>
  <c r="H222" i="91"/>
  <c r="J222" i="91" s="1"/>
  <c r="G223" i="91"/>
  <c r="G223" i="98"/>
  <c r="G206" i="86"/>
  <c r="H206" i="86" s="1"/>
  <c r="J206" i="86" s="1"/>
  <c r="G206" i="93"/>
  <c r="H206" i="93" s="1"/>
  <c r="T205" i="89"/>
  <c r="V222" i="89"/>
  <c r="R185" i="60"/>
  <c r="Q185" i="60" s="1"/>
  <c r="G186" i="65" s="1"/>
  <c r="R242" i="53"/>
  <c r="V242" i="53" s="1"/>
  <c r="G242" i="58"/>
  <c r="O206" i="60"/>
  <c r="J150" i="61"/>
  <c r="G150" i="54"/>
  <c r="H150" i="58"/>
  <c r="T149" i="53"/>
  <c r="N150" i="53" s="1"/>
  <c r="J206" i="110" l="1"/>
  <c r="H223" i="98"/>
  <c r="J223" i="98" s="1"/>
  <c r="J223" i="105"/>
  <c r="H223" i="91"/>
  <c r="J223" i="91" s="1"/>
  <c r="J206" i="93"/>
  <c r="N206" i="89"/>
  <c r="P206" i="89" s="1"/>
  <c r="S223" i="89"/>
  <c r="R223" i="89" s="1"/>
  <c r="G224" i="105" s="1"/>
  <c r="H186" i="65"/>
  <c r="J186" i="65" s="1"/>
  <c r="H150" i="54"/>
  <c r="J150" i="54" s="1"/>
  <c r="U185" i="60"/>
  <c r="G243" i="58"/>
  <c r="G207" i="61"/>
  <c r="N196" i="61" s="1"/>
  <c r="O20" i="76" s="1"/>
  <c r="S206" i="60"/>
  <c r="M207" i="60" s="1"/>
  <c r="J150" i="58"/>
  <c r="P150" i="53"/>
  <c r="H151" i="61" s="1"/>
  <c r="G207" i="103" l="1"/>
  <c r="H207" i="103" s="1"/>
  <c r="J207" i="103" s="1"/>
  <c r="H224" i="105"/>
  <c r="G224" i="91"/>
  <c r="G224" i="98"/>
  <c r="H224" i="98" s="1"/>
  <c r="G207" i="86"/>
  <c r="G207" i="93"/>
  <c r="Y196" i="93" s="1"/>
  <c r="O20" i="101" s="1"/>
  <c r="T206" i="89"/>
  <c r="V223" i="89"/>
  <c r="S224" i="89" s="1"/>
  <c r="R224" i="89" s="1"/>
  <c r="G225" i="105" s="1"/>
  <c r="N232" i="58"/>
  <c r="R186" i="60"/>
  <c r="Q186" i="60" s="1"/>
  <c r="G187" i="65" s="1"/>
  <c r="O207" i="60"/>
  <c r="J151" i="61"/>
  <c r="G151" i="54"/>
  <c r="H151" i="58"/>
  <c r="T150" i="53"/>
  <c r="N151" i="53" s="1"/>
  <c r="N196" i="103" l="1"/>
  <c r="Y196" i="103"/>
  <c r="O20" i="106" s="1"/>
  <c r="Y196" i="110"/>
  <c r="N196" i="110"/>
  <c r="H207" i="110"/>
  <c r="J207" i="110" s="1"/>
  <c r="H225" i="105"/>
  <c r="J224" i="105"/>
  <c r="K196" i="103"/>
  <c r="N196" i="86"/>
  <c r="Y196" i="86"/>
  <c r="H224" i="91"/>
  <c r="J224" i="91" s="1"/>
  <c r="G225" i="91"/>
  <c r="G225" i="98"/>
  <c r="H225" i="98" s="1"/>
  <c r="J224" i="98"/>
  <c r="H207" i="86"/>
  <c r="J207" i="86" s="1"/>
  <c r="K196" i="86" s="1"/>
  <c r="J23" i="87" s="1"/>
  <c r="L23" i="87" s="1"/>
  <c r="M23" i="87" s="1"/>
  <c r="N196" i="93"/>
  <c r="H207" i="93"/>
  <c r="J207" i="93" s="1"/>
  <c r="N207" i="89"/>
  <c r="P207" i="89" s="1"/>
  <c r="V224" i="89"/>
  <c r="S225" i="89" s="1"/>
  <c r="R225" i="89" s="1"/>
  <c r="G226" i="105" s="1"/>
  <c r="P23" i="75"/>
  <c r="H187" i="65"/>
  <c r="J187" i="65" s="1"/>
  <c r="H151" i="54"/>
  <c r="J151" i="54" s="1"/>
  <c r="U186" i="60"/>
  <c r="G208" i="61"/>
  <c r="S207" i="60"/>
  <c r="M208" i="60" s="1"/>
  <c r="J151" i="58"/>
  <c r="P151" i="53"/>
  <c r="H152" i="61" s="1"/>
  <c r="G208" i="103" l="1"/>
  <c r="H208" i="103" s="1"/>
  <c r="H208" i="110"/>
  <c r="K196" i="110"/>
  <c r="J23" i="108" s="1"/>
  <c r="J23" i="102"/>
  <c r="H226" i="105"/>
  <c r="J225" i="105"/>
  <c r="H23" i="87"/>
  <c r="O20" i="100"/>
  <c r="H225" i="91"/>
  <c r="J225" i="91" s="1"/>
  <c r="J225" i="98"/>
  <c r="G226" i="91"/>
  <c r="G226" i="98"/>
  <c r="H226" i="98" s="1"/>
  <c r="K196" i="93"/>
  <c r="G208" i="86"/>
  <c r="G208" i="93"/>
  <c r="T207" i="89"/>
  <c r="V225" i="89"/>
  <c r="R187" i="60"/>
  <c r="Q187" i="60" s="1"/>
  <c r="G188" i="65" s="1"/>
  <c r="O208" i="60"/>
  <c r="J152" i="61"/>
  <c r="G152" i="54"/>
  <c r="H152" i="58"/>
  <c r="T151" i="53"/>
  <c r="N152" i="53" s="1"/>
  <c r="J208" i="110" l="1"/>
  <c r="H23" i="108"/>
  <c r="L23" i="108"/>
  <c r="M23" i="108" s="1"/>
  <c r="H23" i="102"/>
  <c r="L23" i="102"/>
  <c r="M23" i="102" s="1"/>
  <c r="J23" i="92"/>
  <c r="J226" i="105"/>
  <c r="J208" i="103"/>
  <c r="H208" i="86"/>
  <c r="J208" i="86" s="1"/>
  <c r="H226" i="91"/>
  <c r="J226" i="91" s="1"/>
  <c r="H208" i="93"/>
  <c r="J226" i="98"/>
  <c r="N208" i="89"/>
  <c r="P208" i="89" s="1"/>
  <c r="S226" i="89"/>
  <c r="R226" i="89" s="1"/>
  <c r="G227" i="105" s="1"/>
  <c r="H227" i="105" s="1"/>
  <c r="H188" i="65"/>
  <c r="J188" i="65" s="1"/>
  <c r="H152" i="54"/>
  <c r="J152" i="54" s="1"/>
  <c r="U187" i="60"/>
  <c r="G209" i="61"/>
  <c r="S208" i="60"/>
  <c r="M209" i="60" s="1"/>
  <c r="J152" i="58"/>
  <c r="P152" i="53"/>
  <c r="H153" i="61" s="1"/>
  <c r="G209" i="103" l="1"/>
  <c r="H209" i="103" s="1"/>
  <c r="H23" i="92"/>
  <c r="L23" i="92"/>
  <c r="M23" i="92" s="1"/>
  <c r="J227" i="105"/>
  <c r="G227" i="91"/>
  <c r="H227" i="91" s="1"/>
  <c r="J227" i="91" s="1"/>
  <c r="G227" i="98"/>
  <c r="H227" i="98" s="1"/>
  <c r="J208" i="93"/>
  <c r="G209" i="86"/>
  <c r="G209" i="93"/>
  <c r="T208" i="89"/>
  <c r="V226" i="89"/>
  <c r="R188" i="60"/>
  <c r="Q188" i="60" s="1"/>
  <c r="G189" i="65" s="1"/>
  <c r="H189" i="65" s="1"/>
  <c r="O209" i="60"/>
  <c r="J153" i="61"/>
  <c r="G153" i="54"/>
  <c r="H153" i="54" s="1"/>
  <c r="H153" i="58"/>
  <c r="T152" i="53"/>
  <c r="N153" i="53" s="1"/>
  <c r="H209" i="110" l="1"/>
  <c r="J209" i="103"/>
  <c r="H209" i="86"/>
  <c r="J209" i="86" s="1"/>
  <c r="J227" i="98"/>
  <c r="H209" i="93"/>
  <c r="N209" i="89"/>
  <c r="P209" i="89" s="1"/>
  <c r="S227" i="89"/>
  <c r="R227" i="89" s="1"/>
  <c r="G228" i="105" s="1"/>
  <c r="H228" i="105" s="1"/>
  <c r="U188" i="60"/>
  <c r="J189" i="65"/>
  <c r="G210" i="61"/>
  <c r="S209" i="60"/>
  <c r="M210" i="60" s="1"/>
  <c r="J153" i="58"/>
  <c r="J153" i="54"/>
  <c r="P153" i="53"/>
  <c r="H154" i="61" s="1"/>
  <c r="G210" i="103" l="1"/>
  <c r="H210" i="103" s="1"/>
  <c r="H210" i="110"/>
  <c r="J209" i="110"/>
  <c r="J228" i="105"/>
  <c r="G228" i="91"/>
  <c r="H228" i="91" s="1"/>
  <c r="J228" i="91" s="1"/>
  <c r="G228" i="98"/>
  <c r="H228" i="98" s="1"/>
  <c r="G210" i="86"/>
  <c r="G210" i="93"/>
  <c r="J209" i="93"/>
  <c r="T209" i="89"/>
  <c r="V227" i="89"/>
  <c r="S228" i="89" s="1"/>
  <c r="R228" i="89" s="1"/>
  <c r="G229" i="105" s="1"/>
  <c r="H229" i="105" s="1"/>
  <c r="R189" i="60"/>
  <c r="Q189" i="60" s="1"/>
  <c r="G190" i="65" s="1"/>
  <c r="H190" i="65" s="1"/>
  <c r="O210" i="60"/>
  <c r="J154" i="61"/>
  <c r="G154" i="54"/>
  <c r="H154" i="54" s="1"/>
  <c r="H154" i="58"/>
  <c r="T153" i="53"/>
  <c r="N154" i="53" s="1"/>
  <c r="J210" i="110" l="1"/>
  <c r="J229" i="105"/>
  <c r="J210" i="103"/>
  <c r="H210" i="86"/>
  <c r="J210" i="86" s="1"/>
  <c r="H210" i="93"/>
  <c r="J210" i="93" s="1"/>
  <c r="G229" i="91"/>
  <c r="H229" i="91" s="1"/>
  <c r="J229" i="91" s="1"/>
  <c r="G229" i="98"/>
  <c r="H229" i="98" s="1"/>
  <c r="J228" i="98"/>
  <c r="N210" i="89"/>
  <c r="P210" i="89" s="1"/>
  <c r="V228" i="89"/>
  <c r="S229" i="89" s="1"/>
  <c r="R229" i="89" s="1"/>
  <c r="G230" i="105" s="1"/>
  <c r="H230" i="105" s="1"/>
  <c r="U189" i="60"/>
  <c r="J190" i="65"/>
  <c r="G211" i="61"/>
  <c r="S210" i="60"/>
  <c r="M211" i="60" s="1"/>
  <c r="J154" i="58"/>
  <c r="J154" i="54"/>
  <c r="P154" i="53"/>
  <c r="H155" i="61" s="1"/>
  <c r="G211" i="103" l="1"/>
  <c r="H211" i="103" s="1"/>
  <c r="J230" i="105"/>
  <c r="G230" i="91"/>
  <c r="H230" i="91" s="1"/>
  <c r="J230" i="91" s="1"/>
  <c r="G230" i="98"/>
  <c r="H230" i="98" s="1"/>
  <c r="J229" i="98"/>
  <c r="G211" i="86"/>
  <c r="G211" i="93"/>
  <c r="T210" i="89"/>
  <c r="V229" i="89"/>
  <c r="R190" i="60"/>
  <c r="Q190" i="60" s="1"/>
  <c r="G191" i="65" s="1"/>
  <c r="H191" i="65" s="1"/>
  <c r="O211" i="60"/>
  <c r="J155" i="61"/>
  <c r="G155" i="54"/>
  <c r="H155" i="54" s="1"/>
  <c r="H155" i="58"/>
  <c r="T154" i="53"/>
  <c r="N155" i="53" s="1"/>
  <c r="H211" i="110" l="1"/>
  <c r="J211" i="103"/>
  <c r="H211" i="86"/>
  <c r="J211" i="86" s="1"/>
  <c r="H211" i="93"/>
  <c r="J211" i="93" s="1"/>
  <c r="J230" i="98"/>
  <c r="N211" i="89"/>
  <c r="P211" i="89" s="1"/>
  <c r="S230" i="89"/>
  <c r="R230" i="89" s="1"/>
  <c r="G231" i="105" s="1"/>
  <c r="U190" i="60"/>
  <c r="J191" i="65"/>
  <c r="G212" i="61"/>
  <c r="S211" i="60"/>
  <c r="M212" i="60" s="1"/>
  <c r="J155" i="58"/>
  <c r="J155" i="54"/>
  <c r="P155" i="53"/>
  <c r="H156" i="61" s="1"/>
  <c r="G212" i="103" l="1"/>
  <c r="H212" i="103" s="1"/>
  <c r="H212" i="110"/>
  <c r="J211" i="110"/>
  <c r="Y220" i="105"/>
  <c r="P22" i="106" s="1"/>
  <c r="N220" i="105"/>
  <c r="H231" i="105"/>
  <c r="G231" i="91"/>
  <c r="G231" i="98"/>
  <c r="Y220" i="98" s="1"/>
  <c r="P22" i="101" s="1"/>
  <c r="G212" i="86"/>
  <c r="G212" i="93"/>
  <c r="H212" i="93" s="1"/>
  <c r="T211" i="89"/>
  <c r="V230" i="89"/>
  <c r="R191" i="60"/>
  <c r="Q191" i="60" s="1"/>
  <c r="G192" i="65" s="1"/>
  <c r="H192" i="65" s="1"/>
  <c r="O212" i="60"/>
  <c r="J156" i="61"/>
  <c r="G156" i="54"/>
  <c r="H156" i="54" s="1"/>
  <c r="H156" i="58"/>
  <c r="T155" i="53"/>
  <c r="N156" i="53" s="1"/>
  <c r="J212" i="110" l="1"/>
  <c r="J231" i="105"/>
  <c r="K220" i="105" s="1"/>
  <c r="J212" i="103"/>
  <c r="H212" i="86"/>
  <c r="J212" i="86" s="1"/>
  <c r="N220" i="91"/>
  <c r="Y220" i="91"/>
  <c r="H231" i="91"/>
  <c r="J231" i="91" s="1"/>
  <c r="K220" i="91" s="1"/>
  <c r="J25" i="90" s="1"/>
  <c r="L25" i="90" s="1"/>
  <c r="M25" i="90" s="1"/>
  <c r="N220" i="98"/>
  <c r="H231" i="98"/>
  <c r="J212" i="93"/>
  <c r="N212" i="89"/>
  <c r="P212" i="89" s="1"/>
  <c r="S231" i="89"/>
  <c r="R231" i="89" s="1"/>
  <c r="U191" i="60"/>
  <c r="J192" i="65"/>
  <c r="G213" i="61"/>
  <c r="S212" i="60"/>
  <c r="M213" i="60" s="1"/>
  <c r="J156" i="58"/>
  <c r="J156" i="54"/>
  <c r="P156" i="53"/>
  <c r="H157" i="61" s="1"/>
  <c r="G213" i="103" l="1"/>
  <c r="H213" i="103" s="1"/>
  <c r="J213" i="103" s="1"/>
  <c r="H213" i="110"/>
  <c r="J25" i="104"/>
  <c r="G232" i="98"/>
  <c r="G232" i="105"/>
  <c r="H232" i="105" s="1"/>
  <c r="P22" i="100"/>
  <c r="J231" i="98"/>
  <c r="K220" i="98" s="1"/>
  <c r="H25" i="90"/>
  <c r="G213" i="86"/>
  <c r="H213" i="86" s="1"/>
  <c r="J213" i="86" s="1"/>
  <c r="G213" i="93"/>
  <c r="H213" i="93" s="1"/>
  <c r="T212" i="89"/>
  <c r="V231" i="89"/>
  <c r="S232" i="89" s="1"/>
  <c r="R232" i="89" s="1"/>
  <c r="G233" i="105" s="1"/>
  <c r="G232" i="91"/>
  <c r="R192" i="60"/>
  <c r="Q192" i="60" s="1"/>
  <c r="G193" i="65" s="1"/>
  <c r="H193" i="65" s="1"/>
  <c r="O213" i="60"/>
  <c r="J157" i="61"/>
  <c r="G157" i="54"/>
  <c r="H157" i="54" s="1"/>
  <c r="H157" i="58"/>
  <c r="T156" i="53"/>
  <c r="N157" i="53" s="1"/>
  <c r="J213" i="110" l="1"/>
  <c r="H25" i="109"/>
  <c r="L25" i="109"/>
  <c r="M25" i="109" s="1"/>
  <c r="H25" i="104"/>
  <c r="L25" i="104"/>
  <c r="M25" i="104" s="1"/>
  <c r="J25" i="97"/>
  <c r="H232" i="98"/>
  <c r="J232" i="98" s="1"/>
  <c r="H232" i="91"/>
  <c r="J232" i="91" s="1"/>
  <c r="G233" i="91"/>
  <c r="G233" i="98"/>
  <c r="J213" i="93"/>
  <c r="N213" i="89"/>
  <c r="P213" i="89" s="1"/>
  <c r="V232" i="89"/>
  <c r="S233" i="89" s="1"/>
  <c r="R233" i="89" s="1"/>
  <c r="G234" i="105" s="1"/>
  <c r="U192" i="60"/>
  <c r="J193" i="65"/>
  <c r="G214" i="61"/>
  <c r="S213" i="60"/>
  <c r="M214" i="60" s="1"/>
  <c r="J157" i="58"/>
  <c r="J157" i="54"/>
  <c r="P157" i="53"/>
  <c r="H158" i="61" s="1"/>
  <c r="G214" i="103" l="1"/>
  <c r="H214" i="103" s="1"/>
  <c r="J214" i="103" s="1"/>
  <c r="H214" i="110"/>
  <c r="H25" i="97"/>
  <c r="L25" i="97"/>
  <c r="M25" i="97" s="1"/>
  <c r="H233" i="98"/>
  <c r="J233" i="98" s="1"/>
  <c r="H233" i="105"/>
  <c r="J232" i="105"/>
  <c r="H233" i="91"/>
  <c r="J233" i="91" s="1"/>
  <c r="G234" i="91"/>
  <c r="G234" i="98"/>
  <c r="G214" i="86"/>
  <c r="H214" i="86" s="1"/>
  <c r="J214" i="86" s="1"/>
  <c r="G214" i="93"/>
  <c r="H214" i="93" s="1"/>
  <c r="T213" i="89"/>
  <c r="V233" i="89"/>
  <c r="S234" i="89" s="1"/>
  <c r="R234" i="89" s="1"/>
  <c r="G235" i="105" s="1"/>
  <c r="R193" i="60"/>
  <c r="Q193" i="60" s="1"/>
  <c r="G194" i="65" s="1"/>
  <c r="H194" i="65" s="1"/>
  <c r="O214" i="60"/>
  <c r="J158" i="61"/>
  <c r="G158" i="54"/>
  <c r="H158" i="54" s="1"/>
  <c r="H158" i="58"/>
  <c r="T157" i="53"/>
  <c r="J214" i="110" l="1"/>
  <c r="J233" i="105"/>
  <c r="H234" i="105"/>
  <c r="H234" i="91"/>
  <c r="J234" i="91" s="1"/>
  <c r="G235" i="91"/>
  <c r="G235" i="98"/>
  <c r="H234" i="98"/>
  <c r="J214" i="93"/>
  <c r="N214" i="89"/>
  <c r="P214" i="89" s="1"/>
  <c r="V234" i="89"/>
  <c r="S235" i="89" s="1"/>
  <c r="R235" i="89" s="1"/>
  <c r="G236" i="105" s="1"/>
  <c r="U193" i="60"/>
  <c r="J194" i="65"/>
  <c r="G215" i="61"/>
  <c r="S214" i="60"/>
  <c r="M215" i="60" s="1"/>
  <c r="J158" i="58"/>
  <c r="J158" i="54"/>
  <c r="N158" i="53"/>
  <c r="P158" i="53" s="1"/>
  <c r="H159" i="61" s="1"/>
  <c r="J159" i="61" s="1"/>
  <c r="H160" i="61" s="1"/>
  <c r="G215" i="103" l="1"/>
  <c r="H215" i="103" s="1"/>
  <c r="H215" i="110"/>
  <c r="H235" i="105"/>
  <c r="J234" i="105"/>
  <c r="J215" i="103"/>
  <c r="H235" i="91"/>
  <c r="J235" i="91" s="1"/>
  <c r="H235" i="98"/>
  <c r="J234" i="98"/>
  <c r="G236" i="91"/>
  <c r="G236" i="98"/>
  <c r="G215" i="86"/>
  <c r="H215" i="86" s="1"/>
  <c r="J215" i="86" s="1"/>
  <c r="G215" i="93"/>
  <c r="H215" i="93" s="1"/>
  <c r="T214" i="89"/>
  <c r="V235" i="89"/>
  <c r="S236" i="89" s="1"/>
  <c r="R236" i="89" s="1"/>
  <c r="G237" i="105" s="1"/>
  <c r="R194" i="60"/>
  <c r="Q194" i="60" s="1"/>
  <c r="G195" i="65" s="1"/>
  <c r="N184" i="65" s="1"/>
  <c r="P19" i="76" s="1"/>
  <c r="O215" i="60"/>
  <c r="K148" i="61"/>
  <c r="J19" i="62" s="1"/>
  <c r="H19" i="62" s="1"/>
  <c r="G159" i="54"/>
  <c r="P148" i="54" s="1"/>
  <c r="H159" i="58"/>
  <c r="J159" i="58" s="1"/>
  <c r="T158" i="53"/>
  <c r="J215" i="110" l="1"/>
  <c r="L19" i="62"/>
  <c r="M19" i="62" s="1"/>
  <c r="J235" i="105"/>
  <c r="H236" i="105"/>
  <c r="H236" i="91"/>
  <c r="J236" i="91" s="1"/>
  <c r="G237" i="91"/>
  <c r="G237" i="98"/>
  <c r="J235" i="98"/>
  <c r="H236" i="98"/>
  <c r="J215" i="93"/>
  <c r="N215" i="89"/>
  <c r="P215" i="89" s="1"/>
  <c r="V236" i="89"/>
  <c r="S237" i="89" s="1"/>
  <c r="R237" i="89" s="1"/>
  <c r="G238" i="105" s="1"/>
  <c r="H195" i="65"/>
  <c r="J195" i="65" s="1"/>
  <c r="K184" i="65" s="1"/>
  <c r="O16" i="75"/>
  <c r="H159" i="54"/>
  <c r="J159" i="54" s="1"/>
  <c r="K148" i="54" s="1"/>
  <c r="J19" i="55" s="1"/>
  <c r="U194" i="60"/>
  <c r="G216" i="61"/>
  <c r="S215" i="60"/>
  <c r="M216" i="60" s="1"/>
  <c r="K148" i="58"/>
  <c r="J19" i="59" s="1"/>
  <c r="N159" i="53"/>
  <c r="P159" i="53" s="1"/>
  <c r="G216" i="103" l="1"/>
  <c r="H216" i="103" s="1"/>
  <c r="J216" i="103" s="1"/>
  <c r="H216" i="110"/>
  <c r="L19" i="59"/>
  <c r="M19" i="59" s="1"/>
  <c r="F15" i="114" s="1"/>
  <c r="H19" i="59"/>
  <c r="L19" i="55"/>
  <c r="M19" i="55" s="1"/>
  <c r="E15" i="114" s="1"/>
  <c r="H19" i="55"/>
  <c r="J22" i="66"/>
  <c r="H22" i="66" s="1"/>
  <c r="H237" i="105"/>
  <c r="J236" i="105"/>
  <c r="H237" i="91"/>
  <c r="J237" i="91" s="1"/>
  <c r="H237" i="98"/>
  <c r="J236" i="98"/>
  <c r="G238" i="91"/>
  <c r="G238" i="98"/>
  <c r="G216" i="86"/>
  <c r="H216" i="86" s="1"/>
  <c r="J216" i="86" s="1"/>
  <c r="G216" i="93"/>
  <c r="H216" i="93" s="1"/>
  <c r="T215" i="89"/>
  <c r="V237" i="89"/>
  <c r="S238" i="89" s="1"/>
  <c r="R238" i="89" s="1"/>
  <c r="G239" i="105" s="1"/>
  <c r="R195" i="60"/>
  <c r="Q195" i="60" s="1"/>
  <c r="G196" i="65" s="1"/>
  <c r="O216" i="60"/>
  <c r="J160" i="61"/>
  <c r="G160" i="54"/>
  <c r="H160" i="58"/>
  <c r="T159" i="53"/>
  <c r="J216" i="110" l="1"/>
  <c r="L22" i="66"/>
  <c r="M22" i="66" s="1"/>
  <c r="J237" i="105"/>
  <c r="H238" i="105"/>
  <c r="H238" i="91"/>
  <c r="J238" i="91" s="1"/>
  <c r="G239" i="91"/>
  <c r="G239" i="98"/>
  <c r="J237" i="98"/>
  <c r="H238" i="98"/>
  <c r="J216" i="93"/>
  <c r="N216" i="89"/>
  <c r="P216" i="89" s="1"/>
  <c r="V238" i="89"/>
  <c r="H196" i="65"/>
  <c r="J196" i="65" s="1"/>
  <c r="H160" i="54"/>
  <c r="J160" i="54" s="1"/>
  <c r="U195" i="60"/>
  <c r="G217" i="61"/>
  <c r="S216" i="60"/>
  <c r="M217" i="60" s="1"/>
  <c r="J160" i="58"/>
  <c r="N160" i="53"/>
  <c r="P160" i="53" s="1"/>
  <c r="H161" i="61" s="1"/>
  <c r="G217" i="103" l="1"/>
  <c r="H217" i="103" s="1"/>
  <c r="J217" i="103" s="1"/>
  <c r="H217" i="110"/>
  <c r="H239" i="105"/>
  <c r="J238" i="105"/>
  <c r="H239" i="91"/>
  <c r="J239" i="91" s="1"/>
  <c r="H239" i="98"/>
  <c r="J238" i="98"/>
  <c r="G217" i="86"/>
  <c r="H217" i="86" s="1"/>
  <c r="J217" i="86" s="1"/>
  <c r="G217" i="93"/>
  <c r="H217" i="93" s="1"/>
  <c r="T216" i="89"/>
  <c r="S239" i="89"/>
  <c r="R239" i="89" s="1"/>
  <c r="G240" i="105" s="1"/>
  <c r="R196" i="60"/>
  <c r="Q196" i="60" s="1"/>
  <c r="G197" i="65" s="1"/>
  <c r="O217" i="60"/>
  <c r="J161" i="61"/>
  <c r="G161" i="54"/>
  <c r="H161" i="58"/>
  <c r="T160" i="53"/>
  <c r="J217" i="110" l="1"/>
  <c r="J239" i="105"/>
  <c r="H240" i="105"/>
  <c r="G240" i="91"/>
  <c r="G240" i="98"/>
  <c r="H240" i="98" s="1"/>
  <c r="J239" i="98"/>
  <c r="J217" i="93"/>
  <c r="N217" i="89"/>
  <c r="P217" i="89" s="1"/>
  <c r="V239" i="89"/>
  <c r="S240" i="89" s="1"/>
  <c r="R240" i="89" s="1"/>
  <c r="G241" i="105" s="1"/>
  <c r="H197" i="65"/>
  <c r="J197" i="65" s="1"/>
  <c r="H161" i="54"/>
  <c r="J161" i="54" s="1"/>
  <c r="U196" i="60"/>
  <c r="G218" i="61"/>
  <c r="S217" i="60"/>
  <c r="M218" i="60" s="1"/>
  <c r="J161" i="58"/>
  <c r="N161" i="53"/>
  <c r="P161" i="53" s="1"/>
  <c r="H162" i="61" s="1"/>
  <c r="G218" i="103" l="1"/>
  <c r="H218" i="103" s="1"/>
  <c r="J218" i="103" s="1"/>
  <c r="H218" i="110"/>
  <c r="H241" i="105"/>
  <c r="J240" i="105"/>
  <c r="H240" i="91"/>
  <c r="J240" i="91" s="1"/>
  <c r="J240" i="98"/>
  <c r="G241" i="91"/>
  <c r="G241" i="98"/>
  <c r="H241" i="98" s="1"/>
  <c r="G218" i="86"/>
  <c r="H218" i="86" s="1"/>
  <c r="J218" i="86" s="1"/>
  <c r="G218" i="93"/>
  <c r="H218" i="93" s="1"/>
  <c r="T217" i="89"/>
  <c r="V240" i="89"/>
  <c r="S241" i="89" s="1"/>
  <c r="R241" i="89" s="1"/>
  <c r="G242" i="105" s="1"/>
  <c r="R197" i="60"/>
  <c r="Q197" i="60" s="1"/>
  <c r="G198" i="65" s="1"/>
  <c r="O218" i="60"/>
  <c r="J162" i="61"/>
  <c r="G162" i="54"/>
  <c r="H162" i="58"/>
  <c r="T161" i="53"/>
  <c r="N162" i="53" s="1"/>
  <c r="J218" i="110" l="1"/>
  <c r="J241" i="105"/>
  <c r="H242" i="105"/>
  <c r="H241" i="91"/>
  <c r="J241" i="91" s="1"/>
  <c r="J241" i="98"/>
  <c r="G242" i="91"/>
  <c r="G242" i="98"/>
  <c r="H242" i="98" s="1"/>
  <c r="J218" i="93"/>
  <c r="N218" i="89"/>
  <c r="P218" i="89" s="1"/>
  <c r="V241" i="89"/>
  <c r="H198" i="65"/>
  <c r="J198" i="65" s="1"/>
  <c r="H162" i="54"/>
  <c r="J162" i="54" s="1"/>
  <c r="U197" i="60"/>
  <c r="G219" i="61"/>
  <c r="N208" i="61" s="1"/>
  <c r="O21" i="76" s="1"/>
  <c r="S218" i="60"/>
  <c r="M219" i="60" s="1"/>
  <c r="J162" i="58"/>
  <c r="P162" i="53"/>
  <c r="H163" i="61" s="1"/>
  <c r="G219" i="103" l="1"/>
  <c r="H219" i="103" s="1"/>
  <c r="J219" i="103" s="1"/>
  <c r="J242" i="105"/>
  <c r="H242" i="91"/>
  <c r="J242" i="91" s="1"/>
  <c r="J242" i="98"/>
  <c r="G219" i="86"/>
  <c r="G219" i="93"/>
  <c r="Y208" i="93" s="1"/>
  <c r="O21" i="101" s="1"/>
  <c r="T218" i="89"/>
  <c r="S242" i="89"/>
  <c r="R242" i="89" s="1"/>
  <c r="R198" i="60"/>
  <c r="Q198" i="60" s="1"/>
  <c r="G199" i="65" s="1"/>
  <c r="O219" i="60"/>
  <c r="J163" i="61"/>
  <c r="G163" i="54"/>
  <c r="H163" i="58"/>
  <c r="T162" i="53"/>
  <c r="N163" i="53" s="1"/>
  <c r="Y208" i="103" l="1"/>
  <c r="O21" i="106" s="1"/>
  <c r="N208" i="103"/>
  <c r="N208" i="110"/>
  <c r="Y208" i="110"/>
  <c r="H219" i="110"/>
  <c r="J219" i="110" s="1"/>
  <c r="G243" i="98"/>
  <c r="G243" i="105"/>
  <c r="K208" i="103"/>
  <c r="H219" i="86"/>
  <c r="J219" i="86" s="1"/>
  <c r="K208" i="86" s="1"/>
  <c r="Y208" i="86"/>
  <c r="N208" i="86"/>
  <c r="N208" i="93"/>
  <c r="H219" i="93"/>
  <c r="J219" i="93" s="1"/>
  <c r="N219" i="89"/>
  <c r="P219" i="89" s="1"/>
  <c r="V242" i="89"/>
  <c r="G243" i="91"/>
  <c r="Y232" i="91" s="1"/>
  <c r="H199" i="65"/>
  <c r="J199" i="65" s="1"/>
  <c r="H163" i="54"/>
  <c r="J163" i="54" s="1"/>
  <c r="U198" i="60"/>
  <c r="G220" i="61"/>
  <c r="S219" i="60"/>
  <c r="M220" i="60" s="1"/>
  <c r="J163" i="58"/>
  <c r="P163" i="53"/>
  <c r="H164" i="61" s="1"/>
  <c r="G220" i="103" l="1"/>
  <c r="H220" i="103" s="1"/>
  <c r="H220" i="110"/>
  <c r="K208" i="110"/>
  <c r="J24" i="108" s="1"/>
  <c r="J24" i="102"/>
  <c r="J24" i="87"/>
  <c r="N232" i="98"/>
  <c r="Y232" i="98"/>
  <c r="P23" i="101" s="1"/>
  <c r="H243" i="98"/>
  <c r="J243" i="98" s="1"/>
  <c r="K232" i="98" s="1"/>
  <c r="N232" i="105"/>
  <c r="Y232" i="105"/>
  <c r="P23" i="106" s="1"/>
  <c r="H243" i="105"/>
  <c r="J243" i="105" s="1"/>
  <c r="K232" i="105" s="1"/>
  <c r="O21" i="100"/>
  <c r="P23" i="100"/>
  <c r="K208" i="93"/>
  <c r="G220" i="86"/>
  <c r="G220" i="93"/>
  <c r="T219" i="89"/>
  <c r="N232" i="91"/>
  <c r="H243" i="91"/>
  <c r="J243" i="91" s="1"/>
  <c r="K232" i="91" s="1"/>
  <c r="J26" i="90" s="1"/>
  <c r="L26" i="90" s="1"/>
  <c r="M26" i="90" s="1"/>
  <c r="R199" i="60"/>
  <c r="Q199" i="60" s="1"/>
  <c r="G200" i="65" s="1"/>
  <c r="O220" i="60"/>
  <c r="J164" i="61"/>
  <c r="G164" i="54"/>
  <c r="H164" i="58"/>
  <c r="T163" i="53"/>
  <c r="N164" i="53" s="1"/>
  <c r="J220" i="110" l="1"/>
  <c r="H26" i="109"/>
  <c r="L26" i="109"/>
  <c r="M26" i="109" s="1"/>
  <c r="L24" i="108"/>
  <c r="M24" i="108" s="1"/>
  <c r="H24" i="108"/>
  <c r="J26" i="104"/>
  <c r="H24" i="102"/>
  <c r="L24" i="102"/>
  <c r="M24" i="102" s="1"/>
  <c r="H24" i="87"/>
  <c r="L24" i="87"/>
  <c r="M24" i="87" s="1"/>
  <c r="J26" i="97"/>
  <c r="J24" i="92"/>
  <c r="J220" i="103"/>
  <c r="H220" i="86"/>
  <c r="J220" i="86" s="1"/>
  <c r="H220" i="93"/>
  <c r="H26" i="90"/>
  <c r="N220" i="89"/>
  <c r="P220" i="89" s="1"/>
  <c r="H200" i="65"/>
  <c r="J200" i="65" s="1"/>
  <c r="H164" i="54"/>
  <c r="J164" i="54" s="1"/>
  <c r="U199" i="60"/>
  <c r="G221" i="61"/>
  <c r="S220" i="60"/>
  <c r="M221" i="60" s="1"/>
  <c r="J164" i="58"/>
  <c r="P164" i="53"/>
  <c r="H165" i="61" s="1"/>
  <c r="G221" i="103" l="1"/>
  <c r="H221" i="103" s="1"/>
  <c r="H26" i="104"/>
  <c r="L26" i="104"/>
  <c r="M26" i="104" s="1"/>
  <c r="H26" i="97"/>
  <c r="L26" i="97"/>
  <c r="M26" i="97" s="1"/>
  <c r="H24" i="92"/>
  <c r="L24" i="92"/>
  <c r="M24" i="92" s="1"/>
  <c r="J220" i="93"/>
  <c r="G221" i="86"/>
  <c r="G221" i="93"/>
  <c r="T220" i="89"/>
  <c r="R200" i="60"/>
  <c r="Q200" i="60" s="1"/>
  <c r="G201" i="65" s="1"/>
  <c r="H201" i="65" s="1"/>
  <c r="O221" i="60"/>
  <c r="J165" i="61"/>
  <c r="G165" i="54"/>
  <c r="H165" i="54" s="1"/>
  <c r="H165" i="58"/>
  <c r="T164" i="53"/>
  <c r="N165" i="53" s="1"/>
  <c r="H221" i="110" l="1"/>
  <c r="J221" i="103"/>
  <c r="H221" i="86"/>
  <c r="J221" i="86" s="1"/>
  <c r="H221" i="93"/>
  <c r="N221" i="89"/>
  <c r="P221" i="89" s="1"/>
  <c r="U200" i="60"/>
  <c r="J201" i="65"/>
  <c r="G222" i="61"/>
  <c r="S221" i="60"/>
  <c r="M222" i="60" s="1"/>
  <c r="J165" i="58"/>
  <c r="J165" i="54"/>
  <c r="P165" i="53"/>
  <c r="H166" i="61" s="1"/>
  <c r="G222" i="103" l="1"/>
  <c r="H222" i="103" s="1"/>
  <c r="H222" i="110"/>
  <c r="J221" i="110"/>
  <c r="G222" i="86"/>
  <c r="G222" i="93"/>
  <c r="J221" i="93"/>
  <c r="T221" i="89"/>
  <c r="R201" i="60"/>
  <c r="Q201" i="60" s="1"/>
  <c r="G202" i="65" s="1"/>
  <c r="H202" i="65" s="1"/>
  <c r="O222" i="60"/>
  <c r="J166" i="61"/>
  <c r="G166" i="54"/>
  <c r="H166" i="54" s="1"/>
  <c r="J166" i="54" s="1"/>
  <c r="H166" i="58"/>
  <c r="T165" i="53"/>
  <c r="N166" i="53" s="1"/>
  <c r="J222" i="110" l="1"/>
  <c r="J222" i="103"/>
  <c r="H222" i="86"/>
  <c r="J222" i="86" s="1"/>
  <c r="H222" i="93"/>
  <c r="J222" i="93" s="1"/>
  <c r="N222" i="89"/>
  <c r="P222" i="89" s="1"/>
  <c r="U201" i="60"/>
  <c r="J202" i="65"/>
  <c r="G223" i="61"/>
  <c r="S222" i="60"/>
  <c r="M223" i="60" s="1"/>
  <c r="J166" i="58"/>
  <c r="P166" i="53"/>
  <c r="H167" i="61" s="1"/>
  <c r="G223" i="103" l="1"/>
  <c r="H223" i="103" s="1"/>
  <c r="G223" i="86"/>
  <c r="G223" i="93"/>
  <c r="T222" i="89"/>
  <c r="R202" i="60"/>
  <c r="Q202" i="60" s="1"/>
  <c r="G203" i="65" s="1"/>
  <c r="H203" i="65" s="1"/>
  <c r="O223" i="60"/>
  <c r="J167" i="61"/>
  <c r="G167" i="54"/>
  <c r="H167" i="54" s="1"/>
  <c r="H167" i="58"/>
  <c r="T166" i="53"/>
  <c r="N167" i="53" s="1"/>
  <c r="H223" i="110" l="1"/>
  <c r="J223" i="103"/>
  <c r="H223" i="86"/>
  <c r="J223" i="86" s="1"/>
  <c r="H223" i="93"/>
  <c r="J223" i="93" s="1"/>
  <c r="N223" i="89"/>
  <c r="P223" i="89" s="1"/>
  <c r="U202" i="60"/>
  <c r="J203" i="65"/>
  <c r="G224" i="61"/>
  <c r="S223" i="60"/>
  <c r="M224" i="60" s="1"/>
  <c r="J167" i="58"/>
  <c r="J167" i="54"/>
  <c r="P167" i="53"/>
  <c r="H168" i="61" s="1"/>
  <c r="G224" i="103" l="1"/>
  <c r="H224" i="103" s="1"/>
  <c r="J224" i="103" s="1"/>
  <c r="H224" i="110"/>
  <c r="J223" i="110"/>
  <c r="G224" i="86"/>
  <c r="G224" i="93"/>
  <c r="H224" i="93" s="1"/>
  <c r="T223" i="89"/>
  <c r="R203" i="60"/>
  <c r="Q203" i="60" s="1"/>
  <c r="G204" i="65" s="1"/>
  <c r="H204" i="65" s="1"/>
  <c r="O224" i="60"/>
  <c r="J168" i="61"/>
  <c r="G168" i="54"/>
  <c r="H168" i="54" s="1"/>
  <c r="H168" i="58"/>
  <c r="T167" i="53"/>
  <c r="N168" i="53" s="1"/>
  <c r="J224" i="110" l="1"/>
  <c r="H224" i="86"/>
  <c r="J224" i="86" s="1"/>
  <c r="J224" i="93"/>
  <c r="N224" i="89"/>
  <c r="P224" i="89" s="1"/>
  <c r="U203" i="60"/>
  <c r="J204" i="65"/>
  <c r="G225" i="61"/>
  <c r="S224" i="60"/>
  <c r="M225" i="60" s="1"/>
  <c r="J168" i="58"/>
  <c r="J168" i="54"/>
  <c r="P168" i="53"/>
  <c r="H169" i="61" s="1"/>
  <c r="G225" i="103" l="1"/>
  <c r="H225" i="103" s="1"/>
  <c r="J225" i="103" s="1"/>
  <c r="H225" i="110"/>
  <c r="G225" i="86"/>
  <c r="H225" i="86" s="1"/>
  <c r="J225" i="86" s="1"/>
  <c r="G225" i="93"/>
  <c r="H225" i="93" s="1"/>
  <c r="T224" i="89"/>
  <c r="R204" i="60"/>
  <c r="Q204" i="60" s="1"/>
  <c r="G205" i="65" s="1"/>
  <c r="H205" i="65" s="1"/>
  <c r="O225" i="60"/>
  <c r="J169" i="61"/>
  <c r="G169" i="54"/>
  <c r="H169" i="54" s="1"/>
  <c r="J169" i="54" s="1"/>
  <c r="H169" i="58"/>
  <c r="T168" i="53"/>
  <c r="N169" i="53" s="1"/>
  <c r="J225" i="110" l="1"/>
  <c r="J225" i="93"/>
  <c r="N225" i="89"/>
  <c r="P225" i="89" s="1"/>
  <c r="U204" i="60"/>
  <c r="J205" i="65"/>
  <c r="G226" i="61"/>
  <c r="S225" i="60"/>
  <c r="M226" i="60" s="1"/>
  <c r="J169" i="58"/>
  <c r="P169" i="53"/>
  <c r="H170" i="61" s="1"/>
  <c r="G226" i="103" l="1"/>
  <c r="H226" i="103" s="1"/>
  <c r="J226" i="103" s="1"/>
  <c r="H226" i="110"/>
  <c r="G226" i="86"/>
  <c r="H226" i="86" s="1"/>
  <c r="J226" i="86" s="1"/>
  <c r="G226" i="93"/>
  <c r="H226" i="93" s="1"/>
  <c r="T225" i="89"/>
  <c r="R205" i="60"/>
  <c r="Q205" i="60" s="1"/>
  <c r="G206" i="65" s="1"/>
  <c r="H206" i="65" s="1"/>
  <c r="O226" i="60"/>
  <c r="J170" i="61"/>
  <c r="G170" i="54"/>
  <c r="H170" i="54" s="1"/>
  <c r="H170" i="58"/>
  <c r="T169" i="53"/>
  <c r="J226" i="110" l="1"/>
  <c r="J226" i="93"/>
  <c r="N226" i="89"/>
  <c r="P226" i="89" s="1"/>
  <c r="U205" i="60"/>
  <c r="J206" i="65"/>
  <c r="G227" i="61"/>
  <c r="S226" i="60"/>
  <c r="M227" i="60" s="1"/>
  <c r="J170" i="58"/>
  <c r="J170" i="54"/>
  <c r="N170" i="53"/>
  <c r="P170" i="53" s="1"/>
  <c r="H171" i="61" s="1"/>
  <c r="J171" i="61" s="1"/>
  <c r="H172" i="61" s="1"/>
  <c r="G227" i="103" l="1"/>
  <c r="H227" i="103" s="1"/>
  <c r="J227" i="103" s="1"/>
  <c r="H227" i="110"/>
  <c r="G227" i="86"/>
  <c r="H227" i="86" s="1"/>
  <c r="J227" i="86" s="1"/>
  <c r="G227" i="93"/>
  <c r="H227" i="93" s="1"/>
  <c r="T226" i="89"/>
  <c r="R206" i="60"/>
  <c r="Q206" i="60" s="1"/>
  <c r="G207" i="65" s="1"/>
  <c r="N196" i="65" s="1"/>
  <c r="P20" i="76" s="1"/>
  <c r="O227" i="60"/>
  <c r="K160" i="61"/>
  <c r="J20" i="62" s="1"/>
  <c r="H20" i="62" s="1"/>
  <c r="G171" i="54"/>
  <c r="P160" i="54" s="1"/>
  <c r="H171" i="58"/>
  <c r="J171" i="58" s="1"/>
  <c r="T170" i="53"/>
  <c r="J227" i="110" l="1"/>
  <c r="L20" i="62"/>
  <c r="M20" i="62" s="1"/>
  <c r="J227" i="93"/>
  <c r="N227" i="89"/>
  <c r="P227" i="89" s="1"/>
  <c r="H207" i="65"/>
  <c r="J207" i="65" s="1"/>
  <c r="K196" i="65" s="1"/>
  <c r="O17" i="75"/>
  <c r="H171" i="54"/>
  <c r="J171" i="54" s="1"/>
  <c r="K160" i="54" s="1"/>
  <c r="J20" i="55" s="1"/>
  <c r="U206" i="60"/>
  <c r="G228" i="61"/>
  <c r="S227" i="60"/>
  <c r="M228" i="60" s="1"/>
  <c r="K160" i="58"/>
  <c r="J20" i="59" s="1"/>
  <c r="N171" i="53"/>
  <c r="P171" i="53" s="1"/>
  <c r="G228" i="103" l="1"/>
  <c r="H228" i="103" s="1"/>
  <c r="J228" i="103" s="1"/>
  <c r="H228" i="110"/>
  <c r="L20" i="59"/>
  <c r="M20" i="59" s="1"/>
  <c r="F16" i="114" s="1"/>
  <c r="H20" i="59"/>
  <c r="L20" i="55"/>
  <c r="M20" i="55" s="1"/>
  <c r="E16" i="114" s="1"/>
  <c r="H20" i="55"/>
  <c r="J23" i="66"/>
  <c r="H23" i="66" s="1"/>
  <c r="G228" i="86"/>
  <c r="H228" i="86" s="1"/>
  <c r="J228" i="86" s="1"/>
  <c r="G228" i="93"/>
  <c r="H228" i="93" s="1"/>
  <c r="T227" i="89"/>
  <c r="R207" i="60"/>
  <c r="Q207" i="60" s="1"/>
  <c r="G208" i="65" s="1"/>
  <c r="O228" i="60"/>
  <c r="J172" i="61"/>
  <c r="G172" i="54"/>
  <c r="H172" i="58"/>
  <c r="T171" i="53"/>
  <c r="N172" i="53" s="1"/>
  <c r="J228" i="110" l="1"/>
  <c r="L23" i="66"/>
  <c r="M23" i="66" s="1"/>
  <c r="J228" i="93"/>
  <c r="N228" i="89"/>
  <c r="P228" i="89" s="1"/>
  <c r="H208" i="65"/>
  <c r="J208" i="65" s="1"/>
  <c r="H172" i="54"/>
  <c r="J172" i="54" s="1"/>
  <c r="U207" i="60"/>
  <c r="G229" i="61"/>
  <c r="S228" i="60"/>
  <c r="M229" i="60" s="1"/>
  <c r="J172" i="58"/>
  <c r="P172" i="53"/>
  <c r="H173" i="61" s="1"/>
  <c r="G229" i="103" l="1"/>
  <c r="H229" i="103" s="1"/>
  <c r="J229" i="103" s="1"/>
  <c r="H229" i="110"/>
  <c r="G229" i="86"/>
  <c r="H229" i="86" s="1"/>
  <c r="J229" i="86" s="1"/>
  <c r="G229" i="93"/>
  <c r="H229" i="93" s="1"/>
  <c r="T228" i="89"/>
  <c r="R208" i="60"/>
  <c r="Q208" i="60" s="1"/>
  <c r="G209" i="65" s="1"/>
  <c r="O229" i="60"/>
  <c r="J173" i="61"/>
  <c r="G173" i="54"/>
  <c r="H173" i="58"/>
  <c r="T172" i="53"/>
  <c r="J229" i="110" l="1"/>
  <c r="J229" i="93"/>
  <c r="N229" i="89"/>
  <c r="P229" i="89" s="1"/>
  <c r="H209" i="65"/>
  <c r="J209" i="65" s="1"/>
  <c r="H173" i="54"/>
  <c r="J173" i="54" s="1"/>
  <c r="U208" i="60"/>
  <c r="G230" i="61"/>
  <c r="S229" i="60"/>
  <c r="M230" i="60" s="1"/>
  <c r="J173" i="58"/>
  <c r="N173" i="53"/>
  <c r="P173" i="53" s="1"/>
  <c r="H174" i="61" s="1"/>
  <c r="G230" i="103" l="1"/>
  <c r="H230" i="103" s="1"/>
  <c r="J230" i="103" s="1"/>
  <c r="H230" i="110"/>
  <c r="G230" i="86"/>
  <c r="H230" i="86" s="1"/>
  <c r="J230" i="86" s="1"/>
  <c r="G230" i="93"/>
  <c r="H230" i="93" s="1"/>
  <c r="T229" i="89"/>
  <c r="R209" i="60"/>
  <c r="Q209" i="60" s="1"/>
  <c r="G210" i="65" s="1"/>
  <c r="O230" i="60"/>
  <c r="J174" i="61"/>
  <c r="G174" i="54"/>
  <c r="H174" i="58"/>
  <c r="T173" i="53"/>
  <c r="N174" i="53" s="1"/>
  <c r="J230" i="110" l="1"/>
  <c r="J230" i="93"/>
  <c r="N230" i="89"/>
  <c r="P230" i="89" s="1"/>
  <c r="H210" i="65"/>
  <c r="J210" i="65" s="1"/>
  <c r="H174" i="54"/>
  <c r="J174" i="54" s="1"/>
  <c r="U209" i="60"/>
  <c r="G231" i="61"/>
  <c r="N220" i="61" s="1"/>
  <c r="O22" i="76" s="1"/>
  <c r="S230" i="60"/>
  <c r="M231" i="60" s="1"/>
  <c r="J174" i="58"/>
  <c r="P174" i="53"/>
  <c r="H175" i="61" s="1"/>
  <c r="G231" i="103" l="1"/>
  <c r="Y220" i="103" s="1"/>
  <c r="O22" i="106" s="1"/>
  <c r="G231" i="86"/>
  <c r="G231" i="93"/>
  <c r="Y220" i="93" s="1"/>
  <c r="O22" i="101" s="1"/>
  <c r="T230" i="89"/>
  <c r="R210" i="60"/>
  <c r="Q210" i="60" s="1"/>
  <c r="G211" i="65" s="1"/>
  <c r="O231" i="60"/>
  <c r="J175" i="61"/>
  <c r="G175" i="54"/>
  <c r="H175" i="58"/>
  <c r="T174" i="53"/>
  <c r="N175" i="53" s="1"/>
  <c r="H231" i="103" l="1"/>
  <c r="J231" i="103" s="1"/>
  <c r="K220" i="103" s="1"/>
  <c r="N220" i="103"/>
  <c r="Y220" i="110"/>
  <c r="N220" i="110"/>
  <c r="H231" i="110"/>
  <c r="J231" i="110" s="1"/>
  <c r="N220" i="86"/>
  <c r="Y220" i="86"/>
  <c r="H231" i="86"/>
  <c r="J231" i="86" s="1"/>
  <c r="K220" i="86" s="1"/>
  <c r="N220" i="93"/>
  <c r="H231" i="93"/>
  <c r="J231" i="93" s="1"/>
  <c r="N231" i="89"/>
  <c r="P231" i="89" s="1"/>
  <c r="H211" i="65"/>
  <c r="J211" i="65" s="1"/>
  <c r="H175" i="54"/>
  <c r="J175" i="54" s="1"/>
  <c r="U210" i="60"/>
  <c r="G232" i="61"/>
  <c r="S231" i="60"/>
  <c r="M232" i="60" s="1"/>
  <c r="J175" i="58"/>
  <c r="P175" i="53"/>
  <c r="H176" i="61" s="1"/>
  <c r="K220" i="110" l="1"/>
  <c r="J25" i="108" s="1"/>
  <c r="G232" i="103"/>
  <c r="H232" i="103" s="1"/>
  <c r="J25" i="102"/>
  <c r="J25" i="87"/>
  <c r="O22" i="100"/>
  <c r="K220" i="93"/>
  <c r="G232" i="86"/>
  <c r="G232" i="93"/>
  <c r="T231" i="89"/>
  <c r="R211" i="60"/>
  <c r="Q211" i="60" s="1"/>
  <c r="G212" i="65" s="1"/>
  <c r="O232" i="60"/>
  <c r="J176" i="61"/>
  <c r="G176" i="54"/>
  <c r="H176" i="58"/>
  <c r="T175" i="53"/>
  <c r="N176" i="53" s="1"/>
  <c r="H232" i="110" l="1"/>
  <c r="H25" i="108"/>
  <c r="L25" i="108"/>
  <c r="M25" i="108" s="1"/>
  <c r="H25" i="102"/>
  <c r="L25" i="102"/>
  <c r="M25" i="102" s="1"/>
  <c r="H25" i="87"/>
  <c r="L25" i="87"/>
  <c r="M25" i="87" s="1"/>
  <c r="J25" i="92"/>
  <c r="J232" i="103"/>
  <c r="H232" i="86"/>
  <c r="J232" i="86" s="1"/>
  <c r="H232" i="93"/>
  <c r="N232" i="89"/>
  <c r="P232" i="89" s="1"/>
  <c r="H212" i="65"/>
  <c r="J212" i="65" s="1"/>
  <c r="H176" i="54"/>
  <c r="J176" i="54" s="1"/>
  <c r="U211" i="60"/>
  <c r="G233" i="61"/>
  <c r="S232" i="60"/>
  <c r="M233" i="60" s="1"/>
  <c r="J176" i="58"/>
  <c r="P176" i="53"/>
  <c r="H177" i="61" s="1"/>
  <c r="J232" i="110" l="1"/>
  <c r="G233" i="103"/>
  <c r="H233" i="103" s="1"/>
  <c r="H25" i="92"/>
  <c r="L25" i="92"/>
  <c r="M25" i="92" s="1"/>
  <c r="J232" i="93"/>
  <c r="G233" i="86"/>
  <c r="G233" i="93"/>
  <c r="T232" i="89"/>
  <c r="R212" i="60"/>
  <c r="Q212" i="60" s="1"/>
  <c r="G213" i="65" s="1"/>
  <c r="H213" i="65" s="1"/>
  <c r="O233" i="60"/>
  <c r="J177" i="61"/>
  <c r="G177" i="54"/>
  <c r="H177" i="54" s="1"/>
  <c r="H177" i="58"/>
  <c r="T176" i="53"/>
  <c r="N177" i="53" s="1"/>
  <c r="H233" i="110" l="1"/>
  <c r="J233" i="103"/>
  <c r="H233" i="86"/>
  <c r="J233" i="86" s="1"/>
  <c r="H233" i="93"/>
  <c r="N233" i="89"/>
  <c r="P233" i="89" s="1"/>
  <c r="U212" i="60"/>
  <c r="J213" i="65"/>
  <c r="G234" i="61"/>
  <c r="S233" i="60"/>
  <c r="M234" i="60" s="1"/>
  <c r="J177" i="58"/>
  <c r="J177" i="54"/>
  <c r="P177" i="53"/>
  <c r="H178" i="61" s="1"/>
  <c r="G234" i="103" l="1"/>
  <c r="H234" i="103" s="1"/>
  <c r="J234" i="103" s="1"/>
  <c r="H234" i="110"/>
  <c r="J233" i="110"/>
  <c r="G234" i="86"/>
  <c r="G234" i="93"/>
  <c r="J233" i="93"/>
  <c r="T233" i="89"/>
  <c r="R213" i="60"/>
  <c r="Q213" i="60" s="1"/>
  <c r="G214" i="65" s="1"/>
  <c r="H214" i="65" s="1"/>
  <c r="O234" i="60"/>
  <c r="J178" i="61"/>
  <c r="G178" i="54"/>
  <c r="H178" i="54" s="1"/>
  <c r="H178" i="58"/>
  <c r="T177" i="53"/>
  <c r="N178" i="53" s="1"/>
  <c r="J234" i="110" l="1"/>
  <c r="H234" i="86"/>
  <c r="J234" i="86" s="1"/>
  <c r="H234" i="93"/>
  <c r="J234" i="93" s="1"/>
  <c r="N234" i="89"/>
  <c r="P234" i="89" s="1"/>
  <c r="U213" i="60"/>
  <c r="J214" i="65"/>
  <c r="G235" i="61"/>
  <c r="S234" i="60"/>
  <c r="M235" i="60" s="1"/>
  <c r="J178" i="58"/>
  <c r="J178" i="54"/>
  <c r="P178" i="53"/>
  <c r="H179" i="61" s="1"/>
  <c r="G235" i="103" l="1"/>
  <c r="H235" i="103" s="1"/>
  <c r="G235" i="86"/>
  <c r="G235" i="93"/>
  <c r="T234" i="89"/>
  <c r="R214" i="60"/>
  <c r="Q214" i="60" s="1"/>
  <c r="G215" i="65" s="1"/>
  <c r="H215" i="65" s="1"/>
  <c r="O235" i="60"/>
  <c r="J179" i="61"/>
  <c r="G179" i="54"/>
  <c r="H179" i="54" s="1"/>
  <c r="H179" i="58"/>
  <c r="T178" i="53"/>
  <c r="N179" i="53" s="1"/>
  <c r="H235" i="110" l="1"/>
  <c r="J235" i="103"/>
  <c r="H235" i="86"/>
  <c r="J235" i="86" s="1"/>
  <c r="H235" i="93"/>
  <c r="J235" i="93" s="1"/>
  <c r="N235" i="89"/>
  <c r="P235" i="89" s="1"/>
  <c r="U214" i="60"/>
  <c r="J215" i="65"/>
  <c r="G236" i="61"/>
  <c r="S235" i="60"/>
  <c r="M236" i="60" s="1"/>
  <c r="J179" i="58"/>
  <c r="J179" i="54"/>
  <c r="P179" i="53"/>
  <c r="H180" i="61" s="1"/>
  <c r="G236" i="103" l="1"/>
  <c r="H236" i="103" s="1"/>
  <c r="J236" i="103" s="1"/>
  <c r="H236" i="110"/>
  <c r="J235" i="110"/>
  <c r="G236" i="86"/>
  <c r="G236" i="93"/>
  <c r="H236" i="93" s="1"/>
  <c r="T235" i="89"/>
  <c r="R215" i="60"/>
  <c r="Q215" i="60" s="1"/>
  <c r="G216" i="65" s="1"/>
  <c r="H216" i="65" s="1"/>
  <c r="O236" i="60"/>
  <c r="J180" i="61"/>
  <c r="G180" i="54"/>
  <c r="H180" i="54" s="1"/>
  <c r="H180" i="58"/>
  <c r="T179" i="53"/>
  <c r="J236" i="110" l="1"/>
  <c r="H236" i="86"/>
  <c r="J236" i="86" s="1"/>
  <c r="J236" i="93"/>
  <c r="N236" i="89"/>
  <c r="P236" i="89" s="1"/>
  <c r="U215" i="60"/>
  <c r="J216" i="65"/>
  <c r="G237" i="61"/>
  <c r="S236" i="60"/>
  <c r="M237" i="60" s="1"/>
  <c r="J180" i="58"/>
  <c r="J180" i="54"/>
  <c r="N180" i="53"/>
  <c r="P180" i="53" s="1"/>
  <c r="H181" i="61" s="1"/>
  <c r="G237" i="103" l="1"/>
  <c r="H237" i="103" s="1"/>
  <c r="J237" i="103" s="1"/>
  <c r="H237" i="110"/>
  <c r="G237" i="86"/>
  <c r="H237" i="86" s="1"/>
  <c r="J237" i="86" s="1"/>
  <c r="G237" i="93"/>
  <c r="H237" i="93" s="1"/>
  <c r="T236" i="89"/>
  <c r="R216" i="60"/>
  <c r="Q216" i="60" s="1"/>
  <c r="G217" i="65" s="1"/>
  <c r="H217" i="65" s="1"/>
  <c r="O237" i="60"/>
  <c r="J181" i="61"/>
  <c r="G181" i="54"/>
  <c r="H181" i="54" s="1"/>
  <c r="H181" i="58"/>
  <c r="T180" i="53"/>
  <c r="N181" i="53" s="1"/>
  <c r="J237" i="110" l="1"/>
  <c r="J237" i="93"/>
  <c r="N237" i="89"/>
  <c r="P237" i="89" s="1"/>
  <c r="U216" i="60"/>
  <c r="J217" i="65"/>
  <c r="G238" i="61"/>
  <c r="S237" i="60"/>
  <c r="M238" i="60" s="1"/>
  <c r="J181" i="58"/>
  <c r="J181" i="54"/>
  <c r="P181" i="53"/>
  <c r="H182" i="61" s="1"/>
  <c r="G238" i="103" l="1"/>
  <c r="H238" i="103" s="1"/>
  <c r="J238" i="103" s="1"/>
  <c r="H238" i="110"/>
  <c r="G238" i="86"/>
  <c r="H238" i="86" s="1"/>
  <c r="J238" i="86" s="1"/>
  <c r="G238" i="93"/>
  <c r="H238" i="93" s="1"/>
  <c r="T237" i="89"/>
  <c r="R217" i="60"/>
  <c r="Q217" i="60" s="1"/>
  <c r="G218" i="65" s="1"/>
  <c r="H218" i="65" s="1"/>
  <c r="O238" i="60"/>
  <c r="J182" i="61"/>
  <c r="G182" i="54"/>
  <c r="H182" i="54" s="1"/>
  <c r="H182" i="58"/>
  <c r="T181" i="53"/>
  <c r="J238" i="110" l="1"/>
  <c r="J238" i="93"/>
  <c r="N238" i="89"/>
  <c r="P238" i="89" s="1"/>
  <c r="U217" i="60"/>
  <c r="J218" i="65"/>
  <c r="G239" i="61"/>
  <c r="S238" i="60"/>
  <c r="M239" i="60" s="1"/>
  <c r="J182" i="58"/>
  <c r="J182" i="54"/>
  <c r="N182" i="53"/>
  <c r="P182" i="53" s="1"/>
  <c r="H183" i="61" s="1"/>
  <c r="J183" i="61" s="1"/>
  <c r="H184" i="61" s="1"/>
  <c r="G239" i="103" l="1"/>
  <c r="H239" i="103" s="1"/>
  <c r="J239" i="103" s="1"/>
  <c r="H239" i="110"/>
  <c r="G239" i="86"/>
  <c r="H239" i="86" s="1"/>
  <c r="J239" i="86" s="1"/>
  <c r="G239" i="93"/>
  <c r="H239" i="93" s="1"/>
  <c r="T238" i="89"/>
  <c r="R218" i="60"/>
  <c r="Q218" i="60" s="1"/>
  <c r="G219" i="65" s="1"/>
  <c r="N208" i="65" s="1"/>
  <c r="P21" i="76" s="1"/>
  <c r="O239" i="60"/>
  <c r="K172" i="61"/>
  <c r="J21" i="62" s="1"/>
  <c r="H21" i="62" s="1"/>
  <c r="G183" i="54"/>
  <c r="P172" i="54" s="1"/>
  <c r="H183" i="58"/>
  <c r="J183" i="58" s="1"/>
  <c r="T182" i="53"/>
  <c r="J239" i="110" l="1"/>
  <c r="L21" i="62"/>
  <c r="M21" i="62" s="1"/>
  <c r="J239" i="93"/>
  <c r="N239" i="89"/>
  <c r="P239" i="89" s="1"/>
  <c r="H219" i="65"/>
  <c r="J219" i="65" s="1"/>
  <c r="K208" i="65" s="1"/>
  <c r="O18" i="75"/>
  <c r="H183" i="54"/>
  <c r="J183" i="54" s="1"/>
  <c r="K172" i="54" s="1"/>
  <c r="J21" i="55" s="1"/>
  <c r="U218" i="60"/>
  <c r="G240" i="61"/>
  <c r="S239" i="60"/>
  <c r="M240" i="60" s="1"/>
  <c r="K172" i="58"/>
  <c r="J21" i="59" s="1"/>
  <c r="N183" i="53"/>
  <c r="P183" i="53" s="1"/>
  <c r="G240" i="103" l="1"/>
  <c r="H240" i="103" s="1"/>
  <c r="J240" i="103" s="1"/>
  <c r="H240" i="110"/>
  <c r="L21" i="59"/>
  <c r="M21" i="59" s="1"/>
  <c r="H21" i="59"/>
  <c r="L21" i="55"/>
  <c r="M21" i="55" s="1"/>
  <c r="H21" i="55"/>
  <c r="J24" i="66"/>
  <c r="H24" i="66" s="1"/>
  <c r="G240" i="86"/>
  <c r="H240" i="86" s="1"/>
  <c r="J240" i="86" s="1"/>
  <c r="G240" i="93"/>
  <c r="H240" i="93" s="1"/>
  <c r="T239" i="89"/>
  <c r="R219" i="60"/>
  <c r="Q219" i="60" s="1"/>
  <c r="G220" i="65" s="1"/>
  <c r="O240" i="60"/>
  <c r="J184" i="61"/>
  <c r="G184" i="54"/>
  <c r="H184" i="58"/>
  <c r="T183" i="53"/>
  <c r="N184" i="53" s="1"/>
  <c r="D71" i="10" l="1"/>
  <c r="F17" i="114"/>
  <c r="D69" i="10"/>
  <c r="E17" i="114"/>
  <c r="J240" i="110"/>
  <c r="L24" i="66"/>
  <c r="M24" i="66" s="1"/>
  <c r="J240" i="93"/>
  <c r="N240" i="89"/>
  <c r="P240" i="89" s="1"/>
  <c r="H220" i="65"/>
  <c r="J220" i="65" s="1"/>
  <c r="H184" i="54"/>
  <c r="J184" i="54" s="1"/>
  <c r="U219" i="60"/>
  <c r="G241" i="61"/>
  <c r="S240" i="60"/>
  <c r="M241" i="60" s="1"/>
  <c r="J184" i="58"/>
  <c r="P184" i="53"/>
  <c r="H185" i="61" s="1"/>
  <c r="G241" i="103" l="1"/>
  <c r="H241" i="103" s="1"/>
  <c r="J241" i="103" s="1"/>
  <c r="H241" i="110"/>
  <c r="G241" i="86"/>
  <c r="H241" i="86" s="1"/>
  <c r="J241" i="86" s="1"/>
  <c r="G241" i="93"/>
  <c r="H241" i="93" s="1"/>
  <c r="T240" i="89"/>
  <c r="R220" i="60"/>
  <c r="Q220" i="60" s="1"/>
  <c r="G221" i="65" s="1"/>
  <c r="O241" i="60"/>
  <c r="J185" i="61"/>
  <c r="G185" i="54"/>
  <c r="H185" i="58"/>
  <c r="T184" i="53"/>
  <c r="N185" i="53" s="1"/>
  <c r="J241" i="110" l="1"/>
  <c r="J241" i="93"/>
  <c r="N241" i="89"/>
  <c r="P241" i="89" s="1"/>
  <c r="H221" i="65"/>
  <c r="J221" i="65" s="1"/>
  <c r="H185" i="54"/>
  <c r="J185" i="54" s="1"/>
  <c r="U220" i="60"/>
  <c r="G242" i="61"/>
  <c r="S241" i="60"/>
  <c r="M242" i="60" s="1"/>
  <c r="J185" i="58"/>
  <c r="P185" i="53"/>
  <c r="H186" i="61" s="1"/>
  <c r="G242" i="103" l="1"/>
  <c r="H242" i="103" s="1"/>
  <c r="J242" i="103" s="1"/>
  <c r="H242" i="110"/>
  <c r="G242" i="86"/>
  <c r="H242" i="86" s="1"/>
  <c r="J242" i="86" s="1"/>
  <c r="G242" i="93"/>
  <c r="H242" i="93" s="1"/>
  <c r="T241" i="89"/>
  <c r="R221" i="60"/>
  <c r="Q221" i="60" s="1"/>
  <c r="G222" i="65" s="1"/>
  <c r="O242" i="60"/>
  <c r="J186" i="61"/>
  <c r="G186" i="54"/>
  <c r="H186" i="58"/>
  <c r="T185" i="53"/>
  <c r="N186" i="53" s="1"/>
  <c r="J242" i="110" l="1"/>
  <c r="J242" i="93"/>
  <c r="N242" i="89"/>
  <c r="P242" i="89" s="1"/>
  <c r="H222" i="65"/>
  <c r="J222" i="65" s="1"/>
  <c r="H186" i="54"/>
  <c r="J186" i="54" s="1"/>
  <c r="U221" i="60"/>
  <c r="G243" i="61"/>
  <c r="N232" i="61" s="1"/>
  <c r="O23" i="76" s="1"/>
  <c r="S242" i="60"/>
  <c r="J186" i="58"/>
  <c r="P186" i="53"/>
  <c r="H187" i="61" s="1"/>
  <c r="G243" i="103" l="1"/>
  <c r="N232" i="103" s="1"/>
  <c r="G243" i="86"/>
  <c r="G243" i="93"/>
  <c r="Y232" i="93" s="1"/>
  <c r="O23" i="101" s="1"/>
  <c r="T242" i="89"/>
  <c r="R222" i="60"/>
  <c r="Q222" i="60" s="1"/>
  <c r="G223" i="65" s="1"/>
  <c r="J187" i="61"/>
  <c r="G187" i="54"/>
  <c r="H187" i="58"/>
  <c r="T186" i="53"/>
  <c r="N187" i="53" s="1"/>
  <c r="H243" i="103" l="1"/>
  <c r="J243" i="103" s="1"/>
  <c r="K232" i="103" s="1"/>
  <c r="J26" i="102" s="1"/>
  <c r="Y232" i="103"/>
  <c r="O23" i="106" s="1"/>
  <c r="Y232" i="110"/>
  <c r="N232" i="110"/>
  <c r="H243" i="110"/>
  <c r="J243" i="110" s="1"/>
  <c r="K232" i="110" s="1"/>
  <c r="J26" i="108" s="1"/>
  <c r="N232" i="86"/>
  <c r="Y232" i="86"/>
  <c r="H243" i="86"/>
  <c r="J243" i="86" s="1"/>
  <c r="K232" i="86" s="1"/>
  <c r="J26" i="87" s="1"/>
  <c r="L26" i="87" s="1"/>
  <c r="M26" i="87" s="1"/>
  <c r="N232" i="93"/>
  <c r="H243" i="93"/>
  <c r="J243" i="93" s="1"/>
  <c r="K232" i="93" s="1"/>
  <c r="H223" i="65"/>
  <c r="J223" i="65" s="1"/>
  <c r="H187" i="54"/>
  <c r="J187" i="54" s="1"/>
  <c r="U222" i="60"/>
  <c r="J187" i="58"/>
  <c r="P187" i="53"/>
  <c r="H188" i="61" s="1"/>
  <c r="H26" i="108" l="1"/>
  <c r="L26" i="108"/>
  <c r="M26" i="108" s="1"/>
  <c r="H26" i="102"/>
  <c r="L26" i="102"/>
  <c r="M26" i="102" s="1"/>
  <c r="J26" i="92"/>
  <c r="O23" i="100"/>
  <c r="H26" i="87"/>
  <c r="R223" i="60"/>
  <c r="Q223" i="60" s="1"/>
  <c r="G224" i="65" s="1"/>
  <c r="J188" i="61"/>
  <c r="G188" i="54"/>
  <c r="H188" i="58"/>
  <c r="T187" i="53"/>
  <c r="N188" i="53" s="1"/>
  <c r="H26" i="92" l="1"/>
  <c r="L26" i="92"/>
  <c r="M26" i="92" s="1"/>
  <c r="H224" i="65"/>
  <c r="J224" i="65" s="1"/>
  <c r="H188" i="54"/>
  <c r="J188" i="54" s="1"/>
  <c r="U223" i="60"/>
  <c r="J188" i="58"/>
  <c r="P188" i="53"/>
  <c r="H189" i="61" s="1"/>
  <c r="R224" i="60" l="1"/>
  <c r="Q224" i="60" s="1"/>
  <c r="G225" i="65" s="1"/>
  <c r="H225" i="65" s="1"/>
  <c r="J189" i="61"/>
  <c r="G189" i="54"/>
  <c r="H189" i="54" s="1"/>
  <c r="J189" i="54" s="1"/>
  <c r="H189" i="58"/>
  <c r="T188" i="53"/>
  <c r="N189" i="53" s="1"/>
  <c r="U224" i="60" l="1"/>
  <c r="J225" i="65"/>
  <c r="J189" i="58"/>
  <c r="P189" i="53"/>
  <c r="H190" i="61" s="1"/>
  <c r="R225" i="60" l="1"/>
  <c r="Q225" i="60" s="1"/>
  <c r="G226" i="65" s="1"/>
  <c r="H226" i="65" s="1"/>
  <c r="J190" i="61"/>
  <c r="G190" i="54"/>
  <c r="H190" i="54" s="1"/>
  <c r="H190" i="58"/>
  <c r="T189" i="53"/>
  <c r="N190" i="53" s="1"/>
  <c r="U225" i="60" l="1"/>
  <c r="J226" i="65"/>
  <c r="J190" i="58"/>
  <c r="J190" i="54"/>
  <c r="P190" i="53"/>
  <c r="H191" i="61" s="1"/>
  <c r="R226" i="60" l="1"/>
  <c r="Q226" i="60" s="1"/>
  <c r="G227" i="65" s="1"/>
  <c r="H227" i="65" s="1"/>
  <c r="J191" i="61"/>
  <c r="G191" i="54"/>
  <c r="H191" i="54" s="1"/>
  <c r="J191" i="54" s="1"/>
  <c r="H191" i="58"/>
  <c r="T190" i="53"/>
  <c r="N191" i="53" s="1"/>
  <c r="U226" i="60" l="1"/>
  <c r="J227" i="65"/>
  <c r="J191" i="58"/>
  <c r="P191" i="53"/>
  <c r="H192" i="61" s="1"/>
  <c r="R227" i="60" l="1"/>
  <c r="Q227" i="60" s="1"/>
  <c r="G228" i="65" s="1"/>
  <c r="H228" i="65" s="1"/>
  <c r="J192" i="61"/>
  <c r="G192" i="54"/>
  <c r="H192" i="54" s="1"/>
  <c r="H192" i="58"/>
  <c r="T191" i="53"/>
  <c r="N192" i="53" s="1"/>
  <c r="U227" i="60" l="1"/>
  <c r="J228" i="65"/>
  <c r="J192" i="58"/>
  <c r="J192" i="54"/>
  <c r="P192" i="53"/>
  <c r="H193" i="61" s="1"/>
  <c r="R228" i="60" l="1"/>
  <c r="Q228" i="60" s="1"/>
  <c r="G229" i="65" s="1"/>
  <c r="H229" i="65" s="1"/>
  <c r="J193" i="61"/>
  <c r="G193" i="54"/>
  <c r="H193" i="54" s="1"/>
  <c r="H193" i="58"/>
  <c r="T192" i="53"/>
  <c r="N193" i="53" s="1"/>
  <c r="U228" i="60" l="1"/>
  <c r="J229" i="65"/>
  <c r="J193" i="58"/>
  <c r="J193" i="54"/>
  <c r="P193" i="53"/>
  <c r="H194" i="61" s="1"/>
  <c r="R229" i="60" l="1"/>
  <c r="Q229" i="60" s="1"/>
  <c r="G230" i="65" s="1"/>
  <c r="H230" i="65" s="1"/>
  <c r="J194" i="61"/>
  <c r="G194" i="54"/>
  <c r="H194" i="54" s="1"/>
  <c r="H194" i="58"/>
  <c r="T193" i="53"/>
  <c r="U229" i="60" l="1"/>
  <c r="J230" i="65"/>
  <c r="J194" i="58"/>
  <c r="J194" i="54"/>
  <c r="N194" i="53"/>
  <c r="P194" i="53" s="1"/>
  <c r="H195" i="61" s="1"/>
  <c r="J195" i="61" s="1"/>
  <c r="H196" i="61" s="1"/>
  <c r="R230" i="60" l="1"/>
  <c r="Q230" i="60" s="1"/>
  <c r="G231" i="65" s="1"/>
  <c r="N220" i="65" s="1"/>
  <c r="P22" i="76" s="1"/>
  <c r="K184" i="61"/>
  <c r="J22" i="62" s="1"/>
  <c r="H22" i="62" s="1"/>
  <c r="G195" i="54"/>
  <c r="P184" i="54" s="1"/>
  <c r="H195" i="58"/>
  <c r="J195" i="58" s="1"/>
  <c r="T194" i="53"/>
  <c r="L22" i="62" l="1"/>
  <c r="M22" i="62" s="1"/>
  <c r="H231" i="65"/>
  <c r="J231" i="65" s="1"/>
  <c r="K220" i="65" s="1"/>
  <c r="O19" i="75"/>
  <c r="H195" i="54"/>
  <c r="J195" i="54" s="1"/>
  <c r="U230" i="60"/>
  <c r="K184" i="58"/>
  <c r="J22" i="59" s="1"/>
  <c r="N195" i="53"/>
  <c r="P195" i="53" s="1"/>
  <c r="L22" i="59" l="1"/>
  <c r="M22" i="59" s="1"/>
  <c r="F18" i="114" s="1"/>
  <c r="H22" i="59"/>
  <c r="J25" i="66"/>
  <c r="H25" i="66" s="1"/>
  <c r="R231" i="60"/>
  <c r="Q231" i="60" s="1"/>
  <c r="G232" i="65" s="1"/>
  <c r="J196" i="61"/>
  <c r="G196" i="54"/>
  <c r="H196" i="58"/>
  <c r="K184" i="54"/>
  <c r="J22" i="55" s="1"/>
  <c r="T195" i="53"/>
  <c r="L22" i="55" l="1"/>
  <c r="M22" i="55" s="1"/>
  <c r="E18" i="114" s="1"/>
  <c r="H22" i="55"/>
  <c r="L25" i="66"/>
  <c r="M25" i="66" s="1"/>
  <c r="H232" i="65"/>
  <c r="J232" i="65" s="1"/>
  <c r="H196" i="54"/>
  <c r="J196" i="54" s="1"/>
  <c r="U231" i="60"/>
  <c r="J196" i="58"/>
  <c r="N196" i="53"/>
  <c r="P196" i="53" s="1"/>
  <c r="H197" i="61" s="1"/>
  <c r="R232" i="60" l="1"/>
  <c r="Q232" i="60" s="1"/>
  <c r="G233" i="65" s="1"/>
  <c r="J197" i="61"/>
  <c r="G197" i="54"/>
  <c r="H197" i="58"/>
  <c r="T196" i="53"/>
  <c r="H233" i="65" l="1"/>
  <c r="J233" i="65" s="1"/>
  <c r="H197" i="54"/>
  <c r="J197" i="54" s="1"/>
  <c r="U232" i="60"/>
  <c r="J197" i="58"/>
  <c r="N197" i="53"/>
  <c r="P197" i="53" s="1"/>
  <c r="H198" i="61" s="1"/>
  <c r="R233" i="60" l="1"/>
  <c r="Q233" i="60" s="1"/>
  <c r="G234" i="65" s="1"/>
  <c r="J198" i="61"/>
  <c r="G198" i="54"/>
  <c r="H198" i="58"/>
  <c r="T197" i="53"/>
  <c r="N198" i="53" s="1"/>
  <c r="P198" i="53" s="1"/>
  <c r="H199" i="61" s="1"/>
  <c r="H234" i="65" l="1"/>
  <c r="J234" i="65" s="1"/>
  <c r="H198" i="54"/>
  <c r="J198" i="54" s="1"/>
  <c r="U233" i="60"/>
  <c r="J199" i="61"/>
  <c r="J198" i="58"/>
  <c r="G199" i="54"/>
  <c r="H199" i="58"/>
  <c r="T198" i="53"/>
  <c r="N199" i="53" s="1"/>
  <c r="H199" i="54" l="1"/>
  <c r="J199" i="54" s="1"/>
  <c r="R234" i="60"/>
  <c r="Q234" i="60" s="1"/>
  <c r="G235" i="65" s="1"/>
  <c r="J199" i="58"/>
  <c r="P199" i="53"/>
  <c r="H200" i="61" s="1"/>
  <c r="H235" i="65" l="1"/>
  <c r="J235" i="65" s="1"/>
  <c r="U234" i="60"/>
  <c r="J200" i="61"/>
  <c r="G200" i="54"/>
  <c r="H200" i="58"/>
  <c r="T199" i="53"/>
  <c r="N200" i="53" s="1"/>
  <c r="H200" i="54" l="1"/>
  <c r="J200" i="54" s="1"/>
  <c r="R235" i="60"/>
  <c r="Q235" i="60" s="1"/>
  <c r="G236" i="65" s="1"/>
  <c r="J200" i="58"/>
  <c r="P200" i="53"/>
  <c r="H201" i="61" s="1"/>
  <c r="H236" i="65" l="1"/>
  <c r="J236" i="65" s="1"/>
  <c r="U235" i="60"/>
  <c r="J201" i="61"/>
  <c r="G201" i="54"/>
  <c r="H201" i="54" s="1"/>
  <c r="H201" i="58"/>
  <c r="T200" i="53"/>
  <c r="N201" i="53" s="1"/>
  <c r="R236" i="60" l="1"/>
  <c r="Q236" i="60" s="1"/>
  <c r="G237" i="65" s="1"/>
  <c r="H237" i="65" s="1"/>
  <c r="J201" i="58"/>
  <c r="J201" i="54"/>
  <c r="P201" i="53"/>
  <c r="H202" i="61" s="1"/>
  <c r="U236" i="60" l="1"/>
  <c r="J237" i="65"/>
  <c r="J202" i="61"/>
  <c r="G202" i="54"/>
  <c r="H202" i="54" s="1"/>
  <c r="H202" i="58"/>
  <c r="T201" i="53"/>
  <c r="N202" i="53" s="1"/>
  <c r="R237" i="60" l="1"/>
  <c r="Q237" i="60" s="1"/>
  <c r="G238" i="65" s="1"/>
  <c r="H238" i="65" s="1"/>
  <c r="J202" i="58"/>
  <c r="J202" i="54"/>
  <c r="P202" i="53"/>
  <c r="H203" i="61" s="1"/>
  <c r="U237" i="60" l="1"/>
  <c r="J238" i="65"/>
  <c r="J203" i="61"/>
  <c r="G203" i="54"/>
  <c r="H203" i="54" s="1"/>
  <c r="H203" i="58"/>
  <c r="T202" i="53"/>
  <c r="N203" i="53" s="1"/>
  <c r="R238" i="60" l="1"/>
  <c r="Q238" i="60" s="1"/>
  <c r="G239" i="65" s="1"/>
  <c r="H239" i="65" s="1"/>
  <c r="J203" i="58"/>
  <c r="J203" i="54"/>
  <c r="P203" i="53"/>
  <c r="H204" i="61" s="1"/>
  <c r="U238" i="60" l="1"/>
  <c r="J239" i="65"/>
  <c r="J204" i="61"/>
  <c r="G204" i="54"/>
  <c r="H204" i="54" s="1"/>
  <c r="J204" i="54" s="1"/>
  <c r="H204" i="58"/>
  <c r="T203" i="53"/>
  <c r="N204" i="53" s="1"/>
  <c r="R239" i="60" l="1"/>
  <c r="Q239" i="60" s="1"/>
  <c r="G240" i="65" s="1"/>
  <c r="H240" i="65" s="1"/>
  <c r="J204" i="58"/>
  <c r="P204" i="53"/>
  <c r="H205" i="61" s="1"/>
  <c r="U239" i="60" l="1"/>
  <c r="J240" i="65"/>
  <c r="J205" i="61"/>
  <c r="G205" i="54"/>
  <c r="H205" i="54" s="1"/>
  <c r="H205" i="58"/>
  <c r="T204" i="53"/>
  <c r="N205" i="53" s="1"/>
  <c r="R240" i="60" l="1"/>
  <c r="Q240" i="60" s="1"/>
  <c r="G241" i="65" s="1"/>
  <c r="H241" i="65" s="1"/>
  <c r="J205" i="58"/>
  <c r="J205" i="54"/>
  <c r="P205" i="53"/>
  <c r="H206" i="61" s="1"/>
  <c r="U240" i="60" l="1"/>
  <c r="J241" i="65"/>
  <c r="J206" i="61"/>
  <c r="G206" i="54"/>
  <c r="H206" i="54" s="1"/>
  <c r="H206" i="58"/>
  <c r="T205" i="53"/>
  <c r="N206" i="53" s="1"/>
  <c r="R241" i="60" l="1"/>
  <c r="Q241" i="60" s="1"/>
  <c r="G242" i="65" s="1"/>
  <c r="H242" i="65" s="1"/>
  <c r="J206" i="58"/>
  <c r="J206" i="54"/>
  <c r="P206" i="53"/>
  <c r="H207" i="61" s="1"/>
  <c r="J207" i="61" s="1"/>
  <c r="H208" i="61" s="1"/>
  <c r="U241" i="60" l="1"/>
  <c r="J242" i="65"/>
  <c r="K196" i="61"/>
  <c r="J23" i="62" s="1"/>
  <c r="H23" i="62" s="1"/>
  <c r="G207" i="54"/>
  <c r="P196" i="54" s="1"/>
  <c r="H207" i="58"/>
  <c r="J207" i="58" s="1"/>
  <c r="T206" i="53"/>
  <c r="L23" i="62" l="1"/>
  <c r="M23" i="62" s="1"/>
  <c r="O20" i="75"/>
  <c r="H207" i="54"/>
  <c r="J207" i="54" s="1"/>
  <c r="R242" i="60"/>
  <c r="Q242" i="60" s="1"/>
  <c r="G243" i="65" s="1"/>
  <c r="N232" i="65" s="1"/>
  <c r="P23" i="76" s="1"/>
  <c r="K196" i="58"/>
  <c r="J23" i="59" s="1"/>
  <c r="N207" i="53"/>
  <c r="P207" i="53" s="1"/>
  <c r="L23" i="59" l="1"/>
  <c r="M23" i="59" s="1"/>
  <c r="F19" i="114" s="1"/>
  <c r="H23" i="59"/>
  <c r="H243" i="65"/>
  <c r="J243" i="65" s="1"/>
  <c r="K232" i="65" s="1"/>
  <c r="U242" i="60"/>
  <c r="J208" i="61"/>
  <c r="G208" i="54"/>
  <c r="H208" i="58"/>
  <c r="K196" i="54"/>
  <c r="J23" i="55" s="1"/>
  <c r="T207" i="53"/>
  <c r="N208" i="53" s="1"/>
  <c r="L23" i="55" l="1"/>
  <c r="M23" i="55" s="1"/>
  <c r="E19" i="114" s="1"/>
  <c r="H23" i="55"/>
  <c r="J26" i="66"/>
  <c r="H26" i="66" s="1"/>
  <c r="H208" i="54"/>
  <c r="J208" i="54" s="1"/>
  <c r="J208" i="58"/>
  <c r="P208" i="53"/>
  <c r="H209" i="61" s="1"/>
  <c r="L26" i="66" l="1"/>
  <c r="M26" i="66" s="1"/>
  <c r="J209" i="61"/>
  <c r="G209" i="54"/>
  <c r="H209" i="58"/>
  <c r="T208" i="53"/>
  <c r="N209" i="53" s="1"/>
  <c r="H209" i="54" l="1"/>
  <c r="J209" i="54" s="1"/>
  <c r="J209" i="58"/>
  <c r="P209" i="53"/>
  <c r="H210" i="61" s="1"/>
  <c r="J210" i="61" l="1"/>
  <c r="G210" i="54"/>
  <c r="H210" i="58"/>
  <c r="T209" i="53"/>
  <c r="N210" i="53" s="1"/>
  <c r="H210" i="54" l="1"/>
  <c r="J210" i="54" s="1"/>
  <c r="J210" i="58"/>
  <c r="P210" i="53"/>
  <c r="H211" i="61" s="1"/>
  <c r="J211" i="61" l="1"/>
  <c r="G211" i="54"/>
  <c r="H211" i="58"/>
  <c r="T210" i="53"/>
  <c r="N211" i="53" s="1"/>
  <c r="H211" i="54" l="1"/>
  <c r="J211" i="54" s="1"/>
  <c r="J211" i="58"/>
  <c r="P211" i="53"/>
  <c r="H212" i="61" s="1"/>
  <c r="J212" i="61" l="1"/>
  <c r="G212" i="54"/>
  <c r="H212" i="58"/>
  <c r="T211" i="53"/>
  <c r="N212" i="53" s="1"/>
  <c r="H212" i="54" l="1"/>
  <c r="J212" i="54" s="1"/>
  <c r="J212" i="58"/>
  <c r="P212" i="53"/>
  <c r="H213" i="61" s="1"/>
  <c r="J213" i="61" l="1"/>
  <c r="G213" i="54"/>
  <c r="H213" i="54" s="1"/>
  <c r="H213" i="58"/>
  <c r="T212" i="53"/>
  <c r="N213" i="53" s="1"/>
  <c r="J213" i="58" l="1"/>
  <c r="J213" i="54"/>
  <c r="P213" i="53"/>
  <c r="H214" i="61" s="1"/>
  <c r="J214" i="61" l="1"/>
  <c r="G214" i="54"/>
  <c r="H214" i="54" s="1"/>
  <c r="J214" i="54" s="1"/>
  <c r="H214" i="58"/>
  <c r="T213" i="53"/>
  <c r="N214" i="53" s="1"/>
  <c r="J214" i="58" l="1"/>
  <c r="P214" i="53"/>
  <c r="H215" i="61" s="1"/>
  <c r="J215" i="61" l="1"/>
  <c r="G215" i="54"/>
  <c r="H215" i="54" s="1"/>
  <c r="J215" i="54" s="1"/>
  <c r="H215" i="58"/>
  <c r="T214" i="53"/>
  <c r="N215" i="53" s="1"/>
  <c r="J215" i="58" l="1"/>
  <c r="P215" i="53"/>
  <c r="H216" i="61" s="1"/>
  <c r="J216" i="61" l="1"/>
  <c r="G216" i="54"/>
  <c r="H216" i="54" s="1"/>
  <c r="H216" i="58"/>
  <c r="T215" i="53"/>
  <c r="N216" i="53" s="1"/>
  <c r="J216" i="58" l="1"/>
  <c r="J216" i="54"/>
  <c r="P216" i="53"/>
  <c r="H217" i="61" s="1"/>
  <c r="J217" i="61" l="1"/>
  <c r="G217" i="54"/>
  <c r="H217" i="54" s="1"/>
  <c r="H217" i="58"/>
  <c r="T216" i="53"/>
  <c r="N217" i="53" s="1"/>
  <c r="J217" i="58" l="1"/>
  <c r="J217" i="54"/>
  <c r="P217" i="53"/>
  <c r="H218" i="61" s="1"/>
  <c r="J218" i="61" l="1"/>
  <c r="G218" i="54"/>
  <c r="H218" i="54" s="1"/>
  <c r="H218" i="58"/>
  <c r="T217" i="53"/>
  <c r="J218" i="58" l="1"/>
  <c r="J218" i="54"/>
  <c r="N218" i="53"/>
  <c r="P218" i="53" s="1"/>
  <c r="H219" i="61" s="1"/>
  <c r="J219" i="61" s="1"/>
  <c r="H220" i="61" s="1"/>
  <c r="K208" i="61" l="1"/>
  <c r="J24" i="62" s="1"/>
  <c r="H24" i="62" s="1"/>
  <c r="G219" i="54"/>
  <c r="P208" i="54" s="1"/>
  <c r="H219" i="58"/>
  <c r="J219" i="58" s="1"/>
  <c r="T218" i="53"/>
  <c r="L24" i="62" l="1"/>
  <c r="M24" i="62" s="1"/>
  <c r="O21" i="75"/>
  <c r="H219" i="54"/>
  <c r="J219" i="54" s="1"/>
  <c r="K208" i="58"/>
  <c r="J24" i="59" s="1"/>
  <c r="N219" i="53"/>
  <c r="P219" i="53" s="1"/>
  <c r="L24" i="59" l="1"/>
  <c r="M24" i="59" s="1"/>
  <c r="F20" i="114" s="1"/>
  <c r="H24" i="59"/>
  <c r="J220" i="61"/>
  <c r="G220" i="54"/>
  <c r="H220" i="58"/>
  <c r="K208" i="54"/>
  <c r="J24" i="55" s="1"/>
  <c r="T219" i="53"/>
  <c r="N220" i="53" s="1"/>
  <c r="L24" i="55" l="1"/>
  <c r="M24" i="55" s="1"/>
  <c r="E20" i="114" s="1"/>
  <c r="H24" i="55"/>
  <c r="H220" i="54"/>
  <c r="J220" i="54" s="1"/>
  <c r="J220" i="58"/>
  <c r="P220" i="53"/>
  <c r="H221" i="61" s="1"/>
  <c r="J221" i="61" l="1"/>
  <c r="G221" i="54"/>
  <c r="H221" i="58"/>
  <c r="T220" i="53"/>
  <c r="N221" i="53" s="1"/>
  <c r="H221" i="54" l="1"/>
  <c r="J221" i="54" s="1"/>
  <c r="J221" i="58"/>
  <c r="P221" i="53"/>
  <c r="H222" i="61" s="1"/>
  <c r="J222" i="61" l="1"/>
  <c r="G222" i="54"/>
  <c r="H222" i="58"/>
  <c r="T221" i="53"/>
  <c r="N222" i="53" s="1"/>
  <c r="H222" i="54" l="1"/>
  <c r="J222" i="54" s="1"/>
  <c r="J222" i="58"/>
  <c r="P222" i="53"/>
  <c r="H223" i="61" s="1"/>
  <c r="J223" i="61" l="1"/>
  <c r="G223" i="54"/>
  <c r="H223" i="58"/>
  <c r="T222" i="53"/>
  <c r="N223" i="53" s="1"/>
  <c r="H223" i="54" l="1"/>
  <c r="J223" i="54" s="1"/>
  <c r="J223" i="58"/>
  <c r="P223" i="53"/>
  <c r="H224" i="61" s="1"/>
  <c r="J224" i="61" l="1"/>
  <c r="G224" i="54"/>
  <c r="H224" i="58"/>
  <c r="T223" i="53"/>
  <c r="N224" i="53" s="1"/>
  <c r="H224" i="54" l="1"/>
  <c r="J224" i="54" s="1"/>
  <c r="J224" i="58"/>
  <c r="P224" i="53"/>
  <c r="H225" i="61" s="1"/>
  <c r="J225" i="61" l="1"/>
  <c r="G225" i="54"/>
  <c r="H225" i="54" s="1"/>
  <c r="H225" i="58"/>
  <c r="T224" i="53"/>
  <c r="N225" i="53" s="1"/>
  <c r="J225" i="58" l="1"/>
  <c r="J225" i="54"/>
  <c r="P225" i="53"/>
  <c r="H226" i="61" s="1"/>
  <c r="J226" i="61" l="1"/>
  <c r="G226" i="54"/>
  <c r="H226" i="54" s="1"/>
  <c r="H226" i="58"/>
  <c r="T225" i="53"/>
  <c r="N226" i="53" s="1"/>
  <c r="J226" i="58" l="1"/>
  <c r="J226" i="54"/>
  <c r="P226" i="53"/>
  <c r="H227" i="61" s="1"/>
  <c r="J227" i="61" l="1"/>
  <c r="G227" i="54"/>
  <c r="H227" i="54" s="1"/>
  <c r="J227" i="54" s="1"/>
  <c r="H227" i="58"/>
  <c r="T226" i="53"/>
  <c r="N227" i="53" s="1"/>
  <c r="J227" i="58" l="1"/>
  <c r="P227" i="53"/>
  <c r="H228" i="61" s="1"/>
  <c r="J228" i="61" l="1"/>
  <c r="G228" i="54"/>
  <c r="H228" i="54" s="1"/>
  <c r="H228" i="58"/>
  <c r="T227" i="53"/>
  <c r="N228" i="53" s="1"/>
  <c r="J228" i="58" l="1"/>
  <c r="J228" i="54"/>
  <c r="P228" i="53"/>
  <c r="H229" i="61" s="1"/>
  <c r="J229" i="61" l="1"/>
  <c r="G229" i="54"/>
  <c r="H229" i="54" s="1"/>
  <c r="H229" i="58"/>
  <c r="T228" i="53"/>
  <c r="N229" i="53" s="1"/>
  <c r="J229" i="58" l="1"/>
  <c r="J229" i="54"/>
  <c r="P229" i="53"/>
  <c r="H230" i="61" s="1"/>
  <c r="J230" i="61" l="1"/>
  <c r="G230" i="54"/>
  <c r="H230" i="54" s="1"/>
  <c r="H230" i="58"/>
  <c r="T229" i="53"/>
  <c r="J230" i="58" l="1"/>
  <c r="J230" i="54"/>
  <c r="N230" i="53"/>
  <c r="P230" i="53" s="1"/>
  <c r="H231" i="61" s="1"/>
  <c r="J231" i="61" s="1"/>
  <c r="H232" i="61" s="1"/>
  <c r="K220" i="61" l="1"/>
  <c r="J25" i="62" s="1"/>
  <c r="H25" i="62" s="1"/>
  <c r="G231" i="54"/>
  <c r="P220" i="54" s="1"/>
  <c r="H231" i="58"/>
  <c r="J231" i="58" s="1"/>
  <c r="T230" i="53"/>
  <c r="L25" i="62" l="1"/>
  <c r="M25" i="62" s="1"/>
  <c r="O22" i="75"/>
  <c r="H231" i="54"/>
  <c r="J231" i="54" s="1"/>
  <c r="K220" i="54" s="1"/>
  <c r="J25" i="55" s="1"/>
  <c r="K220" i="58"/>
  <c r="J25" i="59" s="1"/>
  <c r="N231" i="53"/>
  <c r="P231" i="53" s="1"/>
  <c r="L25" i="59" l="1"/>
  <c r="M25" i="59" s="1"/>
  <c r="F21" i="114" s="1"/>
  <c r="H25" i="59"/>
  <c r="L25" i="55"/>
  <c r="M25" i="55" s="1"/>
  <c r="E21" i="114" s="1"/>
  <c r="H25" i="55"/>
  <c r="J232" i="61"/>
  <c r="G232" i="54"/>
  <c r="H232" i="58"/>
  <c r="T231" i="53"/>
  <c r="N232" i="53" s="1"/>
  <c r="H232" i="54" l="1"/>
  <c r="J232" i="54" s="1"/>
  <c r="J232" i="58"/>
  <c r="P232" i="53"/>
  <c r="H233" i="61" s="1"/>
  <c r="J233" i="61" l="1"/>
  <c r="G233" i="54"/>
  <c r="H233" i="58"/>
  <c r="T232" i="53"/>
  <c r="N233" i="53" s="1"/>
  <c r="H233" i="54" l="1"/>
  <c r="J233" i="54" s="1"/>
  <c r="J233" i="58"/>
  <c r="P233" i="53"/>
  <c r="H234" i="61" s="1"/>
  <c r="J234" i="61" l="1"/>
  <c r="G234" i="54"/>
  <c r="H234" i="58"/>
  <c r="T233" i="53"/>
  <c r="N234" i="53" s="1"/>
  <c r="H234" i="54" l="1"/>
  <c r="J234" i="54" s="1"/>
  <c r="J234" i="58"/>
  <c r="P234" i="53"/>
  <c r="H235" i="61" s="1"/>
  <c r="J235" i="61" l="1"/>
  <c r="G235" i="54"/>
  <c r="H235" i="58"/>
  <c r="T234" i="53"/>
  <c r="N235" i="53" s="1"/>
  <c r="H235" i="54" l="1"/>
  <c r="J235" i="54" s="1"/>
  <c r="J235" i="58"/>
  <c r="P235" i="53"/>
  <c r="H236" i="61" s="1"/>
  <c r="J236" i="61" l="1"/>
  <c r="G236" i="54"/>
  <c r="H236" i="58"/>
  <c r="T235" i="53"/>
  <c r="N236" i="53" s="1"/>
  <c r="H236" i="54" l="1"/>
  <c r="J236" i="54" s="1"/>
  <c r="J236" i="58"/>
  <c r="P236" i="53"/>
  <c r="H237" i="61" s="1"/>
  <c r="J237" i="61" l="1"/>
  <c r="G237" i="54"/>
  <c r="H237" i="54" s="1"/>
  <c r="H237" i="58"/>
  <c r="T236" i="53"/>
  <c r="N237" i="53" s="1"/>
  <c r="J237" i="58" l="1"/>
  <c r="J237" i="54"/>
  <c r="P237" i="53"/>
  <c r="H238" i="61" s="1"/>
  <c r="J238" i="61" l="1"/>
  <c r="G238" i="54"/>
  <c r="H238" i="54" s="1"/>
  <c r="H238" i="58"/>
  <c r="T237" i="53"/>
  <c r="N238" i="53" s="1"/>
  <c r="J238" i="58" l="1"/>
  <c r="J238" i="54"/>
  <c r="P238" i="53"/>
  <c r="H239" i="61" s="1"/>
  <c r="J239" i="61" l="1"/>
  <c r="G239" i="54"/>
  <c r="H239" i="54" s="1"/>
  <c r="J239" i="54" s="1"/>
  <c r="H239" i="58"/>
  <c r="T238" i="53"/>
  <c r="N239" i="53" s="1"/>
  <c r="J239" i="58" l="1"/>
  <c r="P239" i="53"/>
  <c r="H240" i="61" s="1"/>
  <c r="J240" i="61" l="1"/>
  <c r="G240" i="54"/>
  <c r="H240" i="54" s="1"/>
  <c r="H240" i="58"/>
  <c r="T239" i="53"/>
  <c r="N240" i="53" s="1"/>
  <c r="J240" i="58" l="1"/>
  <c r="J240" i="54"/>
  <c r="P240" i="53"/>
  <c r="H241" i="61" s="1"/>
  <c r="J241" i="61" l="1"/>
  <c r="G241" i="54"/>
  <c r="H241" i="54" s="1"/>
  <c r="H241" i="58"/>
  <c r="T240" i="53"/>
  <c r="N241" i="53" s="1"/>
  <c r="J241" i="58" l="1"/>
  <c r="J241" i="54"/>
  <c r="P241" i="53"/>
  <c r="H242" i="61" s="1"/>
  <c r="J242" i="61" l="1"/>
  <c r="G242" i="54"/>
  <c r="H242" i="54" s="1"/>
  <c r="H242" i="58"/>
  <c r="T241" i="53"/>
  <c r="J242" i="58" l="1"/>
  <c r="J242" i="54"/>
  <c r="N242" i="53"/>
  <c r="P242" i="53" s="1"/>
  <c r="H243" i="61" s="1"/>
  <c r="J243" i="61" s="1"/>
  <c r="K232" i="61" s="1"/>
  <c r="J26" i="62" s="1"/>
  <c r="H26" i="62" s="1"/>
  <c r="L26" i="62" l="1"/>
  <c r="M26" i="62" s="1"/>
  <c r="G243" i="54"/>
  <c r="P232" i="54" s="1"/>
  <c r="H243" i="58"/>
  <c r="J243" i="58" s="1"/>
  <c r="K232" i="58" s="1"/>
  <c r="J26" i="59" s="1"/>
  <c r="T242" i="53"/>
  <c r="L26" i="59" l="1"/>
  <c r="M26" i="59" s="1"/>
  <c r="H26" i="59"/>
  <c r="O23" i="75"/>
  <c r="H243" i="54"/>
  <c r="J243" i="54" s="1"/>
  <c r="K232" i="54" s="1"/>
  <c r="F22" i="114" l="1"/>
  <c r="D72" i="10"/>
  <c r="J26" i="55"/>
  <c r="H26" i="55" s="1"/>
  <c r="L26" i="55" l="1"/>
  <c r="M26" i="55" s="1"/>
  <c r="AH24" i="82"/>
  <c r="D70" i="10" l="1"/>
  <c r="E22" i="114"/>
</calcChain>
</file>

<file path=xl/sharedStrings.xml><?xml version="1.0" encoding="utf-8"?>
<sst xmlns="http://schemas.openxmlformats.org/spreadsheetml/2006/main" count="2360" uniqueCount="960">
  <si>
    <t>Nam</t>
  </si>
  <si>
    <t>Tuổi</t>
  </si>
  <si>
    <t>Nữ</t>
  </si>
  <si>
    <t>Tên Quyền lợi</t>
  </si>
  <si>
    <t>Số tiền bảo hiểm (đ)</t>
  </si>
  <si>
    <t>Phí đóng (đ)</t>
  </si>
  <si>
    <t>PHẦN 1. NGƯỜI ĐƯỢC BẢO HIỂM CHÍNH</t>
  </si>
  <si>
    <t>Nhập họ và tên:</t>
  </si>
  <si>
    <t>Nhập ngày tháng năm sinh:</t>
  </si>
  <si>
    <t>Chọn giới tính:</t>
  </si>
  <si>
    <t>Chọn loại nghề nghiệp:</t>
  </si>
  <si>
    <t>Loại:</t>
  </si>
  <si>
    <t>Vui lòng chú ý xem những cảnh báo bên dưới để điều chỉnh!</t>
  </si>
  <si>
    <t>Tiết kiệm theo ngày</t>
  </si>
  <si>
    <t>Tiết kiệm theo tháng</t>
  </si>
  <si>
    <t>Tư vấn tài chính:</t>
  </si>
  <si>
    <t>Mã số tư vấn viên:</t>
  </si>
  <si>
    <t>Quyền sử dụng:</t>
  </si>
  <si>
    <t>0981188866</t>
  </si>
  <si>
    <t>Mobile:</t>
  </si>
  <si>
    <t>"Tham gia bảo hiểm không phải vì ai đó sẽ ra đi, tham gia bảo hiểm là vì ai đó sẽ phải tiếp tục sống''_Harish Mishra</t>
  </si>
  <si>
    <t>Tóm Tắt Quyền Lợi Bảo Hiểm</t>
  </si>
  <si>
    <t>Hãy làm việc chuyên nghiệp &amp; tận tâm nhé!</t>
  </si>
  <si>
    <t>Số điện thoại:</t>
  </si>
  <si>
    <t>Email:</t>
  </si>
  <si>
    <t>KHẢO SÁT ƯU TIÊN TÀI CHÍNH HIỆN NAY</t>
  </si>
  <si>
    <t>Nhu cầu tài chính nào quan trọng với anh chị hiện nay?</t>
  </si>
  <si>
    <t>Bảo vệ tài chính chu cấp cho người thân</t>
  </si>
  <si>
    <t>Tích lũy Quỹ học đại học cho con</t>
  </si>
  <si>
    <t>Tích lũy Quỹ hưu trí cho tương lai</t>
  </si>
  <si>
    <t>Đầu tư gia tăng tài sản</t>
  </si>
  <si>
    <t>Quỹ chăm sóc sức khỏe</t>
  </si>
  <si>
    <t>Có phải là hưu tiên hiện nay?</t>
  </si>
  <si>
    <t>Dữ liệu khảo sát</t>
  </si>
  <si>
    <t>Năm</t>
  </si>
  <si>
    <t>Số tiền cần từng năm
(dựa vào lạm phát)</t>
  </si>
  <si>
    <t>Số tiền chuẩn bị
(dựa vào lãi suất)</t>
  </si>
  <si>
    <t>Thu nhập hàng tháng hiện tại</t>
  </si>
  <si>
    <t>Thu nhập năm hiện tại</t>
  </si>
  <si>
    <t>Mong muốn bảo vệ thu nhập bao nhiêu % của hiện tại</t>
  </si>
  <si>
    <t>Bảo vệ thu nhập theo năm</t>
  </si>
  <si>
    <t>Số năm muốn bảo vệ thu nhập</t>
  </si>
  <si>
    <t>Tài sản thanh khoản được ngay (1)</t>
  </si>
  <si>
    <t>Bảo hiểm nhân thọ đã có (2)</t>
  </si>
  <si>
    <t>Khoản vay nợ đang có (3)</t>
  </si>
  <si>
    <t>Nhu cầu tức thời = (3)</t>
  </si>
  <si>
    <t>Nhu cầu tương lai chưa tính lạm phát/LS (4)</t>
  </si>
  <si>
    <t>Quỹ hiện có (5) = (1)+(2)</t>
  </si>
  <si>
    <t>Khoản thiếu hụt chưa tính lạm phát/LS (6) = (3)+(4)-(5)</t>
  </si>
  <si>
    <t xml:space="preserve">Lạm phát </t>
  </si>
  <si>
    <t>Nhu cầu tương lai do lạm phát (7)</t>
  </si>
  <si>
    <t>Nhờ có công cụ tiết kiệm (8)</t>
  </si>
  <si>
    <t>Khoản thiếu hụt cuối cùng (9) = (8)-(5)+(3)</t>
  </si>
  <si>
    <t>Tổng</t>
  </si>
  <si>
    <t>Năm học 
đại học</t>
  </si>
  <si>
    <t>Khoản tiết kiệm hiện có</t>
  </si>
  <si>
    <t>Khoản tiết kiệm hàng tháng</t>
  </si>
  <si>
    <t>Con 1</t>
  </si>
  <si>
    <t>Số tiền tiết kiệm</t>
  </si>
  <si>
    <t>Số tháng</t>
  </si>
  <si>
    <t>Thời gian tiết kiệm cho mục tiêu giáo dục (năm)</t>
  </si>
  <si>
    <t>Lãi suất quy tháng</t>
  </si>
  <si>
    <t>Tuổi con hiện tại</t>
  </si>
  <si>
    <t>Số tiền tiết kiệm được</t>
  </si>
  <si>
    <t>Tuổi bắt đầu đại học</t>
  </si>
  <si>
    <t>Học phí theo năm hiện nay</t>
  </si>
  <si>
    <t>Kết quả tính toán</t>
  </si>
  <si>
    <t>Tổng mục tiêu giáo dục (1)</t>
  </si>
  <si>
    <t>Khoản tiết kiệm hàng tháng có được khi vào đại học (2)</t>
  </si>
  <si>
    <t>Khoản tiết kiệm đã có khi vào đại học (3)</t>
  </si>
  <si>
    <t>Tổng tiết kiệm có được (4) = (2)+(3)</t>
  </si>
  <si>
    <t>Khoản thiếu hụt ( nếu (-) nghĩa là đã thừa)</t>
  </si>
  <si>
    <t>Khoản cần tiết kiệm thêm hàng tháng</t>
  </si>
  <si>
    <t>Con 2</t>
  </si>
  <si>
    <t>Con 3</t>
  </si>
  <si>
    <t>Con 4</t>
  </si>
  <si>
    <t>Con 5</t>
  </si>
  <si>
    <t>Thu nhập hàng tháng</t>
  </si>
  <si>
    <t>Số tiết kiệm</t>
  </si>
  <si>
    <t>Tuổi hiện tại</t>
  </si>
  <si>
    <t>Tuổi nghỉ hưu</t>
  </si>
  <si>
    <t>Tổng tài sản hiện tại dành riêng cho hưu trí</t>
  </si>
  <si>
    <t>Số tiền tiết kiệm hàng tháng</t>
  </si>
  <si>
    <t>Số năm trì hoãn kế hoạch hưu trí</t>
  </si>
  <si>
    <t>Tỷ lệ lạm phát</t>
  </si>
  <si>
    <t>Tính toán chi tiết</t>
  </si>
  <si>
    <t>Tải sản trong tương lai có được (1)</t>
  </si>
  <si>
    <t>Số tiền tiết kiệm hàng tháng có được (2)</t>
  </si>
  <si>
    <t>Tổng số tiền tích lũy được (3) = (1)+(2)</t>
  </si>
  <si>
    <t>Khoản tiền cần cho kế hoạch hưu trí (4)</t>
  </si>
  <si>
    <t>Khoản thiếu hụt (5) = (4)-(3)</t>
  </si>
  <si>
    <t>Khoản cần tiết kiệm hàng tháng</t>
  </si>
  <si>
    <t>Số năm trì hoãn kế hoạch tiết kiệm</t>
  </si>
  <si>
    <t>Số tiền cần tiết kiệm nếu trì hoãn kế hoạch tiết kiệm là</t>
  </si>
  <si>
    <t>Dự tính khoản tiết kiệm hàng tháng</t>
  </si>
  <si>
    <t>Khoản tích lũy mong muốn (1)</t>
  </si>
  <si>
    <t>Khoản tiết kiệm hiện có nhờ lãi suất (2)</t>
  </si>
  <si>
    <t>Khoản tiết kiệm hàng tháng nhờ lãi suất (3)</t>
  </si>
  <si>
    <t>Khoản tích lũy của bạn (4) = (2)+(3)</t>
  </si>
  <si>
    <t>Khoản thiếu hụt (5) = (1) - (4)</t>
  </si>
  <si>
    <t>Khoản tiết kiệm hàng tháng để đạt mục tiêu</t>
  </si>
  <si>
    <t>Tiền phòng giường viện ưu tiên chọn lựa</t>
  </si>
  <si>
    <t>(Nữ giới) - Có định sinh con nữa không?</t>
  </si>
  <si>
    <t>(Nữ giới) - Lần gần nhất sinh thường hay sinh mổ?</t>
  </si>
  <si>
    <t>BÁO CÁO TỔNG QUAN HOẠCH ĐỊNH TÀI CHÍNH</t>
  </si>
  <si>
    <t>Ngày lập báo cáo:</t>
  </si>
  <si>
    <t>Nhu cầu ưu tiên hiện nay về tài chính</t>
  </si>
  <si>
    <t>Tính toán hoạch định chi tiết cho từng nhu cầu</t>
  </si>
  <si>
    <t>Đơn vị: VND</t>
  </si>
  <si>
    <t>1. Bảo vệ tài chính cho người thân</t>
  </si>
  <si>
    <t>Mong muốn bảo vệ thu nhập</t>
  </si>
  <si>
    <t xml:space="preserve">Tài sản thanh khoản được ngay </t>
  </si>
  <si>
    <t>Mệnh giá gói bảo hiểm nhân thọ đã có</t>
  </si>
  <si>
    <t>Khoản vay nợ đang có</t>
  </si>
  <si>
    <t>Lạm phát</t>
  </si>
  <si>
    <t>Công cụ tiết kiệm/ đầu tư</t>
  </si>
  <si>
    <t>Khoản thiếu hụt cần bảo vệ</t>
  </si>
  <si>
    <t>2. Quỹ học đại học cho con</t>
  </si>
  <si>
    <t>Thông tin</t>
  </si>
  <si>
    <t>Tổng số tiền cần cho mỗi con học đại học</t>
  </si>
  <si>
    <t>3. Quỹ hưu trí</t>
  </si>
  <si>
    <t>Tổng khoản tiền cần thiết cho hưu trí</t>
  </si>
  <si>
    <t>4. Gia tăng tài sản</t>
  </si>
  <si>
    <t>5. Quỹ chăm sóc sức khỏe</t>
  </si>
  <si>
    <t>Mã số:</t>
  </si>
  <si>
    <t>Bản quyền @Huy Trần MDRT | M: 09 8118 8866 | Email: huytranibo@gmail.com | www.huytranmdrt.com</t>
  </si>
  <si>
    <t>Thời điểm cập nhật giá gần nhất</t>
  </si>
  <si>
    <t>Quỹ</t>
  </si>
  <si>
    <t>Thời điểm 
Quỹ bán ra</t>
  </si>
  <si>
    <t>Giá Quỹ 
thời điểm
bán ra</t>
  </si>
  <si>
    <t>Giá Quỹ 
31/12/2012</t>
  </si>
  <si>
    <t>Giá Quỹ 
31/12/2022</t>
  </si>
  <si>
    <t>Giá Quỹ
31/12/2023</t>
  </si>
  <si>
    <t>Giá Quỹ
thời điểm 
gần nhất</t>
  </si>
  <si>
    <t>Số kỳ (năm)
từ ngày bán ra đến 31/12/2023</t>
  </si>
  <si>
    <t>Số kỳ (năm)
từ ngày bán ra đến thời điểm gần nhất</t>
  </si>
  <si>
    <t>Tỉ suất 
sinh lời
10 năm 
gần nhất</t>
  </si>
  <si>
    <t>Tỉ suất sinh lời trung bình năm tính đến 31/12/2023</t>
  </si>
  <si>
    <t>-</t>
  </si>
  <si>
    <t>Cân Bằng</t>
  </si>
  <si>
    <t>Tăng Trưởng</t>
  </si>
  <si>
    <t>VN-Index</t>
  </si>
  <si>
    <t>Thay đổi giá Quỹ ở thời điểm gần nhất trong cột giá trị màu đỏ để biết tỷ suất trung bình</t>
  </si>
  <si>
    <t>CÁCH TÍNH TOÁN</t>
  </si>
  <si>
    <t>CÁCH 1</t>
  </si>
  <si>
    <t>CÁCH 2</t>
  </si>
  <si>
    <t>CÁCH 3</t>
  </si>
  <si>
    <t>CÁCH 4</t>
  </si>
  <si>
    <t>Ý nghĩa cách tính toán
(chưa tính lạm phát)</t>
  </si>
  <si>
    <t>Đảm bảo chi phí thiết yếu</t>
  </si>
  <si>
    <t>Bù đắp tài chính
10-15 năm thu nhập</t>
  </si>
  <si>
    <t>Giá trị sức lao động
Giá trị số năm làm việc còn lại</t>
  </si>
  <si>
    <t>Bảo vệ tài chính
theo hoạch định chi tiết
- Đảm bảo không để lại nợ
- Thanh lý tài sản đã có để tạo dòng tiền
- Bù đắp của các gói bảo hiểm đã có</t>
  </si>
  <si>
    <t>Chi phí thiết yếu hàng tháng</t>
  </si>
  <si>
    <t>Tuổi dự kiến nghỉ hưu</t>
  </si>
  <si>
    <t>Lãi suất ngân hàng hàng năm</t>
  </si>
  <si>
    <t>Tổng nợ phải trả</t>
  </si>
  <si>
    <t>Mong muốn bảo vệ tài chính</t>
  </si>
  <si>
    <t>Mệnh giá gói bảo hiểm đã có</t>
  </si>
  <si>
    <t>Tổng tài sản thanh lý tạo dòng tiền 
ổn định cho người ở lại</t>
  </si>
  <si>
    <t>Quỹ dự phòng khi không may mắc bệnh hiểm nghèo</t>
  </si>
  <si>
    <t>Đã có thẻ sức khỏe rời ngoài bảo hiểm y tế Nhà nước?</t>
  </si>
  <si>
    <t>Quỹ dự phòng nếu không may phải nằm viện điều trị?</t>
  </si>
  <si>
    <t>Tư vấn viên:</t>
  </si>
  <si>
    <t>Trần Huy A</t>
  </si>
  <si>
    <t>Trần Huy B</t>
  </si>
  <si>
    <t>CON SỐ ĐƯỜNG ĐỜI</t>
  </si>
  <si>
    <t>CON SỐ VẬN MỆNH</t>
  </si>
  <si>
    <t xml:space="preserve">CON SỐ LINH HỒN </t>
  </si>
  <si>
    <t>CON SỐ TÍNH CÁCH</t>
  </si>
  <si>
    <r>
      <t xml:space="preserve">Nhập ngày tháng năm sinh </t>
    </r>
    <r>
      <rPr>
        <b/>
        <sz val="12"/>
        <color theme="0"/>
        <rFont val="Arial"/>
        <family val="2"/>
      </rPr>
      <t>theo CMND/CCCD</t>
    </r>
  </si>
  <si>
    <t>Nhập họ và tên không dấu viết trong từng ô, mỗi ô 1 chữ</t>
  </si>
  <si>
    <r>
      <t xml:space="preserve">Kiểm tra lại các nguyên âm xem đúng hay chưa
Nguyên âm là: </t>
    </r>
    <r>
      <rPr>
        <b/>
        <sz val="12"/>
        <rFont val="Arial"/>
        <family val="2"/>
      </rPr>
      <t>A,E,O,U,I hoặc Y tùy trường hợp</t>
    </r>
    <r>
      <rPr>
        <sz val="12"/>
        <rFont val="Arial"/>
        <family val="2"/>
      </rPr>
      <t xml:space="preserve"> (sheet hướng dẫn)</t>
    </r>
  </si>
  <si>
    <t>Kiểm tra lại các phụ âm đúng hay chưa (ngược con số linh hồn)
(xem sheet hướng dẫn nếu cần)</t>
  </si>
  <si>
    <t>Ngày:</t>
  </si>
  <si>
    <t>Tháng:</t>
  </si>
  <si>
    <t>Năm:</t>
  </si>
  <si>
    <t>CON SỐ NGÀY SINH</t>
  </si>
  <si>
    <t>CON SỐ THÁI ĐỘ</t>
  </si>
  <si>
    <t>'Y" trong các tên như Ý, Yến, Huyền, Huy, Thúy, Thủy, Xây, Mây, Quy, Quyết, Tuyết, Tuyển, Tuyền, Nguyễn, Quỳnh....là phụ âm, 
''Y'' trong các tên như Lý, Hy, Ly, My, Sỹ, Ty, Vy... là nguyên âm.</t>
  </si>
  <si>
    <r>
      <t xml:space="preserve">CHỈ SỐ CĂNG THẲNG TÂM HỒN
</t>
    </r>
    <r>
      <rPr>
        <sz val="12"/>
        <rFont val="Arial"/>
        <family val="2"/>
      </rPr>
      <t>(trong việc giao tiếp với người khác)</t>
    </r>
  </si>
  <si>
    <t>CON SỐ LINH HỒN CỦA NGƯỜI KHÁC</t>
  </si>
  <si>
    <t>Bạn đang ở năm</t>
  </si>
  <si>
    <t>Bạn đang ở tháng</t>
  </si>
  <si>
    <t>CON SỐ TRƯỞNG THÀNH</t>
  </si>
  <si>
    <t>NĂM CÁ NHÂN</t>
  </si>
  <si>
    <t>THÁNG CÁ NHÂN</t>
  </si>
  <si>
    <t>MŨI TÊN SỨC MẠNH NGÀY SINH</t>
  </si>
  <si>
    <t>Kiên định</t>
  </si>
  <si>
    <t>Trí tuệ</t>
  </si>
  <si>
    <t>Thực tiễn</t>
  </si>
  <si>
    <t>Tâm linh</t>
  </si>
  <si>
    <t>Cân bằng cảm xúc</t>
  </si>
  <si>
    <t>Ý chí</t>
  </si>
  <si>
    <t>Tính hay lập kế hoạch</t>
  </si>
  <si>
    <t>Hoạt động</t>
  </si>
  <si>
    <t>BÀI HỌC NGHIỆP</t>
  </si>
  <si>
    <t>Bài học 1</t>
  </si>
  <si>
    <t>Bài học 4</t>
  </si>
  <si>
    <t>Bài học 7</t>
  </si>
  <si>
    <t>Bài học 2</t>
  </si>
  <si>
    <t>Bài học 5</t>
  </si>
  <si>
    <t>Bài học 8</t>
  </si>
  <si>
    <t>CHỈ SỐ CĂNG THẲNG TÂM HỒN
GIỮA 2 NGƯỜI</t>
  </si>
  <si>
    <t>Bài học 3</t>
  </si>
  <si>
    <t>Bài học 6</t>
  </si>
  <si>
    <t>Bài học 9</t>
  </si>
  <si>
    <t>BIỂU ĐỒ TÊN</t>
  </si>
  <si>
    <t>LẦN XUẤT HIỆN</t>
  </si>
  <si>
    <t>Cường độ số 1</t>
  </si>
  <si>
    <t>Cường độ số 4</t>
  </si>
  <si>
    <t>Cường độ số 7</t>
  </si>
  <si>
    <t>Cường độ số 2</t>
  </si>
  <si>
    <t>Cường độ số 5</t>
  </si>
  <si>
    <t>Cường độ số 8</t>
  </si>
  <si>
    <t>Cường độ số 3</t>
  </si>
  <si>
    <t>Cường độ số 6</t>
  </si>
  <si>
    <t>Cường độ số 9</t>
  </si>
  <si>
    <t>MŨI TÊN SỨC MẠNH TÊN</t>
  </si>
  <si>
    <t>BÁO CÁO THẦN SỐ HỌC</t>
  </si>
  <si>
    <r>
      <t xml:space="preserve">Dựa theo cuốn sách: </t>
    </r>
    <r>
      <rPr>
        <i/>
        <sz val="10"/>
        <rFont val="Arial"/>
        <family val="2"/>
      </rPr>
      <t>Thần Số Học Ứng Dụng_Joy Woodward</t>
    </r>
  </si>
  <si>
    <t>Họ và tên:</t>
  </si>
  <si>
    <t>Ngày tháng năm sinh:</t>
  </si>
  <si>
    <t>THẦN SỐ HỌC LÀ GÌ?</t>
  </si>
  <si>
    <r>
      <t xml:space="preserve">Thần số, thần số học hay còn gọi là số bí thuật là niềm tin ngụy khoa học vào mối quan hệ tín ngưỡng thần thánh và thần bí giữa các chữ số và sự kiện. Tư tưởng này cũng </t>
    </r>
    <r>
      <rPr>
        <b/>
        <sz val="11"/>
        <color theme="1"/>
        <rFont val="Arial"/>
        <family val="2"/>
      </rPr>
      <t>điều tra về sự tương quan giữa số của các chữ cái trong danh xưng với những thứ mang tính tinh thần</t>
    </r>
    <r>
      <rPr>
        <sz val="11"/>
        <color theme="1"/>
        <rFont val="Arial"/>
        <family val="2"/>
      </rPr>
      <t xml:space="preserve">. Tư tưởng này thông thường liên quan với siêu linh, cùng với thuật chiêm tinh và các nghệ thuật bói toán tương tự khác.
</t>
    </r>
    <r>
      <rPr>
        <b/>
        <sz val="11"/>
        <color theme="1"/>
        <rFont val="Arial"/>
        <family val="2"/>
      </rPr>
      <t xml:space="preserve">Hệ thống Pythagoras
</t>
    </r>
    <r>
      <rPr>
        <sz val="11"/>
        <color theme="1"/>
        <rFont val="Arial"/>
        <family val="2"/>
      </rPr>
      <t xml:space="preserve">
Phương pháp này có thể được gọi là phương pháp thần số học phương Tây hoặc phương pháp thần số học Pitago. Pythagoras, nhà toán học và triết học người Hy Lạp sống từ năm 569–470 trước Công nguyên, được biết đến như là cha đẻ của môn số học phương Tây.  Pythagoras bắt đầu lý thuyết về các con số của mình bằng cách khám phá ra mối quan hệ giữa các con số và các nốt nhạc. Ông phát hiện ra rằng dao động trong các nhạc cụ dây có thể được giải thích bằng toán học. Phương pháp Pythagore sử dụng</t>
    </r>
    <r>
      <rPr>
        <b/>
        <sz val="11"/>
        <color theme="1"/>
        <rFont val="Arial"/>
        <family val="2"/>
      </rPr>
      <t xml:space="preserve"> tên và ngày sinh của một cá nhân</t>
    </r>
    <r>
      <rPr>
        <sz val="11"/>
        <color theme="1"/>
        <rFont val="Arial"/>
        <family val="2"/>
      </rPr>
      <t>. Số tên tiết lộ bản chất bên ngoài của cá nhân. Đây là tính cách mà họ thể hiện với thế giới bên ngoài. Để bắt đầu, bạn cần sử dụng</t>
    </r>
    <r>
      <rPr>
        <b/>
        <sz val="11"/>
        <color theme="1"/>
        <rFont val="Arial"/>
        <family val="2"/>
      </rPr>
      <t xml:space="preserve"> tên đầy đủ của cá nhân như được ghi trên giấy khai sinh của họ</t>
    </r>
    <r>
      <rPr>
        <sz val="11"/>
        <color theme="1"/>
        <rFont val="Arial"/>
        <family val="2"/>
      </rPr>
      <t xml:space="preserve">. Sau đó, </t>
    </r>
    <r>
      <rPr>
        <b/>
        <sz val="11"/>
        <color theme="1"/>
        <rFont val="Arial"/>
        <family val="2"/>
      </rPr>
      <t>mỗi chữ cái được gán cho một số từ 1 đến 9</t>
    </r>
    <r>
      <rPr>
        <sz val="11"/>
        <color theme="1"/>
        <rFont val="Arial"/>
        <family val="2"/>
      </rPr>
      <t xml:space="preserve">, dựa trên hệ thống Pitago cổ đại. Các số được gán cho các chữ cái trong bảng chữ cái Latinh như sau:
</t>
    </r>
    <r>
      <rPr>
        <b/>
        <sz val="11"/>
        <color theme="1"/>
        <rFont val="Arial"/>
        <family val="2"/>
      </rPr>
      <t>1 = A,J,S
2 = B,K,T
3 = C,L,U
4 = D,M,V
5 = E,N,W
6 = F,O,X
7 = G,P,Y
8 = H,Q,Z
9 = I,R.</t>
    </r>
    <r>
      <rPr>
        <sz val="11"/>
        <color theme="1"/>
        <rFont val="Arial"/>
        <family val="2"/>
      </rPr>
      <t xml:space="preserve">
Tiếp theo, cộng tất cả các số được liên kết với mỗi chữ cái trong tên khai sinh đầy đủ của bạn. Sau đó, con số được giảm đi cho đến khi bạn nhận được một chữ số.
</t>
    </r>
  </si>
  <si>
    <t>(Nguồn: Wikipedia)</t>
  </si>
  <si>
    <t>BẢNG TỔNG HỢP TỔNG QUAN</t>
  </si>
  <si>
    <t>NĂM ĐỈNH CAO THÀNH CÔNG</t>
  </si>
  <si>
    <t>Đỉnh</t>
  </si>
  <si>
    <t>Đỉnh 1</t>
  </si>
  <si>
    <t>Đỉnh 2</t>
  </si>
  <si>
    <t>Đỉnh 3</t>
  </si>
  <si>
    <t>Đỉnh 4</t>
  </si>
  <si>
    <t>GIẢI NGHĨA CHI TIẾT</t>
  </si>
  <si>
    <t>Con số đường đời</t>
  </si>
  <si>
    <t>Tiết lộ con đường dặc biệt mà bạn sẽ định hướng trong cuộc đời, đường đời là con số quan trọng nhất trong hồ sơ cốt lõi, khám phá tài năng thiên bẩm, tính cách, cơ hội, bài học quan trọng.</t>
  </si>
  <si>
    <t xml:space="preserve">Số: </t>
  </si>
  <si>
    <t>Ý nghĩa:</t>
  </si>
  <si>
    <t>Con số vận mệnh</t>
  </si>
  <si>
    <t>Tiết lộ khả năng tinh thần và thể chất, thể hiện mục tiêu, mẫu người bạn muốn trở thành.</t>
  </si>
  <si>
    <t>Con số linh hồn</t>
  </si>
  <si>
    <t>Quy định các quyết định do trái tim đưa ra, nơi chứa đựng ước mơ, mong muốn, khao khát.</t>
  </si>
  <si>
    <t>Con số tính cách</t>
  </si>
  <si>
    <t>Quyết định ấn tượng đầu tiên của bạn với người khác, cũng là chỉ dẫn nghề nghiệp, thể hiện tài năng, khả năng thiên bẩm.</t>
  </si>
  <si>
    <t>Con số ngày sinh</t>
  </si>
  <si>
    <t>Thể hiện tài năng và bài học</t>
  </si>
  <si>
    <t>Con số thái độ</t>
  </si>
  <si>
    <t>Ai cũng có 1 thái độ riêng và ảnh hưởng đến chu kỳ cá nhân (cuộc đời, sự nghiệp)</t>
  </si>
  <si>
    <t>Con số trưởng thành</t>
  </si>
  <si>
    <t>Cảm nhận mạnh mẽ khi 40-50 tuổi. Tìm thấy con người thật, thoải mái khi là chính mình</t>
  </si>
  <si>
    <t>Tháng cá nhân</t>
  </si>
  <si>
    <t xml:space="preserve">Xem tháng hiện tại là tháng </t>
  </si>
  <si>
    <t>thì có điều gì cần lưu ý.</t>
  </si>
  <si>
    <t>Năm cá nhân</t>
  </si>
  <si>
    <t>Liên quan đến năm hiện tại</t>
  </si>
  <si>
    <t>xem dự đoán năm nay nên lưu ý điều gì.</t>
  </si>
  <si>
    <t>Biểu đồ mũi tên sức mạnh</t>
  </si>
  <si>
    <t>Xem xét thế mạnh, ưu điểm, yếu điểm của bản thân để phát huy hoặc xem xét bồi bổ thêm qua các 
mũi tên sức mạnh</t>
  </si>
  <si>
    <t>Ưu điểm nổi bật:</t>
  </si>
  <si>
    <t>Nên được xem xét:</t>
  </si>
  <si>
    <t>Các bài học</t>
  </si>
  <si>
    <t>Tiết lộ năng lượng thiếu hụt trong tên của bạn. Hãy coi như đây là điều bạn cần cải thiện kỹ năng của mình.Ô trống tức là không có bài học.</t>
  </si>
  <si>
    <t>Cường độ số xuất hiện trong tên</t>
  </si>
  <si>
    <t>Cho thấy cường độ của một người, thể hiện đặc điểm tính cách có cường độ cao hơn những con số khác. Đây là số lần xuất hiện con số trong biểu đồ tên và ý nghĩa của chúng.</t>
  </si>
  <si>
    <t>Số</t>
  </si>
  <si>
    <t>Cường độ</t>
  </si>
  <si>
    <t>Ý nghĩa</t>
  </si>
  <si>
    <t>Số 1</t>
  </si>
  <si>
    <t>Số 2</t>
  </si>
  <si>
    <t>Số 3</t>
  </si>
  <si>
    <t>Số 4</t>
  </si>
  <si>
    <t>Số 5</t>
  </si>
  <si>
    <t>Số 6</t>
  </si>
  <si>
    <t>Số 7</t>
  </si>
  <si>
    <t>Số 8</t>
  </si>
  <si>
    <t>Số 9</t>
  </si>
  <si>
    <t>CHỈ SỐ CĂNG THẲNG TÂM HỒN</t>
  </si>
  <si>
    <t>Thể hiện sự hòa hợp của mối quan hệ với người khác (lưu ý phải nhập họ và tên người khác vào ô số 3 ở sheet CHUNG thì mới hiển thị thông tin ở ô bên dưới)</t>
  </si>
  <si>
    <t>với</t>
  </si>
  <si>
    <t xml:space="preserve"> Bảng báo cáo chỉ có tính chất tham khảo và vận dụng, hãy luôn sống tốt và tử tế, bạn sẽ luôn cảm thấy hạnh phúc. Hãy luôn tâm niệm: ''Đức năng thắng số''.</t>
  </si>
  <si>
    <t>The End.</t>
  </si>
  <si>
    <t>Bảng báo cáo chỉ có tính chất tham khảo và vận dụng, hãy luôn sống tốt và tử tế, bạn sẽ luôn cảm thấy hạnh phúc. Hãy luôn tâm niệm: ''Đức năng thắng số''.</t>
  </si>
  <si>
    <t>Bạn muốn nhận bản báo cáo cho những người khác nữa? Hãy liên hệ tôi ngay nhé!</t>
  </si>
  <si>
    <t>BẠN</t>
  </si>
  <si>
    <t>Con số
đường đời</t>
  </si>
  <si>
    <t>Tổng quát</t>
  </si>
  <si>
    <t>Ý nghĩa chi tiết (hãy đọc ô bạn được tô màu riêng)</t>
  </si>
  <si>
    <t>NHÀ LÃNH ĐẠO 
BẨM SINH</t>
  </si>
  <si>
    <t>Bạn là một nhà lãnh đạo bẩm sinh, có nhiều suy nghĩ, phát minh, ý tưởng và tầm nhìn độc đáo. Mặc dù rất thành thạo trong việc bắt đầu mọi thứ, bạn không phải là người xuất sắc trong việc nhìn nhận tổng thể, từ đầu đến cuối. Những chi tiết tẻ nhạt có thể khiến bạn mất hứng thú.
Trong các mối quan hệ, điều quan trọng là bạn phải giữ được sự độc lập của mình, nhưng bạn cũng muốn bản thân là một phần quan trọng và cần thiết. Bạn thích chịu trách nhiệm - tuy nhiên, bạn phải nỗ lực để tránh trở nên độc đoán và ích kỷ.
Bạn có khả năng và tự tin, tuy nhiên, bạn cũng gặp khó khăn vì tự kỷ ám thị. Hãy nhớ đừng quá khắt khe với chính mình, nếu không chính điều này có thể cản trở khả năng tiến bộ và đạt được mục tiêu của bạn.
Điều vô cùng quan trọng là bạn phải nỗ lực để phát triển ý thức cá nhân để chính bạn có thể rút ra các bài học và chủ động cải thiện cuộc sống và các mối quan hệ của mình.
Khi nói đến sự nghiệp, nhiều người có con số đường đời 1 là doanh nhân hoặc ông chủ, họ không thích bị chỉ bảo phải làm gì. Bạn có tính cạnh tranh gay gắt, điều này giúp bạn vươn lên dẫn đầu. Nhiều vận động viên chuyên nghiệp thành công và vận động viên Olympic cũng có con số đường đời này. Nếu không được giải tỏa, năng lượng cạnh tranh trong bạn có thể trở nên quyết liệt và hủy diệt. Bạn phải học cách giữ bình tĩnh. Sự hài lòng tức thì và kết quả trước mắt là thứ thúc đẩy bạn, điều này có thể khiến bạn bốc đồng và thiếu quan tâm đến người khác.
Những người có số đường đời 1 thường gặp các vấn đề sức khỏe liên quan đến hệ tiêu hóa. Họ cũng có thể bị chứng đau nửa đầu, nghiện ngập và các tình trạng liên quan đến căng thẳng như đau vai và lưng.
Đường thẳng tạo thành số 1 đại diện cho ranh giới bạn cần dựng lên. Nó cũng cho thấy cách số 1 đứng 1 mình: 1 cá nhân duy nhất phấn đấu cho vị trí hàng đầu.</t>
  </si>
  <si>
    <t>TỐT BỤNG
NGOẠI GIAO TỐT</t>
  </si>
  <si>
    <t>Tốt bụng, ngoại giao tốt và có tinh thần hợp tác đều là những đặc điểm nổi bật của con số đường đời 2. Bạn là người kiên nhẫn nhất trong tất cả các con số và cực kỳ nhạy cảm, nhạy bén và giàu cảm xúc. Cảm xúc của bạn có thể chuyển từ khóc sang cười. Cùng với sự nhạy cảm đó là những khả năng về trực giác, bạn có khả năng bẩm sinh để cảm nhận cảm xúc của người khác. Tuy nhiên bạn phải chắc chắn không hy sinh ý kiến và cảm xúc cá nhân hoặc thỏa hiệp chỉ để giữ hòa khí, vì điều này có thể tạo ra sự oán giận.
Khi nói đến các mối quan hệ, bản chất kiên nhẫn, thích thỏa hiệp của bạn có thể thu hút những người cố chấp thay vì một người bạn đời phù hợp và chín chắn. Bạn khó có thể sống độc thân lâu và có thể trải qua nhiều mối tình, chuyển từ người này sang người khác. Bạn cảm thấy thoải mái khi có đôi có cặp hơn là sống một mình.
Bạn là một nhà đàm phán và hòa giải bẩm sinh. Không phải lúc nào bạn cũng nhận được sự tín nhiệm hoặc công nhận mà bạn xứng đáng. Bạn có thể quan tâm quá mức đến những gì người khác nghĩ. Bạn sẽ thành công trong nghề nghiệp cho phép bạn giúp đỡ người khác, các lĩnh vực như hòa giải, giảng dạy hoặc tư vấn. Con số đường đời 2 cũng là những người có khiếu thẩm mỹ đặc biệt. Họ có thể áp dụng kỹ năng này vào công việc thiết kế hoặc các hoạt động nghệ thuật. Họ cũng có thể thể hiện kỹ năng đàm phán mạnh mẽ và thể hiện sự thông minh trong lĩnh vực chính trị hoặc luật pháp.
Mức độ nhạy cảm của con số đường đời này mở rộng đối với tất cả các loại chất gây dị ứng, bao gồm thực phẩm, sản phẩm chăm sóc da và tóc, bụi, hóa chất, dược phẩm và nhiều loại khác. Các vấn đề sức khỏe khác có thể gồm lo lắng thái quá, trầm cảm và các vấn đề về dạ dày.
Số 2 có dáng cong và cho thấy sự thỏa hiệp, vì vậy bạn cần phải học cách đứng lên bảo vệ chính mình.</t>
  </si>
  <si>
    <t>THÍCH NỔI BẬT</t>
  </si>
  <si>
    <t>Con số đường đời 3 thích nổi bật! Bạn sống "cuộc sống của những bữa tiệc'', được yêu thích và quảng giao. Năng lượng của bạn thúc đẩy sự mở rộng. (nếu bạn kể 1 câu chuyện cho những người có con số đường đời 3, họ sẽ cải biến câu chuyện khi kể lại cho người khác, sử dụng các từ hoa mỹ, nhấn nhá và chắc chắn là thêm 1 số chi tiết cường điệu). Sự lạc quan và nhiệt tình của bạn có khả năng lan truyền. Bạn cần giải tỏa năng lượng sáng tạo của mình, nếu không nó sẽ bùng nổ dưới dạng cảm xúc.
Cảm xúc của bạn có thể dễ dàng bị tổn thương, đặc biệt là bằng lời nói, điều này thật trớ trêu, vì bản thân bạn cũng có cái lưỡi sắc bén và hiếm khi gặp khó khăn trong việc thể hiện bản thân. Trên thực tế, bạn phải cẩn trọng để xem mình có đang hỗn xược, hoài nghi hoặc ủ rũ không. Hãy nhớ rằng lời nói của bạn có thể làm tổn thương người khác, vì vậy hãy cẩn thận khi sử dụng chúng. Bạn có thể rất khắt khe với bản thân và có tâm lý tự ti. Bạn sử dụng năng khiếu hài hước của mình để che giấu cảm xúc bị tổn thương và sự bất an, nhưng cách đối phó này có thể bị nhận ra dễ dàng hơn bạn nghĩ.
Nhìn chung, bạn cần thêm hành động chủ động vào những mối quan hệ thân thiết nhất của mình để mọi người xung quanh cảm thấy họ được trân trọng.
Tài năng nghề nhiệp của con số đường đời này là sự sáng tạo. Nhạc sĩ, diễn viên, nghệ sĩ, vũ công, nhà văn, đầu bếp là 1 vài lựa chọn nghề nghiệp nổi trội để bạn cân nhắc. Ở mức độ rung động thấp, bạn có thể thoái thác trách nhiệm, sống vô tổ chức và chìm đắm trong tâm lý nạn nhân, phẫn nộ với bất kỳ ai tranh giành sự chú ý với bạn. Khi nỗ lực hết mình và thể hiện sự tích cực, bạn có thể trở thành nguồn động lực truyền cảm hứng, nâng cao tinh thần và mang lại niềm vui cho những người xung quanh.
Về sức khỏe, bạn có khả năng tăng và giảm cân nhanh chóng, đôi khi ở mức báo động. Hầu hết những người có con số đường đời 3 đều được ban cho vẻ ngoài ưa nhìn và nụ cười đẹp. Cân nặng luôn dao động, trạng thái tinh thần và các vấn đề về họng là những vấn đề sức khỏe mà bạn cần chú ý.
Số 3 có hình dáng giống như một cặp móng ngựa nằm ngang và được coi là con số may mắn nhất. Đừng bao giờ coi vận may của bạn là điều hiển nhiên!</t>
  </si>
  <si>
    <t>NGƯỜI LẬP KẾ HOẠCH 
THỰC CHIẾN</t>
  </si>
  <si>
    <t>Bạn là 1 người lập kế hoạch thực chiến, luôn đọc các hướng dẫn cẩn thận và chuẩn bị sẵn sàng trong mọi tình huống. Bạn là người đáng tin cậy. Tận tâm và hành động nhanh chóng. Những điều bất ngờ và thay đổi là điểm yếu của bạn. Bạn mong muốn kiểm soát kết quả, vì vậy bạn cần học được cách quản lý và đón nhận sự thay đổi cũng như tin tưởng vào sức mạnh vô hình của cuộc sống. Là người bi quan trong lòng, ngay cả vào một ngày đẹp trời, bạn vẫn nhìn ra những đám mây ở phía xa và mang theo ô đi làm.
Những ranh giới kiên cố bảo vệ bạn, nhưng điều quan trọng là phải học cách linh hoạt và chấp nhận sự giúp đỡ của người khác. Tính cách thực tế của bạn luôn không cho phép bạn đối xử tốt với bản thân, phung phí hoặc trải nghiệm khía cạnh xa hoa của cuộc sống.
Bất chấp tính kỷ luật, sự trì hoãn có thể là vấn đề đối với bạn. Những người có số 4 khá kỷ luật và muốn kiểm soát mọi thứ và mọi người. Ở độ rung động thấp, bạn có thể rất tính toán và thích thao túng. Hãy chắc chắn rằng bạn luôn kiểm soát được cái tôi của mình.
Bạn là người thân thiện 1 cách tự nhiên nhưng có xu hướng không để người khác đến quá gần. Điều quan trọng là phải thể hiện mặt yếu đuối của bản thân để phát triển các mối quan hệ thân thiết. Khi trung thực là tính cách mặc định của bạn, người khác sẽ biết bạn là người đáng tin cậy.
Những người có số đường đời này có xu hướng tìm kiếm thành công trong các lĩnh vực như giáo dục, kinh doanh, chăm sóc sức khỏe, quản trị, xây dựng, chính trị và kế toán. Họ là những người xây dựng, kiến tạo. Một nền tảng vững chắc và một khoản tiết kiệm là tất cả những gì bạn cần để cảm thấy an tâm và hạnh phúc.
Vấn đề sức khỏe thường gặp cho nhóm người này là các bệnh liên quan đến căng thẳng như đau khớp, đau nửa đầu, đau bụng, các vấn đề về lưng, ám ảnh cưỡng chế và chứng rối loạn lo âu.
Số 4 hình thành từ các đường thẳng, thể hiện nhu cầu duy trì trật tự và hiệu quả. Hãy nhớ luôn duy trì sự linh hoạt.</t>
  </si>
  <si>
    <t>NGƯỜI PHIÊU LƯU</t>
  </si>
  <si>
    <t>Thắt dây an toàn vào nào! Cuộc sống của người này là 1 chuyến đi thú vị và không thể đoán trước. Bốc đồng và luôn sẵn sàng cho bất cứ điều gì, bạn thích phiêu lưu, tự do và du lịch. Các quy tắc chỉ có tính định hướng với bạn và bạn có xu hướng bẻ cong và bất chấp chúng theo ý muốn của mình. Sự buồn chán có thể dẫn đến chủ nghĩa thoát ly, điều này có thể nhanh chóng chuyển sang trạng thái tự hủy hoại bản thân. Bạn tiêu tiền cho những chuyến đi du lịch và trải nghiệm hơn là những thứ vật chất. Bạn có thể là nguồn cơn lo lắng của gia đình.
Khi nói đến các mối quan hệ, bạn có thể hơi khó kìm nén và gặp khó khăn để giữ cam kết. bạn là người gợi cảm và đòi hỏi sự đa dạng và kích thích liên tục. Bạn có khả năng cam kết và trung thành, nhưng đó phải là mong muốn của bạn. Bạn nên tránh kết hôn khi còn trẻ vì có thể đó sẽ là cuộc hôn nhân thất bại.
Những người có số đường đời 5 thường đa tài và bạn sẽ thành công trong hầu hết mọi thứ mà bạn quan tâm. Bạn có quan điểm tiến bộ và là người đầu tiên đón nhận những ý tưởng mới. Bạn dễ dàng thích nghi, vì vậy công nghệ có thể là một lựa chọn nghề nghiệp tuyệt vời. Bạn là người kể chuyện tự nhiên và xuất sắc trong việc thúc đẩy và truyển cảm hứng cho người khác. Bạn hoàn toàn có thể bán bất cứ thứ gì với sự quyến rũ và đáng yêu của mình. Những đặc điểm này có thể đưa bạn đến với sự nghiệp quảng cáo, tiếp thị, làm việc tại công ty khởi nghiệp hoặc tạo mẫu tóc. Bạn cũng thường bị thu hút bởi những công việc mặc đồng phục, chẳng hạn như lực lượng an ninh, người thực thi pháp luật, phi công hoặc tiếp viên hàng không. Nhiều người cũng có lòng hiếu khách. Và cũng luôn có các công việc tự do để bạn lựa chọn. khi đó không ai có thể gò bó phong cách của bạn hay đặt câu hỏi về việc bạn nghỉ ngơi! Bạn cũng có năng khiếu bẩm sinh về ngôn ngữ.
Ở mức độ rung động thấp, bạn có xu hướng nhận về mình ý tưởng hoặc công việc không phải của bạn. Điều này có thể gây tổn hại đến danh tiếng của bạn và khiến mọi người phật lòng. Bài học của bạn nằm ở sự chăm chỉ, kiên trì và thể hiện sự ghi nhận khi cần thiết.
Người có con số đường đời 5 dễ gặp các vấn đề về cảm xúc nghiện ngập, suy kiệt tuyến thượng thận và đau khớp. Hãy nhớ uống đủ nước để tránh mất nước.
Hình dạng của số 5 mở ra cả bên phải và bên trái, thẳng ở trên và cong ở dưới. Điều này cho thấy nhu cầu về sự đa dạng và thay đổi liên tục. Hãy nhớ giữ bình tĩnh và kiên định.</t>
  </si>
  <si>
    <t>TÌNH YÊU</t>
  </si>
  <si>
    <t>Rung động của số 6 là về TÌNH YÊU! Quyến rũ và lôi cuốn, với tính cách thu hút, bạn có khả năng hấp dẫn mọi người đến bất kỳ công việc nào bạn làm. Nhờ sự hào phòng, tốt bụng và hấp dẫn, bạn được ngưỡng mộ và thậm chí được yêu mến (điều này có thể khiến bạn bối rối). Bạn là người yêu thích tụ tập mọi người và cũng là người yêu động vật. Bạn giúp đỡ mọi người mà không đơn giản là bày tỏ sự thông cảm. Tính cách của bạn khá cực đoan. Người có con số đường đời 6 có phẩm chất ma quỷ hoặc thiên thần.
Bạn là một cá nhân giàu lòng nhân ái và là một người bạn tuyệt vời, trung thành đến cùng. Thật không may, lòng trung thành đó không phải lúc nào cũng được đáp lại. Một trong những bài học của bạn sẽ là hiểu và trải nghiệm ý nghĩa thực sự của sự phản bội, đôi khi có thể là trải nghiệm đau đớn. Bạn có xu hướng thu hút những người bị tổn thương, và bạn cần cảm giác bản thân là người có ích. Trong các mối quan hệ, bạn phải học cách cân bằng giữa giúp đỡ và can thiệp.
Người có con số đường đời 6 thường thành công trong lĩnh vực giảng dạy, khách sạn, tâm lý học, quản lý, bất động sản, chính phủ, các ngành nghề liên quan đến động vật hoặc lĩnh vực thẩm mỹ như thời trang hay thiết kế nội thất. Bạn hiểu những thứ xa hoa trong cuộc sống hơn bất kỳ ai khác. Quan điểm cứng rắn của bạn cũng khiến bạn gặp rắc rối. Nếu thấy mình luôn trong tình trạng căng thẳng về tài chính, bạn đang không sống đúng với mục đích của mình. Những người có số 6 yêu nhiều, đôi khi quá nhiều, vì họ cũng có xu hướng cất giấu tình cảm trong lòng. Các vấn đề sức khỏe thường gặp liên quan đến khả năng sinh sản và các vấn đề tim mạch.
Hình dạng của số 6 giống như một phụ nữ mang thai. Một điều không bao giờ thay đổi đối với số 6: tầm quan trọng của gia đình. Các bậc cha mẹ có con số đường đời này cảm thấy khó khăn khi nhìn con cái lớn lên, trưởng thành, độc lập và phải kháng cự lại thôi thúc can thiệp. Cho dù bạn có quyết định lập gia đình hay không, bạn vẫn luôn có những hành động tuyệt vời để chăm sóc người khác.</t>
  </si>
  <si>
    <t>THÔNG MINH &amp; BÍ ẨN</t>
  </si>
  <si>
    <t>Bạn là người thông minh và bí ẩn, thuộc kiểu người mạnh mẽ và trầm lặng. Bạn thích phân tích, tự nghiên cứu và không bao giờ nhìn nhận mọi thứ qua bề nổi. Nếu ai đó có bí mật, bạn sẽ tìm thấy nó.
Bản chất bạn là người đa nghi và tò mò. Bạn bẩm sinh có trực giác nhạy bén, tâm linh và siêu hình học là những bí ẩn thu hút bạn. Điều quan trọng đối với bạn, với tư cách là người có số đường đời 7, là phải có niềm tin tâm linh hoặc tôn giáo. Nếu không, cuộc sống của bạn có thể thiếu mục đích. Các yếu tố có tính chất lịch sử hoặc những câu chuyện xa xưa đều khiến bạn thích thú. Số 7 cũng thích lưu trữ thông tin, thường có cả giá sách chưa đọc.
Kiến thức và sự nhanh trí của bạn mang lại cho bạn khiếu hài hước độc đáo và giúp bạn trở nên thu hút và được ngưỡng mộ. Tuy nhiên, bạn lại gặp khó khăn trong việc duy trì các mối quan hệ thân thiết, vì dường như bạn đang kìm hãm và giữ bí mật. 
Hãy thẳng thắn và trung thực trong giao tiếp. Ở độ rung động thấp, các bài học khác sẽ bao gồm sự ghen tị khi yêu cũng như các vấn đề về cái tôi. Bạn sẽ học cách duy trì và tôn trọng các ranh giới và quyền riêng tư của người khác cũng như những gì có thể vi phạm ranh giới của chính bạn.
Ở độ rung động cao, bạn sở hữu từ tính bí ẩn. Bạn quyến rũ, thông minh, hài hước và hấp dẫn. Bạn thích làm cho người khác cảm thấy thoải mái, mặc dù trong tâm trí bạn vẫn có những phán xét hay đánh giá riêng.  Những người sở hữu số 7 mà không có số 3 ở gần để cân bằng có thể trở nên ẩn dật và chống đối xã hội.
Những người có con số đường đời 7 sẽ thành công ở lĩnh vực nghề nghiệp như nghiên cứu, sử học, quản lý bảo tàng., lập hồ sơ tội phạm, giáo viên thần học hoặc tôn giáo hay luật sự. Bạn thích làm việc 1 mình. Số 7 thường sẽ chỉ làm việc cho 1 số công ty hoặc tổ chức trong sự nghiệp của mình.
Bạn thường bị khó ngủ. Bạn cũng có thể gặp các vấn đề về cổ vì là người luôn bận rộn. Thiền, yoga, tắm hoặc đi bộ đường dài có thể giúp bạn tĩnh tâm và thư giãn.
Hình dạng số 7 như 1 boomerang, phản ánh chính nó trong các mối quan hệ, hoàn cảnh sống và sự nghiệp. Bạn thường thấy mình quay trở lại với những người, công việc và địa điểm giống nhau, chân của số 7 không có điểm tựa. Việc mất cân bằng có thể dẫn đến trầm cảm, nghiện ngập và mất ngủ.</t>
  </si>
  <si>
    <t>SINH RA ĐỂ
THÀNH ÔNG CHỦ</t>
  </si>
  <si>
    <t>Nếu không phải là người chịu trách nhiệm, bạn sẽ giả vờ hay tỏ ra như vậy. Bạn là người có tầm nhìn xa và cũng khá liều lĩnh. Hãy nhớ rằng có 1 ranh giới giữa quyền lực và tham nhũng, và bạn phải bước đi trên ranh giới đó 1 cách cẩn thận. Bạn thích tiền và tiêu xài hoang phí. Những việc bạn làm liên quan đến tiền sẽ phản tác dụng nếu bạn làm vì mục đích sai trái. Tuy nhiên, bạn có thể đạt được thành công nếu làm việc với sự chính trực và thành thật. Bạn phải nhớ rằng phần thưởng không phải lúc nào cũng xuất hiện dưới dạng tiền bạc, chúng cũng có thể là sự công nhận và di sản. Số 8 trải qua nhiều thăng trầm trong cuộc sống.
Việc thể hiện tình yêu và tình cảm là điều khó khăn với bạn. Hãy ngừng cố chấp và kiểm soát. Cuộc sống của bạn có thể là cánh cửa xoay tròn của các mối quan hệ và tình bạn. Ở độ rung động thấp, bạn có thể gặp khó khăn trong việc trung thành và giữ bí mật và có thể bị coi là đạo đức giả. Cái tôi, sự kiêu ngạo và ích kỷ có thể là điểm yếu của bạn. Bạn dễ nổi giận nhưng cơn giận luôn nhanh chóng qua đi. Bạn học hỏi từ những kinh nghiệm này. Hãy học cách chịu trách nhiệm, thành thật xin lỗi và tiến bộ.
Số 8 thường trải qua nhiều công việc tại các công ty khác nhau, cố gắng tìm ra môi trường phù hợp. Với con số đường đời 8, bạn sẽ hoàn thành xuất sắc mọi công việc trong môi trường kinh doanh và đây cũng là lĩnh vực bạn có lợi thế và tạo được sự ảnh hưởng, như ngân hàng, bất động sản, tài chính và báo chí. Bạn giỏi công tác tổ chức, huấn luyện, giám sát và chỉ đạo. Bạn được thúc đẩy bởi tiền bạc, quyền lực và sự công nhận. Hãy luyện tập và cải thiện sự khéo léo của bạn để ý tưởng của bạn được tiếp nhận tốt hơn.
Những thách thức về sức khỏe với số 8 là các vấn đề liên quan đến căng thẳng như huyết áp cao và vấn đề tim mạch.
Hình dạng số 8 được tạo thành từ 2 vòng tròn dính liền thể hiện tinh thần và vật chất. Bạn phải luôn giữ cho 2 mặt này cân bằng. Nếu không có sự cân bằng, số 8 sẽ không bao giờ tìm thấy sự hài lòng thực sự. Hình dạng đối xứng này cũng có nghĩa là bạn có thể đảo ngược hoàn toàn và toàn bộ bất cứ lúc nào.</t>
  </si>
  <si>
    <t>TÂM HỒN HOÀI CỔ</t>
  </si>
  <si>
    <t>Những người sở hữu con số đường đời 9 có năng lượng của một tâm hồn hoài cổ. Nhiều kiếp trước mang lại cho bạn sự khôn ngoan trong tiềm thức. Bạn có khiếu hài hước, thông minh và dí dỏm. Bạn lan truyền tiếng cười đến mọi người. Số 9 cũng có trực giác tuyệt vời. Bạn là người không bốc đồng và thường suy nghĩ xa xôi.
Luận điểm bạn đưa ra rất khó để tranh luận (mặc dù đôi khi điều này sẽ rất mệt mỏi nếu bạn là người sai). Là 1 học sinh giỏi với khả năng đọc nhanh, bạn tiếp thu thông tin như một miếng bọt biển và duy trì việc học trong suốt cuộc đời.
Bạn quyến rũ, hấp dẫn, lãng mạn và không gặp khó khăn khi thu hút bạn đời. Tuy nhiên, thật khó để tìm được 1 người có trí tuệ như bạn hoặc người có thể chia sẻ khiếu hài hước và thực sự khiến bạn cười.
Ở độ rung động thấp, bạn có thể hạ mình. Bạn có xu hướng giải thích quá mức mọi thứ, rằng người khác không thể hiểu được. Bạn cũng có thể là kẻ thù tồi tệ nhất của chính mình, tự hủy hoại bản thân ngay khi đang trên bờ vực thành công.
Trong sự nghiệp, bạn mong muốn giúp đỡ mọi người, bạn có thể tìm thấy sự thỏa mãn bằng cách truyền cảm hứng cho người khác bằng ý tưởng của mình với tư cách là 1 nhà văn, nghệ sĩ hoặc nhà làm phim. Các ngành nghề giảng dạy, tư vấn, chăm sóc sức khỏe, kinh doanh quốc tế cũng là những lựa chọn tốt cho bạn. Bạn cũng là 1 nhà nhân đạo và từ thiện bẩm sinh, người không tìm kiếm sự khen ngợi hay công nhận cho những việc làm tốt của mình. Bạn thông minh đến mức nếu bạn tận dụng sự khôn ngoan của mình để phạm tội, bạn cũng có thể thành công, mặc dù cuối cùng bạn sẽ phải trả giá (nếu không ở kiếp này thì là kiếp sau).
Bạn có xu hướng không thể hiện hoặc đối phó với cảm xúc trên tinh thần xây dựng. Cảm xúc này tích tụ và dẫn đến chứng đau cổ và vai, đặc biệt là hông. Bạn phải luôn rèn luyện thể chất. Một mối quan tâm sức khỏe khác là tình trạng tự miễn dịch của cơ thể.</t>
  </si>
  <si>
    <t>TRỰC GIÁC
NHẠY BÉN</t>
  </si>
  <si>
    <t>Con số Vua 11 có trực giác nhạy bén. Bạn có thể đi trước thời đại và thế giới có thể chưa sẵn sàng cho những gì bạn phải đem đến. Do đó, nhóm 11 thường không ngay lập tức gặt hái được thành quả từ sự cần mẫn tiên phong của mình.
Nhờ tinh thần tiên phong, người có con số vua 11 trở thành những diễn giả truyền cảm hứng tuyệt vời, những nhà lãnh đạo tinh thần, người dẫn chương trình truyền hình, nhà thiết kế hoặc nhân vật truyền thông.
Người thuộc nhóm này thích ở trong 1 mối quan hệ, đặc biệt là một mối quan hệ bình yên, hài hòa. Họ đem cảm giác nhẹ nhàng và những đặc điểm tính cách của mình vào các mối quan hệ.
Bởi vì 11 cảm nhận mọi thứ quá sâu sắc nên có thể dẫn đến trầm cảm, lo lắng và tình trạng dị ứng nghiêm trọng. Sự rung cảm độc đáo của số 11 kéo theo các vấn đề sức khỏe của cả số 1 và số 2.</t>
  </si>
  <si>
    <t>NGƯỜI KIẾN TẠO 
ĐẠI TÀI</t>
  </si>
  <si>
    <t>22 được gọi là người kiến tạo đại tài. Con số vua 22 là những người có khả năng đặc biệt, biến tầm nhìn thành hiện thực. Việc xây dựng đế chế và để lại di sản là điều vô cùng quan trọng với họ.
Bời vì 22 mang năng lượng gấp đôi của số 2, người thuộc nhóm này thường sống trong căng thẳng, lo lắng và phải học cách tham gia vào các kế hoạch có tầm nhìn xa. Người 22/4 sẽ phải chịu thử thách về đạo đực và trách nhiệm. Nguồn gốc của gia đình họ có xu hướng phức tạp.
Số 22 sẽ tìm kiếm 1 người bạn đời có thành tích cao để tạo cho họ cảm giác an toàn. Họ bị thu hút bởi những người có quan điểm thực tế và tập trung vào mục tiêu.
Học cách tin tưởng vào người khác, thay vì cố gắng kiểm soát hoặc thao túng họ là bài học cho nhóm người này. Chia sẻ tầm nhìn của bạn và để mọi người tham gia góp ý. Bạn cần những điều này nhiều hơn bạn nghĩ đấy.
Số 22 là người cực đoan và có thể sử dụng sức mạnh của mình cho cả điều thiện hoặc ác. Phần thưởng lớn nhất của bạn sẽ đến từ những nỗ lực làm việc thiện và có mục đích tốt
Họ là nhóm người thích đặt tên mình lên tất cả mọi thứ. Sự rung cảm độc đáo của số 22 kéo theo các vấn đề sức khỏe của cả số 2 và số 4 như dị ứng và căng thẳng.</t>
  </si>
  <si>
    <t>NHÀ GIÁO ĐẠI TÀI</t>
  </si>
  <si>
    <t>Họ là những người có sức ảnh hưởng và cảm thông lớn nhất trong các con số Vua (11/22/33). Nằm trong nhóm 33, bạn là người hiểu biết và nghiên cứu kỹ lưỡng tất cả các ý tưởng của mình trước khi chia sẻ chúng. Khi đạt đến tiềm năng cao nhất, bạn có khả năng giao tiếp, truyền đạt rõ ràng mà không cần chuẩn bị chương trình cụ thể, và bạn thực sự quan tâm đến nhân loại.
Trong 1 mối quan hệ, bạn cần tập trung vào việc làm chủ cảm xúc của mình. Vì có sức hút và sự hấp dẫn nên bạn không bao giờ gặp khó khăn trong việc tìm kiếm đối tác. Tuy nhiên, hãy cẩn thận với những tính cách phức tạp, đó là sự thiếu thốn nhưng không sẵn lòng giúp đỡ chính mình.
Nhóm này thích giúp đỡ và chữa lành cho mọi người. Cảm giác thỏa mãn đến từ việc giúp đỡ người khác và sự chia sẻ khôn ngoan và năng khiếu nghệ thuật với thế giới. Bạn phù hợp với những nghề nghiệp như hỗ trợ nhân quyền, giáo dục, chăm sóc sức khỏe và nghệ sĩ thuộc mọi phương tiện. Hãy tự chăm sóc bản thân.
Sự rung cảm độc đáo của số 33 kéo theo các vấn đề sức khỏe của cả số 3 và số 6, cả vấn đề sinh sản và tim mạch cũng như trầm cảm và cân nặng dễ biến động.</t>
  </si>
  <si>
    <t>Con số 
vận mệnh</t>
  </si>
  <si>
    <t>NGƯỜI LÃNH ĐẠO &amp; 
RA QUYẾT ĐỊNH</t>
  </si>
  <si>
    <t>Bạn thích làm như vậy theo cách riêng của mình và thường làm như vậy. Trong sự nghiệp, bạn tìm kiếm không gian phát triển để duy trì động lực, và nhiều khả năng sẽ vươn lên vị trí người chịu trách nhiệm.
Sự sáng tạo giúp bạn có kỹ năng giải quyết vấn đề nhanh chóng.
Bạn có tầm nhìn xa tuyệt vời và những ý tưởng sáng tạo, đồng thời xuất sắc trong việc thu hút mọi người cùng tham gia để biến ý tưởng của bạn thành hiện thực. Số 1 cũng hào hứng với các ý tưởng, thực sự hào hứng, nhưng có thể mất hứng khi đi vào chi tiết và thường phải gặp khó khan để duy trì và kết thúc toàn bộ quá trình. Hãy nhớ đặt các ranh giới và đứng lên bảo vệ chính mình.
Bạn sợ thất bại. Nếu không nghĩ rằng mình giỏi nhất ở lĩnh vực nào đó, bạn thậm chí sẽ không thử. Ở mặt tối tính cách, bạn có thể hách dịch, thiếu kiên nhẫn, kiêu ngạo, ích kỷ và lạm dụng sức ảnh hưởng của mình cho những mục đích xấu.
Hãy đón nhận và phát huy tài năng thiên bẩm và lãnh đạo, khả năng truyền cẩm hung, suy nghĩ độc lập và những ý tưởng độc đáo. Hãy sẵn lòng chia sẻ tính sáng tạo của bạn. Cuối cùng, con số vận mệnh 1 đòi hỏi bạn phải tận dụng những tài năng này và tạo cơ hội để hoàn thành tầm nhìn của mình.</t>
  </si>
  <si>
    <t>NGƯỜI ĐỒNG ĐỘI TỐT</t>
  </si>
  <si>
    <t>Con số vận mệnh 2 bẩm sinh là những người khéo léo, duyên dáng, giỏi chi tiết, hợp tác và kiên nhẫn. Bạn xuất sắc với tư cách là 1 phần của nhóm và tốt hơn trong mối quan hế đối tác hơn là vị trí lãnh đạo.
Bạn có xu hướng đoán già đoán non về bản thân và thiếu tự tin vào lựa chọn của mình. Sự nhạy cảm giúp bạn làm tốt việc trong nhóm và tạo được sự cân bằng tinh tế ở nơi làm việc. Vì thích trở thành tâm điểm chú ý bạn phải chắc chắn rằng những người khác nhận ra và cảm kích những nỗ lực của bạn hay dành cho bạn sự công nhận, nếu không bạn có thể bị phớt lờ. Mọi người tin tưởng bạn và yêu mến tính cách quan tâm và hào phóng của bạn. Nếu không cảm nhận được sự tôn trọng này, bạn sẽ cảm thấy không thoải mái hoặc không làm tốt công việc.
Ở mặt tối tính cách, bạn thường quá nhạy cảm, hay khóc, lén lút, lôi kéo và nói dối thuần thục, bộc lộ 2 mặt đối lập về tính cách. Bạn có thể trở nên đối đầu thay vì khéo léo ngoại giao.
Bạn sẽ vui vẻ nhất khi có đóng góp tích cực và năng động trong hoạt động của đội nhóm. Mang lại sự hòa hợp, cân bằng và hợp tác khi làm việc, bạn cảm thấy thỏa mãn và vượt qua được mặt tối của mình. Cho dù đó là với gia đình, bạn bè hoặc đồng nghiệp, hãy là người hòa giải và mang lại sự ảnh hường hài hòa trong bất cứ tính huống nào mà bạn cảm thấy cần thiết.</t>
  </si>
  <si>
    <t>NGHỆ SĨ &amp; 
NHÂN VẬT GIẢI TRÍ</t>
  </si>
  <si>
    <t>Cùng với sự sáng tạo quá mức, con số vận mệnh 3 có thể mắc hội chứng Peter Pan và không bao giờ muốn lớn lên. Bạn có 1 khiếu hài hước tuyệt vời và thích công việc là trải nghiệm vui vẻ và thăng hoa. 
Những điều này hoàn toàn tốt nhưng bạn cũng phải thực hiện trách nhiệm của mình 1 cách nghiêm túc. Những gì mà người khác công nhận và khuyến khích là tài năng thiên bẩm của bạn có thể không phải là thứ mang lại cho bạn niềm vui. Điều quan trọng là phải cố gắng giữ được sự cân bằng. Bên cạnh niềm vui, bạn cũng trải qua mọi cung bậc cảm xúc ở mức độ mãnh liệt. Cố gắng kiềm chế sự nhạy cảm của bạn và không nhìn nhận mọi thứ 1 cách quá cá nhân.
Những người khác có thể cảm thấy bạn có 1 cuộc sống hấp dẫn và thấy ghen tị vì mọi thứ luôn suôn sẻ với bạn. Mặt khác bạn cảm thấy ghen tỵ với bất kỳ ai mà bạn cho là phá hủy tầm ảnh hưởng của bạn hoặc người có vẻ tài năng, nổi tiếng hoặc năng khiếu hơn bạn. Hãy nhớ rằng có rất nhiều cách để thành công.
Ở mặt tối tính cách, nhóm 3 phải tránh quá kịch tính hoặc cảm tính, lừa dối, cố chấp và ghen tuông. Hãy kiểm soát những cảm xúc trẻ con này và bạn sẽ trải nghiệm nhiều hơn niềm vui mà bạn đang tìm kiếm.</t>
  </si>
  <si>
    <t>NGƯỜI LẬP KẾ HOẠCH 
VÀ NHÀ SẢN XUẤT</t>
  </si>
  <si>
    <t>Bạn là người đáng tin cậy, có tổ chức và đúng giờ. Bạn có thể bực bội với những người không thích điều này, nhưng bạn cũng có ký năng để quản lý họ. Bạn có khả năng tuyệt vời trong việc giữ bình tĩnh khi đối mặt với hỗn loạn và mang lại trật tự cho mọi việc bạn làm.
Những thành tựu thực tế đem đến cho bạn sự hài lòng, như trả hết tiền mua xe hoặc có 1 ngôi nhà tươm tất. Tuy nhiên, nhu cầu kiểm soát mọi thứ là ám ảnh đối với bạn, và bạn phải học cách từ bỏ nó.
Bạn luôn là người có kế hoạch nhưng những người khác thường không để ý đến những vất vả mà bạn đã làm. Bạn có thể chia nhiệm vụ thành từng phần nhỏ và hoàn thành từng bước, mặc dù thực tế là bạn không thích người khác can thiệp vào công việc của mình.
Ở mặt tối tính cách bạn có thể là một người tham công tiếc việc, cố chấp hay phản kháng và thất thường. Sự phẫn uất có thể khiến bạn trở nên tàn nhẫn. Học cách phân công công việc, trao quyền cho người khác và dành nhiều thời gian hơn để giải trí là điều quan trọng đối với bạn. Nếu bạn có nợ nghiệp 13/4 (tổng 4 đến từ con số 13) bài học chính trong cuộc đời bạn là sẽ nỗ lực để hoàn thành mọi việc.</t>
  </si>
  <si>
    <t>NGƯỜI TÌM KIẾM 
SỰ MẠO HIỂM</t>
  </si>
  <si>
    <t>Bạn luôn có những câu chuyện để kể, những nơi để đến, những chuyến đi để thực hiện và những người để gặp. Những người khác ngưỡng mộ tinh thần mạo hiểm của bạn và muốn có cuộc sống như bạn. Bạn phải nhớ đừng đưa mọi thứ đi quá xa và cuộc sống vẫn thú vị mà không bị hủy hoại.
Để đạt được sự thỏa mãn trong sự nghiệp của mình, bạn sẽ cần rất nhiều thứ, vì vậy cuộc sống văn phòng có thể không phù hợp với bạn. Tính cách lôi cuốn và năng khiếu thu hút sự chú ý của bạn phù hợp với công việc bán hàng, tiếp thị hoặc quảng cáo.
Bạn có thể bị cuốn vào những bộ phim truyền hình hoặc những câu chuyện phiếm, đôi khi tự tạo nên 1 kịch bản để giải trí. Vì dễ trở nên buồn chán, bạn có thể thấy xung quanh mình là những người luôn rơi vào khủng hoảng. Để tránh tình trạng này làm tiêu hao năng lượng tuyệt vời của bạn, hãy cố gắng tìm hiểu sâu hơn về bản thân người khác.
ở mặt tối tính cách, bạn có thể bốc đồng, bồn chồn, thẳng thắn, thô lỗ và thậm chí là thô tục. Điều khiến bạn sụp đổ có thể là những lựa chọn điên rồ bạn đưa ra mà không suy nghĩa đến hậu quả. Bạn cũng cần cẩn trọng với xu hướng tự hủy hoại bản thân.</t>
  </si>
  <si>
    <t>NGƯỜI THEO 
CHỦ NGHĨA
HOÀN HẢO</t>
  </si>
  <si>
    <t>Một trong những phẩm chất tốt nhất của bạn là lòng trung thành mặc dù, đáng buồn thay, nó hiếm khi được đáp lại. Con người bạn có thể đã được định hình bởi trách nhiệm gia đình từ khi còn nhỏ. Có một ngôi ngà hạnh phúc và ổn định là điều quan trọng với bạn, và bạn cũng xuất sắc trong các lĩnh vực liên quan đến gia đình. Bạn là một số bậc cha mẹ tuyệt vời và nếu không có con, bạn sẽ dành nhiều công sức cho việc chăm sóc động vật.
Bạn là người có óc xét đoán, chín chắn và đáng tin cậy. Trách nhiệm nuôi dưỡng tâm hồn bạn. Bạn có khả năng đánh giá tốt về tính cách và đưa ra những lời khuyên tuyệt vời, đóng vai trò cố vấn cho bạn bè (và có thể cả về chuyên môn). Bạn muốn làm đẹp môi trường xung quanh mình, những thứ xinh đẹp mang lại cho bạn niềm vui và sự thoải mái.
Mặt tối tính cách của bạn là sự tự mãn, mỉa mai và tự phụ, suy nghĩ cho rằng không ai có thể làm tốt công việc bằng bạn. Những người khác có thể nhầm lẫn các tiêu chuẩn cao mà bạn đặt ra cho bản thân thành ham muốn cạnh tranh hoặc trịch thượng. Bạn có xu hướng can thiệp, lo lắng và luôn tìm kiếm sự công nhận. Đừng quá chú tâm vào suy nghĩ hoặc vấn đề của người  khác.</t>
  </si>
  <si>
    <t>NGƯỜI CÓ TRỰC GIÁC
THÔNG MINH</t>
  </si>
  <si>
    <t>Bạn tỏa ra phẩm chất của sự trầm lặng. Bạn suy nghĩ sâu sắc về mọi thứ và sự mơ mộng có thể khiến bạn trở thành thiên tài triết học hoặc công nghệ. Bạn đĩnh đạc, dè dặt, tinh ý, tinh tế và duy tâm. Bạn có thể ở 1 mình và không cô đơn, dù đây là điều khó khăn với nhiều con số vận mệnh khác.
Trực giác của bạn mạnh đến mức đôi khi bạn có thể nhìn thấu suy nghĩ của người khác. Những giấc mơ của bạn có khả năng tiên tri. Bạn có trí nhớ tuyệt vời và quan tâm đến lịch sử, các bộ sưu tập và quá khứ. Bạn xuất sắc trong 1 lĩnh vực cụ thể và có thể trở thành chuyên gia thực sự.
Nhóm này thường cảm thấy rằng trong quá trình trưởng thành của mình dường như có những bí mật từ cha mẹ. Ngay cả khi điều này là để bảo vệ bạn, cảm giác đó vẫn hình thành và nuôi dưỡng 1 sự nghi ngờ thực sự trong bạn. Bạn là người giữ bí mật và có xu hướng hơi cô độc. Bạn làm việc chăm chỉ, đôi khi trong nhiều năm, hướng  tới mục tiêu trong cuộc sống và công việc của bạn.
Mặt tối tính cách của bạn là sự nghi ngờ, không  trung thực, hoang tưởng, lén lút và ghen tị. Bạn có cảm giác tâm linh mạnh mẽ, hay có niềm tin mạnh mẽ vào bất cứ điều gì mà cá nhân bạn thấy có điểm tương đồng, tin rằng điều đó sẽ tạo nên nền tảng, sự cân bằng và giúp bạn phát huy hết khả năng của mình. Bạn hoặc là người rất khoa học hoặc rất duy tâm, tuy nhiên có 1 số người có thể tạo ra sự cân bằng giữa 2 điều này. Hãy vun đắp, nuôi dưỡng ít nhất là 1 vài mối quan hệ thân thiết. Điều quan trọng là phải chia sẻ trí tuệ và kiến thức rộng lớn của bạn với thế giới.</t>
  </si>
  <si>
    <t>NGƯỜI ĐIỀU HÀNH</t>
  </si>
  <si>
    <t>Bạn sinh ra để thành công và dồi dào về tài chính. Bạn đã sớm học về quyền lực và địa vị và cần trở thành 1 người có chức quyền trong sự nghiệp mình đã chọn để cảm thấy thỏa mãn. May mắn thay, bạn là một nhà lãnh đạo và người có khả năng ảnh hưởng bẩm sinh.
Bạn yêu thích thành tích nhưng hãy cẩn trọng, bạn có thể không bao giờ cảm thấy hài lòng, luôn muốn làm nhiều hơn, nhiều hơn nữa để có nhiều và nhiều hơn nữa. Bạn có xu hướng coi trọng vật chất, nhưng lòng tốt và sự hào phóng mới là di sản đáng quý hơn.
Thất bại là điều hủy diệt với bạn, nhưng không cố gắng còn tồi tệ hơn, vì vậy bạn phải dám đối mặt với nỗi sợ hãi của mình. Theo thời gian, bạn sẽ nhận ra mọi người đánh giá, phản hồi về con người của bạn chứ không phải những gì bạn làm hay những gì bạn có.
Mặt tối tính cách của bạn là sự thiếu kiên nhẫn, không khoan dung, tàn nhẫn và đôi khi là bạo lực. Bạn có thể lạm dụng chất kích thích và gặp các vấn đề về tài chính. Bạn phải luôn tìm kiếm sự cân bằng. Những mong muốn, khát khao của bạn sẽ được lấp đầy khi bạn mang nền tảng tâm linh vào thế giới vật chất của mình.</t>
  </si>
  <si>
    <t>NGƯỜI CÓ TẤM LÒNG NHÂN ĐẠO</t>
  </si>
  <si>
    <t>Bạn có thể thu phục hầu hết mọi người bằng khiếu hài hước; tính cách hướng ngoại &amp; sự quyến rũ của mình. Bạn là người có tầm nhìn xa và có thể truyền cảm hứng cho những người khác tham gia vào một phong trào giúp thế giới trở nên tốt đẹp hơn. 
Bạn có thể lý tưởng hóa mọi thứ và thậm chí ngây thơ về động cơ của người khác. Bạn là người dễ gây ấn tượng và dễ hình thành thói quen, có thể bao gồm lạm dụng chất kích thích. Bạn là người kiên nhẫn, nhân ái &amp; lãng mạn. Bạn muốn được thế giới công nhận &amp; bí mật tìm kiếm sự nổi tiếng. 
Chia sẻ tài năng của mình, giúp đỡ nhân loại, dạy dỗ, tư vấn &amp; chữa lành cho mọi người là những điều nuôi dưỡng tâm hồn bạn. Trong khi theo đuổi mong muốn giải cứu thế giới, hãy đảm bảo bạn không bỏ bê những người thân thiết của mình. Mặt tối tính cách của bạn có thể là tính chiếm hữu, ủ rũ, nhút nhát, ngây thơ &amp; dễ bồn chồn. Là người nghiện mua sắm, bạn rất dễ phung phí tiền bạc.</t>
  </si>
  <si>
    <t>NGƯỜI CÓ TRỰC GIÁC
NHẠY BÉN</t>
  </si>
  <si>
    <t>Số này mang thông điệp mạnh mẽ. Là người cực kỳ nhạy cảm, có trực giác và khả năng nhận biết nhạy bén, bạn toát ra vẻ mạnh mẽ, tinh tế và thanh lịch. Bạn sẽ trải nghiệm sự hướng dẫn mang tính tâm linh, và khả năng lãnh đạo bẩm sinh giúp bạn dễ dàng thu hút đồng đội hoặc danh tiếng.
Bạn đưa ra quyết định bằng sự kết hợp khó nắm bắt giữa logic, trực giác và cảm xúc. Bạn nhận thức rõ sự khác biệt của bản thân và theo thời gian, bạn sẽ nắm bắt trọn vẹn những món quà đặc biệt của mình để đánh thức và soi sáng cho những người khác.
Ở mặt tối tính cách, bạn có thể bị thao túng và sử dụng quyền lực của mình cho những nỗ lực đáng nghi ngờ về mặt đạo đức. Bạn có thể gặp khó khăn khi phân tách giữa tưởng tượng và thực tế. Bạn thường cảm thấy không ai có thể đáp ứng được kỳ vọng cao của bạn.</t>
  </si>
  <si>
    <t>KIẾN TRÚC SƯ TÀI BA</t>
  </si>
  <si>
    <t>Bạn có khả năng nhận thức được bức tranh toàn cảnh từ khi còn nhỏ và luôn mơ ước lớn lao. Bạn có rất nhiều khả năng thành công nhất trong tất cả các con số vận mệnh và mong muốn để lại dấu ấn thực sự trên thế giới. Bạn có thể khai thác những khả năng đặc biệt của mình khi trưởng thành, khi bạn thực sự bắt đầu hiểu được khả năng mình được ban cho. Bạn sẽ đạt được những điều lớn lao.
Ở mặt tối tính cách bạn có thể là người ranh mãnh và thâm hiểm trong kinh doanh doanh, phá hoại và thậm chí là xấu xa. Bạn phải luôn sử dụng quyền hạn của mình cho mục đích tốt.</t>
  </si>
  <si>
    <t>NHÂN VẬT CÓ 
TẦM ẢNH HƯỞNG</t>
  </si>
  <si>
    <t xml:space="preserve">Con số vận mệnh 33 mang 1 sứ mệnh to lớn cần phải hoàn thành, nhưng bạn là người có trách nhiệm, vì vậy bạn đã sẵn sang chấp nhận thử thách. Bạn có khả năng sáng tạo vượt trội, khả năng giao tiếp, sự chân thành và lòng trắc ẩn. Phục vụ người khác sẽ tiết lộ khả năng thiên bẩm của bạn. Là người tốt bụng và khiêm tốn, bạn cho đi mà không mong nhận lại. Bạn là người có tầm nhìn xa, tràn đầy niềm vui và lòng trắc ẩn, và bạn dễ dàng có được những mối quan hệ chân thành.
Bạn là 1 nhân vật có tầm ảnh hưởng. Số phận của bạn trở thành 1 tấm gương về sức mạnh thực sự của tình yêu và lòng trắc ẩn đối với thế giới. Bạn là một người trợ giúp và 1 người chữa lành.
Mặt tối tính cách của số 33 là tinh thần ‘’tử vì đạo’’, và bạn có thể hay phàn nàn. Bạn thường gánh chịu nỗi đau hoặc vết sẹo của người khác. Bạn sẽ tìm được phần thưởng tuyệt vời cho mình khi sử dụng khả năng chữa lành, an ủi thiên bẩm để giúp đỡ người khác và cung cấp công cụ để mọi người tự giúp mình. </t>
  </si>
  <si>
    <t>Con số 
linh hồn</t>
  </si>
  <si>
    <t>NGƯỜI THU HÚT 
NGƯỜI KHÁC</t>
  </si>
  <si>
    <t>Với phong cách và hinh ảnh độc đáo, nhóm người có số này sẽ là người dẫn đầu trong các mối quan hệ. Bạn có xu hướng xây dựng những bức tường bảo vệ và có thể có tâm lý :”Tôi sẽ làm tổn thương bạn trước khi bạn có thể thể làm tổn thương tôi’’. Trong sâu thẳm, bạn là một người lãng mạn trong vô vọng. 
Sự quyến rũ của bạn sẽ đưa bạn đi xa, nhưng bạn mong đợi sẽ tìm thấy điểm tương đồng ở người bạn đời của mình và muốn người khác cũng thông minh và độc lập như bạn. Bạn truyền cảm hứng cho sự đổi mới và không bị thu hút tham gia vào những điều thông thường.</t>
  </si>
  <si>
    <t>NGƯỜI TẬN TÂM
NHIỆT TÌNH</t>
  </si>
  <si>
    <t>Cảm thấy tốn hơn khi ở cùng người khác thay vì 1 mình, những người có con số linh hồn 2 sẽ không độc thân quá lâu. Họ cam kết và mong đợi điều tương tự từ đối phương, đối tượng kết hôn của mình.
Họ có thể làm bất cứ điều gì cần thiết để giữ hòa khí. Họ là người khéo léo và tốt bụng, có thể nhìn thấy cả 2 mặt của tình huống và thích là người hỗ trợ trong mối quan hệ hơn là người dẫn dắt.
Vì cực kỳ nhạy cảm nên những lời chỉ trích có thể gây tổn hại sâu sắc cho họ. Họ cũng là người tận tâm, cống hiến và điều quan trọng nhất là họ cảm thấy được trân trọng.
Với con số linh hồn 11/2 cảm xúc có thể dao động rất mãnh liệt. Năng lượng gấp đôi số 1 có thể dẫn đến sự ích kỷ. Đảm bảo rằng bạn đang sử dụng khả năng thuyết phục của mình vì 1 mục đích xứng đáng, không phải sự thao túng và lợi ích cá nhân.
Bạn mang lại chất lượng tinh thần sâu sắc cho bất kỳ mối quan hệ nào.</t>
  </si>
  <si>
    <t>NGƯỜI CÓ SỨC 
QUYẾN RŨ</t>
  </si>
  <si>
    <t>Mê hoặc và quyến rũ, con số linh hồn 3 khiến người khác bật cười và cảm thấy họ thật đặc biệt với tính cách nổi bật của họ. Bạn có xu hướng chạy theo những cuộc vui và đấu tranh với tâm lý “cỏ bên kia đồi luôn xanh hơn’’, điều này có thể khiến bạn trở nên thiếu độ tin cậy trong các mối quan hệ.
Bạn có thể che giấu cảm xúc thật của mình bằng sự hài hước và nói liên tục. Nếu bạn không vui, người khác sẽ biết được từ lời nói của bạn, điều này có thể giống như những nhát dao, được sử dụng với mục đích làm tổn thương.
Bài học của bạn luôn cho người khác sự công nhận mà họ xứng đáng được nhận, không coi mọi thứ là hiển nhiên và mọi người sẽ luôn bên bạn.</t>
  </si>
  <si>
    <t>NGƯỜI BỘC TRỰC</t>
  </si>
  <si>
    <t>Con số linh hồn 4 là những người có thể tỏ ra lạnh lùng hoặc xa cách. Cảm xúc dễ biến động và số 4 thích kiểm soát chúng cùng với mọi thứ khác.
Họ luôn tiếp cận mọi thứ 1 cách thực tế, kể cả tình yêu, và có vẻ là người không lãng mạn lắm.
Họ có thể tạo ra sự lãng mạn, nhưng cử chỉ hoặc bữa tối lãng mạn đó sẽ được lên kế hoạch và thực hiện 1 cách hoàn hảo. Họ thích cho và nhận những món quà thiết thực hơn là những món quà phù phiếm.
Phẩm chất tốt của họ là bạn đáng tin cậy và sẽ xây dựng 1 cuộc sống có trật tự, hỗ trợ mạnh mẽ cho bạn đời của mình. Họ tìm kiếm 1 tình yêu ổn định với người mà họ tin tưởng để giúp họ xây dựng ước mơ của mình.
Là người có con số linh hồn 22/4, họ mong muốn để lại 1 di sản cho thế hệ sau. Để hoàn thành sứ mệnh này, họ phải cam kết hết mình với nó.</t>
  </si>
  <si>
    <t xml:space="preserve">NGƯỜI CÓ TÂM HỒN
TỰ DO
</t>
  </si>
  <si>
    <t>Tự do là yếu tố cần thiết cho hạnh phúc của con số linh hồn 5. Với niềm đam mê sâu sắc đối với sự thay đổi, du lịch và phiêu lưu, bạn tìm kiếm cảm giác không bị gò bó, giới hạn trong các mối quan hệ. Nhóm này khó giữ lời hứa và cũng không tuân thủ tốt các yêu cầu mệnh lệnh.
Số 5 thường bị chi phối bởi các giác quan nên quan hệ tình dục là điều đặc biệt quan trọng với nhóm này. Bạn luôn muốn sự đa dạng và điều đó mở rộng đến cả phòng ngủ. Những thú vui cảm xúc mang đến cho bạn niềm hạnh phúc nhưng cũng có thể dẫn đến sự vô độ và lạm dụng.
Con số linh hồn 5 thường có xu hướng kết hôn muộn hơn. Họ chống lại những ràng buộc tình cảm và những cam kết lâu dài.</t>
  </si>
  <si>
    <t>NGƯỜI YÊU THƯƠNG</t>
  </si>
  <si>
    <t>Mong muốn lớn nhất của những người có con số linh hồn 6 là yêu và được yêu. Đa cảm, kiên nhẫn, từ bi và thấu hiểu, bạn là người bạn đời tuyệt vời và khiến tình yêu trở nên không quá phức tạp.
Số 6 có xu hướng lý tưởng hóa tình yêu, tạo ra hình ảnh về 1 cuộc sống tươi đẹp và hoàn hảo, sau đó phấn đấu vì nó. Bạn mong đợi sự cam kết trong các mối quan hệ. Số 6 cần cảm thấy được phụ thuộc, thích lắng nghe và đưa ra lời khuyên, hỗ trợ.
Với tình yêu sâu sắc dành cho tổ ấm của mình, số 6 thường chọn có con, dĩ nhiên không phải lúc nào cũng có thể như vậy. Người có con số linh hồn 33/6 muốn dấy lên sự rung động tình yêu của thế giới. Bạn là người giàu cảm xúc và muốn mang lại sự hiểu biết cho thế giới thông qua tình yêu.</t>
  </si>
  <si>
    <t>NGƯỜI BÍ ẨN</t>
  </si>
  <si>
    <t>Sự thông minh là điểm quyến rũ và nét tinh tế của bạn. Bạn tạo cho người khác ấn tượng rằng bạn thích giữ mọi thứ riêng tư. Con số linh hồn này có thể chọn 1 cuộc sống cô độc, quan tâm đến việc của bản thân hơn là của người khác. Nếu bạn yêu đương hay kết hôn, đó sẽ là khi bạn đã trưởng thành và đó phải là một mối quan hệ rất riêng tư và an toàn. Bạn cảm thấy việc trở thành nhà sư hoặc thầy tu là 1 ý tưởng hấp dẫn.
Bạn thích nói về sự thật hơn là cảm giác và cảm xúc không thể đoán trước. Cách tiếp cận khách quan của bạn đối với các mối quan hệ lãng mạn có thể gây ra sự ngờ vực, vì người kia có thể cảm thấy rằng bạn đang từ chối họ. Trở nên dễ bị tổn thương về mặt cảm xúc và tạo dựng những kết nối sâu sắc là điều nằm ngoài vùng an toàn của bạn nhưng cần thiết cho 1 cuộc sống viên mãn.</t>
  </si>
  <si>
    <t>NGƯỜI PHẤN ĐẤU</t>
  </si>
  <si>
    <t>Số 8 thích học từ khó khăn và các vấn đề của trái tim cũng không ngoại lệ. Bạn có thể thấy mình đang ở trong những mối quan hệ cùng với một kiểu người nhiều lần. Điều này có thể gây kiệt quệ về mặt cảm xúc và tài chính. Hãy cố tìm ra hình mẫu lãng mạn của bạn và chấm dứt vòng theo đuổi luẩn quẩn.
Số 8 được hưởng tiện nghi, vật chất và giàu sang. Điều quan trọng đối với bạn là người khác cảm nhận bạn là người thành công. Bạn có ước mơ lớn và không ngại vất vả. Bạn cần được thử thách (và phần thưởng cho việc vượt qua thử thách), ngay cả trong các mối quan hệ, nếu không bạn sẽ rơi vào trạng thái rung động thấp, trở nên tàn bạo, độc ác, chán nản và thất vọng. Người bạn đời lý tưởng của bạn phải hấp dẫn, có năng lực và được định hướng như bạn.
Cho dù có chủ ý hay không số này có xu hướng kết hôn hoặc kết đôi với người có nguồn lực có thể hỗ trợ tầm nhìn và nhu cầu thành công về mặt chất của bạn. 
Hãy nhớ rằng không có chỗ cho đạo đức giả trong tình yêu, hãy đối xử với đối phương của bạn như cách bạn muốn được đối xử.</t>
  </si>
  <si>
    <t>NGƯỜI CÓ LÒNG 
BÁC ÁI</t>
  </si>
  <si>
    <t>Là những người mong muốn tình yêu phổ quát và thực sự quan tâm đến hạnh phúc của nhân loại. Là những linh hồn già dặn, số 9 khôn ngoan và có tài năng với trực giác đặc biệt.
Họ là người chu đáo và luôn đoán trước được nhu cầu của người bạn đời, đối xử với họ như vua hoặc hoàng hậu. Trong mối quan hệ với số 9, bạn thường sẽ nhận thấy sự chênh lệch tuổi tác đáng kể.
Số 9 thầm mơ ước có ảnh hưởng lớn đến thế giới và thậm chí có thể trở nên nổi tiếng, mặc dù bạn sở hữu vẻ đẹp của sự khiêm tốn, Vì hiểu biết và rộng lượng nên bạn thường bị giằng xé giữa nhu cầu của bản thân và nhu cầu của người khác.
Sống cảm xúc và nhạy cảm, bạn cũng có thể hay chỉ trích và thất thường. Bạn sẽ thất vọng khi mọi người không thể đáp ứng kỳ vọng cao của bạn hoặc không thể tự giúp đỡ chính mình khi có cơ hội.</t>
  </si>
  <si>
    <t>GỐNG SỐ 2</t>
  </si>
  <si>
    <t>Cảm thấy tốn hơn khi ở cùng người khác thay vì 1 mình, những người có con số linh hồn 2 sẽ không độc thân quá lâu. Họ cam kết và mong đợi điều tương tự từ đối phương, đối tượng kết hôn của mình.
Họ có thể làm bất cứ điều gì cần thiết để giữ hòa khí. Họ là người khéo léo và tốt bụng, có thể nhìn thấy cả 2 mặt của tình huống và thích là người hỗ trợ trong mối quan hệ hơn là người dẫn dắt.
Vì cực kỳ nhạy cảm nên những lời chỉ trích có thể gây tổn hại sâu sắc cho họ. Họ cũng là người tận tâm, cống hiến và điều quan trọng nhất là họ cảm thấy được trân trọng.
Với con số linh hồn 11/2 cảm xúc có thể dao động rất mãnh liệt. Năng lượng gấp đôi số 1 có thể dẫn đến sự ích kỷ. Đảm bảo rằng bạn đang sử dụng khả năng thuyết phục của mình vì 1 mục đích xứng đáng, không phải sự thao túng và lợi ích cá nhân.
Bạn mang lại chất lượng tinh thần sâu sắc cho bất kỳ mối quan hệ nào.</t>
  </si>
  <si>
    <t>SỐNG SỐ 4</t>
  </si>
  <si>
    <t>Con số linh hồn 22/4 là những người có thể tỏ ra lạnh lùng hoặc xa cách. Cảm xúc dễ biến động và số 4 thích kiểm soát chúng cùng với mọi thứ khác.
Họ luôn tiếp cận mọi thứ 1 cách thực tế, kể cả tình yêu, và có vẻ là người không lãng mạn lắm.
Họ có thể tạo ra sự lãng mạn, nhưng cử chỉ hoặc bữa tối lãng mạn đó sẽ được lên kế hoạch và thực hiện 1 cách hoàn hảo. Họ thích cho và nhận những món quà thiết thực hơn là những món quà phù phiếm.
Phẩm chất tốt của họ là bạn đáng tin cậy và sẽ xây dựng 1 cuộc sống có trật tự, hỗ trợ mạnh mẽ cho bạn đời của mình. Họ tìm kiếm 1 tình yêu ổn định với người mà họ tin tưởng để giúp họ xây dựng ước mơ của mình.
Là người có con số linh hồn 22/4, họ mong muốn để lại 1 di sản cho thế hệ sau. Để hoàn thành sứ mệnh này, họ phải cam kết hết mình với nó.</t>
  </si>
  <si>
    <t>GIỐNG SỐ 6</t>
  </si>
  <si>
    <t>Mong muốn lớn nhất của những người có con số linh hồn 33/6 là yêu và được yêu. Đa cảm, kiên nhẫn, từ bi và thấu hiểu, bạn là người bạn đời tuyệt vời và khiến tình yêu trở nên không quá phức tạp.
Số 6 có xu hướng lý tưởng hóa tình yêu, tạo ra hình ảnh về 1 cuộc sống tươi đẹp và hoàn hảo, sau đó phấn đấu vì nó. Bạn mong đợi sự cam kết trong các mối quan hệ. Số 6 cần cảm thấy được phụ thuộc, thích lắng nghe và đưa ra lời khuyên, hỗ trợ.
Với tình yêu sâu sắc dành cho tổ ấm của mình, số 6 thường chọn có con, dĩ nhiên không phải lúc nào cũng có thể như vậy. Người có con số linh hồn 33/6 muốn dấy  lên sự rung động tình yêu của thế giới. Bạn là người giàu cảm xúc và muốn mang lại sự hiểu biết cho thế giới thông qua tình yêu.</t>
  </si>
  <si>
    <t>Con số 
tính cách</t>
  </si>
  <si>
    <t>NĂNG ĐỘNG 
VÀ HIỆU QUẢ</t>
  </si>
  <si>
    <t>Có  phong cách, vui vẻ, thích kiểm soát, có khả năng, thống trị, hung hăng, không nhạy cảm, đáng sợ, can đảm.</t>
  </si>
  <si>
    <t>THÂN THIỆN 
VÀ KHIÊM TỐN</t>
  </si>
  <si>
    <t>Hợp tác, khiêm tốn, ngoại giao tốt, lễ độ, một người biết lắng nghe, nhút nhát, tinh tế, thường bị coi nhẹ..</t>
  </si>
  <si>
    <t>TRUYỀN CẢM HỨNG
VÀ THU HÚT</t>
  </si>
  <si>
    <t>Hấp dẫn, tích cực, thu hút, hướng ngoại, lạc quan, dễ nói chuyện, vui vẻ, tình cảm, dễ bị phân tán, xuề xòa.</t>
  </si>
  <si>
    <t>ĐÁNG TIN CẬY
VÀ NHẤT QUÁN</t>
  </si>
  <si>
    <t>Có vẻ ngoài thực tế, đáng kính, bảo thủ, đáng tin cậy, có trách nhiệm, dè dặt, không linh hoạt, tự cao tự đại.</t>
  </si>
  <si>
    <t>NỔI BẬT
VÀ DÍ DỎM</t>
  </si>
  <si>
    <t>Vui vẻ, cầu tiến, lạc quan, hào hứng với mọi thứ, hấp dẫn, hướng ngoại, hào sảng, thu hút, ngoại hình trẻ trung, thiếu trách nhiệm.</t>
  </si>
  <si>
    <t>THẤU HIỂU
VÀ ĐỒNG CẢM</t>
  </si>
  <si>
    <t>Hay bảo vệ người khác, đáng tin cậy, tháo vát, thanh lịch, cầu toàn, thông cảm, có năng lực, có kỹ năng chăm sóc, trang nhã.</t>
  </si>
  <si>
    <t>NGHIÊM TÚC
VÀ BÍ ẨN</t>
  </si>
  <si>
    <t>Có nhận thức, quan sát tốt, thông minh, đàng hoàng, dè dặt, nội tâm, hướng nội, hay triết lý, lập dị, xa xách.</t>
  </si>
  <si>
    <t>MẠNH MẼ 
VÀ ẤN TƯỢNG</t>
  </si>
  <si>
    <t>Có ảnh hưởng, quyền lực, tham vọng, có thẩm quyền, có đầu óc kinh doanh, có tầm nhìn xa, tự tin, tinh tế, tàn nhẫn, tham lam, tự phụ, thích kiểm soát.</t>
  </si>
  <si>
    <t>ẤN TƯỢNG
VÀ CÁ TÍNH</t>
  </si>
  <si>
    <t>Có năng lực, cương quyết, trung thực, ổn định, sáng tạo, thành thạo, hiệu quả, ngoại giao tốt, kiêu ngạo, đáng sợ, hay ghen tị.</t>
  </si>
  <si>
    <t>GIỐNG SỐ 2</t>
  </si>
  <si>
    <t>Hợp tác, khiêm tốn, ngoại giao tốt, lễ độ, một người biết lắng nghe, nhút nhát, tinh tế, thường bị coi nhẹ.</t>
  </si>
  <si>
    <t>GIỐNG SỐ 4</t>
  </si>
  <si>
    <t>Có vẻ ngoài thực tế, đáng kính, bảo thủ, đáng tin cậy, có trách nhiệm, dè dặt, không linh hoạt, tự cao tự đại..</t>
  </si>
  <si>
    <t>Con số
ngày sinh</t>
  </si>
  <si>
    <t>Bạn là người độc lập, thích cạnh tranh và là 1 nhà lãnh đạo bẩm sinh. 
Bạn là người sáng tạo với nhiều ý tưởng độc đáo và bạn thích nổi bật. Bạn chủ động và có thể khuấy động, tạo cảm hứng cho mọi người. 
Bạn cũng có thể cứng đầu, ích kỷ và thất thường. Bài học tuyệt vời của bạn là học về ranh giới, chia sẻ và làm việc theo nhóm.</t>
  </si>
  <si>
    <t>Tốt bụng, kiên nhẫn, nhạy cảm và trực giác nhạy bén, bạn làm việc theo cặp tốt hơn là một mình. 
Bạn là một đồng đội hòa đồng, chu đáo và luôn hỗ trợ người  khác. Bạn không khao khát ánh đèn sân khấu. 
Bài học cho bạn là học cách đứng lên vì chính mình.</t>
  </si>
  <si>
    <t>Bạn là người thân thiện và tràn đầy năng lượng, và khả năng sáng tạo của bạn không có giới hạn. 
Bạn là người rất thân thiện, hòa đồng, vui vẻ và  là người thích cuộc sống của những bữa tiệc. 
Bài học của bạn là học cách quản lý cảm xúc và ngừng tìm kiếm sự thỏa mãn tức thì.</t>
  </si>
  <si>
    <t>Bạn thực tế, đáng tin cậy, chăm chỉ, trung thực và công bằng. 
Bạn là người có tổ chức và hành động nhanh chóng. Bạn thích lập kế hoạch và luôn muốn biết những gì sẽ xảy ra. 
Bài học của bạn là học cách giải phóng quyền kiểm soát. Nếu sinh ngày 13 sẽ khuyến khích bạn đấu tranh với sự trì hoãn.</t>
  </si>
  <si>
    <t>Bạn thôi thúc bởi lời kêu gọi của cảm giác phiêu lưu và sự buồn chán là điểm yếu của bạn. 
Cuộc sống phải luôn thú vị hoặc bạn sẽ thoát ra và bước tiếp. Bạn là người tháo vát, dám chấp nhận sự thay đổi, và đôi khi bốc đồng. 
Bài học của bạn là học cách chịu trách nhiệm.</t>
  </si>
  <si>
    <t>Bạn có trách nhiệm và hướng về gia đình. Bạn cũng yêu động vật. 
Trung thành, cầu toàn và chu đáo đều là 1 phần bản chất của bạn (mặc dù bạn có xu hướng can thiệp vào những công việc không phải của mình). 
Bạn sẽ học được cách vượt qua sự phản bội và chỉ quan tâm đến việc của bản thân mình.</t>
  </si>
  <si>
    <t xml:space="preserve">Bạn tập trung quá nhiều vào phân tích mọi thứ, cố gắng tìm ra ý nghĩa sâu sắc trong tất cả những gì bạn làm. Bạn thích đọc và ham mê học hỏi. Bạn luôn đặt ra các giả thuyết. 
Bạn vừa tò mò vừa đòi hỏi sự riêng tư. Bài học của bạn là học cách làm việc với người khác 1 cách vị tha. </t>
  </si>
  <si>
    <t>Thành công là điều quan trọng và có thể đạt được với bạn. Bạn thích xe đẹp, đồ hiệu và bất cứ thứ gì có tên tuổi. 
Bài học của bạn là tìm sự cân bằng giữa tinh thần và vật chất, đồng thời học tính kiên nhẫn và lòng trung thành. Không phải lúc nào bạn cũng phải trải qua khó khăn để học hỏi.</t>
  </si>
  <si>
    <t>Bạn hào phóng, sáng tạo, nhạy cảm, khoan dung, cởi mở và có cách tiếp cận độc đáo để giải quyết vấn đề. 
Bạn là người có tấm lòng nhân ái với mong muốn làm cho thế giới trở nên tốt đẹp hơn. 
Hãy cẩn thận với việc tỏ ra biết tất cả hoặc ra vẻ trịch thượng. Bài học cho bạn là học cách tha thứ và buông bỏ.</t>
  </si>
  <si>
    <t>Bạn sở hữu nhiều tài năng thiên bẩm. Bạn tốt bụng và là người điều tiết bầu không khí chung. 
Bạn có khả năng phát hiện xu hướng và vượt qua ranh giới. Bạn cũng có thể bị lôi kéo và trở nên cực đoan. Bài học cho bạn là học tính quyết đoán và không từ bỏ ước mơ của mình.</t>
  </si>
  <si>
    <t>Bạn là 1 nhà xây dựng thành thạo, Nhiều công trình hoành tráng lần đầu tiên được hoàn thành bởi nhưng người có con số ngày sinh này. 
Bạn có thể là người trẻ nhất hoặc người đầu tiên đạt được 1 cột mốc quan trọng. Bạn suy nghĩ hướng ngoại và có tầm nhìn thực sự. 
Bạn là người mạnh mẽ và luôn tiềm ẩn nguy cơ lạm dụng sức mạnh này. Bài học của bạn sẽ liên quan đến cái tôi.</t>
  </si>
  <si>
    <t>Con số
thái độ</t>
  </si>
  <si>
    <t>Bạn là người độc đáo: Bạn mang dấu ấn cá nhân của riêng mình vào mọi việc bạn làm. 
Bạn có thể tỏ ra hung hăng nhưng đồng thời rất tự tin và có năng lực. 
Bạn tràn đầy nhiệt huyết và những ý tưởng tuyệt vời. Bạn không sợ đối đầu, có thể rất bốc đồng và không phải lúc nào cũng xem xét hậu quả lâu dài của các hành động và quyết định của mình.</t>
  </si>
  <si>
    <t>Ấn tượng đầu tiên của người khác về bạn là một người tử tế, ngoại giao tốt và kiên nhẫn. 
Sự nhạy cảm đáng kinh ngạc của bạn thường được thể hiện dưới dạng những lo lắng. 
Hãy cẩn trọng về những gì bạn ''nhận' từ người khác. Bạn không cần phải sở hữu những trải nghiệm, tâm trạng, ý kiến hoặc cảm xúc của người khác.</t>
  </si>
  <si>
    <t>Bạn có vẻ ngoài vui vẻ và vô tư, nhưng rất nhạy cảm và thầm sợ bị chỉ trích và phản đối. Bạn có thể bị phân tán, thường kể nhiều câu chuyện cùng một lúc. 
Bạn thích cười và làm cho người khác cười. Bạn cực kỳ giỏi ngoại giao, thông minh và hóm hỉnh. 
Bạn có vẻ khá thất thường và khó tính với bản thân. Đừng gò ép bản thân với đống cảm xúc hỗn loạn đó: Hãy vượt qua nó và đừng nhìn nhận mọi thứ một cách cá nhân thái quá.</t>
  </si>
  <si>
    <t>Về mặt tình cảm, hãy cẩn thận với vẻ ngoài có vẻ bất cần hoặc lạnh lùng. 
Việc thể hiện sự dễ bị tổn thương về mặt cảm xúc không phải lúc nào cũng là điểm yếu. 
Bạn yêu thích các quy tắc, sự công bằng và mọi thứ phải công bằng. Bạn trân trọng việc người khác đánh giá cao kỹ năng tổ chức và quản lý của bạn.</t>
  </si>
  <si>
    <t>Bạn sử dụng sức hút của mình để điều hướng và đạt được những gì bạn muốn trong cuộc sống. 
Bạn thích cuộc sống phiêu lưu, thú vị với nhịp sống nhanh, bạn dường như không sợ gì và luôn tìm kiếm sự nhanh chóng, đôi khi vội vàng. 
Bạn hoạt động tốt nhất trong môi trường luôn thay đổi, năng động và thậm chí hỗn loạn. Người khác sẽ chú ý đến việc bạn không thỏa hiệp với sự buồn chán.</t>
  </si>
  <si>
    <t>Có năng lực, thông minh và nhanh trí, bạn rất giỏi trong trường hợp khẩn cấp và thậm chí còn giỏi hơn trong việc kiểm soát câu chuyện. 
Như 1 bác sĩ giỏi, bạn biết phải làm gì và gọi cho ai. Những người khác nhìn nhận bạn là một người cầu toàn với gu thẩm mỹ tuyệt vời, luôn tìm cách đặt cái nhìn hoàn hảo của mình vào mọi thứ.</t>
  </si>
  <si>
    <t>Bạn cảm thấy những câu chuyện phiếm có thể giết chết mình: Nếu việc trò chuyện bao gồm những tiếng cười giả tạo, bạn thà ở nhà. Điều này khiến bạn có vẻ lạc lõng và xa cách. Dường như có 1 bầu không khí bí ẩn về bạn vì bạn thích giữ chặt các lá bài của mình. Bạn muốn quan sát và đặt câu hỏi hơn là chia sẻ bất cứ điều gì quá riêng tư.
Ham học hỏi, bạn thích những cuộc trò chuyện có nội dung và riêng tư hơn là những cuộc trò chuyện vui vẻ theo nhóm. Những lời châm biếm và đôi khi là khiếu hài hước khô khan của bạn không phải lúc nào cũng được đón nhận. Mọi người thấy bạn hấp dẫn nhưng khó nắm bắt.</t>
  </si>
  <si>
    <t>Sinh ra để dẫn đầu, và khi được cân bằng, không gì có thể ngăn cản sự phát triển của số này. Với khao khát được cống hiến, bạn có ước mơ, hoài bão lớn, điều này thường khiến bạn bị thất vọng. Bạn thể hiện sự tự tin và nỗ lực để duy trì một hình ảnh thành công.
Đôi khi không khéo léo và cố chấp, bạn coi thường những thứ lãng phí thời gian. Suy cho cùng thì thời gian là tiền bạc, và nó có thể mang lại sự ổn định, an toàn và tự do mà bạn mong muốn. Nếu thấy mình thiếu nguồn lực hoặc thiếu khả năng kiểm soát, bạn có thể thể hiện thái độ chống đối và tức giận. Bạn sẽ nhanh chóng phải nhận Nghiệp, dù tốt hay xấu.</t>
  </si>
  <si>
    <t>Bạn có vẻ tự tin và sự quyến rũ để tận dụng. Mọi người thường có cảm giác bị đe dọa bởi bạn. Thái độ của số 9 có thể phân cực, mọi người sẽ yêu quý bạn hoặc coi thường bạn. Bất kỳ ai có điều gì đó muốn che giấu đều lo sợ bạn sẽ phơi bày chúng trong vô thức.</t>
  </si>
  <si>
    <t>Ấn tượng đầu tiên của người khác về bạn là một người tử tế, ngoại giao tốt và kiên nhẫn. Sự nhạy cảm đáng kinh ngạc của bạn thường được thể hiện dưới dạng những lo lắng. Hãy cẩn trọng về những gì bạn ''nhận'' từ người khác. Bạn không cần phải sở hữu những trải nghiệm, tâm trạng, ý kiến hoặc cảm xúc của người khác. Số 11 có thêm trực giác mãnh liệt và thậm chí nhạy cảm hơn với những đặc điểm tính cách của số 2. Bạn ở trạng thái tốt nhất khi truyền cảm hứng cho người khác.</t>
  </si>
  <si>
    <t>Về mặt tình cảm, hãy cẩn thận với vẻ ngoài có vẻ bất cần hoặc lạnh lùng. Việc thể hiện sự dễ bị tổn thương về mặt cảm xúc không phải lúc nào cũng là điểm yếu. Bạn yêu thích các quy tắc, sự công bằng và mọi thứ phải công bằng. Bạn trân trọng việc người khác đánh giá cao kỹ năng tổ chức và quản lý của bạn.
Con số vua 22 có năng lượng của số 4 và cũng được nâng cấp thành người kiến tạo tài ba của số 22. Những người khác sẽ thấy khả năng tuyệt vời của bạn trong việc xây dựng thứ gì đó có giá trị lâu dài. Kiểm soát cái tôi của bạn: Bạn có thể tỏ ra tự thu mình.</t>
  </si>
  <si>
    <t>Giống số 6. Có năng lực, thông minh và nhanh trí, bạn rất giỏi trong trường hợp khẩn cấp và thậm chí còn giỏi hơn trong việc kiểm soát câu chuyện. Như một bác sĩ giỏi, bạn biết phải làm gì và gọi cho ai. Những người khác nhìn nhận bạn là một người cầu toàn với gu thẩm mỹ tuyệt vời, luôn tìm cách đặt cái nhìn hoàn hảo của mình vào mọi thứ.</t>
  </si>
  <si>
    <t>Ý nghĩa chi tiết (hãy đọc ô của bạn được tô màu riêng)</t>
  </si>
  <si>
    <t>Hãy bắt đầu! Bắt đầu một cái gì đó mới.</t>
  </si>
  <si>
    <t>Trọng tâm của tháng này sẽ là các mối quan hệ. Hãy hợp tác và kiên nhẫn.</t>
  </si>
  <si>
    <t>Tháng này xảy ra 1 sự kiện quan trọng với bạn. Hãy thoải mái giao lưu, vui chơi và tìm cách giải tỏa thật sáng tạo. Cảm xúc của bạn sẽ tăng cao.</t>
  </si>
  <si>
    <t>Đừng trì hoãn! Hãy quan tâm đến chi tiết và bất kỳ điều gì bạn chưa hoàn thiện. Luôn quan tâm đến sức khỏe của bạn.</t>
  </si>
  <si>
    <t>Tránh buôn chuyện hay hóng hớt chuyện phiếm. Đón nhận và nắm bắt sự thay đổi. Bạn có thể vụng về và dễ va chạm trong tháng này.</t>
  </si>
  <si>
    <t>Làm đẹp môi trường xung quanh bạn. Tập trung vào gia đình và vật nuôi.</t>
  </si>
  <si>
    <t>Trở thành chuyên gia 1 lĩnh vực nào đó. Dành thời gian tra cứu và học hỏi. Chăm sóc bản thân là điều quan trọng lúc này. Bạn có thể cảm thấy tách biệt và ẩn dật.</t>
  </si>
  <si>
    <t>Tháng này mang đến vòng xoay tiền bạc. Có thể có 1 khoản tiền thưởng hoặc các khoản tiền bất ngờ đến với bạn. Hãy coi chừng, nó sẽ nhanh chóng rời đi do phát sinh những chi phí không lường trước được.</t>
  </si>
  <si>
    <t>Tha thứ, loại bỏ mọi thứ, cho đi thời gian và tiền bạc của bạn và thực hiện những việc làm tử tế bất kỳ. Đón nhận phần thưởng của bạn! Và chuẩn bị cho chu kỳ 9 tháng tiếp theo.</t>
  </si>
  <si>
    <t>Con số
trưởng thành</t>
  </si>
  <si>
    <t>Bạn cần có sự độc lập và tính cá nhân mạnh mẽ hơn và phải nỗ lực nhiều hơn để được công nhận và đền đáp. Cẩn trọng để không trở thành kẻ bắt nạt và gây chiến.</t>
  </si>
  <si>
    <t>Sự nhạy cảm cũng như sự khôn khéo và khả năng ngoại giao của bạn sẽ tăng lên. Bạn phù hợp với những công việc phía sau hậu trường, lựa chọn hướng dẫn nhẹ nhàng thay vì sử dụng vũ lực.</t>
  </si>
  <si>
    <t>Bạn sẽ trở nên hòa đồng và hướng ngoại hơn. Khả năng giao tiếp của bạn được cải thiện cùng sự nổi tiếng và tiềm năng sáng tạo của bạn. Bạn có thể vẽ tranh, viết lách hoặc diễn xuất.</t>
  </si>
  <si>
    <t>Bạn sẽ thấy mình trở thành người có kế hoạch, thực tế và có tổ chức hơn. Tránh việc quá cứng nhắc, không linh hoạt và cố chấp. Hãy nhớ dành thời gian để tận hưởng niềm vui.</t>
  </si>
  <si>
    <t>Du lịch, tự do và những sự kiện bất ngờ sẽ chi phối nửa sau cuộc đời bạn. Khả năng kể chuyện của bạn sẽ phát triển, và bạn sẽ trở nên độc đáo và thú vị hơn, dám chấp nhận rủi ro hơn. Hãy cẩn thận với việc phân tán năng lượng của bạn.</t>
  </si>
  <si>
    <t>Gia đình, bạn bè và cộng đồng sẽ ngày càng quan tâm đến bạn. Bạn sẽ trưởng thành như một nhà hiền triết thông thái và có thể đưa ra lời khuyên cũng như sự an ủi cho những ai cần nó. Con số trưởng thành này hứa hẹn một tuổi già an toàn. Đây thường là những người con chăm sóc cha mẹ già.</t>
  </si>
  <si>
    <t>Bạn phải đề phòng việc trở nên ẩn dật. Bạn sẽ dành thời gian để đọc và tiếp tục rèn luyện bản thân trong khi đặt ra những câu hỏi lớn trong cuộc sống. Trực giác của bạn sẽ phát triển mạnh mẽ hơn cũng như khả năng hình thành các ý kiến và kết luận độc đáo của bạn cũng được tăng cường.</t>
  </si>
  <si>
    <t>Bạn sẽ học cách tách khỏi thành công vật chất. Nhiều người với con số trưởng thành này không bao giờ thực sự nghỉ hưu, và ngày càng bị sự tích lũy và lòng tham chi phối. Bạn có thể đạt được thành công và sự độc lập tài chính nếu kiểm soát được cái tôi của mình và tập trung vào các hành động nhân đạo để duy trì sự cân bằng.</t>
  </si>
  <si>
    <t>Trí tuệ, khiếu hài hước và tấm lòng nhân đạo của bạn đều sẽ phát triển. Hoạt động tình nguyện và mối quan tâm đến nghệ thuật và văn hóa sẽ mang lại niềm vui cho bạn. Bạn sẽ cố gắng đóng góp những điều có giá trị lâu dài.</t>
  </si>
  <si>
    <t>Số 11 sẽ có thêm những trải nghiệm trực giác và tâm linh đáng kinh ngạc khi già đi. Hãy tin vào cảm nhận của bạn. Sự nhạy cảm và khả năng phán đoán tính cách của bạn sẽ ngày càng sâu sắc. Bạn sẽ phân biệt đối xử rõ với những người mà bạn cho phép bước vào thế giới của mình và kết quả là những mối quan hệ lâu dài.</t>
  </si>
  <si>
    <t>Bạn sẽ có 1 nền tảng vững chắc, trực giác nhạy bén, sự tự tin mới hình thành và sức mạnh cá nhân sâu sắc. Những công cụ này sẽ giúp bạn biến nhiều ước mơ thành hiện thực và để lại di sản.</t>
  </si>
  <si>
    <t>Bạn làm mọi việc với sự tận tâm. Bây giờ bạn có thể mang tầm nhìn của mình vào cuộc sống với lòng trắc ẩn, tập trung năng lượng cảm xúc của bạn vào mục tiêu cao hơn và phù hợp với những hiểu biết tâm linh. Con số trưởng thành của bạn là 1 cái gì đó để nắm bắt và đang mong đợi. Bạn đang hợp nhất đường đời và vận mệnh của mình thành tổng thể kinh nghiệm và trí tuệ tối thượng. Bây giờ bạn có thể tự tin định hướng cuộc sống của mình và cuối cùng là thực hiện ước mơ.</t>
  </si>
  <si>
    <t>NĂM KHỞI ĐẦU</t>
  </si>
  <si>
    <t>Đây là lúc tiến về phía trước! Đó là một sự thay đổi đáng hoan nghênh sau năm 9 của bạn khi bạn đang dần buông bỏ và nhường chỗ cho những khởi đầu mới. Với hiệu ừng hào quang, bạn vẫn sẽ cảm thấy có một vài thứ rơi rớt mà bạn đã bỏ qua để ''tiễn biệt'' năm cũ. 
Bạn có thể thấy năm 1 là một khởi đầu chậm chạp. Nhưng đây chính là thời điểm hoàn hảo để bạn đặt ra dự định, gieo hạt, phát triển ý tưởng và bắt đầu hành động để biến chúng thành hiện thực. Những gì xảy ra bây giờ sẽ ảnh hưởng trực tiếp đến phần thưởng hoặc thành quả của bạn trong chín năm tới.
Bạn có thêm sự tự tin mới. Bạn có động lực và thực sự có thể làm mọi thứ xảy ra. Năm này sẽ là năm của chuyển động, tiến bộ và sẽ trôi qua nhanh chóng. Bạn có thể thấy mình quyết liệt, tích cực hơn hiện tại. Hãy nhớ giữ mối quan hệ tốt với những người khác, đừng cứng đầu và hãy chủ động yêu cầu giúp đỡ khi cần.</t>
  </si>
  <si>
    <t>MỐI QUAN HỆ &amp; SỰ NHẪN NẠI</t>
  </si>
  <si>
    <t>Năm này là thời gian để nuôi dưỡng những hạt giống bạn đã gieo mầm vào năm 1. Thời gian của bạn sẽ được sử dụng tốt để chăm sóc những ý tưởng lớn mà bạn đã đề ra vào năm trước.
Bạn sẽ có những kết nối mạnh mẽ và gặp gỡ những người có thể giúp bạn đạt được mục tiêu và ước mơ của mình. Đây là thời điểm tuyệt vời cho những mối quan hệ lãng mạn và xây dựng gia đình.
Năm này diễn biến chậm hơn 1 chút so với năm trước, và sự kiên nhẫn và khă năng thỏa hiệp của bạn sẽ được thử thách. Bạn cũng sẽ trải qua những việc liên quan đến sự nhạy cảm.</t>
  </si>
  <si>
    <t>CÁC SỰ KIỆN 
XÃ HỘI 
VÀ CẢM XÚC</t>
  </si>
  <si>
    <t>Năm cá nhân 3 của bạn sẽ là 1 năm của các hoạt động và sự kiện xã hội, và bạn có thể thấy mình nổi tiếng hơn bình thường. Đây là năm của những kết nối tuyệt vời: Hãy sẵn sàng đón nhận những lời mời. Vũ trụ muốn tạo 1 số kết nối cho bạn trong năm nay! Hãy để chúng xảy ra. Chấp nhận mọi lời mời bạn nhận được và gặp gỡ nhiều người nhất có thể.
Đây cũng sẽ là 1 năm đầy cảm xúc, và điều này có nghĩa là bạn sẽ trải nghiệm mọi cung bậc cảm xúc: tức giận, sợ hãi, buồn bã, vui vẻ, thất vọng...Tìm một lối thoát sáng tạo mà bạn có thể chuyển hướng nguồn cảm xúc đang dâng cao của mình. Khả năng sáng tạo và kỹ năng giao tiếp của bạn sẽ đạt đến đỉnh cao trong năm nay.
Đây cũng là thời điểm định mệnh! Trong năm 3, bạn có thể sẽ gặp một người có ảnh hưởng lớn đến cuộc sống của bạn hoặc mang lại cho bạn cơ hội thay đổi cuộc đời.
Những người có năm cá nhân này yêu thích sự tăng trưởng và mở rộng. Hãy thận trọng, đừng phóng đại và tô điểm quá nhiều. Bạn cũng cần chú ý đến việc tăng cân.</t>
  </si>
  <si>
    <t>KỶ LUẬT VÀ 
CHI TIẾT</t>
  </si>
  <si>
    <t>Hãy tập trung và tận tâm: Điều này yêu cầu việc chú tâm vào chi tiết, hiểu sự trì hoãn và tuân theo các quy tắc. Nếu phá vỡ các quy tắc, bạn sẽ phải gánh chịu hậu quả. Nếu tăng tốc, bạn sẽ đuổi kịp, nếu nói dối, bạn sẽ bị lộ. Hãy cẩn thận đừng bỏ bê sức khỏe của mình. Hãy kiểm tra sức khỏe định kỳ.
Thông điệp của năm này là về sự buông bỏ và học cách tin tưởng vào cảm nhận thiên tính. Hãy tuân theo tự nhiên và đừng ép buộc thứ gì, nếu không chúng sẽ phản tác dụng, một cách tệ hại!</t>
  </si>
  <si>
    <t>SỰ THAY ĐỔI
TỰ DO &amp; 
ĐỔI MỚI</t>
  </si>
  <si>
    <t>Bạn có thể bắt đầu cảm thấy bị giam cầm và sẵn sàng thay đổi. Đây là thời điểm giữa chu kỳ và bạn có thể cảm thấy ''ngứa ngáy'', mong muốn điều gì đó mới mẻ. Năm này, thường bạn sẽ muốn mua nhà mới, đổi xe, chuyển việc hoặc những thứ quan trọng khác. Năm 5 cũng là năm cho các mối quan hệ xã hội là thời điểm tốt để bắt đầu một mối quan hệ yêu đương mới. Đây cũng là 1 năm tuyệt vời để đi du lịch, tham gia 1 cuộc phiêu lưu và trải nghiệm những điều mới. Hãy đặc biệt chú ý đến những người mới và những cơ hội mới đến với bạn.
Hãy chú ý cẩn thận khi tham gia bàn tán và buôn chuyện trong năm này - bạn sẽ thu hút họ như một thỏi nam châm! Bạn cũng có thể thấy mình hơi vụng về hoặc dễ gặp tai nạn.</t>
  </si>
  <si>
    <t>GIA ĐÌNH &amp;
TRÁCH NHIỆM</t>
  </si>
  <si>
    <t>Năm cá nhân 6 của bạn kiểm soát quan hệ hôn nhân, việc sinh con hay liên quan đến cái chết, gia đình, nhà cửa và thậm chí cả vật nuôi của bạn. Bản chất ma quỷ/thiên thần của số 6 cũng áp dụng cho năm này.
Năm 6 cũng kiểm soát việc học hành, vì vậy bạn có thể thấy mình quay trở lại trường học hoặc tham gia các lớp học hoặc hội thảo vào cuối tuần. Đây là 1 năm tuyệt vời để học được điều gì đó mới. Từ tính cá nhân của bạn rất mạnh trong năm nay, vì vậy đây có thể là một năm thành công của mối quan hệ lãng mạn và chinh phục.
Bạn có thể thấy một vài điều tốt nhất và một vài sự kiện khó khăn nhất về mặt cảm xúc trong cuộc đời bạn sẽ xảy ra trong năm 6. Bạn có thể  kết hôn, và vài tháng sau, mất một vài người thân hoặc thú cưng.</t>
  </si>
  <si>
    <t>CHUYÊN MÔN &amp;
TỰ CHĂM SÓC
BẢN THÂN</t>
  </si>
  <si>
    <t>Năm này là thời điểm bạn trở thành chuyên gia ở lĩnh vực nào đó. Mài giũa các kỹ năng của bạn theo hướng chuyên mốn hóa và thúc đẩy sự khám phá và tìm tòi. Đây là 1 năm tuyệt vời để làm điều gì đó tâm linh hoặc khám phá siêu hình học.
Đây cũng là năm chăm sóc bản thân. Hãy dành thời gian cho chính mình. Hòa mình vào thiên nhiên hoặc tắm mình trong dòng nước sẽ tạo nên điều kỳ diệu cho tâm hồn bạn. Đây cũng là thời điểm tốt để bắt đầu tập thiền hoặc yoga. 
Bạn có thể sẽ cảm thấy mình thích ẩn mình ở 1 vài thời điểm trong năm này, thích ở nhà hơn là ra ngoài. Tuy nhiên, bạn phải đề phòng bệnh trầm cảm. Năm 7 buộc bạn phải đánh giá cuộc sống và cảm xúc của mình.</t>
  </si>
  <si>
    <t>THÀNH ĐẠT
QUYỀN LỰC &amp;
TIỀN BẠC</t>
  </si>
  <si>
    <t>Năm cá nhân 8 là về vòng quay tiền bạc. Bất cứ điều gì cũng cũng có thể xảy ra trong năm này - bạn có thể trúng xổ số hoặc bị phá sản. Quyền lực, dù tốt hay xấu, là điều bạn có thể đạt được trong năm này. Đây là 1 năm tuyệt vời để thăng tiến hoặc bắt đầu công việc kinh doanh riêng của bạn.
Bạn cũng nhận được nhiều phần thưởng và thành quả. Đây là sự phản ánh trực tiếp những nỗ lực bạn đã bỏ ra trong suốt từ năm 1 đến năm 8. Lợi ích vật chất, thành công, sự ổn định về tài chính và địa vị đều nằm trong tầm tay. Một lời cảnh báo nhỏ cho số 8 là con số cho sự đảo ngược hoàn toàn, vì vậy, bạn có thể dễ dàng nhận thấy mình đang đi từ cao xuống thấp, thế nhưng thành quả đạt được tương xứng với những nỗ lực bạn đã bỏ ra trước đó.
Nếu bạn nghĩ về điều gì, hãy hành động ngay bây giờ. Ở năm 9, sẽ là quá muộn để bắt đầu những nỗ lực mới. Đây là cơ hội cuối cùng của bạn trước khi trở lại năm 1.
Hãy thận trọng, đừng làm mọi thứ phức tạp hơn mức cần thiết. Sự cân bằng và tính xác thực là nơi phép thuật của bạn sẽ được tìm thấy.</t>
  </si>
  <si>
    <t>HOÀN THIỆN &amp;
GIẢI PHÓNG</t>
  </si>
  <si>
    <t>Đây là năm để hoàn thành mọi thứ và buông bỏ những điều không có ích với bạn. Bạn đã đạt đến cuối chu kỳ 9 năm của mình và sẵn sàng nhận được phần thưởng từ tất cả sự phát triển và làm việc chăm chỉ của mình trước đó.
Nếu bạn cố gắng bắt đầu thứ gì đó trong năm 9, như các mối quan hệ hoặc 1 công việc mới, chúng có thể sẽ không kéo dài. Lòng dũng cảm và sức mạnh của bạn sẽ chịu thử thách trong năm này. Các mối quan hệ độc hại sẽ biến mất và các vấn đề kéo dài có thể tìm ra cách giải quyết. Đây là thời gian để kết thúc và chữa lành.
Tha thứ là điều quan trọng lúc này. Hãy buông bỏ quá khứ để nhường chỗ cho tương lai phía trước. Bạn không muốn phải bực bội với vị khách không phải trả tiền phòng trong khi bạn có 1 khách thuê mới thú vị triển vọng trong năm 1 tới đây. Hãy ''dọn chỗ'' cho những ước mơ lớn và lập kế hoạch.</t>
  </si>
  <si>
    <t>Năm này là thời gian để nuôi dưỡng những hạt giống bạn đã gieo mầm vào năm 1. Thời gian của bạn sẽ được sử dụng tốt để chăm sóc những ý tưởng lớn mà bạn đã đề ra vào năm trước.
Bạn sẽ có những kết nối mạnh mẽ và gặp gỡ những người có thể giúp bạn đạt được mục tiêu và ước mơ của mình. Đây là thời điểm tuyệt vời cho những mối quan hệ lãng mạn và xây dựng gia đình.
Năm này diễn biến chậm hơn 1 chút so với năm trước, và sự kiên nhẫn và khă năng thỏa hiệp của bạn sẽ được thử thách. Bạn cũng sẽ trải qua những việc liên quan đến sự nhạy cảm.
Nếu hình dung 11 như 2 số 1 đi cùng nhau (kết hôn, sinh con) hoặc tách  rời nhau (ly hôn, sự ra đi của 1 người thân yêu) bạn sẽ thấy năm này liên quan đến các sự kiện hoặc mối quan hệ định mệnh như thế nào. Bạn có trực giác nhạy bén, vì vậy hãy tin vào  bản năng của mình.
Hãy lưu ý xem mình có đang bị lôi kéo, bướng bỉnh hay ích kỷ không, điều này bắt nguồn từ mức rung động thấp của năng lượng kép của 2 số 1.</t>
  </si>
  <si>
    <t>Hãy tập trung và tận tâm: Điều này yêu cầu việc chú tâm vào chi tiết, hiểu sự trì hoãn và tuân theo các quy tắc. Nếu phá vỡ các quy tắc, bạn sẽ phải gánh chịu hậu quả. Nếu tăng tốc, bạn sẽ đuổi kịp, nếu nói dối, bạn sẽ bị lộ. Hãy cẩn thận đừng bỏ bê sức khỏe của mình. Hãy kiểm tra sức khỏe định kỳ.
Thông điệp của năm này là về sự buông bỏ và học cách tin tưởng vào cảm nhận thiên tính. Hãy tuân theo tự nhiên và đừng ép buộc thứ gì, nếu không chúng sẽ phản tác dụng, một cách tệ hại!
Năm vua 22: Là thời điểm bạn sắp xếp mọi thứ theo thứ tự, tạo nền tảng để xây dựng ước mơ của mình. Bài học của bạn sẽ bao gồm việc kiểm soát cái tôi và học cách vượt qua những trở ngại mà bạn không thể kiểm soát. Điều quan trọng là bạn phải tin tưởng người khác như một phần trong kế hoạch tổng thể của mình.</t>
  </si>
  <si>
    <t>Nhóm biểu đồ</t>
  </si>
  <si>
    <t>Biểu đồ 
ngày sinh</t>
  </si>
  <si>
    <t>Biểu đồ 
họ và tên</t>
  </si>
  <si>
    <t>Ý nghĩa chi tiết (hãy đọc những ô bạn có chữ "CÓ" tương ứng với cột biểu đồ ngày sinh hay biểu đồ họ và tên)</t>
  </si>
  <si>
    <t>SỰ KIÊN ĐỊNH</t>
  </si>
  <si>
    <r>
      <rPr>
        <b/>
        <sz val="11"/>
        <color theme="1"/>
        <rFont val="Arial"/>
        <family val="2"/>
      </rPr>
      <t>Biểu đồ ngày sinh có cả 3 số 1,5,9 hoặc họ và tên có cả các chữ cái A/J/S, E/N/W, I/R :</t>
    </r>
    <r>
      <rPr>
        <sz val="11"/>
        <color theme="1"/>
        <rFont val="Arial"/>
        <family val="2"/>
      </rPr>
      <t xml:space="preserve"> Chỉ sự kiên định, lòng quyết tâm, sự kiên trì, ý chí, động lực hoặc khả năng vượt qua nghịch cảnh.</t>
    </r>
  </si>
  <si>
    <r>
      <rPr>
        <b/>
        <sz val="11"/>
        <color theme="1"/>
        <rFont val="Arial"/>
        <family val="2"/>
      </rPr>
      <t>Biểu đồ ngày sinh thiếu cả 3 số 1,5,9 hoặc họ và tên thiếu cả các chữ cái A/J/S, E/N/W, I/R :</t>
    </r>
    <r>
      <rPr>
        <sz val="11"/>
        <color theme="1"/>
        <rFont val="Arial"/>
        <family val="2"/>
      </rPr>
      <t xml:space="preserve"> Chỉ tính hay trì hoãn: Thiếu động lực, thiếu quyết đoán, nhút nhát, thờ ơ và dễ đầu hàng.</t>
    </r>
  </si>
  <si>
    <t>SỰ TÂM LINH</t>
  </si>
  <si>
    <r>
      <rPr>
        <b/>
        <sz val="11"/>
        <color theme="1"/>
        <rFont val="Arial"/>
        <family val="2"/>
      </rPr>
      <t>Biểu đồ ngày sinh có cả 3 số 3,5,7 hoặc họ tên có cả các chữ cái C/L/U, E/N/W, G/P/Y:</t>
    </r>
    <r>
      <rPr>
        <sz val="11"/>
        <color theme="1"/>
        <rFont val="Arial"/>
        <family val="2"/>
      </rPr>
      <t xml:space="preserve"> Chỉ sự tâm linh: Lòng đồng cảm, thiên tính, niềm tin tâm linh mạnh mẽ và trực giác ẩn giấu.</t>
    </r>
  </si>
  <si>
    <r>
      <rPr>
        <b/>
        <sz val="11"/>
        <color theme="1"/>
        <rFont val="Arial"/>
        <family val="2"/>
      </rPr>
      <t>Biểu đồ ngày sinh thiếu cả 3 số 3,5,7 hoặc họ và tên thiếu cả các chữ cái C/L/U, E/N/W, G/P/Y:</t>
    </r>
    <r>
      <rPr>
        <sz val="11"/>
        <color theme="1"/>
        <rFont val="Arial"/>
        <family val="2"/>
      </rPr>
      <t xml:space="preserve"> Chỉ sự hoài nghi: Thiếu tinh thần tâm linh, ít nhận thức cảm xúc, luôn nghi ngờ.</t>
    </r>
  </si>
  <si>
    <t>TRÍ TUỆ</t>
  </si>
  <si>
    <r>
      <rPr>
        <b/>
        <sz val="11"/>
        <color theme="1"/>
        <rFont val="Arial"/>
        <family val="2"/>
      </rPr>
      <t>Biểu đồ ngày sinh có cả 3 số 3,6,9 hoặc họ tên có cả các chữ cái C/L/U, F/O/X, I/R:</t>
    </r>
    <r>
      <rPr>
        <sz val="11"/>
        <color theme="1"/>
        <rFont val="Arial"/>
        <family val="2"/>
      </rPr>
      <t xml:space="preserve"> Chỉ trí tuệ: Thông minh, logic, có trí nhớ đặc biệt, người nghiên cứu, giải quyết vấn đề.</t>
    </r>
  </si>
  <si>
    <r>
      <rPr>
        <b/>
        <sz val="11"/>
        <color theme="1"/>
        <rFont val="Arial"/>
        <family val="2"/>
      </rPr>
      <t xml:space="preserve">Biểu đồ ngày sinh thiếu 3 số 3,6,9 hoặc họ tên thiếu cả các chữ cái C/L/U, F/O/X, I/R: </t>
    </r>
    <r>
      <rPr>
        <sz val="11"/>
        <color theme="1"/>
        <rFont val="Arial"/>
        <family val="2"/>
      </rPr>
      <t>Chỉ điểm yếu về trí nhớ: Hay quên, kém tập trung, thiếu thông cảm, không quan tâm, trốn tránh trách nhiệm.</t>
    </r>
  </si>
  <si>
    <t>CÂN BẰNG 
CẢM XÚC</t>
  </si>
  <si>
    <r>
      <rPr>
        <b/>
        <sz val="11"/>
        <color theme="1"/>
        <rFont val="Arial"/>
        <family val="2"/>
      </rPr>
      <t>Biểu đồ ngày sinh có cả 3 số 2,5,8 hoặc họ tên có cả các chữ cái B/K/T, E/N/W, H/Q/Z:</t>
    </r>
    <r>
      <rPr>
        <sz val="11"/>
        <color theme="1"/>
        <rFont val="Arial"/>
        <family val="2"/>
      </rPr>
      <t xml:space="preserve"> Chỉ sự cân bằng: Cảm xúc bị khuếch đại, cảm thông, nghiêm túc.</t>
    </r>
  </si>
  <si>
    <r>
      <rPr>
        <b/>
        <sz val="11"/>
        <color theme="1"/>
        <rFont val="Arial"/>
        <family val="2"/>
      </rPr>
      <t xml:space="preserve">Biểu đồ ngày sinh thiếu cả 3 số 2,5,8 hoặc họ tên thiếu cả các chữ cái B/K/T, E/N/W, H/Q/Z: </t>
    </r>
    <r>
      <rPr>
        <sz val="11"/>
        <color theme="1"/>
        <rFont val="Arial"/>
        <family val="2"/>
      </rPr>
      <t>Chỉ sự siêu nhạy cảm: Nhạy cảm, cảm giác tự ti, sợ hãi, khao khát được chữa lành.</t>
    </r>
  </si>
  <si>
    <t>SỰ THỰC TIỄN</t>
  </si>
  <si>
    <r>
      <rPr>
        <b/>
        <sz val="11"/>
        <color theme="1"/>
        <rFont val="Arial"/>
        <family val="2"/>
      </rPr>
      <t>Biểu đồ ngày sinh có cả 3 số 1,4,7 hoặc họ tên có cả các chữ cái A/J/S, D/M/V, G/P/Y:</t>
    </r>
    <r>
      <rPr>
        <sz val="11"/>
        <color theme="1"/>
        <rFont val="Arial"/>
        <family val="2"/>
      </rPr>
      <t xml:space="preserve"> Chỉ sự thực tiễn: Âm nhạc, sáng tạo, các công việc tay chân, trách nhiệm tài chính.</t>
    </r>
  </si>
  <si>
    <r>
      <rPr>
        <b/>
        <sz val="11"/>
        <color theme="1"/>
        <rFont val="Arial"/>
        <family val="2"/>
      </rPr>
      <t>Biểu đồ ngày sinh thiếu cả 3 số 1,4,7 hoặc họ tên thiếu cả các chữ cái A/J/S, D/M/V, G/P/Y:</t>
    </r>
    <r>
      <rPr>
        <sz val="11"/>
        <color theme="1"/>
        <rFont val="Arial"/>
        <family val="2"/>
      </rPr>
      <t xml:space="preserve"> Chỉ sự thiếu thực tiễn: Mơ mộng, viển vông, chi tiêu quá mức, sức khỏe có vấn đề</t>
    </r>
  </si>
  <si>
    <t>TÍNH HAY LẬP
 KẾ HOẠCH</t>
  </si>
  <si>
    <r>
      <rPr>
        <b/>
        <sz val="11"/>
        <color theme="1"/>
        <rFont val="Arial"/>
        <family val="2"/>
      </rPr>
      <t>Biểu đồ ngày sinh có cả 3 số 1,2,3 hoặc họ tên có cả các chữ cái A/J/S, B/K/T, C/L/U:</t>
    </r>
    <r>
      <rPr>
        <sz val="11"/>
        <color theme="1"/>
        <rFont val="Arial"/>
        <family val="2"/>
      </rPr>
      <t xml:space="preserve"> Chỉ tính hay lập kế hoạch: Có tổ chức, kỷ luật, có kỹ năng, thành công.</t>
    </r>
  </si>
  <si>
    <r>
      <rPr>
        <b/>
        <sz val="11"/>
        <color theme="1"/>
        <rFont val="Arial"/>
        <family val="2"/>
      </rPr>
      <t>Biểu đồ ngày sinh thiếu cả 3 số 1,2,3 hoặc họ tên thiếu cả các chữ cái A/J/S, B/K/T, C/L/U:</t>
    </r>
    <r>
      <rPr>
        <sz val="11"/>
        <color theme="1"/>
        <rFont val="Arial"/>
        <family val="2"/>
      </rPr>
      <t xml:space="preserve"> Chỉ sự bối rối: Nhầm lẫn, bối rối, thiếu tổ chức, thiếu cam kết, hiểu lầm.</t>
    </r>
  </si>
  <si>
    <t>Ý CHÍ</t>
  </si>
  <si>
    <r>
      <rPr>
        <b/>
        <sz val="11"/>
        <color theme="1"/>
        <rFont val="Arial"/>
        <family val="2"/>
      </rPr>
      <t>Biểu đồ ngày sinh có cả 3 số 4,5,6 hoặc họ tên có cả các chữ cái D/M/V, E/N/W, F/O/X:</t>
    </r>
    <r>
      <rPr>
        <sz val="11"/>
        <color theme="1"/>
        <rFont val="Arial"/>
        <family val="2"/>
      </rPr>
      <t xml:space="preserve"> Thể hiện ý chí: Quyết đoán, ý chí mạnh, tập trung, kiên trì, vững vàng.</t>
    </r>
  </si>
  <si>
    <r>
      <rPr>
        <b/>
        <sz val="11"/>
        <color theme="1"/>
        <rFont val="Arial"/>
        <family val="2"/>
      </rPr>
      <t>Biểu đồ ngày sinh thiếu cả 3 số 4,5,6 hoặc họ tên thiếu cả các chữ cái D/M/V, E/N/W, F/O/X:</t>
    </r>
    <r>
      <rPr>
        <sz val="11"/>
        <color theme="1"/>
        <rFont val="Arial"/>
        <family val="2"/>
      </rPr>
      <t xml:space="preserve"> Chỉ sự thất bại: Thất vọng, thiếu quyết đoán, kháng cự sự thay đổi.</t>
    </r>
  </si>
  <si>
    <t>HOẠT ĐỘNG</t>
  </si>
  <si>
    <r>
      <rPr>
        <b/>
        <sz val="11"/>
        <color theme="1"/>
        <rFont val="Arial"/>
        <family val="2"/>
      </rPr>
      <t>Biểu đồ ngày sinh có cả 3 số 7,8,9 hoặc họ tên có cả các chữ cái G/P/Y, H/Q/Z, I/R:</t>
    </r>
    <r>
      <rPr>
        <sz val="11"/>
        <color theme="1"/>
        <rFont val="Arial"/>
        <family val="2"/>
      </rPr>
      <t xml:space="preserve"> Chỉ hoạt động: Sức chịu đựng, dẻo dai, năng lượng, hoạt động.</t>
    </r>
  </si>
  <si>
    <r>
      <rPr>
        <b/>
        <sz val="11"/>
        <color theme="1"/>
        <rFont val="Arial"/>
        <family val="2"/>
      </rPr>
      <t>Biểu đồ ngày sinh thiếu cả 3 số 7,8,9 hoặc họ tên thiếu cả các chữ cái G/P/Y, H/Q/Z, I/R::</t>
    </r>
    <r>
      <rPr>
        <sz val="11"/>
        <color theme="1"/>
        <rFont val="Arial"/>
        <family val="2"/>
      </rPr>
      <t xml:space="preserve"> Chỉ sự lưỡng lự: Chần chừ, lười biếng, thiếu niềm tin, vô tổ chức.</t>
    </r>
  </si>
  <si>
    <t>Bài học nghiệp</t>
  </si>
  <si>
    <t>Ý nghĩa chi tiết (hãy đọc những ô bạn có chữ "CÓ")</t>
  </si>
  <si>
    <r>
      <rPr>
        <b/>
        <sz val="11"/>
        <color theme="1"/>
        <rFont val="Arial"/>
        <family val="2"/>
      </rPr>
      <t>Thiếu A,J, hoặc S</t>
    </r>
    <r>
      <rPr>
        <sz val="11"/>
        <color theme="1"/>
        <rFont val="Arial"/>
        <family val="2"/>
      </rPr>
      <t>: Bạn sẽ học cách đứng lên bảo vệ chính mình và thúc đẩy bản thân. Bài học của bạn là tính độc lập và chủ động.</t>
    </r>
  </si>
  <si>
    <r>
      <rPr>
        <b/>
        <sz val="11"/>
        <color theme="1"/>
        <rFont val="Arial"/>
        <family val="2"/>
      </rPr>
      <t>Thiếu B,K hoặc T</t>
    </r>
    <r>
      <rPr>
        <sz val="11"/>
        <color theme="1"/>
        <rFont val="Arial"/>
        <family val="2"/>
      </rPr>
      <t>: Bạn sẽ học tính kiên nhẫn, tinh thần hợp tác và cần có sự khéo léo và khả năng ngoại giao tốt hơn. Bài học nghiệp của bạn sẽ là nhạy bén đối với cảm xúc của người khác và tinh thần hợp tác trong 1 đội.</t>
    </r>
  </si>
  <si>
    <r>
      <rPr>
        <b/>
        <sz val="11"/>
        <color theme="1"/>
        <rFont val="Arial"/>
        <family val="2"/>
      </rPr>
      <t>Thiếu C,L hoặc U:</t>
    </r>
    <r>
      <rPr>
        <sz val="11"/>
        <color theme="1"/>
        <rFont val="Arial"/>
        <family val="2"/>
      </rPr>
      <t xml:space="preserve">  Bài học này sẽ dạy bạn về giá trị của tình yêu bản thân và cách không quá nghiêm trọng hoặc tự phê bình bản thân. Bạn sẽ được thử nghiệm trong các lĩnh vực truyền thông và sáng tạo và học cách rèn luyện niềm vui và tinh thần lạc quan.</t>
    </r>
  </si>
  <si>
    <r>
      <rPr>
        <b/>
        <sz val="11"/>
        <color theme="1"/>
        <rFont val="Arial"/>
        <family val="2"/>
      </rPr>
      <t>Thiếu D,M hoặc V:</t>
    </r>
    <r>
      <rPr>
        <sz val="11"/>
        <color theme="1"/>
        <rFont val="Arial"/>
        <family val="2"/>
      </rPr>
      <t xml:space="preserve"> Nếu bạn thiếu 1 trong các chữ cái này, bạn sẽ gặp khó khăn để duy trì tính tổ chức. Bạn cần xây dựng nền tảng và học kỷ luật để tránh phân tán năng  lượng của mình. Sự trì hoãn là vấn đề bạn phải khắc phục.</t>
    </r>
  </si>
  <si>
    <r>
      <rPr>
        <b/>
        <sz val="11"/>
        <color theme="1"/>
        <rFont val="Arial"/>
        <family val="2"/>
      </rPr>
      <t>Thiếu E,N hoặc W:</t>
    </r>
    <r>
      <rPr>
        <sz val="11"/>
        <color theme="1"/>
        <rFont val="Arial"/>
        <family val="2"/>
      </rPr>
      <t xml:space="preserve"> Bạn sẽ học cách đón nhận thay đổi và trải nghiệm mới. Bài học của bạn là tìm kiếm 1 cuộc phiêu lưu trong cuộc sống và vượt qua nỗi sợ hãi bằng cách tin tưởng vào kế hoạch của vũ trụ.</t>
    </r>
  </si>
  <si>
    <r>
      <rPr>
        <b/>
        <sz val="11"/>
        <color theme="1"/>
        <rFont val="Arial"/>
        <family val="2"/>
      </rPr>
      <t>Thiếu F,O hoặc X</t>
    </r>
    <r>
      <rPr>
        <sz val="11"/>
        <color theme="1"/>
        <rFont val="Arial"/>
        <family val="2"/>
      </rPr>
      <t>: Bạn phải đối mặt với những vấn đề lớn liên quan đến tính cam kết và sự khó khăn trong thể hiện cảm xúc. Bạn né tránh 1 cách có trách nhiệm và phải nỗ lực trong việc xây dựng các mối quan hệ chân thành, dễ bị tổn thương. Có thể những vết sẹo gia đình cần được giải quyết hoặc tha thứ.</t>
    </r>
  </si>
  <si>
    <r>
      <rPr>
        <b/>
        <sz val="11"/>
        <color theme="1"/>
        <rFont val="Arial"/>
        <family val="2"/>
      </rPr>
      <t>Thiếu G,P hoặc Y:</t>
    </r>
    <r>
      <rPr>
        <sz val="11"/>
        <color theme="1"/>
        <rFont val="Arial"/>
        <family val="2"/>
      </rPr>
      <t xml:space="preserve"> Bạn phải học bài học về tính xác thực và tìm kiếm sự giác ngộ tâm linh. Bạn có thể gặp khó khăn với việc học tập và trường lớp. Hãy cố gắng duy trì để tích lũy kiến thức chuyên môn và hoàn thiện tài năng của bạn.</t>
    </r>
  </si>
  <si>
    <r>
      <rPr>
        <b/>
        <sz val="11"/>
        <color theme="1"/>
        <rFont val="Arial"/>
        <family val="2"/>
      </rPr>
      <t>Thiếu H, Q hoặc Z:</t>
    </r>
    <r>
      <rPr>
        <sz val="11"/>
        <color theme="1"/>
        <rFont val="Arial"/>
        <family val="2"/>
      </rPr>
      <t xml:space="preserve">  Bài học của bạn là về cách quản lý tiền, cả khi dư thừa và túng thiếu. Bạn sẽ học cách xử lý các nguồn lực của mình, nhượng bộ hơn các nhân vật có thẩm quyền và chấp nhận lời khuyên của người khác.</t>
    </r>
  </si>
  <si>
    <r>
      <rPr>
        <b/>
        <sz val="11"/>
        <color theme="1"/>
        <rFont val="Arial"/>
        <family val="2"/>
      </rPr>
      <t>Thiếu I hoặc R:</t>
    </r>
    <r>
      <rPr>
        <sz val="11"/>
        <color theme="1"/>
        <rFont val="Arial"/>
        <family val="2"/>
      </rPr>
      <t xml:space="preserve"> Bạn thiếu sự đồng cảm, tinh thần nhân đạo và sẽ học cách yêu thương, thấu hiểu và bao dung hơn. Bạn sẽ phải hi sinh tham vọng cá nhân vì lợi ích chung. Bạn sẽ hiểu được tầm quan trọng của cộng đồng và sự tha thứ.</t>
    </r>
  </si>
  <si>
    <t>Cường độ con số</t>
  </si>
  <si>
    <t>Ý nghĩa chi tiết (hãy xem mình có số lượng bao nhiêu số trong biểu đồ tên và xem diễn giải tương ứng bên cạnh)</t>
  </si>
  <si>
    <r>
      <t xml:space="preserve">1 đến 3 số 1: </t>
    </r>
    <r>
      <rPr>
        <sz val="11"/>
        <color theme="1"/>
        <rFont val="Arial"/>
        <family val="2"/>
      </rPr>
      <t>Quyết đoán và có động lực</t>
    </r>
  </si>
  <si>
    <r>
      <t xml:space="preserve">4 đến 5 số 1: </t>
    </r>
    <r>
      <rPr>
        <sz val="11"/>
        <color theme="1"/>
        <rFont val="Arial"/>
        <family val="2"/>
      </rPr>
      <t>Mạnh mẽ, độc lập, nổi bật trong đám đông</t>
    </r>
  </si>
  <si>
    <r>
      <t xml:space="preserve">6 số 1 trở lên: </t>
    </r>
    <r>
      <rPr>
        <sz val="11"/>
        <color theme="1"/>
        <rFont val="Arial"/>
        <family val="2"/>
      </rPr>
      <t>Hung hăng cạnh tranh,bướng bỉnh, hống hách, có thể hay bị đau đầu</t>
    </r>
  </si>
  <si>
    <r>
      <t xml:space="preserve">Không có số 1 nào: </t>
    </r>
    <r>
      <rPr>
        <sz val="11"/>
        <color theme="1"/>
        <rFont val="Arial"/>
        <family val="2"/>
      </rPr>
      <t>Thiếu tự tin và độc lập</t>
    </r>
  </si>
  <si>
    <r>
      <t xml:space="preserve">1 số 2: </t>
    </r>
    <r>
      <rPr>
        <sz val="11"/>
        <color theme="1"/>
        <rFont val="Arial"/>
        <family val="2"/>
      </rPr>
      <t>Chu đáo, sẵn sàng giúp đỡ, nhạy cảm</t>
    </r>
  </si>
  <si>
    <t>Có từ hơn 2 số 2: Khéo léo và chi tiết, có cảm nhận tốt về nhịp điệu và thời gian, gắn kết mọi người</t>
  </si>
  <si>
    <r>
      <t xml:space="preserve">Càng nhiều số 2: </t>
    </r>
    <r>
      <rPr>
        <sz val="11"/>
        <color theme="1"/>
        <rFont val="Arial"/>
        <family val="2"/>
      </rPr>
      <t>Càng nhạy cảm</t>
    </r>
  </si>
  <si>
    <r>
      <t xml:space="preserve">Không có số 2 nào: </t>
    </r>
    <r>
      <rPr>
        <sz val="11"/>
        <color theme="1"/>
        <rFont val="Arial"/>
        <family val="2"/>
      </rPr>
      <t>Thiếu kiên nhẫn, thiếu chu đáo</t>
    </r>
  </si>
  <si>
    <r>
      <t xml:space="preserve">1 đến 2 số 3: </t>
    </r>
    <r>
      <rPr>
        <sz val="11"/>
        <color theme="1"/>
        <rFont val="Arial"/>
        <family val="2"/>
      </rPr>
      <t>Dễ dàng thể hiện bản thân và cảm xúc của mình, đồng thời mang đến cho bạn khả năng tạo tiếng cười</t>
    </r>
  </si>
  <si>
    <r>
      <t xml:space="preserve">Nhiều hơn 3 số 3: </t>
    </r>
    <r>
      <rPr>
        <sz val="11"/>
        <color theme="1"/>
        <rFont val="Arial"/>
        <family val="2"/>
      </rPr>
      <t xml:space="preserve"> Tự cao, thiên về nghệ thuật, có năng khiếu ngôn từ, đôi khi hay suy nghĩ tản mạn, khó khăn trong duy trì sự tập trung</t>
    </r>
  </si>
  <si>
    <r>
      <t xml:space="preserve">Không có số 3 nào: </t>
    </r>
    <r>
      <rPr>
        <sz val="11"/>
        <color theme="1"/>
        <rFont val="Arial"/>
        <family val="2"/>
      </rPr>
      <t>Khó khăn trong việc giao tiếp và thể hiện bản thân</t>
    </r>
  </si>
  <si>
    <r>
      <t xml:space="preserve">1 đến 2 số 4: </t>
    </r>
    <r>
      <rPr>
        <sz val="11"/>
        <color theme="1"/>
        <rFont val="Arial"/>
        <family val="2"/>
      </rPr>
      <t xml:space="preserve">Tính thực tế và khả năng nhìn thấu mọi thứ </t>
    </r>
  </si>
  <si>
    <r>
      <t xml:space="preserve">3 đến 5 số 4:  </t>
    </r>
    <r>
      <rPr>
        <sz val="11"/>
        <color theme="1"/>
        <rFont val="Arial"/>
        <family val="2"/>
      </rPr>
      <t>Kỹ năng độc nhất để xây dựng những giá trị có tác động và lâu dài</t>
    </r>
  </si>
  <si>
    <r>
      <t xml:space="preserve">Nhiều hơn 5 số 4: </t>
    </r>
    <r>
      <rPr>
        <sz val="11"/>
        <color theme="1"/>
        <rFont val="Arial"/>
        <family val="2"/>
      </rPr>
      <t>Bạn có tính kiể soát, cứng rắn, bướng bỉnh và tham công tiếc việc</t>
    </r>
  </si>
  <si>
    <r>
      <t xml:space="preserve">Không có số 4 nào: </t>
    </r>
    <r>
      <rPr>
        <sz val="11"/>
        <color theme="1"/>
        <rFont val="Arial"/>
        <family val="2"/>
      </rPr>
      <t>Vật lộn để duy trì tổ chức và tuân thủ, bạn cũng khó tập trung</t>
    </r>
  </si>
  <si>
    <t>Sự tháo vát và khả năng thích ứng, có thêm số 5 tức là tăng cường năng lượng của con số này</t>
  </si>
  <si>
    <r>
      <t xml:space="preserve">1 hoặc không có số 5 nào: </t>
    </r>
    <r>
      <rPr>
        <sz val="11"/>
        <color theme="1"/>
        <rFont val="Arial"/>
        <family val="2"/>
      </rPr>
      <t>Khó thích nghi với hoàn cảnh sống và không thích sự thay đổi và đám đông, khiến bạn trở nên tự cô lập</t>
    </r>
  </si>
  <si>
    <r>
      <t xml:space="preserve">1 đến 2 số 6: </t>
    </r>
    <r>
      <rPr>
        <sz val="11"/>
        <color theme="1"/>
        <rFont val="Arial"/>
        <family val="2"/>
      </rPr>
      <t>Bạn sẽ không gặp khó khăn khi chịu trách nhiệm về các vấn đề nội bộ và gia đình cũng như tìm kiếm sự cân bằng trong cuộc sống</t>
    </r>
  </si>
  <si>
    <r>
      <t xml:space="preserve">3 đến 4 số 6:  </t>
    </r>
    <r>
      <rPr>
        <sz val="11"/>
        <color theme="1"/>
        <rFont val="Arial"/>
        <family val="2"/>
      </rPr>
      <t>Quan điểm cá nhân mạnh mẽ, tính cách áp đảo và đòi hỏi cao</t>
    </r>
  </si>
  <si>
    <r>
      <t xml:space="preserve">Nhiều hơn 5 số 6: </t>
    </r>
    <r>
      <rPr>
        <sz val="11"/>
        <color theme="1"/>
        <rFont val="Arial"/>
        <family val="2"/>
      </rPr>
      <t>Phải vật lộn quá nhiều với trách nhiệm gánh vác, bạn có thể thấy mình bị coi nhẹ hay bị lợi dụng</t>
    </r>
  </si>
  <si>
    <r>
      <t xml:space="preserve">Không có số 6 nào: </t>
    </r>
    <r>
      <rPr>
        <sz val="11"/>
        <color theme="1"/>
        <rFont val="Arial"/>
        <family val="2"/>
      </rPr>
      <t>Thiếu trách nhiệm, duy tâm và có những kỳ vọng không thực tế</t>
    </r>
  </si>
  <si>
    <r>
      <t xml:space="preserve">1 số 7: </t>
    </r>
    <r>
      <rPr>
        <sz val="11"/>
        <color theme="1"/>
        <rFont val="Arial"/>
        <family val="2"/>
      </rPr>
      <t>Tò mò, trực giác mạnh</t>
    </r>
  </si>
  <si>
    <r>
      <t xml:space="preserve">Nhiều hơn 2 số 7: </t>
    </r>
    <r>
      <rPr>
        <sz val="11"/>
        <color theme="1"/>
        <rFont val="Arial"/>
        <family val="2"/>
      </rPr>
      <t xml:space="preserve"> Không thích thể hiện cảm xúc, đầu óc máy móc và tỏ ra bí ẩn riêng tư</t>
    </r>
  </si>
  <si>
    <r>
      <t xml:space="preserve">Không có số 7 nào: </t>
    </r>
    <r>
      <rPr>
        <sz val="11"/>
        <color theme="1"/>
        <rFont val="Arial"/>
        <family val="2"/>
      </rPr>
      <t>Cởi mở, không nghi ngờ, hoang tưởng nghĩa là bạn bốc đồng, thiếu tinh thần trong cuộc sống</t>
    </r>
  </si>
  <si>
    <r>
      <t xml:space="preserve">1 đến 2 số 8: </t>
    </r>
    <r>
      <rPr>
        <sz val="11"/>
        <color theme="1"/>
        <rFont val="Arial"/>
        <family val="2"/>
      </rPr>
      <t>Có năng lực và có thể chịu trách nhiệm khi cần thiết</t>
    </r>
  </si>
  <si>
    <r>
      <t xml:space="preserve">Nhiều hơn 2 số 8:  </t>
    </r>
    <r>
      <rPr>
        <sz val="11"/>
        <color theme="1"/>
        <rFont val="Arial"/>
        <family val="2"/>
      </rPr>
      <t>Giúp bạn hiểu rõ tiền nhưng cũng vì vậy bạn quá coi trọng đồng tiền trong cuộc sống của mình</t>
    </r>
  </si>
  <si>
    <r>
      <t xml:space="preserve">Không có số 8 nào: </t>
    </r>
    <r>
      <rPr>
        <sz val="11"/>
        <color theme="1"/>
        <rFont val="Arial"/>
        <family val="2"/>
      </rPr>
      <t>Thận trọng với nguồn lực của mình và bài học của bạn liên quan đến tiền bạc và quyền lực</t>
    </r>
  </si>
  <si>
    <r>
      <t xml:space="preserve">1 số 9: </t>
    </r>
    <r>
      <rPr>
        <sz val="11"/>
        <color theme="1"/>
        <rFont val="Arial"/>
        <family val="2"/>
      </rPr>
      <t>Không ý thức nhiều về cảm xúc của người khác</t>
    </r>
  </si>
  <si>
    <r>
      <t xml:space="preserve">2 hoặc 3 số 9: </t>
    </r>
    <r>
      <rPr>
        <sz val="11"/>
        <color theme="1"/>
        <rFont val="Arial"/>
        <family val="2"/>
      </rPr>
      <t xml:space="preserve"> Bạn hiểu biết, tài năng sáng tạo và cách tiếp cận nhân văn với cuộc sống</t>
    </r>
  </si>
  <si>
    <r>
      <t xml:space="preserve">Không có số 9 nào: </t>
    </r>
    <r>
      <rPr>
        <sz val="11"/>
        <color theme="1"/>
        <rFont val="Arial"/>
        <family val="2"/>
      </rPr>
      <t>Tự thu mình, bạn sẽ được thử thách bằng những bài học về lòng khoan dung và vị tha</t>
    </r>
  </si>
  <si>
    <t>BẠN &amp; NGƯỜI KHÁC</t>
  </si>
  <si>
    <t>Chỉ số 
căng thẳng tâm hồn</t>
  </si>
  <si>
    <t>Ý nghĩa chi tiết (hãy đọc ô được tô màu riêng, 
đây là chỉ số căng thẳng của bạn và người khác nên cần nhập họ và tên và giữ lại nguyên âm của họ ở sheet chung)</t>
  </si>
  <si>
    <t>Mối quan hệ này đòi hỏi sự độc lập để duy trì và phát triển. Bạn sẽ cần đặt bạn bè và sở thích cá nhân của mình ra ngoài mối quan hệ này. 
Hãy tôn trọng nhu cầu về thời gian và không gian riêng và các bạn sẽ thoải mái hơn khi ở bên nhau! Hãy nhận biết và cẩn trọng với những suy nghĩ ích kỷ và sự tranh giành quyền lực. Cả 2 bạn phải cảm thấy mình có quyền và trách nhiệm như nhau. 
Cân bằng quyền lực và hướng tới hỗ trợ, thay vì cạnh tranh với nhau.</t>
  </si>
  <si>
    <t>Bạn tạo nên một đội tuyệt vời, mặc dù phải đảm bảo rằng bạn không nhượng bộ quá nhiều và trở nên bực bội. 
Bạn là người cực kỳ nhạy cảm và biết rõ nhu cầu mong muốn của đối phương. 
Năng lượng này không thích tranh chấp, vì vậy hãy hạn chế mâu thuẫn. Không có nhiều tranh cãi, mối quan hệ này mang lại cảm giác thoải mái và dễ chịu.</t>
  </si>
  <si>
    <t>Cởi mở, trung thực là điều hữu ích với mối quan hệ này. Những bí mật hay thiếu sót sẽ vô cùng tai hại. 
Cố gắng quan tâm tới cảm xúc của người kia. Không sử dụng những điều đã xảy ra hoặc những lời nói trong quá khứ để chống lại đối phương. 
Hãy luôn ghi nhận những gì mà đối phương làm cho bạn và thể hiện sự trân trọng. Cặp đôi này thích những buổi tụ tập vui chơi, họ thích cười và vui vẻ cùng nhau.</t>
  </si>
  <si>
    <t>Mối quan hệ này có thể đi cùng rất nhiều quy tắc. Các bạn tốt hơn nên có những ranh giới và cả 2 cùng cần nỗ lực để linh hoạt hơn. 
Mối quan hệ này có thể giống như tất cả các công việc kinh doanh, đều cần nỗ lực về tâm trí. 
Đôi khi hãy cố gắng cùng nhau vui vẻ 1 cách tự nhiên. Nỗ lực cùng nhau hướng tới 1 mục tiêu chung có thể là điểm hài lòng của cặp đôi này.</t>
  </si>
  <si>
    <t>Đây là một mối quan hệ đặc biệt và độc nhất. Các bạn có thể có những sở thích, thú vui hoặc trải nghiệm rất  khác nhau. 
Thay đổi thường xuyên và liên tục sẽ là 1 chủ đề phổ biến ở đây. Kiểm tra thường xuyên để đảm bảo 2 bạn đang thống nhất với nhau về những kỳ vọng và sự tự do. Tránh những tình huống kịch tính giả dối chỉ để thỏa mãn nhu cầu chia sẻ sự phấn khích của bạn. 
Tính trung thực của mối quan hệ này phụ thuộc vào việc tôn trọng ranh giới và thiết lập sự tin cậy lẫn nhau.</t>
  </si>
  <si>
    <t>Chủ nghĩa hoàn hảo và những kỳ vọng theo hướng lý tưởng hoặc phi thực tế đối với đối phương có thể gây ra những vấn đề lớn trong mối quan hệ này. 
Bạn sẽ phải vừa đấu tranh với việc chịu trách nhiệm vừa phải tránh tự cho mình là đúng. Bạn có thể cảm thấy gia đình cố xen vào mối quan hệ của bạn. 
Hãy bình tĩnh, lùi lại 1 chút và trao đổi thẳng thắn về các vấn đề nảy sinh, vì những cảm xúc chưa được giải quyết có thể dẫn đến hậu quả rất nguy hiểm.</t>
  </si>
  <si>
    <t>Nền tảng tinh thần là điều cần thiết đối với mối quan hệ này. 
Bạn sẽ phải luôn cố gắng để có được cuộc trò chuyện sâu sắc, tôn trọng và có ý nghĩa. Không nói những chuyện tào lao và vô nghĩa. 
Ưu tiên thời gian ở 1 mình và cố gắng tránh phân tích quá nhiều điều nhỏ nhặt trong mối quan hệ. Các bạn cũng cần kiểm soát sự ghen tuông.</t>
  </si>
  <si>
    <t>Hai bạn phải luôn tôn trọng lẫn nhau, nếu không đây có thể trở thành mối quan hệ ''ăn miếng trả miếng'' rất cạnh tranh. 
Những cuộc tranh giành quyền lực có thể trở nên hủy diệt nếu không được kiểm soát. Nếu lựa chọn trao quyền và hỗ trợ lẫn nhau bạn có thể tránh được những tranh chấp nhỏ nhặt,nếu không, các vấn đề tương tự về tiền bạc, quyền lực và kiểm soát sẽ lặp lại. 
Tiền bạc và vật chất sẽ là trọng tâm của cặp đôi này.</t>
  </si>
  <si>
    <t>Khi các số  các bạn khớp với nhau, bạn đang trong mối quan hệ: ''Tất cả hoặc không có gì''. Số 0 khuếch đại mọi thứ, vì vậy đây là mối quan hệ rất kịch tính hoặc không gì cả. 
Có nhiều tiềm năng cho mối quan hệ cá nhân, tâm linh đầy năng động phát triển. Bí quyết là luôn lưu tâm và ý thức được nhu cầu của đối phương.</t>
  </si>
  <si>
    <t>Xác nhận Quyền sử dụng file:</t>
  </si>
  <si>
    <t>TRAN</t>
  </si>
  <si>
    <t>Số điểm</t>
  </si>
  <si>
    <t>TỔNG ĐIỂM</t>
  </si>
  <si>
    <t>KẾT QUẢ: BẠN LÀ NHÀ ĐẦU TƯ CÓ MỨC ĐỘ CHẤP NHẬN RỦI RO LÀ:</t>
  </si>
  <si>
    <t>Câu 1</t>
  </si>
  <si>
    <t>Câu 2</t>
  </si>
  <si>
    <t>Câu 3</t>
  </si>
  <si>
    <t>Câu 4</t>
  </si>
  <si>
    <t>Câu 5</t>
  </si>
  <si>
    <t>Câu 6</t>
  </si>
  <si>
    <t>Tỉ suất lợi nhuận
trung bình năm từ khi thành lập đến thời điểm gần nhất</t>
  </si>
  <si>
    <t>Bảng Khảo Sát Nhu Cầu Chăm Sóc Sức Khỏe Gia Đình</t>
  </si>
  <si>
    <t>1. Lần gần nhất anh chị hoặc người thân phải nằm viện là khi nào?</t>
  </si>
  <si>
    <t>2. Chi phí đợt điều trị (nếu có) gần nhất nằm trong mức nào?</t>
  </si>
  <si>
    <t>3. Bệnh viện công hay bệnh viện tư thường được anh chị ưu tiên hơn nếu phải nằm viện?</t>
  </si>
  <si>
    <t>4. Gia đình anh chị có mấy con nhỏ dưới 15 tuổi?</t>
  </si>
  <si>
    <t>5. Gia đình anh chị chỉ có BHYT Nhà nước hay có cả thẻ sức khỏe rời?</t>
  </si>
  <si>
    <t>6. Anh chị quan tâm đến nhu cầu nào của thẻ sức khỏe?</t>
  </si>
  <si>
    <t>8. Mức tiền sẵn sàng chi trả cho mỗi thẻ sức khỏe của anh chị?</t>
  </si>
  <si>
    <t>9. Nếu như điều kiện để mua thẻ sức khỏe là kèm bảo hiểm nhân thọ thì anh chị sẵn sàng 
1 giải pháp tổng thể bao nhiêu mỗi năm?</t>
  </si>
  <si>
    <t>10. Anh chị tự tin sức khỏe của mình ở mức nào nếu mua thẻ sức khỏe?</t>
  </si>
  <si>
    <t>Xem Giá Quỹ ILP</t>
  </si>
  <si>
    <t>Xem chỉ số Vnindex</t>
  </si>
  <si>
    <t>Chi phí thực tế</t>
  </si>
  <si>
    <t>Thận Trọng</t>
  </si>
  <si>
    <t>Vui lòng chọn duy nhất một trường hợp trong tất cả các mục A, B, C, D, E, F, G, H và I của phần khảo sát mức độ chấp nhận rủi ro trong đầu tư:</t>
  </si>
  <si>
    <t>A. Độ tuổi</t>
  </si>
  <si>
    <t>Trên 50 tuổi</t>
  </si>
  <si>
    <t>Từ trên 40 đến 50 tuổi</t>
  </si>
  <si>
    <t>Từ 30 tuổi đến 40 tuổi</t>
  </si>
  <si>
    <t>Dưới 30 tuổi</t>
  </si>
  <si>
    <t>B. Học vấn (đã tốt nghiệp)</t>
  </si>
  <si>
    <t>Dưới Trung học cơ sở</t>
  </si>
  <si>
    <t>Trung học phổ thông/Cơ sở</t>
  </si>
  <si>
    <t>Đại học/Cao đẳng hoặc trên Đại học</t>
  </si>
  <si>
    <t>C. Kinh nghiệm/ kiến thức đầu tư</t>
  </si>
  <si>
    <t>Không có/chưa có bất kỳ kinh nghiệm/kiến thức đầu tư</t>
  </si>
  <si>
    <t>Hạn chế - có rất ít kinh nghiệm/kiến thức đầu tư</t>
  </si>
  <si>
    <t>Trung bình - có một ít kinh nghiệm/kiến thức đầu tư nhưng cần hỗ trợ thêm</t>
  </si>
  <si>
    <t>Chuyên sâu - là nhà đầu tư có kinh nghiệm/kiến thức và hoạt động có hiệu quả</t>
  </si>
  <si>
    <t>D. Dự định đầu tư khoản tiền này trong bao lâu</t>
  </si>
  <si>
    <t>Dưới 5 năm</t>
  </si>
  <si>
    <t>Khoảng từ 5 đến 10 năm</t>
  </si>
  <si>
    <t>E. Mức độ chấp nhận rủi ro</t>
  </si>
  <si>
    <t>Không muốn nhận bất kỳ rủi ro nào</t>
  </si>
  <si>
    <t>Sẵn sàng chấp nhận một ít rủi ro để có khả năng sinh lợi</t>
  </si>
  <si>
    <t>Sẵn sàng chấp nhận rủi ro cao hơn để có khả năng sinh lợi cao hơn</t>
  </si>
  <si>
    <t>Sẵn sàng chấp nhận mọi rủi ro của thị trường để đạt khả năng sinh lợi cao nhất</t>
  </si>
  <si>
    <t>F. Sử dụng thu nhập từ đầu tư để trang trải cho nhu cầu thiết yếu</t>
  </si>
  <si>
    <t>Sử dụng phần lớn khoản tiền từ đầu tư để trang trải nhu cầu thiết yếu</t>
  </si>
  <si>
    <t>Sử dụng khoản tiền vừa phải từ đầu tư để trang trải nhu cầu thiết yếu</t>
  </si>
  <si>
    <t>Sử dụng khoản tiền nhỏ từ đầu tư để trang trải nhu cầu thiết yếu</t>
  </si>
  <si>
    <t>Không sử dụng thu nhập từ đầu tư để trang trải nhu cầu thiết yếu</t>
  </si>
  <si>
    <t>G. Khoản tiền cần rút từ đầu tư nếu trường hợp khẩn cấp xảy ra</t>
  </si>
  <si>
    <t>Cần rút phần lớn khoản tiền từ đầu tư vì không có khoản dự phòng nào khác</t>
  </si>
  <si>
    <t>Câu 7</t>
  </si>
  <si>
    <t>Cần rút một khoản tiền vừa phải</t>
  </si>
  <si>
    <t>Có khả năng rút một khoản tiền nhỏ</t>
  </si>
  <si>
    <t>H. Khả năng điều chỉnh các chi phí hàng ngày hoặc tăng thu nhập</t>
  </si>
  <si>
    <t>Câu 8</t>
  </si>
  <si>
    <t>Không thể điều chỉnh các chi phí hàng ngày hoặc tăng thu nhập</t>
  </si>
  <si>
    <t>Khó có thể giảm bớt chi phí hàng ngày hoặc tăng thu nhập</t>
  </si>
  <si>
    <t>Có thể giảm bớt chi phí hàng ngày hoặc tăng thu nhập ở mức độ vừa phải</t>
  </si>
  <si>
    <t>Có thể giảm bớt chi phí hàng ngày hoặc tăng thu nhập</t>
  </si>
  <si>
    <t>I. Chọn trường hợp có danh mục đầu tư phù hợp</t>
  </si>
  <si>
    <t>Câu 9</t>
  </si>
  <si>
    <t>Trường hợp 1: Lợi nhuận hàng năm thấp nhất 0%, Lợi nhuận hàng năm cao nhất 9%</t>
  </si>
  <si>
    <t>Trường hợp 2: Lợi nhuận hàng năm thấp nhất -5.5%, Lợi nhuận hàng năm cao nhất 25%</t>
  </si>
  <si>
    <t>Trường hợp 3: Lợi nhuận hàng năm thấp nhất -35%, Lợi nhuận hàng năm cao nhất 40%</t>
  </si>
  <si>
    <t>Trường hợp 4: Lợi nhuận hàng năm thấp nhất -50%, Lợi nhuận hàng năm cao nhất 125%</t>
  </si>
  <si>
    <t>Trên 10 năm</t>
  </si>
  <si>
    <t>Rất thận trọng</t>
  </si>
  <si>
    <t>Thận trọng</t>
  </si>
  <si>
    <t>Trung bình</t>
  </si>
  <si>
    <t>Cao</t>
  </si>
  <si>
    <t>Rất cao</t>
  </si>
  <si>
    <t>Quỹ Thận trọng hoặc kết hợp giữa Quỹ thận trọng và quỹ Cân bằng</t>
  </si>
  <si>
    <t>Quỹ Thận trọng và Quỹ Cân Bằng</t>
  </si>
  <si>
    <t>Quỹ Cân Bằng</t>
  </si>
  <si>
    <t>Quỹ Cân bằng và Quỹ Tăng trưởng</t>
  </si>
  <si>
    <t>Quỹ Tăng trưởng</t>
  </si>
  <si>
    <t>Quy định tham gia vào các Quỹ: Phải có tham gia Quỹ Thận trọng hoặc kết hợp giữa Quỹ Thận trọng và Quỹ Cân bằng và không được tham gia Quỹ Tăng trưởng khi khách hàng thuộc các nhóm sau: Rất thận trọng, Khách hàng chưa tốt nghiệp trung học cơ sở, Khách hàng trên 60 tuổi, Không có/chưa có bất kỳ kinh nghiệm/kiến thức đầu tư.</t>
  </si>
  <si>
    <t>Họ và tên (gõ từng chữ không dấu vào từng ô):</t>
  </si>
  <si>
    <t>Min</t>
  </si>
  <si>
    <t>Max</t>
  </si>
  <si>
    <t>T</t>
  </si>
  <si>
    <t>Bảo hiểm Tử vong và thương tật do tai nạn</t>
  </si>
  <si>
    <t>Bảo hiểm Hỗ trợ chi phí nằm viện</t>
  </si>
  <si>
    <t>Cơ bản</t>
  </si>
  <si>
    <t>Nâng cao</t>
  </si>
  <si>
    <t>Việt Nam</t>
  </si>
  <si>
    <t>Toàn cầu</t>
  </si>
  <si>
    <t>Ngoại trú</t>
  </si>
  <si>
    <t>Toàn diện</t>
  </si>
  <si>
    <t>Hoàn hảo</t>
  </si>
  <si>
    <t>Toàn diện: 25 triệu, Hoàn hảo: 25 triệu, Năm 1: 50%, Năm 2: 80%, Năm 3: 100%</t>
  </si>
  <si>
    <t>Quyền lợi tử vong, tàn tật hoặc bỏng do tai nạn tối đa</t>
  </si>
  <si>
    <t>Quyền lợi tàn tật toàn bộ tạm thời do tai nạn theo tỉ lệ % của:</t>
  </si>
  <si>
    <t>Quyền lợi bồi thường gấp đôi khi tử vong trong trường hợp đặc biệt</t>
  </si>
  <si>
    <t>Hạn mức</t>
  </si>
  <si>
    <t>Phòng giường</t>
  </si>
  <si>
    <t>Phòng chăm sóc đặc biệt</t>
  </si>
  <si>
    <t>Giường dành cho người thân</t>
  </si>
  <si>
    <t>Phẫu thuật</t>
  </si>
  <si>
    <t>Điều trị trước khi nhập viện</t>
  </si>
  <si>
    <t>Điều trị sau khi nhập viện</t>
  </si>
  <si>
    <t>Chi phí y tế nội trú khác</t>
  </si>
  <si>
    <t>Dịch vụ chăm sóc y tế tại nhà</t>
  </si>
  <si>
    <t>Cho người được phép ghép tạng (NĐBH)</t>
  </si>
  <si>
    <t>Cho người hiến tạng (không phải là NĐBH)</t>
  </si>
  <si>
    <t>50% chi phí phẫu thuật</t>
  </si>
  <si>
    <t>Phẫu thuật thủ thuật trong ngày</t>
  </si>
  <si>
    <t>Điều trị trong ngày cho Viêm phế quản, sốt xuất huyết, cúm, viêm phổi</t>
  </si>
  <si>
    <t>Lọc máu</t>
  </si>
  <si>
    <t>Điều trị ung thư</t>
  </si>
  <si>
    <t>Điều trị cấp cứu do tai nạn hoặc bệnh</t>
  </si>
  <si>
    <t>Vận chuyển cấp cứu do tai nạn hoặc bệnh</t>
  </si>
  <si>
    <t>Giới hạn mỗi năm HĐ</t>
  </si>
  <si>
    <t>Khám thai (tối đa 8 lần/ năm)</t>
  </si>
  <si>
    <t>Phòng và giường (tối đa 100 ngày/ năm)</t>
  </si>
  <si>
    <t>Sinh thường hoặc sinh mổ theo chỉ định của bác sĩ</t>
  </si>
  <si>
    <t>Biến chứng thai sản</t>
  </si>
  <si>
    <t>Chăm sóc trẻ sơ sinh trong vòng 7 ngày sau khi sinh</t>
  </si>
  <si>
    <t>Quyền lợi thai sản cho nữ giới tối đa mỗi năm HĐ</t>
  </si>
  <si>
    <t>Khám bệnh, xét nghiệm, chẩn đoán hình ảnh, thuốc theo toa, vật lý trị liệu</t>
  </si>
  <si>
    <t>Tư vấn điều trị sức khỏe tâm thần</t>
  </si>
  <si>
    <t>Không áp dụng</t>
  </si>
  <si>
    <t>Quyền lợi ngoại trú giới hạn mỗi năm hợp đồng</t>
  </si>
  <si>
    <t>Đỗ Thị X</t>
  </si>
  <si>
    <t>Phí rủi ro KH cơ bản</t>
  </si>
  <si>
    <t>Ngày chạy BMH/ ký HĐ</t>
  </si>
  <si>
    <t>Age</t>
  </si>
  <si>
    <t>Men</t>
  </si>
  <si>
    <t>Women</t>
  </si>
  <si>
    <t>Năm HĐ</t>
  </si>
  <si>
    <t>Tháng</t>
  </si>
  <si>
    <t>Phần chịu phí rủi ro ở lãi cam kết</t>
  </si>
  <si>
    <t>Phí QLHĐ</t>
  </si>
  <si>
    <t>Phí rủi ro tháng 
ở lãi cam kết</t>
  </si>
  <si>
    <t>Thưởng ở lãi cam kết</t>
  </si>
  <si>
    <t>GTTK cuối tháng
ở lãi cam kết</t>
  </si>
  <si>
    <t>Ngày sinh</t>
  </si>
  <si>
    <t>STBH</t>
  </si>
  <si>
    <t>Tuổi bắt đầu HĐ</t>
  </si>
  <si>
    <t>Ngày đủ năm sinh nhật đầu tiên</t>
  </si>
  <si>
    <t>Đơn vị: 000đ</t>
  </si>
  <si>
    <t>6-10</t>
  </si>
  <si>
    <t>11+</t>
  </si>
  <si>
    <t>Phí QL HĐ</t>
  </si>
  <si>
    <t>Phí rủi ro hàng tháng</t>
  </si>
  <si>
    <t>GTTK cơ bản cuối tháng</t>
  </si>
  <si>
    <t>Quyền lợi thưởng</t>
  </si>
  <si>
    <t>Tổng GTTK 
cuối tháng</t>
  </si>
  <si>
    <t>CHÚ Ý KIỂM TRA LẠI PHẦN TÍNH PHÍ XEM ĐÚNG TUỔI, GIỚI TÍNH, QUYỀN LỢI!</t>
  </si>
  <si>
    <t>Quyền lợi tử vong/ TTTBVV</t>
  </si>
  <si>
    <t>Vững Tương Lai</t>
  </si>
  <si>
    <t>Tổng phí bảo hiểm sản phẩm BHNT</t>
  </si>
  <si>
    <t>Phí sản phẩm BHNT đem đi đầu tư</t>
  </si>
  <si>
    <t>Phí bảo hiểm sản phẩm BHBK</t>
  </si>
  <si>
    <t>Quyền lợi minh họa tại mức lãi suất cam kết</t>
  </si>
  <si>
    <t>Thưởng duy
trì đóng phí</t>
  </si>
  <si>
    <t>GTTK cơ
bản</t>
  </si>
  <si>
    <t>GTTK đóng thêm</t>
  </si>
  <si>
    <t>GTTK hợp
đồng</t>
  </si>
  <si>
    <t>Quyền lợi TTTB&amp;VV
(trước 75 tuổi)/ Tử vong</t>
  </si>
  <si>
    <t>Giá trị hoàn
lại của hợp đồng</t>
  </si>
  <si>
    <t>11-15</t>
  </si>
  <si>
    <t>16+</t>
  </si>
  <si>
    <t>BẢNG CHI TIẾT THEO THÁNG SẢN PHẨM VỮNG TƯƠNG LAI Ở LÃI SUẤT CAM KẾT</t>
  </si>
  <si>
    <t>BẢNG CHI TIẾT THEO THÁNG SẢN PHẨM VỮNG TƯƠNG LAI Ở LÃI SUẤT MINH HỌA</t>
  </si>
  <si>
    <t>Phí rủi ro tháng 
ở LS minh họa</t>
  </si>
  <si>
    <t>Phần chịu phí rủi ro ở  LS minh họa</t>
  </si>
  <si>
    <t>Thưởng ở  LS minh họa</t>
  </si>
  <si>
    <t>GTTK cuối tháng
ở  LS minh họa</t>
  </si>
  <si>
    <t>BẢNG CHI TIẾT THEO THÁNG SẢN PHẨM KHỎE BÌNH AN Ở LÃI SUẤT CAM KẾT</t>
  </si>
  <si>
    <t>KHỎE BÌNH AN</t>
  </si>
  <si>
    <t>Đơn vị: 000 đ</t>
  </si>
  <si>
    <t>BẢNG CHI TIẾT THEO THÁNG SẢN PHẨM KHỎE BÌNH AN Ở LÃI SUẤT MINH HỌA</t>
  </si>
  <si>
    <t>Tên Quyền lợi (Chọn 1 SPC)</t>
  </si>
  <si>
    <t>Bảo hiểm Toàn diện Bệnh hiểm nghèo 2.0</t>
  </si>
  <si>
    <t>`</t>
  </si>
  <si>
    <r>
      <rPr>
        <sz val="11"/>
        <rFont val="Times New Roman"/>
        <family val="1"/>
      </rPr>
      <t>Tuổi</t>
    </r>
  </si>
  <si>
    <r>
      <rPr>
        <sz val="11"/>
        <rFont val="Times New Roman"/>
        <family val="1"/>
      </rPr>
      <t>Nam</t>
    </r>
  </si>
  <si>
    <r>
      <rPr>
        <sz val="11"/>
        <rFont val="Times New Roman"/>
        <family val="1"/>
      </rPr>
      <t>Nữ</t>
    </r>
  </si>
  <si>
    <t>Nha khoa</t>
  </si>
  <si>
    <t>Bảo hiểm tử kỳ gia hạn hàng năm</t>
  </si>
  <si>
    <t>Hạn mức năm: Cơ bản: 1 triệu, Nâng cao: 2 triệu, Toàn diện: 5 triệu, Hoàn hảo: 10 triệu</t>
  </si>
  <si>
    <t>Bảo hiểm Miễn thu phí - phiên bản 3.0</t>
  </si>
  <si>
    <t>Toàn Diện</t>
  </si>
  <si>
    <t>Phí ban đầu</t>
  </si>
  <si>
    <t>Phí Quản lý HĐ</t>
  </si>
  <si>
    <t>Phí bảo hiểm cơ bản</t>
  </si>
  <si>
    <t>Phí bảo hiểm đóng thêm</t>
  </si>
  <si>
    <t>Tổng phí bảo hiểm</t>
  </si>
  <si>
    <t>Tổng phí ban đầu</t>
  </si>
  <si>
    <t>Phí bảo hiểm cơ bản sau khi khấu trừ phí ban đầu</t>
  </si>
  <si>
    <t>Phí bảo hiểm đóng thêm sau khi khấu trừ phí ban đầu</t>
  </si>
  <si>
    <t>Tổng phí bảo hiểm đem đi đầu tư</t>
  </si>
  <si>
    <t>MINH HỌA PHÂN BỔ PHÍ VỮNG TƯƠNG LAI</t>
  </si>
  <si>
    <t>Phí SP bảo hiểm nhân thọ</t>
  </si>
  <si>
    <t>Phí BH Sản phẩm BHBK</t>
  </si>
  <si>
    <t>Phí BH sản phẩm BHNT đem đi đầu tư</t>
  </si>
  <si>
    <t>Phí bảo hiểm rủi ro sản phẩm BHNT</t>
  </si>
  <si>
    <t>Mức lãi suất cam kết</t>
  </si>
  <si>
    <t>Mức lãi suất 4.7%</t>
  </si>
  <si>
    <t>MINH HỌA PHÂN BỔ PHÍ KHỎE BÌNH AN</t>
  </si>
  <si>
    <t>Phí sản phẩm chính</t>
  </si>
  <si>
    <t>Video HDSD:</t>
  </si>
  <si>
    <t>CHÚ Ý: CHỈ NHẬP SỐ VÀO Ô MÀU VÀNG</t>
  </si>
  <si>
    <t>Số năm muốn bảo vệ thu nhập (thường 10-20 năm)</t>
  </si>
  <si>
    <t>Lãi suất tiền gửi hàng năm</t>
  </si>
  <si>
    <t>Năm 
nghỉ hưu</t>
  </si>
  <si>
    <t>Số tiền hưu trí cần từng năm(dựa vào lạm phát)</t>
  </si>
  <si>
    <t>Nhờ công cụ tiết kiệm nên chỉ cần hưu trí</t>
  </si>
  <si>
    <t>Khoản tiết kiệm có được đến bắt đầu nghỉ hưu</t>
  </si>
  <si>
    <t>Thời gian nghỉ hưu (Ví dụ: 20 năm…)</t>
  </si>
  <si>
    <t>Số tiền sinh hoạt hàng tháng khi nghỉ hưu  (thời giá hiện nay)</t>
  </si>
  <si>
    <t>Lãi suất hàng năm (tùy chọn tiền gửi, chứng khoán…)</t>
  </si>
  <si>
    <t>Khoản tiết kiệm/đầu tư 
hiện có</t>
  </si>
  <si>
    <t>Mục tiêu tiết kiệm/ đầu tư</t>
  </si>
  <si>
    <t>Khoản tiết kiệm/ đầu tư hiện có</t>
  </si>
  <si>
    <t>Khoảng thời gian tiết kiệm/ đầu tư (năm)</t>
  </si>
  <si>
    <t>Quỹ dự phòng khi không may tai nạn</t>
  </si>
  <si>
    <t>Link Canva ACE có thể sửa tại đây:</t>
  </si>
  <si>
    <t>https://www.canva.com/design/DAG2AGJB90c/cYj0FXOAxcazeTw6XLGZJA/view?utm_content=DAG2AGJB90c&amp;utm_campaign=designshare&amp;utm_medium=link&amp;utm_source=publishsharelink&amp;mode=preview</t>
  </si>
  <si>
    <t>7. 3 điều ưu tiên nhất khiến anh chị quan tâm đến thẻ sức khỏe ngoài BHYT?</t>
  </si>
  <si>
    <t>Không</t>
  </si>
  <si>
    <t>Tổng phí hàng năm dự kiến</t>
  </si>
  <si>
    <t>Số tiền bảo hiểm sản phẩm chính</t>
  </si>
  <si>
    <t>Quyền lợi bảo hiểm TTTBVV do ung thư tuyến giáp</t>
  </si>
  <si>
    <t>Nằm viện ở bệnh viện tuyến trung ương, tuyến tỉnh; hoặc
- nằm ở bệnh viện tuyến huyện nơi có đăng ký Bảo hiểm y tế (BHYT); hoặc
- nằm ở bệnh viện tuyến huyện để điều trị thương tích do tai nạn</t>
  </si>
  <si>
    <t>Nằm viện ở bệnh viện tuyến huyện nơi không có đăng ký Bảo hiểm y tế (BHYT) hoặc không điều trị thương tích do tai nạn</t>
  </si>
  <si>
    <t>Trợ cấp khi nằm tại khoa săn sóc đặc biệt Tối đa là 25 ngày cho cùng một lần nằm viện</t>
  </si>
  <si>
    <t>Quyền lợi Bệnh hiểm nghèo giai đoạn sớm</t>
  </si>
  <si>
    <t>Quyền lợi Bệnh hiểm nghèo giai đoạn giữa</t>
  </si>
  <si>
    <t>Quyền lợi Bệnh hiểm nghèo giai đoạn nghiêm trọng</t>
  </si>
  <si>
    <t>Quyền lợi Bệnh hiểm nghèo của trẻ em</t>
  </si>
  <si>
    <t>Quyền lợi Bệnh hiểm nghèo dành cho người lớn tuổi</t>
  </si>
  <si>
    <t>Hạn mức mỗi năm
(nhân đôi bảo vệ bệnh viện công áp dụng khi đã chi trả hết trong năm)</t>
  </si>
  <si>
    <t>Quyền lợi nha khoa</t>
  </si>
  <si>
    <t>Số tiền bảo hiểm mỗi năm hợp đồng</t>
  </si>
  <si>
    <t>Phí khám, tư vấn, xét nghiệm
và chẩn đoán
• Chẩn đoán hình ảnh theo chỉ định (X-quang)
• Cạo vôi răng (tối đa 2 lần/ năm)
• Viêm nướu, viêm nha chu,
• Trám răng (amalgam, composite, gic hoặc các vật liệu tương tự khác)
• Nhổ răng, điều trị tủy răng,
• Cắt u mô cứng của răng, cắt cuống răng
• Bọc răng (loại trừ implant)</t>
  </si>
  <si>
    <t>Bảng Tính Biểu Phí UL &amp; SP đính kèm</t>
  </si>
  <si>
    <t>https://youtu.be/Vc3PZKKPQNQ</t>
  </si>
  <si>
    <t>Nâng Cao</t>
  </si>
  <si>
    <t>Hoàn Hảo</t>
  </si>
  <si>
    <t>Bảo hiểm chăm sóc sức khỏe Trọn đời - Nội Trú (Chọn phạm vi bảo lãnh)</t>
  </si>
  <si>
    <t>Hạn mức năm: Cơ bản: 150 triệu, Nâng cao: 350 triệu, Toàn diện: 700 triệu, Hoàn hảo: 1.2 tỷ</t>
  </si>
  <si>
    <t>Hạn mức năm: Cơ bản: 6 triệu, Nâng cao: 12 triệu, Toàn diện: 24 triệu, Hoàn hảo: 48 triệu</t>
  </si>
  <si>
    <t>Bảo hiểm chăm sóc sức khỏe Trọn đời - Ngoại Trú</t>
  </si>
  <si>
    <t>Bảo hiểm chăm sóc sức khỏe Trọn đời - Nha khoa</t>
  </si>
  <si>
    <t>Bảo hiểm chăm sóc sức khỏe trọn đời - Thai sản</t>
  </si>
  <si>
    <t>Bảo hiểm chăm sóc sức khỏe Trọn đời - Nội Trú</t>
  </si>
  <si>
    <t>Phòng chăm sóc đặc biệt (tối đa 30 ngày/ năm)</t>
  </si>
  <si>
    <t>Phòng, giường bệnh (tối đa 100 ngày/ năm)</t>
  </si>
  <si>
    <t>Giường dành cho người thân (tối đa 30 ngày/năm).Chỉ áp dụng cho 1 người thân lưu lại cùng NĐBH dưới 18 tuổi hoặc NĐBH từ 60 tuổi trở lên</t>
  </si>
  <si>
    <t>Hỗ trợ chi phí nằm viện khi sử dụng bảo hiểm y tế (tối đa 30 ngày/năm)</t>
  </si>
  <si>
    <t>Phẫu thuật (tối đa 30 ngày trước khi nhập viện; 02 lần khám/Đợt điều trị)</t>
  </si>
  <si>
    <t>Điều trị trước khi nhập viện (tối đa 60 ngày sau khi xuất viện)</t>
  </si>
  <si>
    <t>Dịch vụ chăm sóc y tế tại nhà (tối đa 30 ngày/ năm)</t>
  </si>
  <si>
    <t>Điều trị trong ngày cho Viêm phế quản; Sốt xuất huyết; Cúm; Viêm phổi (tối đa 3 lần điều trị/ năm)</t>
  </si>
  <si>
    <t>Điều trị giảm nhẹ</t>
  </si>
  <si>
    <t>Khỏe Trọn Vẹn - Toàn Diện</t>
  </si>
  <si>
    <t>Khỏe Trọn Vẹn - Bền Vững</t>
  </si>
  <si>
    <t>KHỎE TRỌN VẸN - TOÀN DIỆN</t>
  </si>
  <si>
    <t>Cam kết</t>
  </si>
  <si>
    <t>Cam kết tháng</t>
  </si>
  <si>
    <t>Minh họa</t>
  </si>
  <si>
    <t>Quyền lợi thưởng duy trì hợp đồng</t>
  </si>
  <si>
    <t>BẢNG CHI TIẾT THEO THÁNG SẢN PHẨM KHỎE TRỌN VẸN TOÀN DIỆN Ở LÃI SUẤT CAM KẾT</t>
  </si>
  <si>
    <t>BẢNG CHI TIẾT THEO THÁNG SẢN PHẨM KHỎE TRỌN VẸN TOÀN DIỆN Ở LÃI SUẤT MINH HỌA</t>
  </si>
  <si>
    <t>KHỎE TRỌN VẸN -  BỀN VỮNG</t>
  </si>
  <si>
    <t>BẢNG CHI TIẾT THEO THÁNG SẢN PHẨM KHỎE TRỌN VẸN BỀN VỮNG Ở LÃI SUẤT CAM KẾT</t>
  </si>
  <si>
    <t>KHỎE TRỌN VẸN - BỀN VỮNG</t>
  </si>
  <si>
    <t>BẢNG CHI TIẾT THEO THÁNG SẢN PHẨM KHỎE TRỌN VẸN BỀN VỮNG Ở LÃI SUẤT MINH HỌA</t>
  </si>
  <si>
    <t>MINH HỌA PHÂN BỔ PHÍ KHỎE TRỌN VẸN TOÀN DIỆN</t>
  </si>
  <si>
    <t>Phí BHRR</t>
  </si>
  <si>
    <t>Mức lãi suất minh họa</t>
  </si>
  <si>
    <t>MINH HỌA PHÂN BỔ PHÍ KHỎE TRỌN VẸN BỀN VỮNG</t>
  </si>
  <si>
    <t>CHU Ý! CHỈ NHẬP/ CHỌN THÔNG TIN Ô MÀU VÀNG</t>
  </si>
  <si>
    <t>Khỏe Trọn Vẹn - Trọn Đời</t>
  </si>
  <si>
    <t>KHỎE TRỌN VẸN - TRỌN ĐỜI</t>
  </si>
  <si>
    <t>BẢNG CHI TIẾT THEO THÁNG SẢN PHẨM KHỎE TRỌN VẸN TRỌN ĐỜI Ở LÃI SUẤT CAM KẾT</t>
  </si>
  <si>
    <t>BẢNG CHI TIẾT THEO THÁNG SẢN PHẨM KHỎE TRỌN VẸN TRỌN ĐỜI Ở LÃI SUẤT MINH HỌA</t>
  </si>
  <si>
    <t>MINH HỌA PHÂN BỔ PHÍ KHỎE TRỌN VẸN - TRỌN ĐỜI</t>
  </si>
  <si>
    <t>Giá trị hoàn lại ở lãi suất cam kết ở năm 20</t>
  </si>
  <si>
    <t>Tư vấn tài chính</t>
  </si>
  <si>
    <t>Mã số tư vấn viên</t>
  </si>
  <si>
    <t>Số điện thoại</t>
  </si>
  <si>
    <t>Email</t>
  </si>
  <si>
    <t>Có phải là ưu tiên hiện nay?</t>
  </si>
  <si>
    <t>Tiết kiệm hàng tháng cho giáo dục (dự định)</t>
  </si>
  <si>
    <t>Tổng số tiền tiết kiệm hiện tại cho giáo dục đã có</t>
  </si>
  <si>
    <t>Số năm học đại học (nhập tối đa là 8)</t>
  </si>
  <si>
    <t>Lạm phát giáo dục (thường 6-8%/ năm)</t>
  </si>
  <si>
    <t>Giới tính:</t>
  </si>
  <si>
    <t>Thời hạn BH max (năm)</t>
  </si>
  <si>
    <t>Tổng phí đóng năm đầu tiên dành cho cả gia đình</t>
  </si>
  <si>
    <t>Tổng phí đóng năm đầu tiên dành cho NĐBH chính</t>
  </si>
  <si>
    <t>Tổng phí đóng năm đầu tiên dành cho NĐBH đính kèm 1</t>
  </si>
  <si>
    <t>Tổng phí đóng năm đầu tiên dành cho NĐBH đính kèm 2</t>
  </si>
  <si>
    <t>Tổng phí đóng năm đầu tiên dành cho NĐBH đính kèm 3</t>
  </si>
  <si>
    <t>2.2. NĐBH ĐÍNH KÈM 2</t>
  </si>
  <si>
    <t>PHẦN 2. NGƯỜI ĐƯỢC BẢO HIỂM ĐÍNH KÈM - 2.1. NĐBH ĐÍNH KÈM 1</t>
  </si>
  <si>
    <t>2.3. NĐBH ĐÍNH KÈM 3 - TRẺ EM</t>
  </si>
  <si>
    <r>
      <t xml:space="preserve">Bản quyền thuộc về Huy Trần MDRT 
Liên hệ mua file: </t>
    </r>
    <r>
      <rPr>
        <b/>
        <i/>
        <sz val="12"/>
        <color theme="0"/>
        <rFont val="Calibri"/>
        <family val="2"/>
        <scheme val="minor"/>
      </rPr>
      <t>09 8118 8866</t>
    </r>
  </si>
  <si>
    <t>Năm đóng phí</t>
  </si>
  <si>
    <t>Tổng số phí đóng năm đầu tiên:</t>
  </si>
  <si>
    <t>Tổng số tiền sản phẩm chính dự kiến</t>
  </si>
  <si>
    <t>TIẾT KIỆM LÀ MỘT NGHỆ THUẬT LỚN HƠN CẢ VỆC KIẾM TIỀN - NGẠN NGỮ ĐỨC</t>
  </si>
  <si>
    <t>VAN</t>
  </si>
  <si>
    <t>HUY</t>
  </si>
  <si>
    <t>Số phí BH</t>
  </si>
  <si>
    <t>Số phí Max</t>
  </si>
  <si>
    <t>Số phí Min</t>
  </si>
  <si>
    <t>B1. Nhập STBH</t>
  </si>
  <si>
    <t>Sau khi sửa xong lưu ảnh, xóa ảnh của Huy và copy paste ảnh của ACE vào, xóa tất cả những dòng bên này, lưu ảnh lại tại 1 folder sau này nhận các bản cập nhật thì copy paste ảnh lại.</t>
  </si>
  <si>
    <t>Khách hàng</t>
  </si>
  <si>
    <t>Quyền lợi minh họa tại mức lãi suất minh họa (đang mặc định để ở 4.6%, chỉ cần thay đổi thành 3% hoặc % bất kỳ!)</t>
  </si>
  <si>
    <t>Khỏe Trọn Vẹn - Tối ưu</t>
  </si>
  <si>
    <t>KHỎE TRỌN VẸN -  TỐI ƯU</t>
  </si>
  <si>
    <t>GTTK cuối năm</t>
  </si>
  <si>
    <t>KHỎE TRỌN VẸN - TỐI ƯU</t>
  </si>
  <si>
    <t>BẢNG CHI TIẾT THEO THÁNG SẢN PHẨM KHỎE TRỌN VẸN TỐI ƯU Ở LÃI SUẤT CAM KẾT</t>
  </si>
  <si>
    <t>Tổng phí sản phẩm đính kèm lũy kế hàng năm</t>
  </si>
  <si>
    <t>Phí sản phẩm đính kèm hàng năm</t>
  </si>
  <si>
    <t>Phí sản phẩm đính kèm lũy kế hàng năm</t>
  </si>
  <si>
    <t>Tổng số tiền sản phẩm đính kèm dự kiến</t>
  </si>
  <si>
    <t>Tổng số tiền sản phẩm chính &amp; SP đính kèm dự kiến theo số năm đóng phí SPC</t>
  </si>
  <si>
    <t>Giá trị hoàn lại ở lãi suất minh họa 4.6%/ năm ở năm 20</t>
  </si>
  <si>
    <t>Giá trị hoàn lại ở lãi suất cam kết ở năm 15</t>
  </si>
  <si>
    <t>Giá trị hoàn lại ở lãi suất minh họa 4.6%/ năm ở năm 15</t>
  </si>
  <si>
    <t>Giá trị hoàn lại</t>
  </si>
  <si>
    <t>Tiết kiệm hàng tháng cho giáo dục</t>
  </si>
  <si>
    <t>Tổng số tiền tiết kiệm hiện tại cho giáo dục</t>
  </si>
  <si>
    <t>Thời gian học đại học</t>
  </si>
  <si>
    <t>Lạm phát giáo dục</t>
  </si>
  <si>
    <t>Lãi suất hàng năm</t>
  </si>
  <si>
    <t>Thời gian nghỉ hưu</t>
  </si>
  <si>
    <t>Số tiền sinh hoạt hàng tháng khi nghỉ hưu</t>
  </si>
  <si>
    <t>Tỷ suất sinh lời hàng năm</t>
  </si>
  <si>
    <t>Mục tiêu tiết kiệm</t>
  </si>
  <si>
    <t>Khoảng thời gian tiết kiệm (năm)</t>
  </si>
  <si>
    <t xml:space="preserve"> </t>
  </si>
  <si>
    <t>QUY TẮC 50/30/20 TRONG TÀI CHÍNH CÁ NHÂN của Elizabeth Warren &amp; Amelia Warren Tyagi</t>
  </si>
  <si>
    <t>50: Chi tối đa 50% thu nhập ròng cho các nhu cầu thiết yếu</t>
  </si>
  <si>
    <t>30: Chi tối đa 30% thu nhập ròng cho các nhu cầu không thiết yếu</t>
  </si>
  <si>
    <t>20: Dành tối thiểu 20% thu nhập ròng cho đầu tư và/hoặc trả nợ</t>
  </si>
  <si>
    <t>THU NHẬP RÒNG BÌNH QUÂN/THÁNG</t>
  </si>
  <si>
    <t>A. NHU CẦU THIẾT YẾU</t>
  </si>
  <si>
    <t>B. CÁC CHI PHÍ KHÁC (KHÔNG THIẾT YẾU)</t>
  </si>
  <si>
    <t>C. TIẾT KIỆM(ĐẦU TƯ)/ TRẢ NỢ</t>
  </si>
  <si>
    <t>STT</t>
  </si>
  <si>
    <t>MỤC</t>
  </si>
  <si>
    <t>SỐ TIỀN/THÁNG</t>
  </si>
  <si>
    <t>Thuê nhà/ Trả góp nhà</t>
  </si>
  <si>
    <t>Giao tế xã hội (ma chay hiếu hỉ)</t>
  </si>
  <si>
    <t>Trả nợ</t>
  </si>
  <si>
    <t>Gas</t>
  </si>
  <si>
    <t>Du lịch</t>
  </si>
  <si>
    <t>Tiết kiệm/đầu tư</t>
  </si>
  <si>
    <t>Nước</t>
  </si>
  <si>
    <t>Quần áo xa xỉ</t>
  </si>
  <si>
    <t>Khác</t>
  </si>
  <si>
    <t>Điện</t>
  </si>
  <si>
    <t>Các loại thuê bao (TV, Internet, Netflix…)</t>
  </si>
  <si>
    <t>TỔNG CỘNG</t>
  </si>
  <si>
    <t>Xăng dầu</t>
  </si>
  <si>
    <t>% TIẾT KIỆM(ĐẦU TƯ) HOẶC TRẢ NỢ/ THU NHẬP RÒNG</t>
  </si>
  <si>
    <t>Thuê bao điện thoại</t>
  </si>
  <si>
    <t>Bảo hiểm xe hơi</t>
  </si>
  <si>
    <t>% NHU CẦU KHÔNG THIẾT YẾU/
 THU NHẬP RÒNG</t>
  </si>
  <si>
    <t>Bảo hiểm y tế</t>
  </si>
  <si>
    <t>Bảo hiểm nhân thọ</t>
  </si>
  <si>
    <t>Nhu yếu phẩm cần thiết</t>
  </si>
  <si>
    <t>TỔNG HỢP</t>
  </si>
  <si>
    <t>Quần áo cần thiết</t>
  </si>
  <si>
    <t>Giáo dục</t>
  </si>
  <si>
    <t>Nhu cầu</t>
  </si>
  <si>
    <t>Quy tắc</t>
  </si>
  <si>
    <t>Bạn đang phân bổ</t>
  </si>
  <si>
    <t>Nhận xét chung</t>
  </si>
  <si>
    <t>Y tế</t>
  </si>
  <si>
    <t>Phụng dưỡng cha mẹ</t>
  </si>
  <si>
    <t>Nhu cầu thiết yếu</t>
  </si>
  <si>
    <t>Khác (chỉ những chi phí bắt buộc)</t>
  </si>
  <si>
    <t>Nhu cầu không thiết yếu</t>
  </si>
  <si>
    <t>% NHU CẦU THIẾT YẾU/ THU NHẬP RÒNG</t>
  </si>
  <si>
    <t>THU NHẬP KHẢ DỤNG</t>
  </si>
  <si>
    <t>Trả nợ/ tiết kiệm/ đầu tư</t>
  </si>
  <si>
    <t>DỰ ĐỊNH CHO MỤC TIÊU ƯU TIÊN MỖI THÁNG</t>
  </si>
  <si>
    <t>DỰ ĐỊNH CHO MỤC TIÊU ƯU TIÊN MỖI NĂM</t>
  </si>
  <si>
    <t>NĂM HÒA VỐN - VỊ TRÍ GIAO CẮT GIỮA ĐƯỜNG PHÍ SẢN PHẨM CHÍNH &amp; ĐƯỜNG GIÁ TRỊ HOÀN LẠI</t>
  </si>
  <si>
    <t>Năm đóng phí dự kiến</t>
  </si>
  <si>
    <t>Số phí sản phẩm chính lũy kế</t>
  </si>
  <si>
    <t>Giá trị hoàn lại LS cam kết</t>
  </si>
  <si>
    <t>Giá trị hoàn lại LS minh họa</t>
  </si>
  <si>
    <t>Chọn Thời hạn DP</t>
  </si>
  <si>
    <t>Quyền lợi bảo hiểm TTTBVV do ung thư tuyến giáp giai đoạn sớm:</t>
  </si>
  <si>
    <t xml:space="preserve">Quyền lợi bảo hiểm TTTBVV do ung thư tuyến giáp giai đoạn nghiêm trọng: </t>
  </si>
  <si>
    <t>Nhận số lớn hơn của STBH và GTTK HĐ – Quyền lợi bảo hiểm TTTBVV do UT TG GĐS đã chi trả (nếu có)</t>
  </si>
  <si>
    <t>Quyền lợi bảo hiểm TTTBVV không do ung thư tuyến giáp</t>
  </si>
  <si>
    <t xml:space="preserve"> Nhận số lớn hơn của STBH &amp; GTTK HĐ</t>
  </si>
  <si>
    <t>Nhận số lớn hơn của STBH &amp; GTTK HĐ</t>
  </si>
  <si>
    <t>1.2. Tử vong</t>
  </si>
  <si>
    <t>TTTBVV trước khi đạt 75 tuổi hoặc từ ngày đạt 75 tuổi cho đến trước Ngày kỷ niệm hợp đồng kế tiếp</t>
  </si>
  <si>
    <t>Khỏe Bình An</t>
  </si>
  <si>
    <t>Ngày chạy bảng minh họa (đang mặc định là hiện tại, có thể thay đổi để xem lại GTTK BMH cũ):</t>
  </si>
  <si>
    <t>Ngày tháng năm sinh theo CCCD (tặng báo cáo thần số học):</t>
  </si>
  <si>
    <t>Tuổi:</t>
  </si>
  <si>
    <t>Số điện thoại (Kết bạn Zalo gửi files):</t>
  </si>
  <si>
    <t>Về AIA Việt Nam</t>
  </si>
  <si>
    <t>AIA Việt Nam là thành viên của Tập đoàn AIA - tập đoàn bảo hiểm nhân thọ độc lập, có nguồn gốc châu Á lớn nhất thế giới được niêm yết.
Được thành lập vào năm 2000 với mục tiêu bảo vệ sự phồn thịnh và an toàn tài chính cho người dân Việt Nam, AIA Việt Nam hiện đang là một trong những công ty bảo hiểm nhân thọ hàng đầu và là thương hiệu được khách hàng và công chúng tin cậy.</t>
  </si>
  <si>
    <t>200+</t>
  </si>
  <si>
    <t>Văn phòng trên toàn quốc</t>
  </si>
  <si>
    <t>03</t>
  </si>
  <si>
    <t>Ngân hàng đối tác</t>
  </si>
  <si>
    <t>1.6 Triệu</t>
  </si>
  <si>
    <t>Khách hàng được bảo vệ</t>
  </si>
  <si>
    <t>Số 1 thế giới về số lượng thành viên MDRT</t>
  </si>
  <si>
    <t>0981984554</t>
  </si>
  <si>
    <t>quangha1659@gmail.com</t>
  </si>
  <si>
    <t>101012337</t>
  </si>
  <si>
    <t>Phạm Quang Hà</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</si>
</sst>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8" formatCode="#,##0.00\ &quot;VND&quot;;[Red]\-#,##0.00\ &quot;VND&quot;"/>
    <numFmt numFmtId="42" formatCode="_-* #,##0\ &quot;VND&quot;_-;\-* #,##0\ &quot;VND&quot;_-;_-* &quot;-&quot;\ &quot;VND&quot;_-;_-@_-"/>
    <numFmt numFmtId="41" formatCode="_-* #,##0_-;\-* #,##0_-;_-* &quot;-&quot;_-;_-@_-"/>
    <numFmt numFmtId="43" formatCode="_-* #,##0.00_-;\-* #,##0.00_-;_-* &quot;-&quot;??_-;_-@_-"/>
    <numFmt numFmtId="164" formatCode="_-* #,##0\ _V_N_D_-;\-* #,##0\ _V_N_D_-;_-* &quot;-&quot;\ _V_N_D_-;_-@_-"/>
    <numFmt numFmtId="165" formatCode="_-* #,##0_-;\-* #,##0_-;_-* &quot;-&quot;??_-;_-@_-"/>
    <numFmt numFmtId="166" formatCode="&quot;VND&quot;#,##0.00_);[Red]\(&quot;VND&quot;#,##0.00\)"/>
    <numFmt numFmtId="167" formatCode="_(* #,##0.00_);_(* \(#,##0.00\);_(* &quot;-&quot;??_);_(@_)"/>
    <numFmt numFmtId="168" formatCode="0.000%"/>
    <numFmt numFmtId="169" formatCode="0.0"/>
    <numFmt numFmtId="170" formatCode="0.0%"/>
    <numFmt numFmtId="171" formatCode="_(* #,##0_);_(* \(#,##0\);_(* &quot;-&quot;_);_(@_)"/>
    <numFmt numFmtId="172" formatCode="_(* #,##0_);_(* \(#,##0\);_(* &quot;-&quot;??_);_(@_)"/>
    <numFmt numFmtId="173" formatCode="_-* #,##0.00_-;\-* #,##0.00_-;_-* &quot;-&quot;_-;_-@_-"/>
    <numFmt numFmtId="174" formatCode="_-* #,##0.00\ _V_N_D_-;\-* #,##0.00\ _V_N_D_-;_-* &quot;-&quot;??\ _V_N_D_-;_-@_-"/>
    <numFmt numFmtId="175" formatCode="0.000"/>
    <numFmt numFmtId="176" formatCode="_-* #,##0.0000_-;\-* #,##0.0000_-;_-* &quot;-&quot;_-;_-@_-"/>
  </numFmts>
  <fonts count="255">
    <font>
      <sz val="10"/>
      <color rgb="FF000000"/>
      <name val="Times New Roman"/>
      <charset val="204"/>
    </font>
    <font>
      <sz val="11"/>
      <color theme="1"/>
      <name val="Calibri"/>
      <family val="2"/>
    </font>
    <font>
      <sz val="11"/>
      <color theme="1"/>
      <name val="Calibri"/>
      <family val="2"/>
    </font>
    <font>
      <sz val="11"/>
      <color theme="1"/>
      <name val="Calibri"/>
      <family val="2"/>
    </font>
    <font>
      <sz val="11"/>
      <color theme="1"/>
      <name val="Calibri"/>
      <family val="2"/>
    </font>
    <font>
      <sz val="11"/>
      <color theme="1"/>
      <name val="Calibri"/>
      <family val="2"/>
    </font>
    <font>
      <sz val="11"/>
      <color theme="1"/>
      <name val="Calibri"/>
      <family val="2"/>
    </font>
    <font>
      <sz val="11"/>
      <color theme="1"/>
      <name val="Calibri"/>
      <family val="2"/>
    </font>
    <font>
      <sz val="11"/>
      <color theme="1"/>
      <name val="Calibri"/>
      <family val="2"/>
    </font>
    <font>
      <sz val="11"/>
      <color theme="1"/>
      <name val="Calibri"/>
      <family val="2"/>
    </font>
    <font>
      <sz val="11"/>
      <color theme="1"/>
      <name val="Calibri"/>
      <family val="2"/>
    </font>
    <font>
      <sz val="11"/>
      <color theme="1"/>
      <name val="Calibri"/>
      <family val="2"/>
    </font>
    <font>
      <sz val="11"/>
      <color theme="1"/>
      <name val="Calibri"/>
      <family val="2"/>
    </font>
    <font>
      <sz val="11"/>
      <color theme="1"/>
      <name val="Calibri"/>
      <family val="2"/>
    </font>
    <font>
      <sz val="11"/>
      <color theme="1"/>
      <name val="Calibri"/>
      <family val="2"/>
    </font>
    <font>
      <sz val="10"/>
      <color rgb="FF000000"/>
      <name val="Times New Roman"/>
      <family val="1"/>
    </font>
    <font>
      <sz val="10"/>
      <color rgb="FF000000"/>
      <name val="Calibri"/>
      <family val="2"/>
      <scheme val="minor"/>
    </font>
    <font>
      <sz val="11"/>
      <color theme="0"/>
      <name val="Calibri"/>
      <family val="2"/>
      <scheme val="minor"/>
    </font>
    <font>
      <b/>
      <sz val="12"/>
      <color theme="0"/>
      <name val="Calibri"/>
      <family val="2"/>
      <scheme val="minor"/>
    </font>
    <font>
      <sz val="10"/>
      <color rgb="FF000000"/>
      <name val="Times New Roman"/>
      <family val="1"/>
    </font>
    <font>
      <i/>
      <sz val="11"/>
      <color theme="0"/>
      <name val="Calibri"/>
      <family val="2"/>
      <scheme val="minor"/>
    </font>
    <font>
      <sz val="12"/>
      <color rgb="FF000000"/>
      <name val="Calibri"/>
      <family val="2"/>
      <scheme val="minor"/>
    </font>
    <font>
      <sz val="12"/>
      <color theme="0"/>
      <name val="Calibri"/>
      <family val="2"/>
      <scheme val="minor"/>
    </font>
    <font>
      <b/>
      <sz val="12"/>
      <color rgb="FF000000"/>
      <name val="Calibri"/>
      <family val="2"/>
      <scheme val="minor"/>
    </font>
    <font>
      <b/>
      <sz val="12"/>
      <name val="Calibri"/>
      <family val="2"/>
      <scheme val="minor"/>
    </font>
    <font>
      <b/>
      <sz val="14"/>
      <color theme="0"/>
      <name val="Calibri"/>
      <family val="2"/>
      <scheme val="minor"/>
    </font>
    <font>
      <sz val="12"/>
      <name val="Calibri"/>
      <family val="2"/>
      <scheme val="minor"/>
    </font>
    <font>
      <b/>
      <sz val="12"/>
      <color theme="1"/>
      <name val="Calibri"/>
      <family val="2"/>
      <scheme val="minor"/>
    </font>
    <font>
      <i/>
      <sz val="12"/>
      <color theme="0"/>
      <name val="Calibri"/>
      <family val="2"/>
      <scheme val="minor"/>
    </font>
    <font>
      <b/>
      <i/>
      <sz val="12"/>
      <color theme="0"/>
      <name val="Calibri"/>
      <family val="2"/>
      <scheme val="minor"/>
    </font>
    <font>
      <sz val="11"/>
      <color rgb="FF000000"/>
      <name val="Calibri"/>
      <family val="2"/>
      <scheme val="minor"/>
    </font>
    <font>
      <i/>
      <sz val="11"/>
      <color rgb="FF000000"/>
      <name val="Calibri"/>
      <family val="2"/>
      <scheme val="minor"/>
    </font>
    <font>
      <b/>
      <sz val="14"/>
      <color rgb="FF000000"/>
      <name val="Calibri"/>
      <family val="2"/>
      <scheme val="minor"/>
    </font>
    <font>
      <b/>
      <sz val="18"/>
      <color theme="0"/>
      <name val="Calibri"/>
      <family val="2"/>
      <scheme val="minor"/>
    </font>
    <font>
      <b/>
      <sz val="10"/>
      <color rgb="FF000000"/>
      <name val="Calibri"/>
      <family val="2"/>
      <scheme val="minor"/>
    </font>
    <font>
      <b/>
      <sz val="10"/>
      <color theme="0"/>
      <name val="Calibri"/>
      <family val="2"/>
      <scheme val="minor"/>
    </font>
    <font>
      <sz val="8"/>
      <name val="Times New Roman"/>
      <family val="1"/>
    </font>
    <font>
      <u/>
      <sz val="10"/>
      <color theme="10"/>
      <name val="Times New Roman"/>
      <family val="1"/>
    </font>
    <font>
      <sz val="9"/>
      <name val="Calibri"/>
      <family val="2"/>
      <scheme val="minor"/>
    </font>
    <font>
      <i/>
      <sz val="9"/>
      <color theme="0"/>
      <name val="Calibri"/>
      <family val="2"/>
      <scheme val="minor"/>
    </font>
    <font>
      <b/>
      <sz val="11"/>
      <color theme="1"/>
      <name val="Calibri"/>
      <family val="2"/>
      <scheme val="minor"/>
    </font>
    <font>
      <sz val="14"/>
      <color rgb="FF000000"/>
      <name val="Calibri"/>
      <family val="2"/>
      <scheme val="minor"/>
    </font>
    <font>
      <b/>
      <sz val="11"/>
      <color theme="0"/>
      <name val="Calibri"/>
      <family val="2"/>
    </font>
    <font>
      <b/>
      <sz val="11"/>
      <color theme="1"/>
      <name val="Calibri"/>
      <family val="2"/>
    </font>
    <font>
      <sz val="11"/>
      <color theme="0"/>
      <name val="Calibri"/>
      <family val="2"/>
    </font>
    <font>
      <sz val="18"/>
      <color rgb="FF000000"/>
      <name val="Calibri"/>
      <family val="2"/>
      <scheme val="minor"/>
    </font>
    <font>
      <b/>
      <sz val="22"/>
      <color rgb="FFEC6453"/>
      <name val="Calibri"/>
      <family val="2"/>
      <scheme val="minor"/>
    </font>
    <font>
      <i/>
      <sz val="11"/>
      <color theme="1"/>
      <name val="Calibri"/>
      <family val="2"/>
    </font>
    <font>
      <b/>
      <sz val="11"/>
      <color rgb="FFFCF7F8"/>
      <name val="Calibri"/>
      <family val="2"/>
    </font>
    <font>
      <sz val="18"/>
      <color theme="0"/>
      <name val="Calibri"/>
      <family val="2"/>
    </font>
    <font>
      <b/>
      <sz val="11"/>
      <name val="Calibri"/>
      <family val="2"/>
    </font>
    <font>
      <sz val="10"/>
      <color theme="0"/>
      <name val="Calibri"/>
      <family val="2"/>
    </font>
    <font>
      <b/>
      <sz val="12"/>
      <color theme="1"/>
      <name val="Calibri"/>
      <family val="2"/>
    </font>
    <font>
      <sz val="12"/>
      <color theme="1"/>
      <name val="Calibri"/>
      <family val="2"/>
    </font>
    <font>
      <b/>
      <sz val="14"/>
      <color rgb="FFFCF7F8"/>
      <name val="Calibri"/>
      <family val="2"/>
    </font>
    <font>
      <sz val="14"/>
      <color theme="1"/>
      <name val="Calibri"/>
      <family val="2"/>
    </font>
    <font>
      <b/>
      <sz val="16"/>
      <color theme="0"/>
      <name val="Calibri"/>
      <family val="2"/>
    </font>
    <font>
      <u/>
      <sz val="11"/>
      <color theme="10"/>
      <name val="Calibri"/>
      <family val="2"/>
    </font>
    <font>
      <b/>
      <sz val="14"/>
      <color theme="0"/>
      <name val="Calibri"/>
      <family val="2"/>
    </font>
    <font>
      <b/>
      <sz val="10"/>
      <color theme="1"/>
      <name val="Calibri"/>
      <family val="2"/>
    </font>
    <font>
      <b/>
      <sz val="9"/>
      <color theme="1"/>
      <name val="Calibri"/>
      <family val="2"/>
    </font>
    <font>
      <b/>
      <sz val="10"/>
      <color theme="0"/>
      <name val="Calibri"/>
      <family val="2"/>
    </font>
    <font>
      <i/>
      <sz val="9"/>
      <color theme="1"/>
      <name val="Calibri"/>
      <family val="2"/>
    </font>
    <font>
      <sz val="9"/>
      <color theme="1"/>
      <name val="Calibri"/>
      <family val="2"/>
    </font>
    <font>
      <sz val="10"/>
      <color theme="1"/>
      <name val="Calibri"/>
      <family val="2"/>
    </font>
    <font>
      <i/>
      <sz val="10"/>
      <color theme="1"/>
      <name val="Calibri"/>
      <family val="2"/>
    </font>
    <font>
      <sz val="8"/>
      <color theme="1"/>
      <name val="Calibri"/>
      <family val="2"/>
    </font>
    <font>
      <b/>
      <sz val="18"/>
      <color theme="1"/>
      <name val="Calibri"/>
      <family val="2"/>
    </font>
    <font>
      <b/>
      <i/>
      <sz val="10"/>
      <color rgb="FFEC6453"/>
      <name val="Calibri"/>
      <family val="2"/>
      <scheme val="minor"/>
    </font>
    <font>
      <b/>
      <sz val="24"/>
      <color theme="0"/>
      <name val="Calibri"/>
      <family val="2"/>
      <scheme val="minor"/>
    </font>
    <font>
      <sz val="10"/>
      <color theme="0"/>
      <name val="Calibri"/>
      <family val="2"/>
      <scheme val="minor"/>
    </font>
    <font>
      <sz val="20"/>
      <color theme="0"/>
      <name val="Calibri"/>
      <family val="2"/>
      <scheme val="minor"/>
    </font>
    <font>
      <b/>
      <sz val="11"/>
      <color rgb="FFFCF7F8"/>
      <name val="Calibri"/>
      <family val="2"/>
      <scheme val="minor"/>
    </font>
    <font>
      <sz val="11"/>
      <color theme="1"/>
      <name val="Calibri"/>
      <family val="2"/>
      <scheme val="minor"/>
    </font>
    <font>
      <sz val="18"/>
      <color theme="0"/>
      <name val="Calibri"/>
      <family val="2"/>
      <scheme val="minor"/>
    </font>
    <font>
      <sz val="8"/>
      <color rgb="FFFF0000"/>
      <name val="Calibri"/>
      <family val="2"/>
    </font>
    <font>
      <b/>
      <sz val="12"/>
      <color theme="0"/>
      <name val="Calibri"/>
      <family val="2"/>
    </font>
    <font>
      <b/>
      <sz val="8"/>
      <color theme="1"/>
      <name val="Calibri"/>
      <family val="2"/>
    </font>
    <font>
      <sz val="11"/>
      <color theme="1"/>
      <name val="Arial"/>
      <family val="2"/>
    </font>
    <font>
      <b/>
      <sz val="11"/>
      <color theme="0"/>
      <name val="Arial"/>
      <family val="2"/>
    </font>
    <font>
      <b/>
      <sz val="16"/>
      <color theme="0"/>
      <name val="Arial"/>
      <family val="2"/>
    </font>
    <font>
      <b/>
      <sz val="16"/>
      <name val="Arial"/>
      <family val="2"/>
    </font>
    <font>
      <sz val="12"/>
      <color theme="0"/>
      <name val="Arial"/>
      <family val="2"/>
    </font>
    <font>
      <b/>
      <sz val="12"/>
      <color theme="0"/>
      <name val="Arial"/>
      <family val="2"/>
    </font>
    <font>
      <sz val="12"/>
      <name val="Arial"/>
      <family val="2"/>
    </font>
    <font>
      <b/>
      <sz val="12"/>
      <name val="Arial"/>
      <family val="2"/>
    </font>
    <font>
      <b/>
      <sz val="18"/>
      <color theme="0"/>
      <name val="Arial"/>
      <family val="2"/>
    </font>
    <font>
      <b/>
      <sz val="14"/>
      <color theme="0"/>
      <name val="Arial"/>
      <family val="2"/>
    </font>
    <font>
      <b/>
      <sz val="14"/>
      <name val="Arial"/>
      <family val="2"/>
    </font>
    <font>
      <b/>
      <sz val="11"/>
      <color theme="1"/>
      <name val="Arial"/>
      <family val="2"/>
    </font>
    <font>
      <b/>
      <sz val="12"/>
      <color theme="1"/>
      <name val="Arial"/>
      <family val="2"/>
    </font>
    <font>
      <sz val="11"/>
      <color theme="0"/>
      <name val="Arial"/>
      <family val="2"/>
    </font>
    <font>
      <b/>
      <sz val="20"/>
      <color theme="0"/>
      <name val="Arial"/>
      <family val="2"/>
    </font>
    <font>
      <sz val="20"/>
      <color theme="1"/>
      <name val="Arial"/>
      <family val="2"/>
    </font>
    <font>
      <b/>
      <sz val="20"/>
      <name val="Arial"/>
      <family val="2"/>
    </font>
    <font>
      <sz val="16"/>
      <color theme="1"/>
      <name val="Arial"/>
      <family val="2"/>
    </font>
    <font>
      <b/>
      <sz val="22"/>
      <color theme="0"/>
      <name val="Arial"/>
      <family val="2"/>
    </font>
    <font>
      <sz val="12"/>
      <color theme="1"/>
      <name val="Arial"/>
      <family val="2"/>
    </font>
    <font>
      <b/>
      <sz val="24"/>
      <color theme="1"/>
      <name val="Arial"/>
      <family val="2"/>
    </font>
    <font>
      <b/>
      <sz val="18"/>
      <color theme="1"/>
      <name val="Arial"/>
      <family val="2"/>
    </font>
    <font>
      <b/>
      <sz val="22"/>
      <color theme="1"/>
      <name val="Arial"/>
      <family val="2"/>
    </font>
    <font>
      <b/>
      <sz val="14"/>
      <color rgb="FFFFFFFF"/>
      <name val="Arial"/>
      <family val="2"/>
    </font>
    <font>
      <sz val="11"/>
      <name val="Arial"/>
      <family val="2"/>
    </font>
    <font>
      <b/>
      <sz val="11"/>
      <name val="Arial"/>
      <family val="2"/>
    </font>
    <font>
      <b/>
      <sz val="16"/>
      <color rgb="FF2A9D8F"/>
      <name val="Arial"/>
      <family val="2"/>
    </font>
    <font>
      <b/>
      <sz val="16"/>
      <color rgb="FFE9C46A"/>
      <name val="Arial"/>
      <family val="2"/>
    </font>
    <font>
      <sz val="18"/>
      <color theme="1"/>
      <name val="Arial"/>
      <family val="2"/>
    </font>
    <font>
      <b/>
      <sz val="18"/>
      <name val="Arial"/>
      <family val="2"/>
    </font>
    <font>
      <b/>
      <sz val="6"/>
      <color rgb="FF264653"/>
      <name val="Arial"/>
      <family val="2"/>
    </font>
    <font>
      <b/>
      <sz val="9"/>
      <color rgb="FF2A9D8F"/>
      <name val="Arial"/>
      <family val="2"/>
    </font>
    <font>
      <b/>
      <sz val="14"/>
      <color theme="1"/>
      <name val="Arial"/>
      <family val="2"/>
    </font>
    <font>
      <b/>
      <sz val="9"/>
      <color rgb="FFE9C46A"/>
      <name val="Arial"/>
      <family val="2"/>
    </font>
    <font>
      <b/>
      <sz val="10"/>
      <color theme="1"/>
      <name val="Arial"/>
      <family val="2"/>
    </font>
    <font>
      <b/>
      <sz val="12"/>
      <color rgb="FFFFFFFF"/>
      <name val="Arial"/>
      <family val="2"/>
    </font>
    <font>
      <b/>
      <sz val="13"/>
      <color theme="1"/>
      <name val="Arial"/>
      <family val="2"/>
    </font>
    <font>
      <b/>
      <sz val="10"/>
      <color theme="0"/>
      <name val="Arial"/>
      <family val="2"/>
    </font>
    <font>
      <b/>
      <sz val="16"/>
      <color theme="1"/>
      <name val="Arial"/>
      <family val="2"/>
    </font>
    <font>
      <b/>
      <sz val="6"/>
      <color rgb="FF2A9D8F"/>
      <name val="Arial"/>
      <family val="2"/>
    </font>
    <font>
      <b/>
      <sz val="8"/>
      <color rgb="FFE9C46A"/>
      <name val="Arial"/>
      <family val="2"/>
    </font>
    <font>
      <i/>
      <sz val="10"/>
      <color theme="1"/>
      <name val="Arial"/>
      <family val="2"/>
    </font>
    <font>
      <u/>
      <sz val="11"/>
      <color theme="10"/>
      <name val="Calibri"/>
      <family val="2"/>
      <scheme val="minor"/>
    </font>
    <font>
      <i/>
      <u/>
      <sz val="11"/>
      <color theme="10"/>
      <name val="Calibri"/>
      <family val="2"/>
      <scheme val="minor"/>
    </font>
    <font>
      <i/>
      <sz val="9"/>
      <color theme="1"/>
      <name val="Arial"/>
      <family val="2"/>
    </font>
    <font>
      <i/>
      <sz val="11"/>
      <color theme="1"/>
      <name val="Arial"/>
      <family val="2"/>
    </font>
    <font>
      <b/>
      <sz val="26"/>
      <color theme="0"/>
      <name val="Arial"/>
      <family val="2"/>
    </font>
    <font>
      <sz val="10"/>
      <name val="Arial"/>
      <family val="2"/>
    </font>
    <font>
      <i/>
      <sz val="10"/>
      <name val="Arial"/>
      <family val="2"/>
    </font>
    <font>
      <i/>
      <sz val="11"/>
      <name val="Arial"/>
      <family val="2"/>
    </font>
    <font>
      <b/>
      <sz val="36"/>
      <color theme="1"/>
      <name val="Arial"/>
      <family val="2"/>
    </font>
    <font>
      <b/>
      <sz val="24"/>
      <color theme="0"/>
      <name val="Arial"/>
      <family val="2"/>
    </font>
    <font>
      <b/>
      <sz val="36"/>
      <color theme="0"/>
      <name val="Arial"/>
      <family val="2"/>
    </font>
    <font>
      <b/>
      <sz val="24"/>
      <name val="Arial"/>
      <family val="2"/>
    </font>
    <font>
      <b/>
      <sz val="36"/>
      <name val="Arial"/>
      <family val="2"/>
    </font>
    <font>
      <b/>
      <i/>
      <sz val="14"/>
      <color theme="0"/>
      <name val="Arial"/>
      <family val="2"/>
    </font>
    <font>
      <b/>
      <i/>
      <sz val="26"/>
      <color theme="0"/>
      <name val="Arial"/>
      <family val="2"/>
    </font>
    <font>
      <b/>
      <i/>
      <sz val="22"/>
      <color theme="0"/>
      <name val="Arial"/>
      <family val="2"/>
    </font>
    <font>
      <b/>
      <sz val="28"/>
      <color theme="1"/>
      <name val="Arial"/>
      <family val="2"/>
    </font>
    <font>
      <sz val="10"/>
      <color theme="1"/>
      <name val="Arial"/>
      <family val="2"/>
    </font>
    <font>
      <b/>
      <sz val="11"/>
      <color rgb="FFFFFFFF"/>
      <name val="Arial"/>
      <family val="2"/>
    </font>
    <font>
      <b/>
      <sz val="28"/>
      <color rgb="FFFFFFFF"/>
      <name val="Arial"/>
      <family val="2"/>
    </font>
    <font>
      <b/>
      <sz val="16"/>
      <color rgb="FFFFFFFF"/>
      <name val="Arial"/>
      <family val="2"/>
    </font>
    <font>
      <sz val="11"/>
      <color rgb="FFFFFFFF"/>
      <name val="Arial"/>
      <family val="2"/>
    </font>
    <font>
      <b/>
      <i/>
      <sz val="12"/>
      <color theme="1"/>
      <name val="Arial"/>
      <family val="2"/>
    </font>
    <font>
      <b/>
      <i/>
      <sz val="11"/>
      <color theme="1"/>
      <name val="Arial"/>
      <family val="2"/>
    </font>
    <font>
      <b/>
      <sz val="10"/>
      <color rgb="FFFFFFFF"/>
      <name val="Arial"/>
      <family val="2"/>
    </font>
    <font>
      <sz val="10"/>
      <color rgb="FFFFFFFF"/>
      <name val="Arial"/>
      <family val="2"/>
    </font>
    <font>
      <b/>
      <i/>
      <sz val="11"/>
      <color theme="0"/>
      <name val="Arial"/>
      <family val="2"/>
    </font>
    <font>
      <sz val="14"/>
      <color theme="1"/>
      <name val="Arial"/>
      <family val="2"/>
    </font>
    <font>
      <i/>
      <sz val="12"/>
      <color theme="1"/>
      <name val="Arial"/>
      <family val="2"/>
    </font>
    <font>
      <u/>
      <sz val="14"/>
      <color rgb="FF0000C1"/>
      <name val="Arial"/>
      <family val="2"/>
    </font>
    <font>
      <b/>
      <sz val="20"/>
      <color rgb="FFEC6453"/>
      <name val="Calibri"/>
      <family val="2"/>
      <scheme val="minor"/>
    </font>
    <font>
      <sz val="8"/>
      <color rgb="FF000000"/>
      <name val="Segoe UI"/>
      <family val="2"/>
    </font>
    <font>
      <b/>
      <i/>
      <sz val="10"/>
      <color rgb="FF33383E"/>
      <name val="Calibri"/>
      <family val="2"/>
      <scheme val="minor"/>
    </font>
    <font>
      <b/>
      <sz val="12"/>
      <color rgb="FFFF0000"/>
      <name val="Calibri"/>
      <family val="2"/>
    </font>
    <font>
      <i/>
      <sz val="14"/>
      <color rgb="FFFF0000"/>
      <name val="Calibri"/>
      <family val="2"/>
    </font>
    <font>
      <b/>
      <sz val="11"/>
      <color rgb="FFDB1D4A"/>
      <name val="Calibri-Bold"/>
    </font>
    <font>
      <sz val="11"/>
      <color rgb="FF000000"/>
      <name val="Calibri"/>
      <family val="2"/>
    </font>
    <font>
      <b/>
      <i/>
      <sz val="11"/>
      <color rgb="FF33383E"/>
      <name val="Calibri"/>
      <family val="2"/>
    </font>
    <font>
      <b/>
      <sz val="14"/>
      <color rgb="FFD31145"/>
      <name val="Calibri"/>
      <family val="2"/>
    </font>
    <font>
      <sz val="12"/>
      <color theme="0"/>
      <name val="Calibri"/>
      <family val="2"/>
    </font>
    <font>
      <b/>
      <sz val="12"/>
      <color rgb="FFD31145"/>
      <name val="Calibri"/>
      <family val="2"/>
      <scheme val="minor"/>
    </font>
    <font>
      <b/>
      <sz val="8"/>
      <color rgb="FFD31145"/>
      <name val="Calibri"/>
      <family val="2"/>
    </font>
    <font>
      <b/>
      <sz val="10"/>
      <color rgb="FFD31145"/>
      <name val="Calibri"/>
      <family val="2"/>
      <scheme val="minor"/>
    </font>
    <font>
      <b/>
      <sz val="12"/>
      <name val="Times New Roman"/>
      <family val="1"/>
    </font>
    <font>
      <sz val="12"/>
      <color rgb="FF000000"/>
      <name val="Times New Roman"/>
      <family val="2"/>
    </font>
    <font>
      <sz val="10"/>
      <name val="Times New Roman"/>
      <family val="1"/>
    </font>
    <font>
      <i/>
      <sz val="12"/>
      <name val="Arial"/>
      <family val="2"/>
    </font>
    <font>
      <b/>
      <sz val="14"/>
      <color rgb="FFD31145"/>
      <name val="Calibri"/>
      <family val="2"/>
      <scheme val="minor"/>
    </font>
    <font>
      <b/>
      <sz val="10"/>
      <color theme="1"/>
      <name val="Calibri"/>
      <family val="2"/>
      <scheme val="minor"/>
    </font>
    <font>
      <sz val="10"/>
      <color rgb="FF000000"/>
      <name val="Times New Roman"/>
      <family val="1"/>
    </font>
    <font>
      <sz val="10"/>
      <color rgb="FFFF0000"/>
      <name val="Times New Roman"/>
      <family val="1"/>
    </font>
    <font>
      <sz val="10"/>
      <color theme="1"/>
      <name val="Calibri"/>
      <family val="2"/>
      <scheme val="minor"/>
    </font>
    <font>
      <i/>
      <sz val="10"/>
      <name val="Calibri"/>
      <family val="2"/>
      <scheme val="minor"/>
    </font>
    <font>
      <b/>
      <sz val="8"/>
      <color theme="0"/>
      <name val="Calibri"/>
      <family val="2"/>
      <scheme val="minor"/>
    </font>
    <font>
      <sz val="8"/>
      <color theme="0"/>
      <name val="Calibri"/>
      <family val="2"/>
      <scheme val="minor"/>
    </font>
    <font>
      <sz val="8"/>
      <name val="Calibri"/>
      <family val="2"/>
      <scheme val="minor"/>
    </font>
    <font>
      <sz val="8"/>
      <color theme="1"/>
      <name val="Calibri"/>
      <family val="2"/>
      <scheme val="minor"/>
    </font>
    <font>
      <b/>
      <sz val="10"/>
      <name val="Calibri"/>
      <family val="2"/>
    </font>
    <font>
      <b/>
      <sz val="10"/>
      <name val="Calibri"/>
      <family val="2"/>
      <scheme val="minor"/>
    </font>
    <font>
      <sz val="10"/>
      <name val="Calibri"/>
      <family val="2"/>
      <scheme val="minor"/>
    </font>
    <font>
      <sz val="10"/>
      <color rgb="FFED1B2E"/>
      <name val="Calibri"/>
      <family val="2"/>
      <scheme val="minor"/>
    </font>
    <font>
      <b/>
      <sz val="11"/>
      <color theme="0"/>
      <name val="Calibri"/>
      <family val="2"/>
      <scheme val="minor"/>
    </font>
    <font>
      <sz val="11"/>
      <color rgb="FF0000C1"/>
      <name val="Times New Roman"/>
      <family val="1"/>
    </font>
    <font>
      <i/>
      <sz val="8"/>
      <name val="Calibri"/>
      <family val="2"/>
      <scheme val="minor"/>
    </font>
    <font>
      <b/>
      <sz val="8"/>
      <color theme="1"/>
      <name val="Calibri"/>
      <family val="2"/>
      <scheme val="minor"/>
    </font>
    <font>
      <b/>
      <sz val="11"/>
      <color rgb="FF0000C1"/>
      <name val="Times New Roman"/>
      <family val="1"/>
    </font>
    <font>
      <b/>
      <sz val="10"/>
      <color rgb="FF000000"/>
      <name val="Times New Roman"/>
      <family val="1"/>
    </font>
    <font>
      <sz val="11"/>
      <name val="Times New Roman"/>
      <family val="1"/>
    </font>
    <font>
      <sz val="11"/>
      <color rgb="FF000000"/>
      <name val="Times New Roman"/>
      <family val="2"/>
    </font>
    <font>
      <i/>
      <sz val="11"/>
      <color rgb="FFD31145"/>
      <name val="Calibri"/>
      <family val="2"/>
      <scheme val="minor"/>
    </font>
    <font>
      <b/>
      <sz val="13"/>
      <color theme="1"/>
      <name val="Calibri"/>
      <family val="2"/>
      <scheme val="minor"/>
    </font>
    <font>
      <b/>
      <sz val="13"/>
      <color rgb="FF000000"/>
      <name val="Calibri"/>
      <family val="2"/>
      <scheme val="minor"/>
    </font>
    <font>
      <b/>
      <sz val="13"/>
      <name val="Calibri"/>
      <family val="2"/>
      <scheme val="minor"/>
    </font>
    <font>
      <b/>
      <sz val="20"/>
      <color rgb="FF000000"/>
      <name val="Calibri"/>
      <family val="2"/>
      <scheme val="minor"/>
    </font>
    <font>
      <b/>
      <sz val="11"/>
      <color theme="0"/>
      <name val="Times New Roman"/>
      <family val="1"/>
    </font>
    <font>
      <i/>
      <sz val="10"/>
      <color rgb="FF000000"/>
      <name val="Times New Roman"/>
      <family val="1"/>
    </font>
    <font>
      <sz val="12"/>
      <color rgb="FF000000"/>
      <name val="Times New Roman"/>
      <family val="1"/>
    </font>
    <font>
      <sz val="12"/>
      <color theme="1"/>
      <name val="Calibri"/>
      <family val="2"/>
      <scheme val="minor"/>
    </font>
    <font>
      <b/>
      <sz val="8"/>
      <name val="Calibri"/>
      <family val="2"/>
      <scheme val="minor"/>
    </font>
    <font>
      <sz val="8"/>
      <color rgb="FF000000"/>
      <name val="Times New Roman"/>
      <family val="1"/>
    </font>
    <font>
      <b/>
      <sz val="8"/>
      <color theme="0"/>
      <name val="Calibri"/>
      <family val="2"/>
    </font>
    <font>
      <sz val="6"/>
      <color theme="0"/>
      <name val="Calibri"/>
      <family val="2"/>
    </font>
    <font>
      <sz val="7"/>
      <color rgb="FF000000"/>
      <name val="Times New Roman"/>
      <family val="1"/>
    </font>
    <font>
      <sz val="7"/>
      <color theme="1"/>
      <name val="Calibri"/>
      <family val="2"/>
    </font>
    <font>
      <b/>
      <sz val="7"/>
      <color theme="1"/>
      <name val="Calibri"/>
      <family val="2"/>
    </font>
    <font>
      <sz val="16"/>
      <color rgb="FF000000"/>
      <name val="Calibri"/>
      <family val="2"/>
      <scheme val="minor"/>
    </font>
    <font>
      <b/>
      <sz val="16"/>
      <color rgb="FF000000"/>
      <name val="Calibri"/>
      <family val="2"/>
      <scheme val="minor"/>
    </font>
    <font>
      <b/>
      <sz val="11"/>
      <color rgb="FFFFFF00"/>
      <name val="Calibri"/>
      <family val="2"/>
    </font>
    <font>
      <sz val="11"/>
      <name val="Calibri"/>
      <family val="2"/>
    </font>
    <font>
      <b/>
      <sz val="12"/>
      <name val="Calibri"/>
      <family val="2"/>
    </font>
    <font>
      <sz val="14"/>
      <color rgb="FF000000"/>
      <name val="Times New Roman"/>
      <family val="1"/>
    </font>
    <font>
      <i/>
      <sz val="10"/>
      <color rgb="FF000000"/>
      <name val="Calibri"/>
      <family val="2"/>
      <scheme val="minor"/>
    </font>
    <font>
      <i/>
      <sz val="9"/>
      <name val="Calibri"/>
      <family val="2"/>
      <scheme val="minor"/>
    </font>
    <font>
      <b/>
      <sz val="12"/>
      <color rgb="FFC00000"/>
      <name val="Calibri"/>
      <family val="2"/>
      <scheme val="minor"/>
    </font>
    <font>
      <b/>
      <sz val="11"/>
      <name val="Calibri"/>
      <family val="2"/>
      <scheme val="minor"/>
    </font>
    <font>
      <b/>
      <sz val="8"/>
      <color rgb="FF000000"/>
      <name val="Calibri"/>
      <family val="2"/>
      <scheme val="minor"/>
    </font>
    <font>
      <sz val="8"/>
      <color rgb="FF000000"/>
      <name val="Arial"/>
      <family val="2"/>
    </font>
    <font>
      <b/>
      <sz val="8"/>
      <color rgb="FFFFFFFF"/>
      <name val="Arial"/>
      <family val="2"/>
    </font>
    <font>
      <b/>
      <sz val="8"/>
      <name val="Arial"/>
      <family val="2"/>
    </font>
    <font>
      <sz val="8"/>
      <color theme="0"/>
      <name val="Arial"/>
      <family val="2"/>
    </font>
    <font>
      <b/>
      <sz val="11"/>
      <name val="Times New Roman"/>
      <family val="1"/>
    </font>
    <font>
      <b/>
      <i/>
      <sz val="10"/>
      <name val="Calibri"/>
      <family val="2"/>
      <scheme val="minor"/>
    </font>
    <font>
      <i/>
      <sz val="10"/>
      <color rgb="FFD31145"/>
      <name val="Calibri"/>
      <family val="2"/>
      <scheme val="minor"/>
    </font>
    <font>
      <b/>
      <sz val="16"/>
      <color rgb="FFD31145"/>
      <name val="Calibri"/>
      <family val="2"/>
      <scheme val="minor"/>
    </font>
    <font>
      <b/>
      <u/>
      <sz val="16"/>
      <color rgb="FFD31145"/>
      <name val="Calibri"/>
      <family val="2"/>
    </font>
    <font>
      <sz val="18"/>
      <color rgb="FF0000C1"/>
      <name val="Calibri"/>
      <family val="2"/>
    </font>
    <font>
      <b/>
      <i/>
      <sz val="9"/>
      <color rgb="FFD31145"/>
      <name val="Calibri"/>
      <family val="2"/>
    </font>
    <font>
      <i/>
      <u/>
      <sz val="8"/>
      <color rgb="FFD31145"/>
      <name val="Calibri"/>
      <family val="2"/>
    </font>
    <font>
      <i/>
      <sz val="7"/>
      <color rgb="FFD31145"/>
      <name val="Calibri"/>
      <family val="2"/>
      <scheme val="minor"/>
    </font>
    <font>
      <b/>
      <i/>
      <sz val="12"/>
      <color rgb="FFD31145"/>
      <name val="Calibri"/>
      <family val="2"/>
    </font>
    <font>
      <b/>
      <i/>
      <sz val="10"/>
      <color rgb="FFD31145"/>
      <name val="Calibri"/>
      <family val="2"/>
      <scheme val="minor"/>
    </font>
    <font>
      <sz val="14"/>
      <color rgb="FFFF0000"/>
      <name val="Times New Roman"/>
      <family val="1"/>
    </font>
    <font>
      <b/>
      <sz val="14"/>
      <color theme="1"/>
      <name val="Calibri"/>
      <family val="2"/>
      <charset val="163"/>
      <scheme val="minor"/>
    </font>
    <font>
      <sz val="12"/>
      <color theme="1"/>
      <name val="Calibri"/>
      <family val="2"/>
      <charset val="163"/>
      <scheme val="minor"/>
    </font>
    <font>
      <i/>
      <sz val="12"/>
      <color theme="1"/>
      <name val="Calibri"/>
      <family val="2"/>
      <charset val="163"/>
      <scheme val="minor"/>
    </font>
    <font>
      <b/>
      <i/>
      <sz val="12"/>
      <color theme="1"/>
      <name val="Calibri"/>
      <family val="2"/>
      <charset val="163"/>
      <scheme val="minor"/>
    </font>
    <font>
      <b/>
      <sz val="12"/>
      <color theme="0"/>
      <name val="Calibri"/>
      <family val="2"/>
      <charset val="163"/>
      <scheme val="minor"/>
    </font>
    <font>
      <sz val="28"/>
      <color theme="1"/>
      <name val="Calibri"/>
      <family val="2"/>
      <charset val="163"/>
      <scheme val="minor"/>
    </font>
    <font>
      <b/>
      <sz val="12"/>
      <color theme="1"/>
      <name val="Calibri"/>
      <family val="2"/>
      <charset val="163"/>
      <scheme val="minor"/>
    </font>
    <font>
      <b/>
      <sz val="20"/>
      <color theme="1"/>
      <name val="Calibri"/>
      <family val="2"/>
      <scheme val="minor"/>
    </font>
    <font>
      <b/>
      <sz val="18"/>
      <color theme="1"/>
      <name val="Calibri"/>
      <family val="2"/>
      <scheme val="minor"/>
    </font>
    <font>
      <b/>
      <sz val="24"/>
      <color theme="0"/>
      <name val="Calibri"/>
      <family val="2"/>
      <charset val="163"/>
      <scheme val="minor"/>
    </font>
    <font>
      <b/>
      <sz val="16"/>
      <color theme="1"/>
      <name val="Calibri"/>
      <family val="2"/>
      <scheme val="minor"/>
    </font>
    <font>
      <b/>
      <sz val="28"/>
      <color theme="1"/>
      <name val="Calibri"/>
      <family val="2"/>
      <scheme val="minor"/>
    </font>
    <font>
      <b/>
      <i/>
      <sz val="20"/>
      <color theme="1"/>
      <name val="Calibri"/>
      <family val="2"/>
      <scheme val="minor"/>
    </font>
    <font>
      <b/>
      <sz val="14"/>
      <color theme="1"/>
      <name val="Calibri"/>
      <family val="2"/>
      <scheme val="minor"/>
    </font>
    <font>
      <sz val="14"/>
      <color theme="1"/>
      <name val="Calibri"/>
      <family val="2"/>
      <charset val="163"/>
      <scheme val="minor"/>
    </font>
    <font>
      <sz val="9"/>
      <color theme="0"/>
      <name val="Calibri"/>
      <family val="2"/>
    </font>
    <font>
      <b/>
      <sz val="14"/>
      <color rgb="FF0070C0"/>
      <name val="Calibri"/>
      <family val="2"/>
    </font>
    <font>
      <b/>
      <sz val="9"/>
      <color theme="0"/>
      <name val="Calibri"/>
      <family val="2"/>
      <scheme val="minor"/>
    </font>
    <font>
      <b/>
      <sz val="9"/>
      <color theme="1"/>
      <name val="Calibri"/>
      <family val="2"/>
      <scheme val="minor"/>
    </font>
    <font>
      <b/>
      <sz val="11"/>
      <color rgb="FFD31145"/>
      <name val="Calibri"/>
      <family val="2"/>
      <scheme val="minor"/>
    </font>
    <font>
      <b/>
      <sz val="20"/>
      <color rgb="FF00B050"/>
      <name val="Calibri"/>
      <family val="2"/>
      <scheme val="minor"/>
    </font>
    <font>
      <b/>
      <i/>
      <sz val="16"/>
      <color theme="0"/>
      <name val="Calibri"/>
      <family val="2"/>
      <scheme val="minor"/>
    </font>
    <font>
      <b/>
      <sz val="20"/>
      <color theme="0"/>
      <name val="Calibri"/>
      <family val="2"/>
      <scheme val="minor"/>
    </font>
  </fonts>
  <fills count="32">
    <fill>
      <patternFill patternType="none"/>
    </fill>
    <fill>
      <patternFill patternType="gray125"/>
    </fill>
    <fill>
      <patternFill patternType="solid">
        <fgColor rgb="FF00B050"/>
        <bgColor indexed="64"/>
      </patternFill>
    </fill>
    <fill>
      <patternFill patternType="solid">
        <fgColor rgb="FF0070C0"/>
        <bgColor indexed="64"/>
      </patternFill>
    </fill>
    <fill>
      <patternFill patternType="solid">
        <fgColor theme="2"/>
        <bgColor indexed="64"/>
      </patternFill>
    </fill>
    <fill>
      <patternFill patternType="solid">
        <fgColor theme="0"/>
        <bgColor indexed="64"/>
      </patternFill>
    </fill>
    <fill>
      <patternFill patternType="solid">
        <fgColor rgb="FF275DAD"/>
        <bgColor indexed="64"/>
      </patternFill>
    </fill>
    <fill>
      <patternFill patternType="solid">
        <fgColor rgb="FFFFFF00"/>
        <bgColor indexed="64"/>
      </patternFill>
    </fill>
    <fill>
      <patternFill patternType="solid">
        <fgColor theme="7" tint="0.59999389629810485"/>
        <bgColor indexed="64"/>
      </patternFill>
    </fill>
    <fill>
      <patternFill patternType="solid">
        <fgColor theme="0" tint="-0.14999847407452621"/>
        <bgColor indexed="64"/>
      </patternFill>
    </fill>
    <fill>
      <patternFill patternType="solid">
        <fgColor theme="7" tint="0.79998168889431442"/>
        <bgColor indexed="64"/>
      </patternFill>
    </fill>
    <fill>
      <patternFill patternType="solid">
        <fgColor rgb="FF264653"/>
        <bgColor indexed="64"/>
      </patternFill>
    </fill>
    <fill>
      <patternFill patternType="solid">
        <fgColor rgb="FF2A9D8F"/>
        <bgColor indexed="64"/>
      </patternFill>
    </fill>
    <fill>
      <patternFill patternType="solid">
        <fgColor rgb="FFE9C46A"/>
        <bgColor indexed="64"/>
      </patternFill>
    </fill>
    <fill>
      <patternFill patternType="solid">
        <fgColor rgb="FFF4A261"/>
        <bgColor indexed="64"/>
      </patternFill>
    </fill>
    <fill>
      <patternFill patternType="solid">
        <fgColor rgb="FFFF0000"/>
        <bgColor indexed="64"/>
      </patternFill>
    </fill>
    <fill>
      <patternFill patternType="solid">
        <fgColor theme="5" tint="0.59999389629810485"/>
        <bgColor indexed="64"/>
      </patternFill>
    </fill>
    <fill>
      <patternFill patternType="solid">
        <fgColor theme="2" tint="-0.499984740745262"/>
        <bgColor indexed="64"/>
      </patternFill>
    </fill>
    <fill>
      <patternFill patternType="solid">
        <fgColor rgb="FF002060"/>
        <bgColor indexed="64"/>
      </patternFill>
    </fill>
    <fill>
      <patternFill patternType="solid">
        <fgColor theme="5" tint="-0.249977111117893"/>
        <bgColor indexed="64"/>
      </patternFill>
    </fill>
    <fill>
      <patternFill patternType="solid">
        <fgColor theme="5" tint="0.79998168889431442"/>
        <bgColor indexed="64"/>
      </patternFill>
    </fill>
    <fill>
      <patternFill patternType="solid">
        <fgColor theme="4" tint="-0.499984740745262"/>
        <bgColor indexed="64"/>
      </patternFill>
    </fill>
    <fill>
      <patternFill patternType="solid">
        <fgColor rgb="FFE76F51"/>
        <bgColor indexed="64"/>
      </patternFill>
    </fill>
    <fill>
      <patternFill patternType="solid">
        <fgColor theme="0" tint="-4.9989318521683403E-2"/>
        <bgColor indexed="64"/>
      </patternFill>
    </fill>
    <fill>
      <patternFill patternType="solid">
        <fgColor rgb="FFD31145"/>
        <bgColor indexed="64"/>
      </patternFill>
    </fill>
    <fill>
      <patternFill patternType="solid">
        <fgColor rgb="FF33383E"/>
        <bgColor indexed="64"/>
      </patternFill>
    </fill>
    <fill>
      <patternFill patternType="solid">
        <fgColor theme="5" tint="0.39997558519241921"/>
        <bgColor indexed="64"/>
      </patternFill>
    </fill>
    <fill>
      <patternFill patternType="solid">
        <fgColor rgb="FFC00000"/>
      </patternFill>
    </fill>
    <fill>
      <patternFill patternType="solid">
        <fgColor rgb="FFF2F2F2"/>
      </patternFill>
    </fill>
    <fill>
      <patternFill patternType="solid">
        <fgColor theme="1" tint="0.499984740745262"/>
        <bgColor indexed="64"/>
      </patternFill>
    </fill>
    <fill>
      <patternFill patternType="solid">
        <fgColor theme="0" tint="-0.499984740745262"/>
        <bgColor indexed="64"/>
      </patternFill>
    </fill>
    <fill>
      <patternFill patternType="solid">
        <fgColor rgb="FFEF3D6C"/>
        <bgColor indexed="64"/>
      </patternFill>
    </fill>
  </fills>
  <borders count="87">
    <border>
      <left/>
      <right/>
      <top/>
      <bottom/>
      <diagonal/>
    </border>
    <border>
      <left style="thin">
        <color indexed="64"/>
      </left>
      <right style="thin">
        <color indexed="64"/>
      </right>
      <top style="thin">
        <color indexed="64"/>
      </top>
      <bottom style="thin">
        <color indexed="64"/>
      </bottom>
      <diagonal/>
    </border>
    <border>
      <left style="thin">
        <color theme="0"/>
      </left>
      <right style="thin">
        <color theme="0"/>
      </right>
      <top style="thin">
        <color theme="0"/>
      </top>
      <bottom style="thin">
        <color theme="0"/>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style="thin">
        <color theme="1"/>
      </bottom>
      <diagonal/>
    </border>
    <border>
      <left style="thin">
        <color theme="0"/>
      </left>
      <right style="thin">
        <color theme="0"/>
      </right>
      <top style="thin">
        <color theme="0"/>
      </top>
      <bottom/>
      <diagonal/>
    </border>
    <border>
      <left/>
      <right/>
      <top/>
      <bottom style="thin">
        <color indexed="64"/>
      </bottom>
      <diagonal/>
    </border>
    <border>
      <left style="thin">
        <color theme="1"/>
      </left>
      <right style="thin">
        <color theme="1"/>
      </right>
      <top style="thin">
        <color theme="1"/>
      </top>
      <bottom/>
      <diagonal/>
    </border>
    <border>
      <left style="thin">
        <color theme="0"/>
      </left>
      <right/>
      <top style="thin">
        <color theme="0"/>
      </top>
      <bottom style="thin">
        <color theme="0"/>
      </bottom>
      <diagonal/>
    </border>
    <border>
      <left style="thin">
        <color theme="0"/>
      </left>
      <right style="thin">
        <color indexed="64"/>
      </right>
      <top style="thin">
        <color theme="0"/>
      </top>
      <bottom/>
      <diagonal/>
    </border>
    <border>
      <left style="thin">
        <color indexed="64"/>
      </left>
      <right style="thin">
        <color theme="0"/>
      </right>
      <top style="thin">
        <color theme="0"/>
      </top>
      <bottom/>
      <diagonal/>
    </border>
    <border>
      <left/>
      <right style="thin">
        <color theme="0"/>
      </right>
      <top style="thin">
        <color theme="0"/>
      </top>
      <bottom style="thin">
        <color theme="0"/>
      </bottom>
      <diagonal/>
    </border>
    <border>
      <left/>
      <right/>
      <top style="thin">
        <color theme="0"/>
      </top>
      <bottom style="thin">
        <color theme="0"/>
      </bottom>
      <diagonal/>
    </border>
    <border>
      <left style="thin">
        <color theme="1"/>
      </left>
      <right/>
      <top style="thin">
        <color theme="1"/>
      </top>
      <bottom style="thin">
        <color indexed="64"/>
      </bottom>
      <diagonal/>
    </border>
    <border>
      <left/>
      <right/>
      <top style="thin">
        <color theme="1"/>
      </top>
      <bottom style="thin">
        <color indexed="64"/>
      </bottom>
      <diagonal/>
    </border>
    <border>
      <left style="thin">
        <color theme="1"/>
      </left>
      <right style="thin">
        <color theme="1"/>
      </right>
      <top/>
      <bottom style="thin">
        <color theme="1"/>
      </bottom>
      <diagonal/>
    </border>
    <border>
      <left style="thin">
        <color theme="1"/>
      </left>
      <right/>
      <top/>
      <bottom style="thin">
        <color theme="1"/>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right/>
      <top/>
      <bottom style="thin">
        <color theme="1"/>
      </bottom>
      <diagonal/>
    </border>
    <border>
      <left/>
      <right style="thin">
        <color theme="1"/>
      </right>
      <top/>
      <bottom style="thin">
        <color theme="1"/>
      </bottom>
      <diagonal/>
    </border>
    <border>
      <left style="thin">
        <color theme="0"/>
      </left>
      <right style="thin">
        <color theme="1"/>
      </right>
      <top style="thin">
        <color theme="0"/>
      </top>
      <bottom style="thin">
        <color theme="0"/>
      </bottom>
      <diagonal/>
    </border>
    <border>
      <left style="thin">
        <color theme="1"/>
      </left>
      <right style="thin">
        <color theme="1"/>
      </right>
      <top style="thin">
        <color theme="0"/>
      </top>
      <bottom style="thin">
        <color theme="0"/>
      </bottom>
      <diagonal/>
    </border>
    <border>
      <left style="thin">
        <color theme="1"/>
      </left>
      <right style="thin">
        <color theme="0"/>
      </right>
      <top style="thin">
        <color theme="0"/>
      </top>
      <bottom style="thin">
        <color theme="0"/>
      </bottom>
      <diagonal/>
    </border>
    <border>
      <left style="thin">
        <color theme="1"/>
      </left>
      <right/>
      <top style="thin">
        <color theme="0"/>
      </top>
      <bottom style="thin">
        <color theme="0"/>
      </bottom>
      <diagonal/>
    </border>
    <border>
      <left/>
      <right style="thin">
        <color theme="1"/>
      </right>
      <top style="thin">
        <color theme="0"/>
      </top>
      <bottom style="thin">
        <color theme="0"/>
      </bottom>
      <diagonal/>
    </border>
    <border>
      <left style="thin">
        <color theme="0"/>
      </left>
      <right style="thin">
        <color theme="1"/>
      </right>
      <top style="thin">
        <color theme="0"/>
      </top>
      <bottom style="thin">
        <color theme="1"/>
      </bottom>
      <diagonal/>
    </border>
    <border>
      <left style="thin">
        <color theme="1"/>
      </left>
      <right style="thin">
        <color theme="1"/>
      </right>
      <top style="thin">
        <color theme="0"/>
      </top>
      <bottom style="thin">
        <color theme="1"/>
      </bottom>
      <diagonal/>
    </border>
    <border>
      <left style="thin">
        <color theme="1"/>
      </left>
      <right/>
      <top style="thin">
        <color theme="0"/>
      </top>
      <bottom style="thin">
        <color theme="1"/>
      </bottom>
      <diagonal/>
    </border>
    <border>
      <left style="thin">
        <color theme="1"/>
      </left>
      <right style="thin">
        <color theme="0"/>
      </right>
      <top style="thin">
        <color theme="0"/>
      </top>
      <bottom style="thin">
        <color theme="1"/>
      </bottom>
      <diagonal/>
    </border>
    <border>
      <left style="thin">
        <color theme="1"/>
      </left>
      <right/>
      <top/>
      <bottom/>
      <diagonal/>
    </border>
    <border>
      <left style="thin">
        <color theme="0"/>
      </left>
      <right style="thin">
        <color theme="1"/>
      </right>
      <top style="thin">
        <color theme="1"/>
      </top>
      <bottom/>
      <diagonal/>
    </border>
    <border>
      <left style="thin">
        <color theme="1"/>
      </left>
      <right style="thin">
        <color theme="0"/>
      </right>
      <top style="thin">
        <color theme="1"/>
      </top>
      <bottom/>
      <diagonal/>
    </border>
    <border>
      <left style="thin">
        <color theme="1"/>
      </left>
      <right/>
      <top style="thin">
        <color indexed="64"/>
      </top>
      <bottom style="thin">
        <color theme="1"/>
      </bottom>
      <diagonal/>
    </border>
    <border>
      <left/>
      <right/>
      <top style="thin">
        <color indexed="64"/>
      </top>
      <bottom style="thin">
        <color theme="1"/>
      </bottom>
      <diagonal/>
    </border>
    <border>
      <left style="thin">
        <color theme="0"/>
      </left>
      <right style="thin">
        <color theme="0"/>
      </right>
      <top/>
      <bottom style="thin">
        <color theme="0"/>
      </bottom>
      <diagonal/>
    </border>
    <border>
      <left style="thin">
        <color theme="0"/>
      </left>
      <right/>
      <top style="thin">
        <color theme="0"/>
      </top>
      <bottom/>
      <diagonal/>
    </border>
    <border>
      <left/>
      <right/>
      <top style="thin">
        <color theme="0"/>
      </top>
      <bottom/>
      <diagonal/>
    </border>
    <border>
      <left/>
      <right style="thin">
        <color theme="0"/>
      </right>
      <top style="thin">
        <color theme="0"/>
      </top>
      <bottom/>
      <diagonal/>
    </border>
    <border>
      <left style="thin">
        <color theme="0"/>
      </left>
      <right/>
      <top/>
      <bottom style="thin">
        <color theme="0"/>
      </bottom>
      <diagonal/>
    </border>
    <border>
      <left/>
      <right/>
      <top/>
      <bottom style="thin">
        <color theme="0"/>
      </bottom>
      <diagonal/>
    </border>
    <border>
      <left/>
      <right style="thin">
        <color theme="0"/>
      </right>
      <top/>
      <bottom style="thin">
        <color theme="0"/>
      </bottom>
      <diagonal/>
    </border>
    <border>
      <left style="thin">
        <color theme="0"/>
      </left>
      <right/>
      <top style="thin">
        <color theme="0"/>
      </top>
      <bottom style="thin">
        <color theme="1"/>
      </bottom>
      <diagonal/>
    </border>
    <border>
      <left/>
      <right/>
      <top style="thin">
        <color theme="0"/>
      </top>
      <bottom style="thin">
        <color theme="1"/>
      </bottom>
      <diagonal/>
    </border>
    <border>
      <left/>
      <right style="thin">
        <color theme="0"/>
      </right>
      <top style="thin">
        <color theme="0"/>
      </top>
      <bottom style="thin">
        <color theme="1"/>
      </bottom>
      <diagonal/>
    </border>
    <border>
      <left/>
      <right style="thin">
        <color theme="1"/>
      </right>
      <top style="thin">
        <color theme="0"/>
      </top>
      <bottom style="thin">
        <color theme="1"/>
      </bottom>
      <diagonal/>
    </border>
    <border>
      <left style="thin">
        <color theme="0"/>
      </left>
      <right style="thin">
        <color theme="1"/>
      </right>
      <top style="thin">
        <color theme="1"/>
      </top>
      <bottom style="thin">
        <color theme="0"/>
      </bottom>
      <diagonal/>
    </border>
    <border>
      <left style="thin">
        <color theme="1"/>
      </left>
      <right style="thin">
        <color theme="1"/>
      </right>
      <top style="thin">
        <color theme="1"/>
      </top>
      <bottom style="thin">
        <color theme="0"/>
      </bottom>
      <diagonal/>
    </border>
    <border>
      <left style="thin">
        <color theme="1"/>
      </left>
      <right style="thin">
        <color theme="0"/>
      </right>
      <top style="thin">
        <color theme="1"/>
      </top>
      <bottom style="thin">
        <color theme="0"/>
      </bottom>
      <diagonal/>
    </border>
    <border>
      <left style="thin">
        <color theme="0"/>
      </left>
      <right style="thin">
        <color theme="1"/>
      </right>
      <top/>
      <bottom style="thin">
        <color theme="0"/>
      </bottom>
      <diagonal/>
    </border>
    <border>
      <left style="thin">
        <color theme="1"/>
      </left>
      <right style="thin">
        <color theme="1"/>
      </right>
      <top/>
      <bottom style="thin">
        <color theme="0"/>
      </bottom>
      <diagonal/>
    </border>
    <border>
      <left style="thin">
        <color theme="1"/>
      </left>
      <right style="thin">
        <color theme="0"/>
      </right>
      <top/>
      <bottom style="thin">
        <color theme="0"/>
      </bottom>
      <diagonal/>
    </border>
    <border>
      <left/>
      <right style="thin">
        <color theme="0"/>
      </right>
      <top/>
      <bottom/>
      <diagonal/>
    </border>
    <border>
      <left style="thin">
        <color theme="0"/>
      </left>
      <right style="thin">
        <color theme="1"/>
      </right>
      <top style="thin">
        <color theme="0"/>
      </top>
      <bottom/>
      <diagonal/>
    </border>
    <border>
      <left style="thin">
        <color theme="1"/>
      </left>
      <right style="thin">
        <color theme="1"/>
      </right>
      <top style="thin">
        <color theme="0"/>
      </top>
      <bottom/>
      <diagonal/>
    </border>
    <border>
      <left style="thin">
        <color theme="1"/>
      </left>
      <right style="thin">
        <color theme="0"/>
      </right>
      <top style="thin">
        <color theme="0"/>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D8D8D8"/>
      </right>
      <top style="thin">
        <color rgb="FF000000"/>
      </top>
      <bottom style="thin">
        <color rgb="FF000000"/>
      </bottom>
      <diagonal/>
    </border>
    <border>
      <left style="thin">
        <color rgb="FFD8D8D8"/>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D8D8D8"/>
      </bottom>
      <diagonal/>
    </border>
    <border>
      <left style="thin">
        <color rgb="FF000000"/>
      </left>
      <right style="thin">
        <color rgb="FFD8D8D8"/>
      </right>
      <top style="thin">
        <color rgb="FF000000"/>
      </top>
      <bottom style="thin">
        <color rgb="FFD8D8D8"/>
      </bottom>
      <diagonal/>
    </border>
    <border>
      <left style="thin">
        <color rgb="FFD8D8D8"/>
      </left>
      <right style="thin">
        <color rgb="FF000000"/>
      </right>
      <top style="thin">
        <color rgb="FF000000"/>
      </top>
      <bottom style="thin">
        <color rgb="FFD8D8D8"/>
      </bottom>
      <diagonal/>
    </border>
    <border>
      <left style="thin">
        <color rgb="FF000000"/>
      </left>
      <right style="thin">
        <color rgb="FF000000"/>
      </right>
      <top style="thin">
        <color rgb="FFD8D8D8"/>
      </top>
      <bottom style="thin">
        <color rgb="FFD8D8D8"/>
      </bottom>
      <diagonal/>
    </border>
    <border>
      <left style="thin">
        <color rgb="FF000000"/>
      </left>
      <right style="thin">
        <color rgb="FFD8D8D8"/>
      </right>
      <top style="thin">
        <color rgb="FFD8D8D8"/>
      </top>
      <bottom style="thin">
        <color rgb="FFD8D8D8"/>
      </bottom>
      <diagonal/>
    </border>
    <border>
      <left style="thin">
        <color rgb="FFD8D8D8"/>
      </left>
      <right style="thin">
        <color rgb="FF000000"/>
      </right>
      <top style="thin">
        <color rgb="FFD8D8D8"/>
      </top>
      <bottom style="thin">
        <color rgb="FFD8D8D8"/>
      </bottom>
      <diagonal/>
    </border>
    <border>
      <left style="thin">
        <color rgb="FF000000"/>
      </left>
      <right style="thin">
        <color rgb="FFD8D8D8"/>
      </right>
      <top style="thin">
        <color rgb="FFD8D8D8"/>
      </top>
      <bottom style="thin">
        <color rgb="FF000000"/>
      </bottom>
      <diagonal/>
    </border>
    <border>
      <left style="thin">
        <color rgb="FFD8D8D8"/>
      </left>
      <right style="thin">
        <color rgb="FF000000"/>
      </right>
      <top style="thin">
        <color rgb="FFD8D8D8"/>
      </top>
      <bottom style="thin">
        <color rgb="FF000000"/>
      </bottom>
      <diagonal/>
    </border>
    <border>
      <left/>
      <right style="thin">
        <color indexed="64"/>
      </right>
      <top/>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s>
  <cellStyleXfs count="1032">
    <xf numFmtId="0" fontId="0" fillId="0" borderId="0"/>
    <xf numFmtId="41" fontId="15" fillId="0" borderId="0" applyFont="0" applyFill="0" applyBorder="0" applyAlignment="0" applyProtection="0"/>
    <xf numFmtId="43" fontId="19" fillId="0" borderId="0" applyFont="0" applyFill="0" applyBorder="0" applyAlignment="0" applyProtection="0"/>
    <xf numFmtId="0" fontId="37" fillId="0" borderId="0" applyNumberFormat="0" applyFill="0" applyBorder="0" applyAlignment="0" applyProtection="0"/>
    <xf numFmtId="0" fontId="14" fillId="0" borderId="0"/>
    <xf numFmtId="9" fontId="14" fillId="0" borderId="0" applyFont="0" applyFill="0" applyBorder="0" applyAlignment="0" applyProtection="0"/>
    <xf numFmtId="41" fontId="14" fillId="0" borderId="0" applyFont="0" applyFill="0" applyBorder="0" applyAlignment="0" applyProtection="0"/>
    <xf numFmtId="0" fontId="57" fillId="0" borderId="0" applyNumberFormat="0" applyFill="0" applyBorder="0" applyAlignment="0" applyProtection="0"/>
    <xf numFmtId="0" fontId="73" fillId="0" borderId="0"/>
    <xf numFmtId="0" fontId="120" fillId="0" borderId="0" applyNumberFormat="0" applyFill="0" applyBorder="0" applyAlignment="0" applyProtection="0"/>
    <xf numFmtId="0" fontId="13" fillId="0" borderId="0"/>
    <xf numFmtId="0" fontId="12" fillId="0" borderId="0"/>
    <xf numFmtId="42" fontId="169" fillId="0" borderId="0" applyFont="0" applyFill="0" applyBorder="0" applyAlignment="0" applyProtection="0"/>
    <xf numFmtId="9" fontId="169" fillId="0" borderId="0" applyFont="0" applyFill="0" applyBorder="0" applyAlignment="0" applyProtection="0"/>
    <xf numFmtId="0" fontId="15" fillId="0" borderId="0"/>
    <xf numFmtId="41" fontId="73" fillId="0" borderId="0" applyFont="0" applyFill="0" applyBorder="0" applyAlignment="0" applyProtection="0"/>
    <xf numFmtId="9" fontId="15" fillId="0" borderId="0" applyFont="0" applyFill="0" applyBorder="0" applyAlignment="0" applyProtection="0"/>
    <xf numFmtId="0" fontId="10" fillId="0" borderId="0"/>
    <xf numFmtId="9" fontId="10" fillId="0" borderId="0" applyFont="0" applyFill="0" applyBorder="0" applyAlignment="0" applyProtection="0"/>
    <xf numFmtId="41" fontId="10" fillId="0" borderId="0" applyFont="0" applyFill="0" applyBorder="0" applyAlignment="0" applyProtection="0"/>
    <xf numFmtId="41"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9" fillId="0" borderId="0"/>
    <xf numFmtId="9" fontId="9" fillId="0" borderId="0" applyFont="0" applyFill="0" applyBorder="0" applyAlignment="0" applyProtection="0"/>
    <xf numFmtId="41" fontId="9" fillId="0" borderId="0" applyFont="0" applyFill="0" applyBorder="0" applyAlignment="0" applyProtection="0"/>
    <xf numFmtId="0" fontId="9" fillId="0" borderId="0"/>
    <xf numFmtId="0" fontId="9" fillId="0" borderId="0"/>
    <xf numFmtId="42" fontId="15" fillId="0" borderId="0" applyFont="0" applyFill="0" applyBorder="0" applyAlignment="0" applyProtection="0"/>
    <xf numFmtId="41" fontId="73" fillId="0" borderId="0" applyFont="0" applyFill="0" applyBorder="0" applyAlignment="0" applyProtection="0"/>
    <xf numFmtId="0" fontId="9" fillId="0" borderId="0"/>
    <xf numFmtId="9" fontId="9" fillId="0" borderId="0" applyFont="0" applyFill="0" applyBorder="0" applyAlignment="0" applyProtection="0"/>
    <xf numFmtId="41" fontId="9"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1"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8" fillId="0" borderId="0"/>
    <xf numFmtId="9" fontId="8" fillId="0" borderId="0" applyFont="0" applyFill="0" applyBorder="0" applyAlignment="0" applyProtection="0"/>
    <xf numFmtId="41" fontId="8" fillId="0" borderId="0" applyFont="0" applyFill="0" applyBorder="0" applyAlignment="0" applyProtection="0"/>
    <xf numFmtId="43" fontId="15" fillId="0" borderId="0" applyFont="0" applyFill="0" applyBorder="0" applyAlignment="0" applyProtection="0"/>
    <xf numFmtId="0" fontId="8" fillId="0" borderId="0"/>
    <xf numFmtId="0" fontId="8" fillId="0" borderId="0"/>
    <xf numFmtId="42" fontId="15" fillId="0" borderId="0" applyFont="0" applyFill="0" applyBorder="0" applyAlignment="0" applyProtection="0"/>
    <xf numFmtId="43" fontId="15" fillId="0" borderId="0" applyFont="0" applyFill="0" applyBorder="0" applyAlignment="0" applyProtection="0"/>
    <xf numFmtId="41" fontId="73" fillId="0" borderId="0" applyFont="0" applyFill="0" applyBorder="0" applyAlignment="0" applyProtection="0"/>
    <xf numFmtId="43" fontId="15" fillId="0" borderId="0" applyFont="0" applyFill="0" applyBorder="0" applyAlignment="0" applyProtection="0"/>
    <xf numFmtId="0" fontId="8" fillId="0" borderId="0"/>
    <xf numFmtId="9" fontId="8" fillId="0" borderId="0" applyFont="0" applyFill="0" applyBorder="0" applyAlignment="0" applyProtection="0"/>
    <xf numFmtId="41" fontId="8" fillId="0" borderId="0" applyFont="0" applyFill="0" applyBorder="0" applyAlignment="0" applyProtection="0"/>
    <xf numFmtId="41"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8" fillId="0" borderId="0"/>
    <xf numFmtId="9" fontId="8" fillId="0" borderId="0" applyFont="0" applyFill="0" applyBorder="0" applyAlignment="0" applyProtection="0"/>
    <xf numFmtId="41" fontId="8" fillId="0" borderId="0" applyFont="0" applyFill="0" applyBorder="0" applyAlignment="0" applyProtection="0"/>
    <xf numFmtId="0" fontId="8" fillId="0" borderId="0"/>
    <xf numFmtId="0" fontId="8" fillId="0" borderId="0"/>
    <xf numFmtId="42" fontId="15" fillId="0" borderId="0" applyFont="0" applyFill="0" applyBorder="0" applyAlignment="0" applyProtection="0"/>
    <xf numFmtId="41" fontId="73" fillId="0" borderId="0" applyFont="0" applyFill="0" applyBorder="0" applyAlignment="0" applyProtection="0"/>
    <xf numFmtId="0" fontId="8" fillId="0" borderId="0"/>
    <xf numFmtId="9" fontId="8" fillId="0" borderId="0" applyFont="0" applyFill="0" applyBorder="0" applyAlignment="0" applyProtection="0"/>
    <xf numFmtId="41" fontId="8"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7" fillId="0" borderId="0"/>
    <xf numFmtId="9" fontId="7" fillId="0" borderId="0" applyFont="0" applyFill="0" applyBorder="0" applyAlignment="0" applyProtection="0"/>
    <xf numFmtId="41" fontId="15" fillId="0" borderId="0" applyFont="0" applyFill="0" applyBorder="0" applyAlignment="0" applyProtection="0"/>
    <xf numFmtId="43" fontId="15" fillId="0" borderId="0" applyFont="0" applyFill="0" applyBorder="0" applyAlignment="0" applyProtection="0"/>
    <xf numFmtId="0" fontId="7" fillId="0" borderId="0"/>
    <xf numFmtId="9" fontId="7" fillId="0" borderId="0" applyFont="0" applyFill="0" applyBorder="0" applyAlignment="0" applyProtection="0"/>
    <xf numFmtId="41" fontId="7" fillId="0" borderId="0" applyFont="0" applyFill="0" applyBorder="0" applyAlignment="0" applyProtection="0"/>
    <xf numFmtId="0" fontId="7" fillId="0" borderId="0"/>
    <xf numFmtId="0" fontId="7" fillId="0" borderId="0"/>
    <xf numFmtId="42" fontId="15" fillId="0" borderId="0" applyFont="0" applyFill="0" applyBorder="0" applyAlignment="0" applyProtection="0"/>
    <xf numFmtId="41" fontId="73" fillId="0" borderId="0" applyFont="0" applyFill="0" applyBorder="0" applyAlignment="0" applyProtection="0"/>
    <xf numFmtId="0" fontId="7" fillId="0" borderId="0"/>
    <xf numFmtId="9" fontId="7" fillId="0" borderId="0" applyFont="0" applyFill="0" applyBorder="0" applyAlignment="0" applyProtection="0"/>
    <xf numFmtId="41" fontId="7" fillId="0" borderId="0" applyFont="0" applyFill="0" applyBorder="0" applyAlignment="0" applyProtection="0"/>
    <xf numFmtId="41"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7" fillId="0" borderId="0"/>
    <xf numFmtId="9" fontId="7" fillId="0" borderId="0" applyFont="0" applyFill="0" applyBorder="0" applyAlignment="0" applyProtection="0"/>
    <xf numFmtId="41" fontId="7" fillId="0" borderId="0" applyFont="0" applyFill="0" applyBorder="0" applyAlignment="0" applyProtection="0"/>
    <xf numFmtId="0" fontId="7" fillId="0" borderId="0"/>
    <xf numFmtId="0" fontId="7" fillId="0" borderId="0"/>
    <xf numFmtId="42" fontId="15" fillId="0" borderId="0" applyFont="0" applyFill="0" applyBorder="0" applyAlignment="0" applyProtection="0"/>
    <xf numFmtId="41" fontId="73" fillId="0" borderId="0" applyFont="0" applyFill="0" applyBorder="0" applyAlignment="0" applyProtection="0"/>
    <xf numFmtId="0" fontId="7" fillId="0" borderId="0"/>
    <xf numFmtId="9" fontId="7" fillId="0" borderId="0" applyFont="0" applyFill="0" applyBorder="0" applyAlignment="0" applyProtection="0"/>
    <xf numFmtId="41" fontId="7"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1" fontId="15" fillId="0" borderId="0" applyFont="0" applyFill="0" applyBorder="0" applyAlignment="0" applyProtection="0"/>
    <xf numFmtId="43" fontId="15" fillId="0" borderId="0" applyFont="0" applyFill="0" applyBorder="0" applyAlignment="0" applyProtection="0"/>
    <xf numFmtId="0" fontId="6" fillId="0" borderId="0"/>
    <xf numFmtId="9" fontId="6" fillId="0" borderId="0" applyFont="0" applyFill="0" applyBorder="0" applyAlignment="0" applyProtection="0"/>
    <xf numFmtId="41" fontId="6" fillId="0" borderId="0" applyFont="0" applyFill="0" applyBorder="0" applyAlignment="0" applyProtection="0"/>
    <xf numFmtId="0" fontId="6" fillId="0" borderId="0"/>
    <xf numFmtId="0" fontId="6" fillId="0" borderId="0"/>
    <xf numFmtId="42" fontId="15" fillId="0" borderId="0" applyFont="0" applyFill="0" applyBorder="0" applyAlignment="0" applyProtection="0"/>
    <xf numFmtId="43" fontId="15" fillId="0" borderId="0" applyFont="0" applyFill="0" applyBorder="0" applyAlignment="0" applyProtection="0"/>
    <xf numFmtId="41" fontId="73" fillId="0" borderId="0" applyFont="0" applyFill="0" applyBorder="0" applyAlignment="0" applyProtection="0"/>
    <xf numFmtId="0" fontId="6" fillId="0" borderId="0"/>
    <xf numFmtId="9" fontId="6" fillId="0" borderId="0" applyFont="0" applyFill="0" applyBorder="0" applyAlignment="0" applyProtection="0"/>
    <xf numFmtId="41" fontId="6" fillId="0" borderId="0" applyFont="0" applyFill="0" applyBorder="0" applyAlignment="0" applyProtection="0"/>
    <xf numFmtId="41"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6" fillId="0" borderId="0"/>
    <xf numFmtId="9" fontId="6" fillId="0" borderId="0" applyFont="0" applyFill="0" applyBorder="0" applyAlignment="0" applyProtection="0"/>
    <xf numFmtId="41" fontId="6" fillId="0" borderId="0" applyFont="0" applyFill="0" applyBorder="0" applyAlignment="0" applyProtection="0"/>
    <xf numFmtId="0" fontId="6" fillId="0" borderId="0"/>
    <xf numFmtId="0" fontId="6" fillId="0" borderId="0"/>
    <xf numFmtId="42" fontId="15" fillId="0" borderId="0" applyFont="0" applyFill="0" applyBorder="0" applyAlignment="0" applyProtection="0"/>
    <xf numFmtId="41" fontId="73" fillId="0" borderId="0" applyFont="0" applyFill="0" applyBorder="0" applyAlignment="0" applyProtection="0"/>
    <xf numFmtId="0" fontId="6" fillId="0" borderId="0"/>
    <xf numFmtId="9" fontId="6" fillId="0" borderId="0" applyFont="0" applyFill="0" applyBorder="0" applyAlignment="0" applyProtection="0"/>
    <xf numFmtId="41" fontId="6"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1"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6" fillId="0" borderId="0"/>
    <xf numFmtId="9" fontId="6" fillId="0" borderId="0" applyFont="0" applyFill="0" applyBorder="0" applyAlignment="0" applyProtection="0"/>
    <xf numFmtId="41" fontId="6" fillId="0" borderId="0" applyFont="0" applyFill="0" applyBorder="0" applyAlignment="0" applyProtection="0"/>
    <xf numFmtId="43" fontId="15" fillId="0" borderId="0" applyFont="0" applyFill="0" applyBorder="0" applyAlignment="0" applyProtection="0"/>
    <xf numFmtId="0" fontId="6" fillId="0" borderId="0"/>
    <xf numFmtId="0" fontId="6" fillId="0" borderId="0"/>
    <xf numFmtId="42" fontId="15" fillId="0" borderId="0" applyFont="0" applyFill="0" applyBorder="0" applyAlignment="0" applyProtection="0"/>
    <xf numFmtId="43" fontId="15" fillId="0" borderId="0" applyFont="0" applyFill="0" applyBorder="0" applyAlignment="0" applyProtection="0"/>
    <xf numFmtId="41" fontId="73" fillId="0" borderId="0" applyFont="0" applyFill="0" applyBorder="0" applyAlignment="0" applyProtection="0"/>
    <xf numFmtId="43" fontId="15" fillId="0" borderId="0" applyFont="0" applyFill="0" applyBorder="0" applyAlignment="0" applyProtection="0"/>
    <xf numFmtId="0" fontId="6" fillId="0" borderId="0"/>
    <xf numFmtId="9" fontId="6" fillId="0" borderId="0" applyFont="0" applyFill="0" applyBorder="0" applyAlignment="0" applyProtection="0"/>
    <xf numFmtId="41" fontId="6" fillId="0" borderId="0" applyFont="0" applyFill="0" applyBorder="0" applyAlignment="0" applyProtection="0"/>
    <xf numFmtId="41"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6" fillId="0" borderId="0"/>
    <xf numFmtId="9" fontId="6" fillId="0" borderId="0" applyFont="0" applyFill="0" applyBorder="0" applyAlignment="0" applyProtection="0"/>
    <xf numFmtId="41" fontId="6" fillId="0" borderId="0" applyFont="0" applyFill="0" applyBorder="0" applyAlignment="0" applyProtection="0"/>
    <xf numFmtId="0" fontId="6" fillId="0" borderId="0"/>
    <xf numFmtId="0" fontId="6" fillId="0" borderId="0"/>
    <xf numFmtId="42" fontId="15" fillId="0" borderId="0" applyFont="0" applyFill="0" applyBorder="0" applyAlignment="0" applyProtection="0"/>
    <xf numFmtId="41" fontId="73" fillId="0" borderId="0" applyFont="0" applyFill="0" applyBorder="0" applyAlignment="0" applyProtection="0"/>
    <xf numFmtId="0" fontId="6" fillId="0" borderId="0"/>
    <xf numFmtId="9" fontId="6" fillId="0" borderId="0" applyFont="0" applyFill="0" applyBorder="0" applyAlignment="0" applyProtection="0"/>
    <xf numFmtId="41" fontId="6"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6" fillId="0" borderId="0"/>
    <xf numFmtId="9" fontId="6" fillId="0" borderId="0" applyFont="0" applyFill="0" applyBorder="0" applyAlignment="0" applyProtection="0"/>
    <xf numFmtId="41" fontId="15" fillId="0" borderId="0" applyFont="0" applyFill="0" applyBorder="0" applyAlignment="0" applyProtection="0"/>
    <xf numFmtId="43" fontId="15" fillId="0" borderId="0" applyFont="0" applyFill="0" applyBorder="0" applyAlignment="0" applyProtection="0"/>
    <xf numFmtId="0" fontId="6" fillId="0" borderId="0"/>
    <xf numFmtId="9" fontId="6" fillId="0" borderId="0" applyFont="0" applyFill="0" applyBorder="0" applyAlignment="0" applyProtection="0"/>
    <xf numFmtId="41" fontId="6" fillId="0" borderId="0" applyFont="0" applyFill="0" applyBorder="0" applyAlignment="0" applyProtection="0"/>
    <xf numFmtId="0" fontId="6" fillId="0" borderId="0"/>
    <xf numFmtId="0" fontId="6" fillId="0" borderId="0"/>
    <xf numFmtId="42" fontId="15" fillId="0" borderId="0" applyFont="0" applyFill="0" applyBorder="0" applyAlignment="0" applyProtection="0"/>
    <xf numFmtId="41" fontId="73" fillId="0" borderId="0" applyFont="0" applyFill="0" applyBorder="0" applyAlignment="0" applyProtection="0"/>
    <xf numFmtId="0" fontId="6" fillId="0" borderId="0"/>
    <xf numFmtId="9" fontId="6" fillId="0" borderId="0" applyFont="0" applyFill="0" applyBorder="0" applyAlignment="0" applyProtection="0"/>
    <xf numFmtId="41" fontId="6" fillId="0" borderId="0" applyFont="0" applyFill="0" applyBorder="0" applyAlignment="0" applyProtection="0"/>
    <xf numFmtId="41"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6" fillId="0" borderId="0"/>
    <xf numFmtId="9" fontId="6" fillId="0" borderId="0" applyFont="0" applyFill="0" applyBorder="0" applyAlignment="0" applyProtection="0"/>
    <xf numFmtId="41" fontId="6" fillId="0" borderId="0" applyFont="0" applyFill="0" applyBorder="0" applyAlignment="0" applyProtection="0"/>
    <xf numFmtId="0" fontId="6" fillId="0" borderId="0"/>
    <xf numFmtId="0" fontId="6" fillId="0" borderId="0"/>
    <xf numFmtId="42" fontId="15" fillId="0" borderId="0" applyFont="0" applyFill="0" applyBorder="0" applyAlignment="0" applyProtection="0"/>
    <xf numFmtId="41" fontId="73" fillId="0" borderId="0" applyFont="0" applyFill="0" applyBorder="0" applyAlignment="0" applyProtection="0"/>
    <xf numFmtId="0" fontId="6" fillId="0" borderId="0"/>
    <xf numFmtId="9" fontId="6" fillId="0" borderId="0" applyFont="0" applyFill="0" applyBorder="0" applyAlignment="0" applyProtection="0"/>
    <xf numFmtId="41" fontId="6"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1" fontId="15" fillId="0" borderId="0" applyFont="0" applyFill="0" applyBorder="0" applyAlignment="0" applyProtection="0"/>
    <xf numFmtId="43" fontId="15" fillId="0" borderId="0" applyFont="0" applyFill="0" applyBorder="0" applyAlignment="0" applyProtection="0"/>
    <xf numFmtId="0" fontId="5" fillId="0" borderId="0"/>
    <xf numFmtId="9" fontId="5" fillId="0" borderId="0" applyFont="0" applyFill="0" applyBorder="0" applyAlignment="0" applyProtection="0"/>
    <xf numFmtId="41" fontId="5" fillId="0" borderId="0" applyFont="0" applyFill="0" applyBorder="0" applyAlignment="0" applyProtection="0"/>
    <xf numFmtId="0" fontId="5" fillId="0" borderId="0"/>
    <xf numFmtId="0" fontId="5" fillId="0" borderId="0"/>
    <xf numFmtId="42" fontId="15" fillId="0" borderId="0" applyFont="0" applyFill="0" applyBorder="0" applyAlignment="0" applyProtection="0"/>
    <xf numFmtId="43" fontId="15" fillId="0" borderId="0" applyFont="0" applyFill="0" applyBorder="0" applyAlignment="0" applyProtection="0"/>
    <xf numFmtId="41" fontId="73" fillId="0" borderId="0" applyFont="0" applyFill="0" applyBorder="0" applyAlignment="0" applyProtection="0"/>
    <xf numFmtId="0" fontId="5" fillId="0" borderId="0"/>
    <xf numFmtId="9" fontId="5" fillId="0" borderId="0" applyFont="0" applyFill="0" applyBorder="0" applyAlignment="0" applyProtection="0"/>
    <xf numFmtId="41" fontId="5" fillId="0" borderId="0" applyFont="0" applyFill="0" applyBorder="0" applyAlignment="0" applyProtection="0"/>
    <xf numFmtId="41"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5" fillId="0" borderId="0"/>
    <xf numFmtId="9" fontId="5" fillId="0" borderId="0" applyFont="0" applyFill="0" applyBorder="0" applyAlignment="0" applyProtection="0"/>
    <xf numFmtId="41" fontId="5" fillId="0" borderId="0" applyFont="0" applyFill="0" applyBorder="0" applyAlignment="0" applyProtection="0"/>
    <xf numFmtId="0" fontId="5" fillId="0" borderId="0"/>
    <xf numFmtId="0" fontId="5" fillId="0" borderId="0"/>
    <xf numFmtId="42" fontId="15" fillId="0" borderId="0" applyFont="0" applyFill="0" applyBorder="0" applyAlignment="0" applyProtection="0"/>
    <xf numFmtId="41" fontId="73" fillId="0" borderId="0" applyFont="0" applyFill="0" applyBorder="0" applyAlignment="0" applyProtection="0"/>
    <xf numFmtId="0" fontId="5" fillId="0" borderId="0"/>
    <xf numFmtId="9" fontId="5" fillId="0" borderId="0" applyFont="0" applyFill="0" applyBorder="0" applyAlignment="0" applyProtection="0"/>
    <xf numFmtId="41" fontId="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1"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5" fillId="0" borderId="0"/>
    <xf numFmtId="9" fontId="5" fillId="0" borderId="0" applyFont="0" applyFill="0" applyBorder="0" applyAlignment="0" applyProtection="0"/>
    <xf numFmtId="41" fontId="5" fillId="0" borderId="0" applyFont="0" applyFill="0" applyBorder="0" applyAlignment="0" applyProtection="0"/>
    <xf numFmtId="43" fontId="15" fillId="0" borderId="0" applyFont="0" applyFill="0" applyBorder="0" applyAlignment="0" applyProtection="0"/>
    <xf numFmtId="0" fontId="5" fillId="0" borderId="0"/>
    <xf numFmtId="0" fontId="5" fillId="0" borderId="0"/>
    <xf numFmtId="42" fontId="15" fillId="0" borderId="0" applyFont="0" applyFill="0" applyBorder="0" applyAlignment="0" applyProtection="0"/>
    <xf numFmtId="43" fontId="15" fillId="0" borderId="0" applyFont="0" applyFill="0" applyBorder="0" applyAlignment="0" applyProtection="0"/>
    <xf numFmtId="41" fontId="73" fillId="0" borderId="0" applyFont="0" applyFill="0" applyBorder="0" applyAlignment="0" applyProtection="0"/>
    <xf numFmtId="43" fontId="15" fillId="0" borderId="0" applyFont="0" applyFill="0" applyBorder="0" applyAlignment="0" applyProtection="0"/>
    <xf numFmtId="0" fontId="5" fillId="0" borderId="0"/>
    <xf numFmtId="9" fontId="5" fillId="0" borderId="0" applyFont="0" applyFill="0" applyBorder="0" applyAlignment="0" applyProtection="0"/>
    <xf numFmtId="41" fontId="5" fillId="0" borderId="0" applyFont="0" applyFill="0" applyBorder="0" applyAlignment="0" applyProtection="0"/>
    <xf numFmtId="41"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5" fillId="0" borderId="0"/>
    <xf numFmtId="9" fontId="5" fillId="0" borderId="0" applyFont="0" applyFill="0" applyBorder="0" applyAlignment="0" applyProtection="0"/>
    <xf numFmtId="41" fontId="5" fillId="0" borderId="0" applyFont="0" applyFill="0" applyBorder="0" applyAlignment="0" applyProtection="0"/>
    <xf numFmtId="0" fontId="5" fillId="0" borderId="0"/>
    <xf numFmtId="0" fontId="5" fillId="0" borderId="0"/>
    <xf numFmtId="42" fontId="15" fillId="0" borderId="0" applyFont="0" applyFill="0" applyBorder="0" applyAlignment="0" applyProtection="0"/>
    <xf numFmtId="41" fontId="73" fillId="0" borderId="0" applyFont="0" applyFill="0" applyBorder="0" applyAlignment="0" applyProtection="0"/>
    <xf numFmtId="0" fontId="5" fillId="0" borderId="0"/>
    <xf numFmtId="9" fontId="5" fillId="0" borderId="0" applyFont="0" applyFill="0" applyBorder="0" applyAlignment="0" applyProtection="0"/>
    <xf numFmtId="41" fontId="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5" fillId="0" borderId="0"/>
    <xf numFmtId="9" fontId="5" fillId="0" borderId="0" applyFont="0" applyFill="0" applyBorder="0" applyAlignment="0" applyProtection="0"/>
    <xf numFmtId="41" fontId="15" fillId="0" borderId="0" applyFont="0" applyFill="0" applyBorder="0" applyAlignment="0" applyProtection="0"/>
    <xf numFmtId="43" fontId="15" fillId="0" borderId="0" applyFont="0" applyFill="0" applyBorder="0" applyAlignment="0" applyProtection="0"/>
    <xf numFmtId="0" fontId="5" fillId="0" borderId="0"/>
    <xf numFmtId="9" fontId="5" fillId="0" borderId="0" applyFont="0" applyFill="0" applyBorder="0" applyAlignment="0" applyProtection="0"/>
    <xf numFmtId="41" fontId="5" fillId="0" borderId="0" applyFont="0" applyFill="0" applyBorder="0" applyAlignment="0" applyProtection="0"/>
    <xf numFmtId="0" fontId="5" fillId="0" borderId="0"/>
    <xf numFmtId="0" fontId="5" fillId="0" borderId="0"/>
    <xf numFmtId="42" fontId="15" fillId="0" borderId="0" applyFont="0" applyFill="0" applyBorder="0" applyAlignment="0" applyProtection="0"/>
    <xf numFmtId="41" fontId="73" fillId="0" borderId="0" applyFont="0" applyFill="0" applyBorder="0" applyAlignment="0" applyProtection="0"/>
    <xf numFmtId="0" fontId="5" fillId="0" borderId="0"/>
    <xf numFmtId="9" fontId="5" fillId="0" borderId="0" applyFont="0" applyFill="0" applyBorder="0" applyAlignment="0" applyProtection="0"/>
    <xf numFmtId="41" fontId="5" fillId="0" borderId="0" applyFont="0" applyFill="0" applyBorder="0" applyAlignment="0" applyProtection="0"/>
    <xf numFmtId="41"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5" fillId="0" borderId="0"/>
    <xf numFmtId="9" fontId="5" fillId="0" borderId="0" applyFont="0" applyFill="0" applyBorder="0" applyAlignment="0" applyProtection="0"/>
    <xf numFmtId="41" fontId="5" fillId="0" borderId="0" applyFont="0" applyFill="0" applyBorder="0" applyAlignment="0" applyProtection="0"/>
    <xf numFmtId="0" fontId="5" fillId="0" borderId="0"/>
    <xf numFmtId="0" fontId="5" fillId="0" borderId="0"/>
    <xf numFmtId="42" fontId="15" fillId="0" borderId="0" applyFont="0" applyFill="0" applyBorder="0" applyAlignment="0" applyProtection="0"/>
    <xf numFmtId="41" fontId="73" fillId="0" borderId="0" applyFont="0" applyFill="0" applyBorder="0" applyAlignment="0" applyProtection="0"/>
    <xf numFmtId="0" fontId="5" fillId="0" borderId="0"/>
    <xf numFmtId="9" fontId="5" fillId="0" borderId="0" applyFont="0" applyFill="0" applyBorder="0" applyAlignment="0" applyProtection="0"/>
    <xf numFmtId="41" fontId="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1" fontId="15" fillId="0" borderId="0" applyFont="0" applyFill="0" applyBorder="0" applyAlignment="0" applyProtection="0"/>
    <xf numFmtId="43" fontId="15" fillId="0" borderId="0" applyFont="0" applyFill="0" applyBorder="0" applyAlignment="0" applyProtection="0"/>
    <xf numFmtId="0" fontId="5" fillId="0" borderId="0"/>
    <xf numFmtId="9" fontId="5" fillId="0" borderId="0" applyFont="0" applyFill="0" applyBorder="0" applyAlignment="0" applyProtection="0"/>
    <xf numFmtId="41" fontId="5" fillId="0" borderId="0" applyFont="0" applyFill="0" applyBorder="0" applyAlignment="0" applyProtection="0"/>
    <xf numFmtId="0" fontId="5" fillId="0" borderId="0"/>
    <xf numFmtId="0" fontId="5" fillId="0" borderId="0"/>
    <xf numFmtId="42" fontId="15" fillId="0" borderId="0" applyFont="0" applyFill="0" applyBorder="0" applyAlignment="0" applyProtection="0"/>
    <xf numFmtId="43" fontId="15" fillId="0" borderId="0" applyFont="0" applyFill="0" applyBorder="0" applyAlignment="0" applyProtection="0"/>
    <xf numFmtId="41" fontId="73" fillId="0" borderId="0" applyFont="0" applyFill="0" applyBorder="0" applyAlignment="0" applyProtection="0"/>
    <xf numFmtId="0" fontId="5" fillId="0" borderId="0"/>
    <xf numFmtId="9" fontId="5" fillId="0" borderId="0" applyFont="0" applyFill="0" applyBorder="0" applyAlignment="0" applyProtection="0"/>
    <xf numFmtId="41" fontId="5" fillId="0" borderId="0" applyFont="0" applyFill="0" applyBorder="0" applyAlignment="0" applyProtection="0"/>
    <xf numFmtId="41"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5" fillId="0" borderId="0"/>
    <xf numFmtId="9" fontId="5" fillId="0" borderId="0" applyFont="0" applyFill="0" applyBorder="0" applyAlignment="0" applyProtection="0"/>
    <xf numFmtId="41" fontId="5" fillId="0" borderId="0" applyFont="0" applyFill="0" applyBorder="0" applyAlignment="0" applyProtection="0"/>
    <xf numFmtId="0" fontId="5" fillId="0" borderId="0"/>
    <xf numFmtId="0" fontId="5" fillId="0" borderId="0"/>
    <xf numFmtId="42" fontId="15" fillId="0" borderId="0" applyFont="0" applyFill="0" applyBorder="0" applyAlignment="0" applyProtection="0"/>
    <xf numFmtId="41" fontId="73" fillId="0" borderId="0" applyFont="0" applyFill="0" applyBorder="0" applyAlignment="0" applyProtection="0"/>
    <xf numFmtId="0" fontId="5" fillId="0" borderId="0"/>
    <xf numFmtId="9" fontId="5" fillId="0" borderId="0" applyFont="0" applyFill="0" applyBorder="0" applyAlignment="0" applyProtection="0"/>
    <xf numFmtId="41" fontId="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1"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5" fillId="0" borderId="0"/>
    <xf numFmtId="9" fontId="5" fillId="0" borderId="0" applyFont="0" applyFill="0" applyBorder="0" applyAlignment="0" applyProtection="0"/>
    <xf numFmtId="41" fontId="5" fillId="0" borderId="0" applyFont="0" applyFill="0" applyBorder="0" applyAlignment="0" applyProtection="0"/>
    <xf numFmtId="43" fontId="15" fillId="0" borderId="0" applyFont="0" applyFill="0" applyBorder="0" applyAlignment="0" applyProtection="0"/>
    <xf numFmtId="0" fontId="5" fillId="0" borderId="0"/>
    <xf numFmtId="0" fontId="5" fillId="0" borderId="0"/>
    <xf numFmtId="42" fontId="15" fillId="0" borderId="0" applyFont="0" applyFill="0" applyBorder="0" applyAlignment="0" applyProtection="0"/>
    <xf numFmtId="43" fontId="15" fillId="0" borderId="0" applyFont="0" applyFill="0" applyBorder="0" applyAlignment="0" applyProtection="0"/>
    <xf numFmtId="41" fontId="73" fillId="0" borderId="0" applyFont="0" applyFill="0" applyBorder="0" applyAlignment="0" applyProtection="0"/>
    <xf numFmtId="43" fontId="15" fillId="0" borderId="0" applyFont="0" applyFill="0" applyBorder="0" applyAlignment="0" applyProtection="0"/>
    <xf numFmtId="0" fontId="5" fillId="0" borderId="0"/>
    <xf numFmtId="9" fontId="5" fillId="0" borderId="0" applyFont="0" applyFill="0" applyBorder="0" applyAlignment="0" applyProtection="0"/>
    <xf numFmtId="41" fontId="5" fillId="0" borderId="0" applyFont="0" applyFill="0" applyBorder="0" applyAlignment="0" applyProtection="0"/>
    <xf numFmtId="41"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5" fillId="0" borderId="0"/>
    <xf numFmtId="9" fontId="5" fillId="0" borderId="0" applyFont="0" applyFill="0" applyBorder="0" applyAlignment="0" applyProtection="0"/>
    <xf numFmtId="41" fontId="5" fillId="0" borderId="0" applyFont="0" applyFill="0" applyBorder="0" applyAlignment="0" applyProtection="0"/>
    <xf numFmtId="0" fontId="5" fillId="0" borderId="0"/>
    <xf numFmtId="0" fontId="5" fillId="0" borderId="0"/>
    <xf numFmtId="42" fontId="15" fillId="0" borderId="0" applyFont="0" applyFill="0" applyBorder="0" applyAlignment="0" applyProtection="0"/>
    <xf numFmtId="41" fontId="73" fillId="0" borderId="0" applyFont="0" applyFill="0" applyBorder="0" applyAlignment="0" applyProtection="0"/>
    <xf numFmtId="0" fontId="5" fillId="0" borderId="0"/>
    <xf numFmtId="9" fontId="5" fillId="0" borderId="0" applyFont="0" applyFill="0" applyBorder="0" applyAlignment="0" applyProtection="0"/>
    <xf numFmtId="41" fontId="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5" fillId="0" borderId="0"/>
    <xf numFmtId="9" fontId="5" fillId="0" borderId="0" applyFont="0" applyFill="0" applyBorder="0" applyAlignment="0" applyProtection="0"/>
    <xf numFmtId="41" fontId="15" fillId="0" borderId="0" applyFont="0" applyFill="0" applyBorder="0" applyAlignment="0" applyProtection="0"/>
    <xf numFmtId="43" fontId="15" fillId="0" borderId="0" applyFont="0" applyFill="0" applyBorder="0" applyAlignment="0" applyProtection="0"/>
    <xf numFmtId="0" fontId="5" fillId="0" borderId="0"/>
    <xf numFmtId="9" fontId="5" fillId="0" borderId="0" applyFont="0" applyFill="0" applyBorder="0" applyAlignment="0" applyProtection="0"/>
    <xf numFmtId="41" fontId="5" fillId="0" borderId="0" applyFont="0" applyFill="0" applyBorder="0" applyAlignment="0" applyProtection="0"/>
    <xf numFmtId="0" fontId="5" fillId="0" borderId="0"/>
    <xf numFmtId="0" fontId="5" fillId="0" borderId="0"/>
    <xf numFmtId="42" fontId="15" fillId="0" borderId="0" applyFont="0" applyFill="0" applyBorder="0" applyAlignment="0" applyProtection="0"/>
    <xf numFmtId="41" fontId="73" fillId="0" borderId="0" applyFont="0" applyFill="0" applyBorder="0" applyAlignment="0" applyProtection="0"/>
    <xf numFmtId="0" fontId="5" fillId="0" borderId="0"/>
    <xf numFmtId="9" fontId="5" fillId="0" borderId="0" applyFont="0" applyFill="0" applyBorder="0" applyAlignment="0" applyProtection="0"/>
    <xf numFmtId="41" fontId="5" fillId="0" borderId="0" applyFont="0" applyFill="0" applyBorder="0" applyAlignment="0" applyProtection="0"/>
    <xf numFmtId="41"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5" fillId="0" borderId="0"/>
    <xf numFmtId="9" fontId="5" fillId="0" borderId="0" applyFont="0" applyFill="0" applyBorder="0" applyAlignment="0" applyProtection="0"/>
    <xf numFmtId="41" fontId="5" fillId="0" borderId="0" applyFont="0" applyFill="0" applyBorder="0" applyAlignment="0" applyProtection="0"/>
    <xf numFmtId="0" fontId="5" fillId="0" borderId="0"/>
    <xf numFmtId="0" fontId="5" fillId="0" borderId="0"/>
    <xf numFmtId="42" fontId="15" fillId="0" borderId="0" applyFont="0" applyFill="0" applyBorder="0" applyAlignment="0" applyProtection="0"/>
    <xf numFmtId="41" fontId="73" fillId="0" borderId="0" applyFont="0" applyFill="0" applyBorder="0" applyAlignment="0" applyProtection="0"/>
    <xf numFmtId="0" fontId="5" fillId="0" borderId="0"/>
    <xf numFmtId="9" fontId="5" fillId="0" borderId="0" applyFont="0" applyFill="0" applyBorder="0" applyAlignment="0" applyProtection="0"/>
    <xf numFmtId="41" fontId="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1" fontId="15" fillId="0" borderId="0" applyFont="0" applyFill="0" applyBorder="0" applyAlignment="0" applyProtection="0"/>
    <xf numFmtId="43" fontId="15" fillId="0" borderId="0" applyFont="0" applyFill="0" applyBorder="0" applyAlignment="0" applyProtection="0"/>
    <xf numFmtId="0" fontId="4" fillId="0" borderId="0"/>
    <xf numFmtId="9" fontId="4" fillId="0" borderId="0" applyFont="0" applyFill="0" applyBorder="0" applyAlignment="0" applyProtection="0"/>
    <xf numFmtId="41" fontId="4" fillId="0" borderId="0" applyFont="0" applyFill="0" applyBorder="0" applyAlignment="0" applyProtection="0"/>
    <xf numFmtId="0" fontId="4" fillId="0" borderId="0"/>
    <xf numFmtId="0" fontId="4" fillId="0" borderId="0"/>
    <xf numFmtId="42" fontId="15" fillId="0" borderId="0" applyFont="0" applyFill="0" applyBorder="0" applyAlignment="0" applyProtection="0"/>
    <xf numFmtId="41" fontId="73" fillId="0" borderId="0" applyFont="0" applyFill="0" applyBorder="0" applyAlignment="0" applyProtection="0"/>
    <xf numFmtId="0" fontId="4" fillId="0" borderId="0"/>
    <xf numFmtId="9" fontId="4" fillId="0" borderId="0" applyFont="0" applyFill="0" applyBorder="0" applyAlignment="0" applyProtection="0"/>
    <xf numFmtId="41" fontId="4" fillId="0" borderId="0" applyFont="0" applyFill="0" applyBorder="0" applyAlignment="0" applyProtection="0"/>
    <xf numFmtId="41"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4" fillId="0" borderId="0"/>
    <xf numFmtId="9" fontId="4" fillId="0" borderId="0" applyFont="0" applyFill="0" applyBorder="0" applyAlignment="0" applyProtection="0"/>
    <xf numFmtId="41" fontId="4" fillId="0" borderId="0" applyFont="0" applyFill="0" applyBorder="0" applyAlignment="0" applyProtection="0"/>
    <xf numFmtId="0" fontId="4" fillId="0" borderId="0"/>
    <xf numFmtId="0" fontId="4" fillId="0" borderId="0"/>
    <xf numFmtId="42" fontId="15" fillId="0" borderId="0" applyFont="0" applyFill="0" applyBorder="0" applyAlignment="0" applyProtection="0"/>
    <xf numFmtId="41" fontId="73" fillId="0" borderId="0" applyFont="0" applyFill="0" applyBorder="0" applyAlignment="0" applyProtection="0"/>
    <xf numFmtId="0" fontId="4" fillId="0" borderId="0"/>
    <xf numFmtId="9" fontId="4" fillId="0" borderId="0" applyFont="0" applyFill="0" applyBorder="0" applyAlignment="0" applyProtection="0"/>
    <xf numFmtId="41" fontId="4"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1" fontId="15" fillId="0" borderId="0" applyFont="0" applyFill="0" applyBorder="0" applyAlignment="0" applyProtection="0"/>
    <xf numFmtId="43" fontId="15" fillId="0" borderId="0" applyFont="0" applyFill="0" applyBorder="0" applyAlignment="0" applyProtection="0"/>
    <xf numFmtId="0" fontId="3" fillId="0" borderId="0"/>
    <xf numFmtId="9" fontId="3" fillId="0" borderId="0" applyFont="0" applyFill="0" applyBorder="0" applyAlignment="0" applyProtection="0"/>
    <xf numFmtId="41" fontId="3" fillId="0" borderId="0" applyFont="0" applyFill="0" applyBorder="0" applyAlignment="0" applyProtection="0"/>
    <xf numFmtId="0" fontId="3" fillId="0" borderId="0"/>
    <xf numFmtId="0" fontId="3" fillId="0" borderId="0"/>
    <xf numFmtId="42" fontId="15" fillId="0" borderId="0" applyFont="0" applyFill="0" applyBorder="0" applyAlignment="0" applyProtection="0"/>
    <xf numFmtId="41" fontId="73" fillId="0" borderId="0" applyFont="0" applyFill="0" applyBorder="0" applyAlignment="0" applyProtection="0"/>
    <xf numFmtId="0" fontId="3" fillId="0" borderId="0"/>
    <xf numFmtId="9" fontId="3" fillId="0" borderId="0" applyFont="0" applyFill="0" applyBorder="0" applyAlignment="0" applyProtection="0"/>
    <xf numFmtId="41" fontId="3" fillId="0" borderId="0" applyFont="0" applyFill="0" applyBorder="0" applyAlignment="0" applyProtection="0"/>
    <xf numFmtId="41"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3" fillId="0" borderId="0"/>
    <xf numFmtId="9" fontId="3" fillId="0" borderId="0" applyFont="0" applyFill="0" applyBorder="0" applyAlignment="0" applyProtection="0"/>
    <xf numFmtId="41" fontId="3" fillId="0" borderId="0" applyFont="0" applyFill="0" applyBorder="0" applyAlignment="0" applyProtection="0"/>
    <xf numFmtId="0" fontId="3" fillId="0" borderId="0"/>
    <xf numFmtId="0" fontId="3" fillId="0" borderId="0"/>
    <xf numFmtId="42" fontId="15" fillId="0" borderId="0" applyFont="0" applyFill="0" applyBorder="0" applyAlignment="0" applyProtection="0"/>
    <xf numFmtId="41" fontId="73" fillId="0" borderId="0" applyFont="0" applyFill="0" applyBorder="0" applyAlignment="0" applyProtection="0"/>
    <xf numFmtId="0" fontId="3" fillId="0" borderId="0"/>
    <xf numFmtId="9" fontId="3" fillId="0" borderId="0" applyFont="0" applyFill="0" applyBorder="0" applyAlignment="0" applyProtection="0"/>
    <xf numFmtId="41" fontId="3"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1"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3" fillId="0" borderId="0"/>
    <xf numFmtId="9" fontId="3" fillId="0" borderId="0" applyFont="0" applyFill="0" applyBorder="0" applyAlignment="0" applyProtection="0"/>
    <xf numFmtId="41" fontId="3" fillId="0" borderId="0" applyFont="0" applyFill="0" applyBorder="0" applyAlignment="0" applyProtection="0"/>
    <xf numFmtId="43" fontId="15" fillId="0" borderId="0" applyFont="0" applyFill="0" applyBorder="0" applyAlignment="0" applyProtection="0"/>
    <xf numFmtId="0" fontId="3" fillId="0" borderId="0"/>
    <xf numFmtId="0" fontId="3" fillId="0" borderId="0"/>
    <xf numFmtId="42" fontId="15" fillId="0" borderId="0" applyFont="0" applyFill="0" applyBorder="0" applyAlignment="0" applyProtection="0"/>
    <xf numFmtId="43" fontId="15" fillId="0" borderId="0" applyFont="0" applyFill="0" applyBorder="0" applyAlignment="0" applyProtection="0"/>
    <xf numFmtId="41" fontId="73" fillId="0" borderId="0" applyFont="0" applyFill="0" applyBorder="0" applyAlignment="0" applyProtection="0"/>
    <xf numFmtId="43" fontId="15" fillId="0" borderId="0" applyFont="0" applyFill="0" applyBorder="0" applyAlignment="0" applyProtection="0"/>
    <xf numFmtId="0" fontId="3" fillId="0" borderId="0"/>
    <xf numFmtId="9" fontId="3" fillId="0" borderId="0" applyFont="0" applyFill="0" applyBorder="0" applyAlignment="0" applyProtection="0"/>
    <xf numFmtId="41" fontId="3" fillId="0" borderId="0" applyFont="0" applyFill="0" applyBorder="0" applyAlignment="0" applyProtection="0"/>
    <xf numFmtId="41"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3" fillId="0" borderId="0"/>
    <xf numFmtId="9" fontId="3" fillId="0" borderId="0" applyFont="0" applyFill="0" applyBorder="0" applyAlignment="0" applyProtection="0"/>
    <xf numFmtId="41" fontId="3" fillId="0" borderId="0" applyFont="0" applyFill="0" applyBorder="0" applyAlignment="0" applyProtection="0"/>
    <xf numFmtId="0" fontId="3" fillId="0" borderId="0"/>
    <xf numFmtId="0" fontId="3" fillId="0" borderId="0"/>
    <xf numFmtId="42" fontId="15" fillId="0" borderId="0" applyFont="0" applyFill="0" applyBorder="0" applyAlignment="0" applyProtection="0"/>
    <xf numFmtId="41" fontId="73" fillId="0" borderId="0" applyFont="0" applyFill="0" applyBorder="0" applyAlignment="0" applyProtection="0"/>
    <xf numFmtId="0" fontId="3" fillId="0" borderId="0"/>
    <xf numFmtId="9" fontId="3" fillId="0" borderId="0" applyFont="0" applyFill="0" applyBorder="0" applyAlignment="0" applyProtection="0"/>
    <xf numFmtId="41" fontId="3"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3" fillId="0" borderId="0"/>
    <xf numFmtId="9" fontId="3" fillId="0" borderId="0" applyFont="0" applyFill="0" applyBorder="0" applyAlignment="0" applyProtection="0"/>
    <xf numFmtId="41" fontId="15" fillId="0" borderId="0" applyFont="0" applyFill="0" applyBorder="0" applyAlignment="0" applyProtection="0"/>
    <xf numFmtId="43" fontId="15" fillId="0" borderId="0" applyFont="0" applyFill="0" applyBorder="0" applyAlignment="0" applyProtection="0"/>
    <xf numFmtId="0" fontId="3" fillId="0" borderId="0"/>
    <xf numFmtId="9" fontId="3" fillId="0" borderId="0" applyFont="0" applyFill="0" applyBorder="0" applyAlignment="0" applyProtection="0"/>
    <xf numFmtId="41" fontId="3" fillId="0" borderId="0" applyFont="0" applyFill="0" applyBorder="0" applyAlignment="0" applyProtection="0"/>
    <xf numFmtId="0" fontId="3" fillId="0" borderId="0"/>
    <xf numFmtId="0" fontId="3" fillId="0" borderId="0"/>
    <xf numFmtId="42" fontId="15" fillId="0" borderId="0" applyFont="0" applyFill="0" applyBorder="0" applyAlignment="0" applyProtection="0"/>
    <xf numFmtId="41" fontId="73" fillId="0" borderId="0" applyFont="0" applyFill="0" applyBorder="0" applyAlignment="0" applyProtection="0"/>
    <xf numFmtId="0" fontId="3" fillId="0" borderId="0"/>
    <xf numFmtId="9" fontId="3" fillId="0" borderId="0" applyFont="0" applyFill="0" applyBorder="0" applyAlignment="0" applyProtection="0"/>
    <xf numFmtId="41" fontId="3" fillId="0" borderId="0" applyFont="0" applyFill="0" applyBorder="0" applyAlignment="0" applyProtection="0"/>
    <xf numFmtId="41"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3" fillId="0" borderId="0"/>
    <xf numFmtId="9" fontId="3" fillId="0" borderId="0" applyFont="0" applyFill="0" applyBorder="0" applyAlignment="0" applyProtection="0"/>
    <xf numFmtId="41" fontId="3" fillId="0" borderId="0" applyFont="0" applyFill="0" applyBorder="0" applyAlignment="0" applyProtection="0"/>
    <xf numFmtId="0" fontId="3" fillId="0" borderId="0"/>
    <xf numFmtId="0" fontId="3" fillId="0" borderId="0"/>
    <xf numFmtId="42" fontId="15" fillId="0" borderId="0" applyFont="0" applyFill="0" applyBorder="0" applyAlignment="0" applyProtection="0"/>
    <xf numFmtId="41" fontId="73" fillId="0" borderId="0" applyFont="0" applyFill="0" applyBorder="0" applyAlignment="0" applyProtection="0"/>
    <xf numFmtId="0" fontId="3" fillId="0" borderId="0"/>
    <xf numFmtId="9" fontId="3" fillId="0" borderId="0" applyFont="0" applyFill="0" applyBorder="0" applyAlignment="0" applyProtection="0"/>
    <xf numFmtId="41" fontId="3"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1" fontId="15" fillId="0" borderId="0" applyFont="0" applyFill="0" applyBorder="0" applyAlignment="0" applyProtection="0"/>
    <xf numFmtId="43" fontId="15" fillId="0" borderId="0" applyFont="0" applyFill="0" applyBorder="0" applyAlignment="0" applyProtection="0"/>
    <xf numFmtId="0" fontId="3" fillId="0" borderId="0"/>
    <xf numFmtId="9" fontId="3" fillId="0" borderId="0" applyFont="0" applyFill="0" applyBorder="0" applyAlignment="0" applyProtection="0"/>
    <xf numFmtId="41" fontId="3" fillId="0" borderId="0" applyFont="0" applyFill="0" applyBorder="0" applyAlignment="0" applyProtection="0"/>
    <xf numFmtId="0" fontId="3" fillId="0" borderId="0"/>
    <xf numFmtId="0" fontId="3" fillId="0" borderId="0"/>
    <xf numFmtId="42" fontId="15" fillId="0" borderId="0" applyFont="0" applyFill="0" applyBorder="0" applyAlignment="0" applyProtection="0"/>
    <xf numFmtId="41" fontId="73" fillId="0" borderId="0" applyFont="0" applyFill="0" applyBorder="0" applyAlignment="0" applyProtection="0"/>
    <xf numFmtId="0" fontId="3" fillId="0" borderId="0"/>
    <xf numFmtId="9" fontId="3" fillId="0" borderId="0" applyFont="0" applyFill="0" applyBorder="0" applyAlignment="0" applyProtection="0"/>
    <xf numFmtId="41" fontId="3" fillId="0" borderId="0" applyFont="0" applyFill="0" applyBorder="0" applyAlignment="0" applyProtection="0"/>
    <xf numFmtId="41"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3" fillId="0" borderId="0"/>
    <xf numFmtId="9" fontId="3" fillId="0" borderId="0" applyFont="0" applyFill="0" applyBorder="0" applyAlignment="0" applyProtection="0"/>
    <xf numFmtId="41" fontId="3" fillId="0" borderId="0" applyFont="0" applyFill="0" applyBorder="0" applyAlignment="0" applyProtection="0"/>
    <xf numFmtId="0" fontId="3" fillId="0" borderId="0"/>
    <xf numFmtId="0" fontId="3" fillId="0" borderId="0"/>
    <xf numFmtId="42" fontId="15" fillId="0" borderId="0" applyFont="0" applyFill="0" applyBorder="0" applyAlignment="0" applyProtection="0"/>
    <xf numFmtId="41" fontId="73" fillId="0" borderId="0" applyFont="0" applyFill="0" applyBorder="0" applyAlignment="0" applyProtection="0"/>
    <xf numFmtId="0" fontId="3" fillId="0" borderId="0"/>
    <xf numFmtId="9" fontId="3" fillId="0" borderId="0" applyFont="0" applyFill="0" applyBorder="0" applyAlignment="0" applyProtection="0"/>
    <xf numFmtId="41" fontId="3"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1"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3" fillId="0" borderId="0"/>
    <xf numFmtId="9" fontId="3" fillId="0" borderId="0" applyFont="0" applyFill="0" applyBorder="0" applyAlignment="0" applyProtection="0"/>
    <xf numFmtId="41" fontId="3" fillId="0" borderId="0" applyFont="0" applyFill="0" applyBorder="0" applyAlignment="0" applyProtection="0"/>
    <xf numFmtId="43" fontId="15" fillId="0" borderId="0" applyFont="0" applyFill="0" applyBorder="0" applyAlignment="0" applyProtection="0"/>
    <xf numFmtId="0" fontId="3" fillId="0" borderId="0"/>
    <xf numFmtId="0" fontId="3" fillId="0" borderId="0"/>
    <xf numFmtId="42" fontId="15" fillId="0" borderId="0" applyFont="0" applyFill="0" applyBorder="0" applyAlignment="0" applyProtection="0"/>
    <xf numFmtId="43" fontId="15" fillId="0" borderId="0" applyFont="0" applyFill="0" applyBorder="0" applyAlignment="0" applyProtection="0"/>
    <xf numFmtId="41" fontId="73" fillId="0" borderId="0" applyFont="0" applyFill="0" applyBorder="0" applyAlignment="0" applyProtection="0"/>
    <xf numFmtId="43" fontId="15" fillId="0" borderId="0" applyFont="0" applyFill="0" applyBorder="0" applyAlignment="0" applyProtection="0"/>
    <xf numFmtId="0" fontId="3" fillId="0" borderId="0"/>
    <xf numFmtId="9" fontId="3" fillId="0" borderId="0" applyFont="0" applyFill="0" applyBorder="0" applyAlignment="0" applyProtection="0"/>
    <xf numFmtId="41" fontId="3" fillId="0" borderId="0" applyFont="0" applyFill="0" applyBorder="0" applyAlignment="0" applyProtection="0"/>
    <xf numFmtId="41"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3" fillId="0" borderId="0"/>
    <xf numFmtId="9" fontId="3" fillId="0" borderId="0" applyFont="0" applyFill="0" applyBorder="0" applyAlignment="0" applyProtection="0"/>
    <xf numFmtId="41" fontId="3" fillId="0" borderId="0" applyFont="0" applyFill="0" applyBorder="0" applyAlignment="0" applyProtection="0"/>
    <xf numFmtId="0" fontId="3" fillId="0" borderId="0"/>
    <xf numFmtId="0" fontId="3" fillId="0" borderId="0"/>
    <xf numFmtId="42" fontId="15" fillId="0" borderId="0" applyFont="0" applyFill="0" applyBorder="0" applyAlignment="0" applyProtection="0"/>
    <xf numFmtId="41" fontId="73" fillId="0" borderId="0" applyFont="0" applyFill="0" applyBorder="0" applyAlignment="0" applyProtection="0"/>
    <xf numFmtId="0" fontId="3" fillId="0" borderId="0"/>
    <xf numFmtId="9" fontId="3" fillId="0" borderId="0" applyFont="0" applyFill="0" applyBorder="0" applyAlignment="0" applyProtection="0"/>
    <xf numFmtId="41" fontId="3"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3" fillId="0" borderId="0"/>
    <xf numFmtId="9" fontId="3" fillId="0" borderId="0" applyFont="0" applyFill="0" applyBorder="0" applyAlignment="0" applyProtection="0"/>
    <xf numFmtId="41" fontId="15" fillId="0" borderId="0" applyFont="0" applyFill="0" applyBorder="0" applyAlignment="0" applyProtection="0"/>
    <xf numFmtId="43" fontId="15" fillId="0" borderId="0" applyFont="0" applyFill="0" applyBorder="0" applyAlignment="0" applyProtection="0"/>
    <xf numFmtId="0" fontId="3" fillId="0" borderId="0"/>
    <xf numFmtId="9" fontId="3" fillId="0" borderId="0" applyFont="0" applyFill="0" applyBorder="0" applyAlignment="0" applyProtection="0"/>
    <xf numFmtId="41" fontId="3" fillId="0" borderId="0" applyFont="0" applyFill="0" applyBorder="0" applyAlignment="0" applyProtection="0"/>
    <xf numFmtId="0" fontId="3" fillId="0" borderId="0"/>
    <xf numFmtId="0" fontId="3" fillId="0" borderId="0"/>
    <xf numFmtId="42" fontId="15" fillId="0" borderId="0" applyFont="0" applyFill="0" applyBorder="0" applyAlignment="0" applyProtection="0"/>
    <xf numFmtId="41" fontId="73" fillId="0" borderId="0" applyFont="0" applyFill="0" applyBorder="0" applyAlignment="0" applyProtection="0"/>
    <xf numFmtId="0" fontId="3" fillId="0" borderId="0"/>
    <xf numFmtId="9" fontId="3" fillId="0" borderId="0" applyFont="0" applyFill="0" applyBorder="0" applyAlignment="0" applyProtection="0"/>
    <xf numFmtId="41" fontId="3" fillId="0" borderId="0" applyFont="0" applyFill="0" applyBorder="0" applyAlignment="0" applyProtection="0"/>
    <xf numFmtId="41"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3" fillId="0" borderId="0"/>
    <xf numFmtId="9" fontId="3" fillId="0" borderId="0" applyFont="0" applyFill="0" applyBorder="0" applyAlignment="0" applyProtection="0"/>
    <xf numFmtId="41" fontId="3" fillId="0" borderId="0" applyFont="0" applyFill="0" applyBorder="0" applyAlignment="0" applyProtection="0"/>
    <xf numFmtId="0" fontId="3" fillId="0" borderId="0"/>
    <xf numFmtId="0" fontId="3" fillId="0" borderId="0"/>
    <xf numFmtId="42" fontId="15" fillId="0" borderId="0" applyFont="0" applyFill="0" applyBorder="0" applyAlignment="0" applyProtection="0"/>
    <xf numFmtId="41" fontId="73" fillId="0" borderId="0" applyFont="0" applyFill="0" applyBorder="0" applyAlignment="0" applyProtection="0"/>
    <xf numFmtId="0" fontId="3" fillId="0" borderId="0"/>
    <xf numFmtId="9" fontId="3" fillId="0" borderId="0" applyFont="0" applyFill="0" applyBorder="0" applyAlignment="0" applyProtection="0"/>
    <xf numFmtId="41" fontId="3"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2" fillId="0" borderId="0"/>
    <xf numFmtId="41" fontId="15" fillId="0" borderId="0" applyFont="0" applyFill="0" applyBorder="0" applyAlignment="0" applyProtection="0"/>
    <xf numFmtId="9" fontId="2" fillId="0" borderId="0" applyFont="0" applyFill="0" applyBorder="0" applyAlignment="0" applyProtection="0"/>
    <xf numFmtId="41" fontId="2" fillId="0" borderId="0" applyFont="0" applyFill="0" applyBorder="0" applyAlignment="0" applyProtection="0"/>
    <xf numFmtId="167" fontId="73" fillId="0" borderId="0" applyFont="0" applyFill="0" applyBorder="0" applyAlignment="0" applyProtection="0"/>
    <xf numFmtId="9" fontId="73" fillId="0" borderId="0" applyFont="0" applyFill="0" applyBorder="0" applyAlignment="0" applyProtection="0"/>
    <xf numFmtId="0" fontId="1" fillId="0" borderId="0"/>
    <xf numFmtId="0" fontId="15" fillId="0" borderId="0"/>
    <xf numFmtId="9" fontId="1" fillId="0" borderId="0" applyFont="0" applyFill="0" applyBorder="0" applyAlignment="0" applyProtection="0"/>
    <xf numFmtId="43" fontId="1" fillId="0" borderId="0" applyFont="0" applyFill="0" applyBorder="0" applyAlignment="0" applyProtection="0"/>
  </cellStyleXfs>
  <cellXfs count="1324">
    <xf numFmtId="0" fontId="0" fillId="0" borderId="0" xfId="0" applyAlignment="1">
      <alignment horizontal="left" vertical="top"/>
    </xf>
    <xf numFmtId="164" fontId="16" fillId="0" borderId="0" xfId="0" applyNumberFormat="1" applyFont="1" applyAlignment="1" applyProtection="1">
      <alignment horizontal="left" vertical="center"/>
      <protection locked="0"/>
    </xf>
    <xf numFmtId="0" fontId="15" fillId="0" borderId="0" xfId="0" applyFont="1" applyAlignment="1">
      <alignment horizontal="center" vertical="center"/>
    </xf>
    <xf numFmtId="0" fontId="0" fillId="0" borderId="0" xfId="0" applyAlignment="1">
      <alignment horizontal="center" vertical="center"/>
    </xf>
    <xf numFmtId="164" fontId="21" fillId="0" borderId="0" xfId="0" applyNumberFormat="1" applyFont="1" applyAlignment="1" applyProtection="1">
      <alignment horizontal="left" vertical="center"/>
      <protection locked="0"/>
    </xf>
    <xf numFmtId="164" fontId="21" fillId="0" borderId="0" xfId="0" applyNumberFormat="1" applyFont="1" applyAlignment="1" applyProtection="1">
      <alignment horizontal="right" vertical="center"/>
      <protection locked="0"/>
    </xf>
    <xf numFmtId="41" fontId="24" fillId="0" borderId="0" xfId="1" applyFont="1" applyFill="1" applyBorder="1" applyAlignment="1" applyProtection="1">
      <alignment vertical="center"/>
      <protection locked="0"/>
    </xf>
    <xf numFmtId="164" fontId="21" fillId="0" borderId="0" xfId="0" quotePrefix="1" applyNumberFormat="1" applyFont="1" applyAlignment="1" applyProtection="1">
      <alignment horizontal="left" vertical="center"/>
      <protection locked="0"/>
    </xf>
    <xf numFmtId="164" fontId="21" fillId="0" borderId="0" xfId="0" applyNumberFormat="1" applyFont="1" applyAlignment="1" applyProtection="1">
      <alignment horizontal="center" vertical="center"/>
      <protection locked="0"/>
    </xf>
    <xf numFmtId="164" fontId="21" fillId="4" borderId="0" xfId="0" applyNumberFormat="1" applyFont="1" applyFill="1" applyAlignment="1" applyProtection="1">
      <alignment horizontal="left" vertical="center"/>
      <protection locked="0"/>
    </xf>
    <xf numFmtId="164" fontId="21" fillId="4" borderId="0" xfId="0" applyNumberFormat="1" applyFont="1" applyFill="1" applyAlignment="1" applyProtection="1">
      <alignment horizontal="right" vertical="center"/>
      <protection locked="0"/>
    </xf>
    <xf numFmtId="41" fontId="24" fillId="4" borderId="0" xfId="1" applyFont="1" applyFill="1" applyBorder="1" applyAlignment="1" applyProtection="1">
      <alignment vertical="center"/>
      <protection locked="0"/>
    </xf>
    <xf numFmtId="41" fontId="26" fillId="4" borderId="0" xfId="1" applyFont="1" applyFill="1" applyBorder="1" applyAlignment="1" applyProtection="1">
      <alignment vertical="center"/>
      <protection locked="0"/>
    </xf>
    <xf numFmtId="164" fontId="26" fillId="4" borderId="0" xfId="0" applyNumberFormat="1" applyFont="1" applyFill="1" applyAlignment="1" applyProtection="1">
      <alignment horizontal="right" vertical="center"/>
      <protection locked="0"/>
    </xf>
    <xf numFmtId="164" fontId="30" fillId="0" borderId="0" xfId="0" applyNumberFormat="1" applyFont="1" applyAlignment="1" applyProtection="1">
      <alignment horizontal="left" vertical="center"/>
      <protection locked="0"/>
    </xf>
    <xf numFmtId="0" fontId="14" fillId="0" borderId="0" xfId="4" applyProtection="1">
      <protection locked="0"/>
    </xf>
    <xf numFmtId="0" fontId="47" fillId="0" borderId="0" xfId="4" applyFont="1" applyAlignment="1" applyProtection="1">
      <alignment horizontal="right"/>
      <protection locked="0"/>
    </xf>
    <xf numFmtId="0" fontId="14" fillId="0" borderId="0" xfId="4" applyAlignment="1" applyProtection="1">
      <alignment vertical="center"/>
      <protection locked="0"/>
    </xf>
    <xf numFmtId="0" fontId="14" fillId="0" borderId="0" xfId="4"/>
    <xf numFmtId="0" fontId="54" fillId="6" borderId="0" xfId="4" applyFont="1" applyFill="1" applyAlignment="1">
      <alignment vertical="center"/>
    </xf>
    <xf numFmtId="0" fontId="55" fillId="0" borderId="0" xfId="4" applyFont="1" applyAlignment="1">
      <alignment horizontal="left" vertical="center"/>
    </xf>
    <xf numFmtId="0" fontId="14" fillId="0" borderId="0" xfId="4" applyAlignment="1">
      <alignment horizontal="left" vertical="center"/>
    </xf>
    <xf numFmtId="0" fontId="47" fillId="0" borderId="0" xfId="4" applyFont="1" applyAlignment="1" applyProtection="1">
      <alignment vertical="center"/>
      <protection locked="0"/>
    </xf>
    <xf numFmtId="0" fontId="52" fillId="5" borderId="0" xfId="4" applyFont="1" applyFill="1" applyAlignment="1">
      <alignment vertical="center"/>
    </xf>
    <xf numFmtId="0" fontId="52" fillId="9" borderId="0" xfId="4" applyFont="1" applyFill="1" applyAlignment="1">
      <alignment vertical="center"/>
    </xf>
    <xf numFmtId="0" fontId="52" fillId="0" borderId="0" xfId="4" applyFont="1" applyAlignment="1">
      <alignment vertical="center"/>
    </xf>
    <xf numFmtId="0" fontId="53" fillId="5" borderId="0" xfId="4" applyFont="1" applyFill="1" applyAlignment="1" applyProtection="1">
      <alignment vertical="center"/>
      <protection locked="0"/>
    </xf>
    <xf numFmtId="0" fontId="53" fillId="9" borderId="0" xfId="4" applyFont="1" applyFill="1" applyAlignment="1" applyProtection="1">
      <alignment vertical="center"/>
      <protection locked="0"/>
    </xf>
    <xf numFmtId="0" fontId="14" fillId="0" borderId="0" xfId="4" applyAlignment="1" applyProtection="1">
      <alignment horizontal="center" vertical="center"/>
      <protection locked="0"/>
    </xf>
    <xf numFmtId="0" fontId="52" fillId="9" borderId="0" xfId="4" applyFont="1" applyFill="1" applyAlignment="1" applyProtection="1">
      <alignment horizontal="right" vertical="center"/>
      <protection locked="0"/>
    </xf>
    <xf numFmtId="0" fontId="14" fillId="5" borderId="0" xfId="4" applyFill="1" applyAlignment="1">
      <alignment vertical="center"/>
    </xf>
    <xf numFmtId="3" fontId="59" fillId="5" borderId="0" xfId="4" applyNumberFormat="1" applyFont="1" applyFill="1" applyAlignment="1">
      <alignment vertical="center"/>
    </xf>
    <xf numFmtId="0" fontId="14" fillId="9" borderId="0" xfId="4" applyFill="1" applyAlignment="1">
      <alignment vertical="center"/>
    </xf>
    <xf numFmtId="3" fontId="59" fillId="9" borderId="0" xfId="4" applyNumberFormat="1" applyFont="1" applyFill="1" applyAlignment="1">
      <alignment vertical="center"/>
    </xf>
    <xf numFmtId="1" fontId="59" fillId="5" borderId="0" xfId="4" applyNumberFormat="1" applyFont="1" applyFill="1" applyAlignment="1">
      <alignment vertical="center"/>
    </xf>
    <xf numFmtId="41" fontId="59" fillId="9" borderId="0" xfId="4" applyNumberFormat="1" applyFont="1" applyFill="1" applyAlignment="1">
      <alignment vertical="center"/>
    </xf>
    <xf numFmtId="9" fontId="59" fillId="9" borderId="0" xfId="5" applyFont="1" applyFill="1" applyAlignment="1" applyProtection="1">
      <alignment vertical="center"/>
    </xf>
    <xf numFmtId="0" fontId="14" fillId="5" borderId="0" xfId="4" applyFill="1" applyAlignment="1" applyProtection="1">
      <alignment vertical="center"/>
      <protection locked="0"/>
    </xf>
    <xf numFmtId="9" fontId="59" fillId="5" borderId="0" xfId="5" applyFont="1" applyFill="1" applyAlignment="1" applyProtection="1">
      <alignment vertical="center"/>
    </xf>
    <xf numFmtId="0" fontId="14" fillId="9" borderId="0" xfId="4" applyFill="1" applyAlignment="1" applyProtection="1">
      <alignment vertical="center"/>
      <protection locked="0"/>
    </xf>
    <xf numFmtId="0" fontId="53" fillId="5" borderId="0" xfId="4" applyFont="1" applyFill="1" applyAlignment="1">
      <alignment vertical="center"/>
    </xf>
    <xf numFmtId="0" fontId="53" fillId="9" borderId="0" xfId="4" applyFont="1" applyFill="1" applyAlignment="1">
      <alignment vertical="center"/>
    </xf>
    <xf numFmtId="0" fontId="58" fillId="0" borderId="0" xfId="4" applyFont="1" applyAlignment="1">
      <alignment vertical="center"/>
    </xf>
    <xf numFmtId="3" fontId="58" fillId="0" borderId="0" xfId="4" applyNumberFormat="1" applyFont="1" applyAlignment="1">
      <alignment horizontal="right"/>
    </xf>
    <xf numFmtId="0" fontId="56" fillId="0" borderId="0" xfId="4" applyFont="1" applyAlignment="1" applyProtection="1">
      <alignment horizontal="left" vertical="center"/>
      <protection locked="0"/>
    </xf>
    <xf numFmtId="0" fontId="62" fillId="0" borderId="0" xfId="4" applyFont="1" applyAlignment="1" applyProtection="1">
      <alignment vertical="center"/>
      <protection locked="0"/>
    </xf>
    <xf numFmtId="0" fontId="63" fillId="0" borderId="0" xfId="4" applyFont="1" applyProtection="1">
      <protection locked="0"/>
    </xf>
    <xf numFmtId="0" fontId="64" fillId="0" borderId="0" xfId="4" applyFont="1" applyProtection="1">
      <protection locked="0"/>
    </xf>
    <xf numFmtId="0" fontId="66" fillId="0" borderId="0" xfId="4" applyFont="1" applyAlignment="1" applyProtection="1">
      <alignment vertical="center"/>
      <protection locked="0"/>
    </xf>
    <xf numFmtId="0" fontId="47" fillId="10" borderId="0" xfId="4" applyFont="1" applyFill="1" applyAlignment="1" applyProtection="1">
      <alignment horizontal="right" vertical="center"/>
      <protection locked="0"/>
    </xf>
    <xf numFmtId="0" fontId="42" fillId="2" borderId="0" xfId="4" applyFont="1" applyFill="1" applyAlignment="1" applyProtection="1">
      <alignment horizontal="center" vertical="center" wrapText="1"/>
      <protection locked="0"/>
    </xf>
    <xf numFmtId="169" fontId="67" fillId="0" borderId="0" xfId="4" quotePrefix="1" applyNumberFormat="1" applyFont="1" applyAlignment="1" applyProtection="1">
      <alignment horizontal="center" vertical="center"/>
      <protection locked="0"/>
    </xf>
    <xf numFmtId="170" fontId="67" fillId="0" borderId="0" xfId="5" applyNumberFormat="1" applyFont="1" applyAlignment="1" applyProtection="1">
      <alignment horizontal="center" vertical="center"/>
      <protection hidden="1"/>
    </xf>
    <xf numFmtId="170" fontId="67" fillId="0" borderId="0" xfId="5" quotePrefix="1" applyNumberFormat="1" applyFont="1" applyAlignment="1" applyProtection="1">
      <alignment horizontal="center" vertical="center"/>
      <protection locked="0"/>
    </xf>
    <xf numFmtId="9" fontId="0" fillId="0" borderId="0" xfId="5" applyFont="1" applyAlignment="1" applyProtection="1">
      <alignment horizontal="center" vertical="center"/>
      <protection locked="0"/>
    </xf>
    <xf numFmtId="0" fontId="16" fillId="0" borderId="0" xfId="0" applyFont="1" applyProtection="1">
      <protection locked="0"/>
    </xf>
    <xf numFmtId="171" fontId="16" fillId="0" borderId="0" xfId="0" applyNumberFormat="1" applyFont="1" applyProtection="1">
      <protection locked="0"/>
    </xf>
    <xf numFmtId="171" fontId="34" fillId="0" borderId="1" xfId="0" applyNumberFormat="1" applyFont="1" applyBorder="1" applyAlignment="1" applyProtection="1">
      <alignment vertical="center"/>
      <protection locked="0"/>
    </xf>
    <xf numFmtId="1" fontId="34" fillId="0" borderId="1" xfId="0" applyNumberFormat="1" applyFont="1" applyBorder="1" applyAlignment="1" applyProtection="1">
      <alignment vertical="center"/>
      <protection locked="0"/>
    </xf>
    <xf numFmtId="9" fontId="34" fillId="0" borderId="1" xfId="0" applyNumberFormat="1" applyFont="1" applyBorder="1" applyAlignment="1" applyProtection="1">
      <alignment vertical="center"/>
      <protection locked="0"/>
    </xf>
    <xf numFmtId="3" fontId="52" fillId="5" borderId="0" xfId="4" applyNumberFormat="1" applyFont="1" applyFill="1" applyAlignment="1">
      <alignment vertical="center"/>
    </xf>
    <xf numFmtId="164" fontId="52" fillId="9" borderId="0" xfId="4" applyNumberFormat="1" applyFont="1" applyFill="1" applyAlignment="1">
      <alignment vertical="center"/>
    </xf>
    <xf numFmtId="3" fontId="52" fillId="9" borderId="0" xfId="4" applyNumberFormat="1" applyFont="1" applyFill="1" applyAlignment="1">
      <alignment vertical="center"/>
    </xf>
    <xf numFmtId="164" fontId="52" fillId="5" borderId="0" xfId="4" applyNumberFormat="1" applyFont="1" applyFill="1" applyAlignment="1">
      <alignment vertical="center"/>
    </xf>
    <xf numFmtId="0" fontId="30" fillId="0" borderId="1" xfId="0" applyFont="1" applyBorder="1" applyAlignment="1" applyProtection="1">
      <alignment vertical="center"/>
      <protection locked="0"/>
    </xf>
    <xf numFmtId="0" fontId="30" fillId="0" borderId="1" xfId="0" applyFont="1" applyBorder="1" applyAlignment="1" applyProtection="1">
      <alignment vertical="center" wrapText="1"/>
      <protection locked="0"/>
    </xf>
    <xf numFmtId="0" fontId="78" fillId="0" borderId="0" xfId="8" applyFont="1" applyProtection="1">
      <protection locked="0"/>
    </xf>
    <xf numFmtId="0" fontId="78" fillId="0" borderId="0" xfId="8" applyFont="1" applyAlignment="1" applyProtection="1">
      <alignment horizontal="center"/>
      <protection locked="0"/>
    </xf>
    <xf numFmtId="0" fontId="79" fillId="0" borderId="0" xfId="8" applyFont="1" applyAlignment="1" applyProtection="1">
      <alignment vertical="center"/>
      <protection locked="0"/>
    </xf>
    <xf numFmtId="0" fontId="79" fillId="0" borderId="8" xfId="8" applyFont="1" applyBorder="1" applyAlignment="1" applyProtection="1">
      <alignment vertical="center"/>
      <protection locked="0"/>
    </xf>
    <xf numFmtId="0" fontId="78" fillId="0" borderId="8" xfId="8" applyFont="1" applyBorder="1" applyProtection="1">
      <protection locked="0"/>
    </xf>
    <xf numFmtId="0" fontId="82" fillId="11" borderId="2" xfId="8" applyFont="1" applyFill="1" applyBorder="1" applyAlignment="1" applyProtection="1">
      <alignment horizontal="center" vertical="center"/>
      <protection locked="0"/>
    </xf>
    <xf numFmtId="0" fontId="87" fillId="0" borderId="0" xfId="8" applyFont="1" applyAlignment="1" applyProtection="1">
      <alignment vertical="center"/>
      <protection locked="0"/>
    </xf>
    <xf numFmtId="0" fontId="78" fillId="0" borderId="0" xfId="8" applyFont="1" applyAlignment="1" applyProtection="1">
      <alignment horizontal="center" wrapText="1"/>
      <protection locked="0"/>
    </xf>
    <xf numFmtId="0" fontId="89" fillId="0" borderId="0" xfId="8" applyFont="1" applyProtection="1">
      <protection locked="0"/>
    </xf>
    <xf numFmtId="0" fontId="83" fillId="12" borderId="13" xfId="8" applyFont="1" applyFill="1" applyBorder="1" applyAlignment="1" applyProtection="1">
      <alignment horizontal="center" vertical="center"/>
      <protection hidden="1"/>
    </xf>
    <xf numFmtId="0" fontId="90" fillId="13" borderId="1" xfId="8" applyFont="1" applyFill="1" applyBorder="1" applyAlignment="1" applyProtection="1">
      <alignment horizontal="center" vertical="center"/>
      <protection hidden="1"/>
    </xf>
    <xf numFmtId="0" fontId="83" fillId="0" borderId="0" xfId="8" applyFont="1" applyAlignment="1" applyProtection="1">
      <alignment vertical="center"/>
      <protection locked="0"/>
    </xf>
    <xf numFmtId="0" fontId="90" fillId="14" borderId="1" xfId="8" applyFont="1" applyFill="1" applyBorder="1" applyAlignment="1" applyProtection="1">
      <alignment horizontal="center" vertical="center"/>
      <protection hidden="1"/>
    </xf>
    <xf numFmtId="0" fontId="91" fillId="0" borderId="0" xfId="8" applyFont="1" applyProtection="1">
      <protection locked="0"/>
    </xf>
    <xf numFmtId="0" fontId="91" fillId="0" borderId="17" xfId="8" applyFont="1" applyBorder="1" applyAlignment="1" applyProtection="1">
      <alignment horizontal="center" vertical="center"/>
      <protection hidden="1"/>
    </xf>
    <xf numFmtId="0" fontId="91" fillId="0" borderId="18" xfId="8" applyFont="1" applyBorder="1" applyAlignment="1" applyProtection="1">
      <alignment horizontal="center" vertical="center"/>
      <protection hidden="1"/>
    </xf>
    <xf numFmtId="0" fontId="91" fillId="0" borderId="0" xfId="8" applyFont="1" applyAlignment="1" applyProtection="1">
      <alignment vertical="top"/>
      <protection locked="0"/>
    </xf>
    <xf numFmtId="0" fontId="93" fillId="0" borderId="0" xfId="8" applyFont="1" applyAlignment="1" applyProtection="1">
      <alignment horizontal="center" vertical="center"/>
      <protection locked="0"/>
    </xf>
    <xf numFmtId="0" fontId="92" fillId="0" borderId="0" xfId="8" applyFont="1" applyAlignment="1" applyProtection="1">
      <alignment vertical="center"/>
      <protection locked="0"/>
    </xf>
    <xf numFmtId="0" fontId="93" fillId="0" borderId="0" xfId="8" applyFont="1" applyAlignment="1" applyProtection="1">
      <alignment vertical="top"/>
      <protection locked="0"/>
    </xf>
    <xf numFmtId="0" fontId="93" fillId="0" borderId="0" xfId="8" applyFont="1" applyProtection="1">
      <protection locked="0"/>
    </xf>
    <xf numFmtId="0" fontId="80" fillId="0" borderId="0" xfId="8" applyFont="1" applyAlignment="1" applyProtection="1">
      <alignment vertical="center"/>
      <protection locked="0"/>
    </xf>
    <xf numFmtId="0" fontId="78" fillId="0" borderId="0" xfId="8" applyFont="1" applyAlignment="1" applyProtection="1">
      <alignment vertical="top"/>
      <protection locked="0"/>
    </xf>
    <xf numFmtId="0" fontId="78" fillId="0" borderId="0" xfId="8" applyFont="1" applyAlignment="1" applyProtection="1">
      <alignment vertical="center" wrapText="1"/>
      <protection locked="0"/>
    </xf>
    <xf numFmtId="0" fontId="78" fillId="0" borderId="0" xfId="8" applyFont="1" applyAlignment="1" applyProtection="1">
      <alignment vertical="top" wrapText="1"/>
      <protection locked="0"/>
    </xf>
    <xf numFmtId="0" fontId="79" fillId="0" borderId="10" xfId="8" applyFont="1" applyBorder="1" applyAlignment="1" applyProtection="1">
      <alignment vertical="center"/>
      <protection locked="0"/>
    </xf>
    <xf numFmtId="0" fontId="89" fillId="0" borderId="0" xfId="8" applyFont="1" applyAlignment="1" applyProtection="1">
      <alignment vertical="center" wrapText="1"/>
      <protection locked="0"/>
    </xf>
    <xf numFmtId="0" fontId="91" fillId="0" borderId="0" xfId="8" applyFont="1" applyProtection="1">
      <protection hidden="1"/>
    </xf>
    <xf numFmtId="0" fontId="79" fillId="0" borderId="0" xfId="8" applyFont="1" applyAlignment="1" applyProtection="1">
      <alignment vertical="center" wrapText="1"/>
      <protection hidden="1"/>
    </xf>
    <xf numFmtId="0" fontId="79" fillId="0" borderId="0" xfId="8" applyFont="1" applyAlignment="1" applyProtection="1">
      <alignment vertical="center" wrapText="1"/>
      <protection locked="0"/>
    </xf>
    <xf numFmtId="0" fontId="100" fillId="0" borderId="0" xfId="8" applyFont="1" applyAlignment="1" applyProtection="1">
      <alignment vertical="center" wrapText="1"/>
      <protection locked="0"/>
    </xf>
    <xf numFmtId="0" fontId="80" fillId="0" borderId="0" xfId="8" applyFont="1" applyAlignment="1" applyProtection="1">
      <alignment horizontal="center" vertical="center" wrapText="1"/>
      <protection locked="0"/>
    </xf>
    <xf numFmtId="0" fontId="80" fillId="0" borderId="0" xfId="8" applyFont="1" applyAlignment="1" applyProtection="1">
      <alignment horizontal="center" vertical="center"/>
      <protection locked="0"/>
    </xf>
    <xf numFmtId="0" fontId="96" fillId="0" borderId="0" xfId="8" applyFont="1" applyAlignment="1" applyProtection="1">
      <alignment horizontal="center" vertical="center"/>
      <protection locked="0"/>
    </xf>
    <xf numFmtId="0" fontId="86" fillId="0" borderId="0" xfId="8" applyFont="1" applyAlignment="1" applyProtection="1">
      <alignment horizontal="center" vertical="center" wrapText="1"/>
      <protection locked="0"/>
    </xf>
    <xf numFmtId="0" fontId="96" fillId="0" borderId="0" xfId="8" applyFont="1" applyAlignment="1" applyProtection="1">
      <alignment horizontal="center" vertical="center" wrapText="1"/>
      <protection locked="0"/>
    </xf>
    <xf numFmtId="0" fontId="96" fillId="0" borderId="0" xfId="8" applyFont="1" applyAlignment="1" applyProtection="1">
      <alignment vertical="center" wrapText="1"/>
      <protection locked="0"/>
    </xf>
    <xf numFmtId="0" fontId="83" fillId="14" borderId="6" xfId="8" applyFont="1" applyFill="1" applyBorder="1" applyAlignment="1" applyProtection="1">
      <alignment horizontal="center" vertical="center"/>
      <protection hidden="1"/>
    </xf>
    <xf numFmtId="0" fontId="85" fillId="14" borderId="6" xfId="8" applyFont="1" applyFill="1" applyBorder="1" applyAlignment="1" applyProtection="1">
      <alignment horizontal="center" vertical="center"/>
      <protection hidden="1"/>
    </xf>
    <xf numFmtId="0" fontId="102" fillId="0" borderId="0" xfId="8" applyFont="1" applyProtection="1">
      <protection locked="0"/>
    </xf>
    <xf numFmtId="0" fontId="103" fillId="0" borderId="0" xfId="8" applyFont="1" applyAlignment="1" applyProtection="1">
      <alignment vertical="center"/>
      <protection locked="0"/>
    </xf>
    <xf numFmtId="0" fontId="91" fillId="0" borderId="38" xfId="8" applyFont="1" applyBorder="1" applyAlignment="1" applyProtection="1">
      <alignment horizontal="center" vertical="center"/>
      <protection hidden="1"/>
    </xf>
    <xf numFmtId="0" fontId="102" fillId="0" borderId="0" xfId="8" applyFont="1" applyAlignment="1" applyProtection="1">
      <alignment vertical="center" wrapText="1"/>
      <protection locked="0"/>
    </xf>
    <xf numFmtId="0" fontId="95" fillId="0" borderId="0" xfId="8" applyFont="1" applyProtection="1">
      <protection locked="0"/>
    </xf>
    <xf numFmtId="0" fontId="81" fillId="0" borderId="0" xfId="8" applyFont="1" applyAlignment="1" applyProtection="1">
      <alignment vertical="center"/>
      <protection locked="0"/>
    </xf>
    <xf numFmtId="0" fontId="106" fillId="0" borderId="0" xfId="8" applyFont="1" applyProtection="1">
      <protection locked="0"/>
    </xf>
    <xf numFmtId="0" fontId="86" fillId="0" borderId="0" xfId="8" applyFont="1" applyAlignment="1" applyProtection="1">
      <alignment vertical="center"/>
      <protection locked="0"/>
    </xf>
    <xf numFmtId="0" fontId="78" fillId="0" borderId="14" xfId="8" applyFont="1" applyBorder="1" applyProtection="1">
      <protection locked="0"/>
    </xf>
    <xf numFmtId="0" fontId="112" fillId="0" borderId="0" xfId="8" applyFont="1" applyAlignment="1" applyProtection="1">
      <alignment vertical="center"/>
      <protection locked="0"/>
    </xf>
    <xf numFmtId="0" fontId="91" fillId="0" borderId="0" xfId="8" applyFont="1" applyAlignment="1" applyProtection="1">
      <alignment horizontal="center"/>
      <protection locked="0"/>
    </xf>
    <xf numFmtId="0" fontId="99" fillId="0" borderId="0" xfId="8" applyFont="1" applyAlignment="1" applyProtection="1">
      <alignment vertical="center"/>
      <protection locked="0"/>
    </xf>
    <xf numFmtId="0" fontId="78" fillId="0" borderId="43" xfId="8" applyFont="1" applyBorder="1" applyProtection="1">
      <protection locked="0"/>
    </xf>
    <xf numFmtId="0" fontId="90" fillId="0" borderId="0" xfId="8" applyFont="1" applyAlignment="1" applyProtection="1">
      <alignment vertical="center"/>
      <protection locked="0"/>
    </xf>
    <xf numFmtId="0" fontId="97" fillId="0" borderId="0" xfId="8" applyFont="1" applyProtection="1">
      <protection locked="0"/>
    </xf>
    <xf numFmtId="0" fontId="97" fillId="0" borderId="0" xfId="8" applyFont="1" applyAlignment="1" applyProtection="1">
      <alignment horizontal="center"/>
      <protection locked="0"/>
    </xf>
    <xf numFmtId="0" fontId="97" fillId="0" borderId="55" xfId="8" applyFont="1" applyBorder="1" applyProtection="1">
      <protection locked="0"/>
    </xf>
    <xf numFmtId="0" fontId="78" fillId="0" borderId="40" xfId="8" applyFont="1" applyBorder="1" applyProtection="1">
      <protection locked="0"/>
    </xf>
    <xf numFmtId="0" fontId="124" fillId="0" borderId="0" xfId="8" applyFont="1" applyAlignment="1" applyProtection="1">
      <alignment horizontal="center" vertical="center"/>
      <protection locked="0"/>
    </xf>
    <xf numFmtId="0" fontId="127" fillId="0" borderId="0" xfId="8" applyFont="1" applyAlignment="1" applyProtection="1">
      <alignment horizontal="center" vertical="center"/>
      <protection locked="0"/>
    </xf>
    <xf numFmtId="14" fontId="123" fillId="0" borderId="0" xfId="8" applyNumberFormat="1" applyFont="1" applyAlignment="1" applyProtection="1">
      <alignment horizontal="center" wrapText="1"/>
      <protection locked="0"/>
    </xf>
    <xf numFmtId="0" fontId="89" fillId="13" borderId="0" xfId="8" applyFont="1" applyFill="1" applyAlignment="1" applyProtection="1">
      <alignment vertical="center"/>
      <protection locked="0"/>
    </xf>
    <xf numFmtId="0" fontId="110" fillId="13" borderId="0" xfId="8" applyFont="1" applyFill="1" applyAlignment="1" applyProtection="1">
      <alignment horizontal="center" vertical="center"/>
      <protection locked="0"/>
    </xf>
    <xf numFmtId="0" fontId="89" fillId="0" borderId="0" xfId="8" applyFont="1" applyAlignment="1" applyProtection="1">
      <alignment horizontal="right" vertical="center"/>
      <protection locked="0"/>
    </xf>
    <xf numFmtId="0" fontId="116" fillId="0" borderId="0" xfId="8" applyFont="1" applyAlignment="1" applyProtection="1">
      <alignment horizontal="center" vertical="center"/>
      <protection locked="0"/>
    </xf>
    <xf numFmtId="0" fontId="92" fillId="21" borderId="0" xfId="8" applyFont="1" applyFill="1" applyAlignment="1" applyProtection="1">
      <alignment horizontal="left" vertical="center" wrapText="1"/>
      <protection locked="0"/>
    </xf>
    <xf numFmtId="0" fontId="96" fillId="21" borderId="0" xfId="8" applyFont="1" applyFill="1" applyAlignment="1" applyProtection="1">
      <alignment horizontal="center" vertical="center" wrapText="1"/>
      <protection locked="0"/>
    </xf>
    <xf numFmtId="0" fontId="133" fillId="21" borderId="0" xfId="8" applyFont="1" applyFill="1" applyAlignment="1" applyProtection="1">
      <alignment vertical="center" wrapText="1"/>
      <protection locked="0"/>
    </xf>
    <xf numFmtId="0" fontId="129" fillId="0" borderId="0" xfId="8" applyFont="1" applyAlignment="1" applyProtection="1">
      <alignment horizontal="left" vertical="center" wrapText="1"/>
      <protection locked="0"/>
    </xf>
    <xf numFmtId="0" fontId="87" fillId="0" borderId="0" xfId="8" applyFont="1" applyAlignment="1" applyProtection="1">
      <alignment vertical="center" wrapText="1"/>
      <protection locked="0"/>
    </xf>
    <xf numFmtId="3" fontId="124" fillId="0" borderId="0" xfId="8" applyNumberFormat="1" applyFont="1" applyAlignment="1" applyProtection="1">
      <alignment horizontal="center" vertical="center" wrapText="1"/>
      <protection locked="0"/>
    </xf>
    <xf numFmtId="0" fontId="124" fillId="0" borderId="0" xfId="8" applyFont="1" applyAlignment="1" applyProtection="1">
      <alignment horizontal="center" vertical="center" wrapText="1"/>
      <protection locked="0"/>
    </xf>
    <xf numFmtId="0" fontId="136" fillId="13" borderId="0" xfId="8" applyFont="1" applyFill="1" applyAlignment="1" applyProtection="1">
      <alignment vertical="center"/>
      <protection locked="0"/>
    </xf>
    <xf numFmtId="0" fontId="89" fillId="0" borderId="0" xfId="8" applyFont="1" applyAlignment="1" applyProtection="1">
      <alignment horizontal="center" vertical="center"/>
      <protection locked="0"/>
    </xf>
    <xf numFmtId="0" fontId="136" fillId="0" borderId="0" xfId="8" applyFont="1" applyAlignment="1" applyProtection="1">
      <alignment horizontal="center" vertical="center"/>
      <protection locked="0"/>
    </xf>
    <xf numFmtId="0" fontId="89" fillId="0" borderId="0" xfId="8" applyFont="1" applyAlignment="1" applyProtection="1">
      <alignment vertical="center"/>
      <protection locked="0"/>
    </xf>
    <xf numFmtId="0" fontId="137" fillId="0" borderId="0" xfId="8" applyFont="1" applyAlignment="1" applyProtection="1">
      <alignment horizontal="left" vertical="center"/>
      <protection locked="0"/>
    </xf>
    <xf numFmtId="0" fontId="136" fillId="0" borderId="0" xfId="8" applyFont="1" applyAlignment="1" applyProtection="1">
      <alignment horizontal="left" vertical="center"/>
      <protection locked="0"/>
    </xf>
    <xf numFmtId="0" fontId="90" fillId="0" borderId="0" xfId="8" applyFont="1" applyAlignment="1" applyProtection="1">
      <alignment horizontal="center" vertical="center"/>
      <protection locked="0"/>
    </xf>
    <xf numFmtId="0" fontId="138" fillId="0" borderId="0" xfId="8" applyFont="1" applyAlignment="1" applyProtection="1">
      <alignment horizontal="center" vertical="center"/>
      <protection locked="0"/>
    </xf>
    <xf numFmtId="0" fontId="139" fillId="0" borderId="0" xfId="8" applyFont="1" applyAlignment="1" applyProtection="1">
      <alignment horizontal="left" vertical="center"/>
      <protection locked="0"/>
    </xf>
    <xf numFmtId="0" fontId="138" fillId="0" borderId="0" xfId="8" applyFont="1" applyAlignment="1" applyProtection="1">
      <alignment vertical="center"/>
      <protection locked="0"/>
    </xf>
    <xf numFmtId="0" fontId="140" fillId="0" borderId="0" xfId="8" applyFont="1" applyAlignment="1" applyProtection="1">
      <alignment horizontal="center" vertical="center"/>
      <protection locked="0"/>
    </xf>
    <xf numFmtId="0" fontId="141" fillId="0" borderId="0" xfId="8" applyFont="1" applyProtection="1">
      <protection locked="0"/>
    </xf>
    <xf numFmtId="0" fontId="119" fillId="0" borderId="0" xfId="8" applyFont="1" applyAlignment="1" applyProtection="1">
      <alignment vertical="center"/>
      <protection locked="0"/>
    </xf>
    <xf numFmtId="0" fontId="123" fillId="0" borderId="0" xfId="8" applyFont="1" applyAlignment="1" applyProtection="1">
      <alignment vertical="center"/>
      <protection locked="0"/>
    </xf>
    <xf numFmtId="0" fontId="78" fillId="0" borderId="0" xfId="8" applyFont="1" applyAlignment="1" applyProtection="1">
      <alignment vertical="center"/>
      <protection locked="0"/>
    </xf>
    <xf numFmtId="0" fontId="137" fillId="0" borderId="0" xfId="8" applyFont="1" applyAlignment="1" applyProtection="1">
      <alignment vertical="center"/>
      <protection locked="0"/>
    </xf>
    <xf numFmtId="0" fontId="137" fillId="0" borderId="0" xfId="8" applyFont="1" applyAlignment="1" applyProtection="1">
      <alignment horizontal="left"/>
      <protection locked="0"/>
    </xf>
    <xf numFmtId="0" fontId="115" fillId="22" borderId="0" xfId="8" applyFont="1" applyFill="1" applyAlignment="1" applyProtection="1">
      <alignment horizontal="center" vertical="center" wrapText="1"/>
      <protection locked="0"/>
    </xf>
    <xf numFmtId="0" fontId="112" fillId="0" borderId="0" xfId="8" applyFont="1" applyAlignment="1" applyProtection="1">
      <alignment horizontal="center" vertical="center"/>
      <protection locked="0"/>
    </xf>
    <xf numFmtId="0" fontId="144" fillId="0" borderId="0" xfId="8" applyFont="1" applyAlignment="1" applyProtection="1">
      <alignment horizontal="center" vertical="center"/>
      <protection locked="0"/>
    </xf>
    <xf numFmtId="0" fontId="145" fillId="0" borderId="0" xfId="8" applyFont="1" applyAlignment="1" applyProtection="1">
      <alignment horizontal="center" vertical="center"/>
      <protection locked="0"/>
    </xf>
    <xf numFmtId="0" fontId="145" fillId="0" borderId="0" xfId="8" applyFont="1" applyAlignment="1" applyProtection="1">
      <alignment horizontal="left" vertical="center" wrapText="1"/>
      <protection locked="0"/>
    </xf>
    <xf numFmtId="0" fontId="137" fillId="0" borderId="0" xfId="8" applyFont="1" applyAlignment="1" applyProtection="1">
      <alignment horizontal="center" vertical="center"/>
      <protection locked="0"/>
    </xf>
    <xf numFmtId="0" fontId="146" fillId="0" borderId="0" xfId="8" quotePrefix="1" applyFont="1" applyAlignment="1" applyProtection="1">
      <alignment vertical="center" wrapText="1"/>
      <protection locked="0"/>
    </xf>
    <xf numFmtId="0" fontId="146" fillId="0" borderId="0" xfId="8" quotePrefix="1" applyFont="1" applyAlignment="1" applyProtection="1">
      <alignment horizontal="center" vertical="center" wrapText="1"/>
      <protection locked="0"/>
    </xf>
    <xf numFmtId="0" fontId="137" fillId="0" borderId="0" xfId="8" applyFont="1" applyProtection="1">
      <protection locked="0"/>
    </xf>
    <xf numFmtId="0" fontId="78" fillId="11" borderId="0" xfId="8" applyFont="1" applyFill="1" applyProtection="1">
      <protection locked="0"/>
    </xf>
    <xf numFmtId="0" fontId="78" fillId="0" borderId="0" xfId="8" applyFont="1"/>
    <xf numFmtId="0" fontId="116" fillId="13" borderId="0" xfId="8" applyFont="1" applyFill="1" applyAlignment="1">
      <alignment horizontal="center" vertical="center" wrapText="1"/>
    </xf>
    <xf numFmtId="0" fontId="79" fillId="11" borderId="2" xfId="8" applyFont="1" applyFill="1" applyBorder="1" applyAlignment="1">
      <alignment horizontal="center" vertical="center" wrapText="1"/>
    </xf>
    <xf numFmtId="0" fontId="79" fillId="11" borderId="2" xfId="8" applyFont="1" applyFill="1" applyBorder="1" applyAlignment="1">
      <alignment horizontal="center" vertical="center"/>
    </xf>
    <xf numFmtId="0" fontId="129" fillId="11" borderId="2" xfId="8" applyFont="1" applyFill="1" applyBorder="1" applyAlignment="1">
      <alignment horizontal="center" vertical="center"/>
    </xf>
    <xf numFmtId="0" fontId="128" fillId="0" borderId="0" xfId="8" applyFont="1" applyAlignment="1">
      <alignment horizontal="center" vertical="center"/>
    </xf>
    <xf numFmtId="0" fontId="89" fillId="0" borderId="0" xfId="8" applyFont="1" applyAlignment="1">
      <alignment horizontal="center" vertical="center" wrapText="1"/>
    </xf>
    <xf numFmtId="0" fontId="89" fillId="0" borderId="0" xfId="8" applyFont="1" applyAlignment="1">
      <alignment horizontal="center" vertical="center"/>
    </xf>
    <xf numFmtId="0" fontId="103" fillId="0" borderId="0" xfId="8" applyFont="1" applyAlignment="1">
      <alignment horizontal="center" vertical="center" wrapText="1"/>
    </xf>
    <xf numFmtId="0" fontId="128" fillId="0" borderId="0" xfId="8" applyFont="1" applyAlignment="1">
      <alignment horizontal="center" vertical="center" wrapText="1"/>
    </xf>
    <xf numFmtId="0" fontId="136" fillId="0" borderId="0" xfId="8" applyFont="1" applyAlignment="1">
      <alignment horizontal="center" vertical="center"/>
    </xf>
    <xf numFmtId="0" fontId="124" fillId="11" borderId="2" xfId="8" applyFont="1" applyFill="1" applyBorder="1" applyAlignment="1">
      <alignment horizontal="center" vertical="center"/>
    </xf>
    <xf numFmtId="0" fontId="98" fillId="0" borderId="0" xfId="8" applyFont="1" applyAlignment="1">
      <alignment horizontal="center" vertical="center"/>
    </xf>
    <xf numFmtId="0" fontId="90" fillId="0" borderId="0" xfId="8" applyFont="1" applyAlignment="1">
      <alignment horizontal="center" vertical="center"/>
    </xf>
    <xf numFmtId="0" fontId="90" fillId="0" borderId="0" xfId="8" applyFont="1" applyAlignment="1">
      <alignment horizontal="center" vertical="center" wrapText="1"/>
    </xf>
    <xf numFmtId="0" fontId="79" fillId="11" borderId="7" xfId="8" applyFont="1" applyFill="1" applyBorder="1" applyAlignment="1">
      <alignment horizontal="center" vertical="center" wrapText="1"/>
    </xf>
    <xf numFmtId="0" fontId="90" fillId="4" borderId="6" xfId="8" applyFont="1" applyFill="1" applyBorder="1" applyAlignment="1">
      <alignment horizontal="center" vertical="center"/>
    </xf>
    <xf numFmtId="0" fontId="90" fillId="0" borderId="6" xfId="8" applyFont="1" applyBorder="1" applyAlignment="1">
      <alignment horizontal="center" vertical="center"/>
    </xf>
    <xf numFmtId="0" fontId="90" fillId="4" borderId="0" xfId="8" applyFont="1" applyFill="1" applyAlignment="1">
      <alignment horizontal="center" vertical="center"/>
    </xf>
    <xf numFmtId="0" fontId="90" fillId="23" borderId="0" xfId="8" applyFont="1" applyFill="1" applyAlignment="1">
      <alignment horizontal="center" vertical="center"/>
    </xf>
    <xf numFmtId="0" fontId="78" fillId="5" borderId="0" xfId="8" applyFont="1" applyFill="1"/>
    <xf numFmtId="0" fontId="89" fillId="13" borderId="0" xfId="8" applyFont="1" applyFill="1" applyAlignment="1">
      <alignment horizontal="center" vertical="center" wrapText="1"/>
    </xf>
    <xf numFmtId="0" fontId="147" fillId="0" borderId="0" xfId="8" applyFont="1" applyAlignment="1" applyProtection="1">
      <alignment vertical="center" wrapText="1"/>
      <protection locked="0"/>
    </xf>
    <xf numFmtId="0" fontId="110" fillId="0" borderId="0" xfId="8" applyFont="1" applyAlignment="1" applyProtection="1">
      <alignment vertical="center" wrapText="1"/>
      <protection locked="0"/>
    </xf>
    <xf numFmtId="0" fontId="79" fillId="0" borderId="0" xfId="8" applyFont="1" applyAlignment="1" applyProtection="1">
      <alignment horizontal="right" vertical="center"/>
      <protection locked="0"/>
    </xf>
    <xf numFmtId="0" fontId="16" fillId="0" borderId="0" xfId="0" applyFont="1" applyAlignment="1" applyProtection="1">
      <alignment horizontal="left" vertical="top"/>
      <protection locked="0"/>
    </xf>
    <xf numFmtId="0" fontId="45" fillId="0" borderId="0" xfId="0" applyFont="1" applyAlignment="1" applyProtection="1">
      <alignment horizontal="left" vertical="top"/>
      <protection locked="0"/>
    </xf>
    <xf numFmtId="0" fontId="46" fillId="0" borderId="0" xfId="0" applyFont="1" applyAlignment="1" applyProtection="1">
      <alignment horizontal="left" vertical="center"/>
      <protection locked="0"/>
    </xf>
    <xf numFmtId="0" fontId="86" fillId="15" borderId="2" xfId="8" applyFont="1" applyFill="1" applyBorder="1" applyAlignment="1" applyProtection="1">
      <alignment horizontal="center" vertical="center"/>
      <protection hidden="1"/>
    </xf>
    <xf numFmtId="0" fontId="86" fillId="15" borderId="10" xfId="8" applyFont="1" applyFill="1" applyBorder="1" applyAlignment="1" applyProtection="1">
      <alignment horizontal="center" vertical="center"/>
      <protection hidden="1"/>
    </xf>
    <xf numFmtId="0" fontId="53" fillId="0" borderId="0" xfId="10" applyFont="1" applyProtection="1">
      <protection locked="0"/>
    </xf>
    <xf numFmtId="0" fontId="13" fillId="4" borderId="0" xfId="10" applyFill="1"/>
    <xf numFmtId="0" fontId="13" fillId="0" borderId="0" xfId="10"/>
    <xf numFmtId="0" fontId="13" fillId="0" borderId="0" xfId="10" applyAlignment="1">
      <alignment horizontal="center" vertical="center"/>
    </xf>
    <xf numFmtId="0" fontId="12" fillId="0" borderId="0" xfId="11"/>
    <xf numFmtId="0" fontId="43" fillId="0" borderId="0" xfId="11" applyFont="1"/>
    <xf numFmtId="0" fontId="68" fillId="0" borderId="0" xfId="0" applyFont="1" applyAlignment="1" applyProtection="1">
      <alignment vertical="top"/>
      <protection locked="0"/>
    </xf>
    <xf numFmtId="0" fontId="150" fillId="0" borderId="0" xfId="0" applyFont="1" applyAlignment="1" applyProtection="1">
      <alignment horizontal="left" vertical="center"/>
      <protection locked="0"/>
    </xf>
    <xf numFmtId="0" fontId="58" fillId="25" borderId="0" xfId="4" applyFont="1" applyFill="1" applyAlignment="1" applyProtection="1">
      <alignment vertical="center"/>
      <protection locked="0"/>
    </xf>
    <xf numFmtId="0" fontId="56" fillId="25" borderId="0" xfId="4" applyFont="1" applyFill="1" applyAlignment="1" applyProtection="1">
      <alignment vertical="center"/>
      <protection locked="0"/>
    </xf>
    <xf numFmtId="0" fontId="76" fillId="25" borderId="0" xfId="4" applyFont="1" applyFill="1" applyAlignment="1" applyProtection="1">
      <alignment vertical="center"/>
      <protection locked="0"/>
    </xf>
    <xf numFmtId="3" fontId="61" fillId="25" borderId="0" xfId="4" applyNumberFormat="1" applyFont="1" applyFill="1" applyAlignment="1">
      <alignment vertical="center"/>
    </xf>
    <xf numFmtId="0" fontId="58" fillId="25" borderId="0" xfId="4" applyFont="1" applyFill="1" applyAlignment="1">
      <alignment vertical="center"/>
    </xf>
    <xf numFmtId="0" fontId="42" fillId="24" borderId="0" xfId="4" applyFont="1" applyFill="1" applyAlignment="1" applyProtection="1">
      <alignment horizontal="center" vertical="center"/>
      <protection locked="0"/>
    </xf>
    <xf numFmtId="0" fontId="42" fillId="24" borderId="0" xfId="4" applyFont="1" applyFill="1" applyAlignment="1" applyProtection="1">
      <alignment horizontal="center" vertical="center" wrapText="1"/>
      <protection locked="0"/>
    </xf>
    <xf numFmtId="0" fontId="42" fillId="25" borderId="0" xfId="4" applyFont="1" applyFill="1" applyAlignment="1" applyProtection="1">
      <alignment horizontal="center" vertical="center" wrapText="1"/>
      <protection locked="0"/>
    </xf>
    <xf numFmtId="0" fontId="52" fillId="0" borderId="0" xfId="4" applyFont="1" applyAlignment="1" applyProtection="1">
      <alignment horizontal="center" vertical="center"/>
      <protection locked="0"/>
    </xf>
    <xf numFmtId="14" fontId="52" fillId="0" borderId="0" xfId="4" applyNumberFormat="1" applyFont="1" applyAlignment="1" applyProtection="1">
      <alignment horizontal="center" vertical="center"/>
      <protection locked="0"/>
    </xf>
    <xf numFmtId="164" fontId="52" fillId="0" borderId="0" xfId="4" applyNumberFormat="1" applyFont="1" applyAlignment="1" applyProtection="1">
      <alignment horizontal="center" vertical="center"/>
      <protection locked="0"/>
    </xf>
    <xf numFmtId="164" fontId="52" fillId="0" borderId="0" xfId="4" quotePrefix="1" applyNumberFormat="1" applyFont="1" applyAlignment="1" applyProtection="1">
      <alignment horizontal="center" vertical="center"/>
      <protection locked="0"/>
    </xf>
    <xf numFmtId="164" fontId="153" fillId="0" borderId="0" xfId="4" applyNumberFormat="1" applyFont="1" applyAlignment="1" applyProtection="1">
      <alignment horizontal="center" vertical="center"/>
      <protection locked="0"/>
    </xf>
    <xf numFmtId="169" fontId="52" fillId="0" borderId="0" xfId="4" applyNumberFormat="1" applyFont="1" applyAlignment="1" applyProtection="1">
      <alignment horizontal="center" vertical="center"/>
      <protection hidden="1"/>
    </xf>
    <xf numFmtId="171" fontId="69" fillId="26" borderId="1" xfId="0" applyNumberFormat="1" applyFont="1" applyFill="1" applyBorder="1" applyAlignment="1" applyProtection="1">
      <alignment horizontal="center" vertical="center"/>
      <protection locked="0"/>
    </xf>
    <xf numFmtId="171" fontId="70" fillId="26" borderId="1" xfId="0" applyNumberFormat="1" applyFont="1" applyFill="1" applyBorder="1" applyAlignment="1" applyProtection="1">
      <alignment horizontal="center" vertical="center" wrapText="1"/>
      <protection locked="0"/>
    </xf>
    <xf numFmtId="171" fontId="69" fillId="24" borderId="1" xfId="0" applyNumberFormat="1" applyFont="1" applyFill="1" applyBorder="1" applyAlignment="1" applyProtection="1">
      <alignment horizontal="center" vertical="center"/>
      <protection locked="0"/>
    </xf>
    <xf numFmtId="171" fontId="70" fillId="24" borderId="1" xfId="0" applyNumberFormat="1" applyFont="1" applyFill="1" applyBorder="1" applyAlignment="1" applyProtection="1">
      <alignment horizontal="center" vertical="center" wrapText="1"/>
      <protection locked="0"/>
    </xf>
    <xf numFmtId="171" fontId="69" fillId="25" borderId="1" xfId="0" applyNumberFormat="1" applyFont="1" applyFill="1" applyBorder="1" applyAlignment="1" applyProtection="1">
      <alignment horizontal="center" vertical="center"/>
      <protection locked="0"/>
    </xf>
    <xf numFmtId="171" fontId="70" fillId="25" borderId="1" xfId="0" applyNumberFormat="1" applyFont="1" applyFill="1" applyBorder="1" applyAlignment="1" applyProtection="1">
      <alignment horizontal="center" vertical="center" wrapText="1"/>
      <protection locked="0"/>
    </xf>
    <xf numFmtId="0" fontId="11" fillId="4" borderId="0" xfId="10" applyFont="1" applyFill="1"/>
    <xf numFmtId="0" fontId="11" fillId="0" borderId="0" xfId="10" applyFont="1"/>
    <xf numFmtId="0" fontId="76" fillId="24" borderId="0" xfId="10" applyFont="1" applyFill="1" applyAlignment="1" applyProtection="1">
      <alignment horizontal="center" vertical="center"/>
      <protection locked="0"/>
    </xf>
    <xf numFmtId="0" fontId="156" fillId="0" borderId="1" xfId="0" applyFont="1" applyBorder="1" applyAlignment="1">
      <alignment horizontal="left" vertical="center" wrapText="1"/>
    </xf>
    <xf numFmtId="0" fontId="76" fillId="25" borderId="0" xfId="10" applyFont="1" applyFill="1" applyAlignment="1" applyProtection="1">
      <alignment horizontal="left" vertical="center" wrapText="1"/>
      <protection locked="0"/>
    </xf>
    <xf numFmtId="0" fontId="42" fillId="25" borderId="0" xfId="10" applyFont="1" applyFill="1" applyProtection="1">
      <protection locked="0"/>
    </xf>
    <xf numFmtId="0" fontId="42" fillId="25" borderId="0" xfId="10" applyFont="1" applyFill="1" applyAlignment="1" applyProtection="1">
      <alignment horizontal="center"/>
      <protection hidden="1"/>
    </xf>
    <xf numFmtId="0" fontId="11" fillId="0" borderId="0" xfId="10" applyFont="1" applyProtection="1">
      <protection locked="0"/>
    </xf>
    <xf numFmtId="0" fontId="157" fillId="0" borderId="0" xfId="10" applyFont="1" applyAlignment="1" applyProtection="1">
      <alignment vertical="center" wrapText="1"/>
      <protection locked="0"/>
    </xf>
    <xf numFmtId="0" fontId="155" fillId="0" borderId="0" xfId="0" applyFont="1" applyAlignment="1">
      <alignment vertical="center" wrapText="1"/>
    </xf>
    <xf numFmtId="0" fontId="158" fillId="0" borderId="0" xfId="10" applyFont="1" applyAlignment="1" applyProtection="1">
      <alignment horizontal="center" vertical="center"/>
      <protection locked="0"/>
    </xf>
    <xf numFmtId="0" fontId="58" fillId="24" borderId="0" xfId="10" applyFont="1" applyFill="1" applyAlignment="1" applyProtection="1">
      <alignment horizontal="center" vertical="center"/>
      <protection hidden="1"/>
    </xf>
    <xf numFmtId="0" fontId="42" fillId="24" borderId="0" xfId="10" applyFont="1" applyFill="1" applyAlignment="1" applyProtection="1">
      <alignment vertical="center"/>
      <protection locked="0"/>
    </xf>
    <xf numFmtId="164" fontId="18" fillId="24" borderId="0" xfId="0" applyNumberFormat="1" applyFont="1" applyFill="1" applyAlignment="1" applyProtection="1">
      <alignment horizontal="right" vertical="center" wrapText="1"/>
      <protection locked="0"/>
    </xf>
    <xf numFmtId="0" fontId="163" fillId="0" borderId="61" xfId="0" applyFont="1" applyBorder="1" applyAlignment="1">
      <alignment horizontal="left" vertical="top" wrapText="1" indent="2"/>
    </xf>
    <xf numFmtId="1" fontId="164" fillId="0" borderId="61" xfId="0" applyNumberFormat="1" applyFont="1" applyBorder="1" applyAlignment="1">
      <alignment horizontal="center" vertical="top" shrinkToFit="1"/>
    </xf>
    <xf numFmtId="0" fontId="15" fillId="0" borderId="0" xfId="0" applyFont="1" applyAlignment="1">
      <alignment horizontal="left" vertical="top"/>
    </xf>
    <xf numFmtId="164" fontId="30" fillId="4" borderId="0" xfId="0" applyNumberFormat="1" applyFont="1" applyFill="1" applyAlignment="1" applyProtection="1">
      <alignment horizontal="right" vertical="center" wrapText="1"/>
      <protection locked="0"/>
    </xf>
    <xf numFmtId="0" fontId="84" fillId="0" borderId="61" xfId="0" applyFont="1" applyBorder="1" applyAlignment="1">
      <alignment horizontal="center" vertical="top" wrapText="1"/>
    </xf>
    <xf numFmtId="0" fontId="113" fillId="27" borderId="61" xfId="0" applyFont="1" applyFill="1" applyBorder="1" applyAlignment="1">
      <alignment horizontal="left" vertical="top" wrapText="1" indent="2"/>
    </xf>
    <xf numFmtId="0" fontId="113" fillId="27" borderId="61" xfId="0" applyFont="1" applyFill="1" applyBorder="1" applyAlignment="1">
      <alignment horizontal="right" vertical="top" wrapText="1"/>
    </xf>
    <xf numFmtId="0" fontId="113" fillId="27" borderId="61" xfId="0" applyFont="1" applyFill="1" applyBorder="1" applyAlignment="1">
      <alignment horizontal="right" vertical="top" wrapText="1" indent="1"/>
    </xf>
    <xf numFmtId="3" fontId="164" fillId="0" borderId="61" xfId="0" applyNumberFormat="1" applyFont="1" applyBorder="1" applyAlignment="1">
      <alignment horizontal="right" vertical="top" shrinkToFit="1"/>
    </xf>
    <xf numFmtId="41" fontId="163" fillId="0" borderId="61" xfId="1" applyFont="1" applyBorder="1" applyAlignment="1">
      <alignment horizontal="left" vertical="top" wrapText="1" indent="1"/>
    </xf>
    <xf numFmtId="41" fontId="0" fillId="0" borderId="0" xfId="1" applyFont="1" applyAlignment="1">
      <alignment horizontal="left" vertical="top"/>
    </xf>
    <xf numFmtId="164" fontId="21" fillId="5" borderId="0" xfId="0" applyNumberFormat="1" applyFont="1" applyFill="1" applyAlignment="1" applyProtection="1">
      <alignment horizontal="left" vertical="center"/>
      <protection locked="0"/>
    </xf>
    <xf numFmtId="164" fontId="21" fillId="5" borderId="0" xfId="0" quotePrefix="1" applyNumberFormat="1" applyFont="1" applyFill="1" applyAlignment="1" applyProtection="1">
      <alignment horizontal="left" vertical="center"/>
      <protection locked="0"/>
    </xf>
    <xf numFmtId="41" fontId="0" fillId="0" borderId="0" xfId="1" applyFont="1" applyFill="1" applyBorder="1" applyAlignment="1">
      <alignment horizontal="left" vertical="top" wrapText="1"/>
    </xf>
    <xf numFmtId="41" fontId="15" fillId="0" borderId="0" xfId="1" applyFont="1" applyFill="1" applyBorder="1" applyAlignment="1">
      <alignment horizontal="left" vertical="top" wrapText="1"/>
    </xf>
    <xf numFmtId="164" fontId="18" fillId="5" borderId="0" xfId="0" applyNumberFormat="1" applyFont="1" applyFill="1" applyAlignment="1" applyProtection="1">
      <alignment vertical="center"/>
      <protection locked="0"/>
    </xf>
    <xf numFmtId="0" fontId="15" fillId="0" borderId="0" xfId="14" applyAlignment="1" applyProtection="1">
      <alignment horizontal="center" vertical="center"/>
      <protection locked="0"/>
    </xf>
    <xf numFmtId="0" fontId="15" fillId="0" borderId="0" xfId="14" applyProtection="1">
      <protection locked="0"/>
    </xf>
    <xf numFmtId="41" fontId="15" fillId="0" borderId="0" xfId="1" applyFont="1" applyAlignment="1" applyProtection="1">
      <alignment horizontal="center" vertical="center" wrapText="1"/>
      <protection locked="0"/>
    </xf>
    <xf numFmtId="41" fontId="165" fillId="0" borderId="0" xfId="1" applyFont="1" applyAlignment="1" applyProtection="1">
      <alignment horizontal="center" vertical="center" wrapText="1"/>
      <protection locked="0"/>
    </xf>
    <xf numFmtId="41" fontId="0" fillId="0" borderId="0" xfId="1" applyFont="1" applyAlignment="1" applyProtection="1">
      <alignment vertical="center"/>
    </xf>
    <xf numFmtId="41" fontId="0" fillId="0" borderId="0" xfId="1" applyFont="1" applyProtection="1"/>
    <xf numFmtId="173" fontId="0" fillId="0" borderId="0" xfId="1" applyNumberFormat="1" applyFont="1" applyAlignment="1" applyProtection="1">
      <alignment horizontal="center" vertical="center"/>
      <protection locked="0"/>
    </xf>
    <xf numFmtId="175" fontId="15" fillId="0" borderId="0" xfId="14" applyNumberFormat="1" applyAlignment="1" applyProtection="1">
      <alignment horizontal="center" vertical="center"/>
      <protection locked="0"/>
    </xf>
    <xf numFmtId="176" fontId="0" fillId="0" borderId="0" xfId="1" applyNumberFormat="1" applyFont="1" applyAlignment="1" applyProtection="1">
      <alignment horizontal="center" vertical="center"/>
      <protection locked="0"/>
    </xf>
    <xf numFmtId="174" fontId="15" fillId="0" borderId="0" xfId="14" applyNumberFormat="1" applyAlignment="1" applyProtection="1">
      <alignment horizontal="center" vertical="center"/>
      <protection locked="0"/>
    </xf>
    <xf numFmtId="0" fontId="15" fillId="4" borderId="0" xfId="14" applyFill="1" applyAlignment="1" applyProtection="1">
      <alignment horizontal="center" vertical="center"/>
      <protection locked="0"/>
    </xf>
    <xf numFmtId="41" fontId="0" fillId="4" borderId="0" xfId="1" applyFont="1" applyFill="1" applyAlignment="1" applyProtection="1">
      <alignment vertical="center"/>
    </xf>
    <xf numFmtId="41" fontId="165" fillId="4" borderId="0" xfId="1" applyFont="1" applyFill="1" applyAlignment="1" applyProtection="1">
      <alignment horizontal="center" vertical="center"/>
      <protection locked="0"/>
    </xf>
    <xf numFmtId="0" fontId="15" fillId="5" borderId="0" xfId="14" applyFill="1" applyAlignment="1" applyProtection="1">
      <alignment horizontal="center" vertical="center"/>
      <protection locked="0"/>
    </xf>
    <xf numFmtId="41" fontId="0" fillId="5" borderId="0" xfId="1" applyFont="1" applyFill="1" applyAlignment="1" applyProtection="1">
      <alignment vertical="center"/>
    </xf>
    <xf numFmtId="41" fontId="163" fillId="0" borderId="61" xfId="1" applyFont="1" applyBorder="1" applyAlignment="1">
      <alignment horizontal="left" vertical="top" wrapText="1"/>
    </xf>
    <xf numFmtId="41" fontId="164" fillId="0" borderId="61" xfId="1" applyFont="1" applyBorder="1" applyAlignment="1">
      <alignment horizontal="center" vertical="top" shrinkToFit="1"/>
    </xf>
    <xf numFmtId="41" fontId="166" fillId="0" borderId="0" xfId="1" applyFont="1" applyAlignment="1">
      <alignment horizontal="left" vertical="top" wrapText="1"/>
    </xf>
    <xf numFmtId="0" fontId="171" fillId="0" borderId="0" xfId="8" applyFont="1" applyAlignment="1" applyProtection="1">
      <alignment horizontal="center" vertical="center"/>
      <protection locked="0"/>
    </xf>
    <xf numFmtId="41" fontId="15" fillId="0" borderId="0" xfId="15" applyFont="1" applyFill="1" applyBorder="1" applyAlignment="1" applyProtection="1">
      <alignment horizontal="center" vertical="center"/>
      <protection locked="0"/>
    </xf>
    <xf numFmtId="41" fontId="15" fillId="0" borderId="0" xfId="1" applyFont="1" applyFill="1" applyBorder="1" applyAlignment="1" applyProtection="1">
      <alignment horizontal="center" vertical="center"/>
      <protection locked="0"/>
    </xf>
    <xf numFmtId="41" fontId="171" fillId="0" borderId="0" xfId="1" applyFont="1" applyFill="1" applyBorder="1" applyAlignment="1" applyProtection="1">
      <alignment horizontal="center" vertical="center"/>
      <protection locked="0"/>
    </xf>
    <xf numFmtId="0" fontId="172" fillId="0" borderId="0" xfId="8" applyFont="1" applyAlignment="1" applyProtection="1">
      <alignment horizontal="center" vertical="center"/>
      <protection locked="0"/>
    </xf>
    <xf numFmtId="16" fontId="174" fillId="5" borderId="0" xfId="8" quotePrefix="1" applyNumberFormat="1" applyFont="1" applyFill="1" applyAlignment="1" applyProtection="1">
      <alignment horizontal="center" vertical="center"/>
      <protection locked="0"/>
    </xf>
    <xf numFmtId="1" fontId="175" fillId="0" borderId="0" xfId="8" applyNumberFormat="1" applyFont="1" applyAlignment="1" applyProtection="1">
      <alignment horizontal="center" vertical="center"/>
      <protection locked="0"/>
    </xf>
    <xf numFmtId="0" fontId="176" fillId="0" borderId="0" xfId="8" applyFont="1" applyAlignment="1" applyProtection="1">
      <alignment horizontal="center" vertical="center"/>
      <protection locked="0"/>
    </xf>
    <xf numFmtId="170" fontId="174" fillId="5" borderId="0" xfId="8" quotePrefix="1" applyNumberFormat="1" applyFont="1" applyFill="1" applyAlignment="1" applyProtection="1">
      <alignment horizontal="center" vertical="center"/>
      <protection locked="0"/>
    </xf>
    <xf numFmtId="10" fontId="174" fillId="5" borderId="0" xfId="8" quotePrefix="1" applyNumberFormat="1" applyFont="1" applyFill="1" applyAlignment="1" applyProtection="1">
      <alignment horizontal="center" vertical="center"/>
      <protection locked="0"/>
    </xf>
    <xf numFmtId="0" fontId="177" fillId="0" borderId="0" xfId="8" applyFont="1" applyAlignment="1" applyProtection="1">
      <alignment horizontal="center" vertical="center" wrapText="1"/>
      <protection locked="0"/>
    </xf>
    <xf numFmtId="41" fontId="177" fillId="0" borderId="0" xfId="15" applyFont="1" applyFill="1" applyBorder="1" applyAlignment="1" applyProtection="1">
      <alignment horizontal="center" vertical="center" wrapText="1"/>
      <protection locked="0"/>
    </xf>
    <xf numFmtId="41" fontId="177" fillId="0" borderId="0" xfId="1" applyFont="1" applyFill="1" applyBorder="1" applyAlignment="1" applyProtection="1">
      <alignment horizontal="center" vertical="center" wrapText="1"/>
      <protection locked="0"/>
    </xf>
    <xf numFmtId="41" fontId="168" fillId="0" borderId="0" xfId="1" applyFont="1" applyFill="1" applyBorder="1" applyAlignment="1" applyProtection="1">
      <alignment horizontal="center" vertical="center" wrapText="1"/>
      <protection locked="0"/>
    </xf>
    <xf numFmtId="0" fontId="178" fillId="0" borderId="0" xfId="8" applyFont="1" applyAlignment="1" applyProtection="1">
      <alignment horizontal="center" vertical="center" wrapText="1"/>
      <protection locked="0"/>
    </xf>
    <xf numFmtId="168" fontId="174" fillId="5" borderId="0" xfId="16" applyNumberFormat="1" applyFont="1" applyFill="1" applyBorder="1" applyAlignment="1" applyProtection="1">
      <alignment horizontal="center" vertical="center"/>
    </xf>
    <xf numFmtId="0" fontId="176" fillId="0" borderId="0" xfId="8" applyFont="1" applyAlignment="1" applyProtection="1">
      <alignment horizontal="center" vertical="center" wrapText="1"/>
      <protection locked="0"/>
    </xf>
    <xf numFmtId="17" fontId="171" fillId="4" borderId="0" xfId="8" applyNumberFormat="1" applyFont="1" applyFill="1" applyAlignment="1">
      <alignment horizontal="center" vertical="center"/>
    </xf>
    <xf numFmtId="41" fontId="15" fillId="4" borderId="0" xfId="15" applyFont="1" applyFill="1" applyBorder="1" applyAlignment="1" applyProtection="1">
      <alignment horizontal="center" vertical="center"/>
    </xf>
    <xf numFmtId="41" fontId="15" fillId="4" borderId="0" xfId="15" applyFont="1" applyFill="1" applyBorder="1" applyAlignment="1">
      <alignment horizontal="center" vertical="center"/>
    </xf>
    <xf numFmtId="41" fontId="15" fillId="4" borderId="0" xfId="1" applyFont="1" applyFill="1" applyBorder="1" applyAlignment="1" applyProtection="1">
      <alignment horizontal="center" vertical="center"/>
    </xf>
    <xf numFmtId="41" fontId="171" fillId="4" borderId="0" xfId="1" applyFont="1" applyFill="1" applyBorder="1" applyAlignment="1" applyProtection="1">
      <alignment horizontal="center" vertical="center"/>
      <protection locked="0"/>
    </xf>
    <xf numFmtId="41" fontId="179" fillId="4" borderId="0" xfId="8" applyNumberFormat="1" applyFont="1" applyFill="1" applyAlignment="1">
      <alignment horizontal="center" vertical="center"/>
    </xf>
    <xf numFmtId="41" fontId="180" fillId="4" borderId="0" xfId="8" applyNumberFormat="1" applyFont="1" applyFill="1" applyAlignment="1">
      <alignment horizontal="center" vertical="center"/>
    </xf>
    <xf numFmtId="17" fontId="171" fillId="5" borderId="0" xfId="8" applyNumberFormat="1" applyFont="1" applyFill="1" applyAlignment="1">
      <alignment horizontal="center" vertical="center"/>
    </xf>
    <xf numFmtId="41" fontId="15" fillId="5" borderId="0" xfId="1" applyFont="1" applyFill="1" applyBorder="1" applyAlignment="1" applyProtection="1">
      <alignment horizontal="center" vertical="center"/>
    </xf>
    <xf numFmtId="41" fontId="179" fillId="5" borderId="0" xfId="8" applyNumberFormat="1" applyFont="1" applyFill="1" applyAlignment="1">
      <alignment horizontal="center" vertical="center"/>
    </xf>
    <xf numFmtId="41" fontId="180" fillId="5" borderId="0" xfId="8" applyNumberFormat="1" applyFont="1" applyFill="1" applyAlignment="1">
      <alignment horizontal="center" vertical="center"/>
    </xf>
    <xf numFmtId="0" fontId="174" fillId="0" borderId="0" xfId="8" applyFont="1" applyAlignment="1" applyProtection="1">
      <alignment horizontal="center" vertical="center"/>
      <protection locked="0"/>
    </xf>
    <xf numFmtId="41" fontId="15" fillId="0" borderId="0" xfId="15" applyFont="1" applyFill="1" applyBorder="1" applyAlignment="1">
      <alignment horizontal="center" vertical="center"/>
    </xf>
    <xf numFmtId="0" fontId="179" fillId="0" borderId="0" xfId="8" applyFont="1" applyAlignment="1" applyProtection="1">
      <alignment horizontal="center" vertical="center"/>
      <protection locked="0"/>
    </xf>
    <xf numFmtId="0" fontId="73" fillId="0" borderId="0" xfId="8" applyAlignment="1" applyProtection="1">
      <alignment horizontal="center" vertical="center" wrapText="1"/>
      <protection locked="0"/>
    </xf>
    <xf numFmtId="0" fontId="182" fillId="0" borderId="0" xfId="14" applyFont="1" applyAlignment="1" applyProtection="1">
      <alignment vertical="center" wrapText="1"/>
      <protection locked="0"/>
    </xf>
    <xf numFmtId="0" fontId="183" fillId="0" borderId="0" xfId="8" applyFont="1" applyAlignment="1" applyProtection="1">
      <alignment horizontal="right" vertical="center"/>
      <protection locked="0"/>
    </xf>
    <xf numFmtId="0" fontId="171" fillId="0" borderId="1" xfId="8" applyFont="1" applyBorder="1" applyAlignment="1" applyProtection="1">
      <alignment horizontal="center" vertical="center" wrapText="1"/>
      <protection locked="0"/>
    </xf>
    <xf numFmtId="1" fontId="171" fillId="0" borderId="1" xfId="8" applyNumberFormat="1" applyFont="1" applyBorder="1" applyAlignment="1">
      <alignment horizontal="center" vertical="center" wrapText="1"/>
    </xf>
    <xf numFmtId="41" fontId="171" fillId="0" borderId="1" xfId="1" applyFont="1" applyBorder="1" applyAlignment="1" applyProtection="1">
      <alignment horizontal="center" vertical="center" wrapText="1"/>
    </xf>
    <xf numFmtId="0" fontId="171" fillId="0" borderId="0" xfId="8" applyFont="1" applyAlignment="1" applyProtection="1">
      <alignment horizontal="center" vertical="center" wrapText="1"/>
      <protection locked="0"/>
    </xf>
    <xf numFmtId="0" fontId="178" fillId="0" borderId="1" xfId="8" applyFont="1" applyBorder="1" applyAlignment="1" applyProtection="1">
      <alignment horizontal="center" vertical="center" wrapText="1"/>
      <protection locked="0"/>
    </xf>
    <xf numFmtId="1" fontId="178" fillId="0" borderId="1" xfId="8" applyNumberFormat="1" applyFont="1" applyBorder="1" applyAlignment="1">
      <alignment horizontal="center" vertical="center" wrapText="1"/>
    </xf>
    <xf numFmtId="41" fontId="178" fillId="0" borderId="1" xfId="1" applyFont="1" applyBorder="1" applyAlignment="1" applyProtection="1">
      <alignment horizontal="center" vertical="center" wrapText="1"/>
    </xf>
    <xf numFmtId="41" fontId="168" fillId="0" borderId="1" xfId="1" applyFont="1" applyBorder="1" applyAlignment="1" applyProtection="1">
      <alignment horizontal="center" vertical="center" wrapText="1"/>
    </xf>
    <xf numFmtId="0" fontId="168" fillId="0" borderId="1" xfId="8" applyFont="1" applyBorder="1" applyAlignment="1" applyProtection="1">
      <alignment horizontal="center" vertical="center" wrapText="1"/>
      <protection locked="0"/>
    </xf>
    <xf numFmtId="1" fontId="168" fillId="0" borderId="1" xfId="8" applyNumberFormat="1" applyFont="1" applyBorder="1" applyAlignment="1">
      <alignment horizontal="center" vertical="center" wrapText="1"/>
    </xf>
    <xf numFmtId="0" fontId="175" fillId="0" borderId="0" xfId="8" applyFont="1" applyAlignment="1" applyProtection="1">
      <alignment horizontal="center" vertical="center"/>
      <protection locked="0"/>
    </xf>
    <xf numFmtId="170" fontId="175" fillId="0" borderId="0" xfId="13" applyNumberFormat="1" applyFont="1" applyAlignment="1" applyProtection="1">
      <alignment horizontal="center" vertical="center"/>
      <protection locked="0"/>
    </xf>
    <xf numFmtId="168" fontId="175" fillId="0" borderId="0" xfId="13" applyNumberFormat="1" applyFont="1" applyAlignment="1" applyProtection="1">
      <alignment horizontal="center" vertical="center" wrapText="1"/>
      <protection locked="0"/>
    </xf>
    <xf numFmtId="0" fontId="70" fillId="24" borderId="1" xfId="8" applyFont="1" applyFill="1" applyBorder="1" applyAlignment="1" applyProtection="1">
      <alignment horizontal="center" vertical="center" wrapText="1"/>
      <protection locked="0"/>
    </xf>
    <xf numFmtId="0" fontId="184" fillId="0" borderId="0" xfId="8" applyFont="1" applyAlignment="1" applyProtection="1">
      <alignment horizontal="center" vertical="center"/>
      <protection locked="0"/>
    </xf>
    <xf numFmtId="170" fontId="184" fillId="0" borderId="0" xfId="16" applyNumberFormat="1" applyFont="1" applyFill="1" applyBorder="1" applyAlignment="1" applyProtection="1">
      <alignment horizontal="center" vertical="center"/>
      <protection locked="0"/>
    </xf>
    <xf numFmtId="0" fontId="184" fillId="0" borderId="0" xfId="8" applyFont="1" applyAlignment="1" applyProtection="1">
      <alignment horizontal="center" vertical="center" wrapText="1"/>
      <protection locked="0"/>
    </xf>
    <xf numFmtId="170" fontId="184" fillId="0" borderId="0" xfId="16" applyNumberFormat="1" applyFont="1" applyFill="1" applyBorder="1" applyAlignment="1" applyProtection="1">
      <alignment horizontal="center" vertical="center" wrapText="1"/>
      <protection locked="0"/>
    </xf>
    <xf numFmtId="0" fontId="175" fillId="0" borderId="0" xfId="8" quotePrefix="1" applyFont="1" applyAlignment="1" applyProtection="1">
      <alignment horizontal="center" vertical="center"/>
      <protection locked="0"/>
    </xf>
    <xf numFmtId="10" fontId="176" fillId="0" borderId="0" xfId="8" applyNumberFormat="1" applyFont="1" applyAlignment="1" applyProtection="1">
      <alignment horizontal="center" vertical="center"/>
      <protection locked="0"/>
    </xf>
    <xf numFmtId="41" fontId="171" fillId="5" borderId="0" xfId="1" applyFont="1" applyFill="1" applyBorder="1" applyAlignment="1" applyProtection="1">
      <alignment horizontal="center" vertical="center"/>
      <protection locked="0"/>
    </xf>
    <xf numFmtId="41" fontId="165" fillId="0" borderId="0" xfId="1" applyFont="1" applyAlignment="1" applyProtection="1">
      <alignment horizontal="center" vertical="center"/>
      <protection locked="0"/>
    </xf>
    <xf numFmtId="170" fontId="168" fillId="7" borderId="0" xfId="13" applyNumberFormat="1" applyFont="1" applyFill="1" applyAlignment="1" applyProtection="1">
      <alignment vertical="center" wrapText="1"/>
      <protection locked="0"/>
    </xf>
    <xf numFmtId="41" fontId="15" fillId="4" borderId="0" xfId="15" quotePrefix="1" applyFont="1" applyFill="1" applyBorder="1" applyAlignment="1" applyProtection="1">
      <alignment horizontal="center" vertical="center"/>
    </xf>
    <xf numFmtId="0" fontId="168" fillId="0" borderId="0" xfId="8" applyFont="1" applyAlignment="1" applyProtection="1">
      <alignment horizontal="center" vertical="center" wrapText="1"/>
      <protection locked="0"/>
    </xf>
    <xf numFmtId="0" fontId="0" fillId="0" borderId="0" xfId="0"/>
    <xf numFmtId="0" fontId="186" fillId="0" borderId="0" xfId="0" applyFont="1" applyAlignment="1">
      <alignment horizontal="center" vertical="center"/>
    </xf>
    <xf numFmtId="0" fontId="186" fillId="0" borderId="0" xfId="0" applyFont="1"/>
    <xf numFmtId="0" fontId="186" fillId="0" borderId="0" xfId="0" applyFont="1" applyAlignment="1">
      <alignment horizontal="center"/>
    </xf>
    <xf numFmtId="0" fontId="187" fillId="28" borderId="61" xfId="0" applyFont="1" applyFill="1" applyBorder="1" applyAlignment="1">
      <alignment horizontal="center" vertical="top" wrapText="1"/>
    </xf>
    <xf numFmtId="0" fontId="187" fillId="28" borderId="73" xfId="0" applyFont="1" applyFill="1" applyBorder="1" applyAlignment="1">
      <alignment horizontal="center" vertical="top" wrapText="1"/>
    </xf>
    <xf numFmtId="0" fontId="187" fillId="28" borderId="74" xfId="0" applyFont="1" applyFill="1" applyBorder="1" applyAlignment="1">
      <alignment horizontal="center" vertical="top" wrapText="1"/>
    </xf>
    <xf numFmtId="1" fontId="188" fillId="28" borderId="75" xfId="0" applyNumberFormat="1" applyFont="1" applyFill="1" applyBorder="1" applyAlignment="1">
      <alignment horizontal="center" vertical="top" shrinkToFit="1"/>
    </xf>
    <xf numFmtId="2" fontId="188" fillId="0" borderId="76" xfId="0" applyNumberFormat="1" applyFont="1" applyBorder="1" applyAlignment="1">
      <alignment horizontal="center" vertical="top" shrinkToFit="1"/>
    </xf>
    <xf numFmtId="2" fontId="188" fillId="0" borderId="77" xfId="0" applyNumberFormat="1" applyFont="1" applyBorder="1" applyAlignment="1">
      <alignment horizontal="center" vertical="top" shrinkToFit="1"/>
    </xf>
    <xf numFmtId="1" fontId="188" fillId="28" borderId="78" xfId="0" applyNumberFormat="1" applyFont="1" applyFill="1" applyBorder="1" applyAlignment="1">
      <alignment horizontal="center" vertical="top" shrinkToFit="1"/>
    </xf>
    <xf numFmtId="2" fontId="188" fillId="0" borderId="79" xfId="0" applyNumberFormat="1" applyFont="1" applyBorder="1" applyAlignment="1">
      <alignment horizontal="center" vertical="top" shrinkToFit="1"/>
    </xf>
    <xf numFmtId="2" fontId="188" fillId="0" borderId="80" xfId="0" applyNumberFormat="1" applyFont="1" applyBorder="1" applyAlignment="1">
      <alignment horizontal="center" vertical="top" shrinkToFit="1"/>
    </xf>
    <xf numFmtId="2" fontId="188" fillId="0" borderId="81" xfId="0" applyNumberFormat="1" applyFont="1" applyBorder="1" applyAlignment="1">
      <alignment horizontal="center" vertical="top" shrinkToFit="1"/>
    </xf>
    <xf numFmtId="2" fontId="188" fillId="0" borderId="82" xfId="0" applyNumberFormat="1" applyFont="1" applyBorder="1" applyAlignment="1">
      <alignment horizontal="center" vertical="top" shrinkToFit="1"/>
    </xf>
    <xf numFmtId="1" fontId="164" fillId="0" borderId="61" xfId="0" applyNumberFormat="1" applyFont="1" applyBorder="1" applyAlignment="1">
      <alignment horizontal="center" vertical="center" shrinkToFit="1"/>
    </xf>
    <xf numFmtId="2" fontId="164" fillId="0" borderId="61" xfId="0" applyNumberFormat="1" applyFont="1" applyBorder="1" applyAlignment="1">
      <alignment horizontal="center" vertical="center" shrinkToFit="1"/>
    </xf>
    <xf numFmtId="41" fontId="190" fillId="7" borderId="0" xfId="1" applyFont="1" applyFill="1" applyBorder="1" applyAlignment="1" applyProtection="1">
      <alignment vertical="center"/>
      <protection locked="0"/>
    </xf>
    <xf numFmtId="1" fontId="186" fillId="0" borderId="0" xfId="1" applyNumberFormat="1" applyFont="1" applyAlignment="1">
      <alignment horizontal="center" vertical="center"/>
    </xf>
    <xf numFmtId="1" fontId="186" fillId="0" borderId="0" xfId="1" applyNumberFormat="1" applyFont="1"/>
    <xf numFmtId="41" fontId="191" fillId="7" borderId="0" xfId="1" applyFont="1" applyFill="1" applyBorder="1" applyAlignment="1" applyProtection="1">
      <alignment vertical="center"/>
      <protection locked="0"/>
    </xf>
    <xf numFmtId="41" fontId="191" fillId="7" borderId="0" xfId="1" applyFont="1" applyFill="1" applyBorder="1" applyAlignment="1" applyProtection="1">
      <alignment horizontal="right"/>
      <protection locked="0"/>
    </xf>
    <xf numFmtId="0" fontId="0" fillId="0" borderId="0" xfId="0" applyAlignment="1" applyProtection="1">
      <alignment horizontal="center" vertical="center"/>
      <protection locked="0"/>
    </xf>
    <xf numFmtId="164" fontId="16" fillId="5" borderId="0" xfId="0" applyNumberFormat="1" applyFont="1" applyFill="1" applyAlignment="1" applyProtection="1">
      <alignment horizontal="left" vertical="center"/>
      <protection locked="0"/>
    </xf>
    <xf numFmtId="0" fontId="195" fillId="0" borderId="0" xfId="14" applyFont="1" applyAlignment="1">
      <alignment horizontal="right" vertical="center"/>
    </xf>
    <xf numFmtId="0" fontId="196" fillId="0" borderId="0" xfId="14" applyFont="1" applyAlignment="1">
      <alignment horizontal="left" vertical="top"/>
    </xf>
    <xf numFmtId="0" fontId="171" fillId="4" borderId="1" xfId="8" applyFont="1" applyFill="1" applyBorder="1" applyAlignment="1" applyProtection="1">
      <alignment horizontal="center" vertical="center" wrapText="1"/>
      <protection locked="0"/>
    </xf>
    <xf numFmtId="0" fontId="197" fillId="0" borderId="1" xfId="8" applyFont="1" applyBorder="1" applyAlignment="1" applyProtection="1">
      <alignment horizontal="center" vertical="center" wrapText="1"/>
      <protection locked="0"/>
    </xf>
    <xf numFmtId="41" fontId="197" fillId="0" borderId="1" xfId="1" applyFont="1" applyBorder="1" applyAlignment="1">
      <alignment horizontal="center" vertical="center" wrapText="1"/>
    </xf>
    <xf numFmtId="41" fontId="197" fillId="0" borderId="1" xfId="1" applyFont="1" applyBorder="1" applyAlignment="1" applyProtection="1">
      <alignment horizontal="center" vertical="center" wrapText="1"/>
    </xf>
    <xf numFmtId="41" fontId="15" fillId="5" borderId="0" xfId="15" applyFont="1" applyFill="1" applyBorder="1" applyAlignment="1" applyProtection="1">
      <alignment horizontal="center" vertical="center"/>
    </xf>
    <xf numFmtId="41" fontId="15" fillId="5" borderId="0" xfId="15" applyFont="1" applyFill="1" applyBorder="1" applyAlignment="1">
      <alignment horizontal="center" vertical="center"/>
    </xf>
    <xf numFmtId="0" fontId="173" fillId="0" borderId="0" xfId="8" applyFont="1" applyAlignment="1" applyProtection="1">
      <alignment horizontal="center" vertical="center"/>
      <protection locked="0"/>
    </xf>
    <xf numFmtId="170" fontId="173" fillId="0" borderId="0" xfId="16" applyNumberFormat="1" applyFont="1" applyFill="1" applyBorder="1" applyAlignment="1" applyProtection="1">
      <alignment horizontal="center" vertical="center"/>
      <protection locked="0"/>
    </xf>
    <xf numFmtId="0" fontId="199" fillId="0" borderId="0" xfId="14" applyFont="1" applyAlignment="1">
      <alignment horizontal="center" vertical="center"/>
    </xf>
    <xf numFmtId="0" fontId="77" fillId="0" borderId="0" xfId="14" applyFont="1" applyAlignment="1">
      <alignment horizontal="center" vertical="center"/>
    </xf>
    <xf numFmtId="0" fontId="199" fillId="5" borderId="0" xfId="14" applyFont="1" applyFill="1" applyAlignment="1">
      <alignment horizontal="center" vertical="center"/>
    </xf>
    <xf numFmtId="0" fontId="201" fillId="24" borderId="0" xfId="14" applyFont="1" applyFill="1" applyAlignment="1">
      <alignment horizontal="center" vertical="center" wrapText="1"/>
    </xf>
    <xf numFmtId="0" fontId="201" fillId="3" borderId="0" xfId="14" applyFont="1" applyFill="1" applyAlignment="1">
      <alignment horizontal="center" vertical="center" wrapText="1"/>
    </xf>
    <xf numFmtId="0" fontId="202" fillId="0" borderId="0" xfId="14" applyFont="1" applyAlignment="1">
      <alignment horizontal="center" vertical="center"/>
    </xf>
    <xf numFmtId="41" fontId="203" fillId="0" borderId="0" xfId="1" applyFont="1" applyAlignment="1">
      <alignment horizontal="center" vertical="center"/>
    </xf>
    <xf numFmtId="41" fontId="203" fillId="10" borderId="0" xfId="1" applyFont="1" applyFill="1" applyAlignment="1">
      <alignment horizontal="center" vertical="center"/>
    </xf>
    <xf numFmtId="41" fontId="204" fillId="0" borderId="0" xfId="1" applyFont="1" applyAlignment="1">
      <alignment horizontal="right"/>
    </xf>
    <xf numFmtId="0" fontId="70" fillId="3" borderId="1" xfId="8" applyFont="1" applyFill="1" applyBorder="1" applyAlignment="1" applyProtection="1">
      <alignment horizontal="center" vertical="center" wrapText="1"/>
      <protection locked="0"/>
    </xf>
    <xf numFmtId="0" fontId="10" fillId="0" borderId="0" xfId="17" applyProtection="1">
      <protection locked="0"/>
    </xf>
    <xf numFmtId="3" fontId="10" fillId="7" borderId="0" xfId="17" applyNumberFormat="1" applyFill="1" applyAlignment="1" applyProtection="1">
      <alignment horizontal="right" vertical="center"/>
      <protection locked="0"/>
    </xf>
    <xf numFmtId="0" fontId="10" fillId="0" borderId="0" xfId="17" applyAlignment="1" applyProtection="1">
      <alignment horizontal="center" vertical="center"/>
      <protection locked="0"/>
    </xf>
    <xf numFmtId="9" fontId="0" fillId="7" borderId="0" xfId="18" applyFont="1" applyFill="1" applyAlignment="1" applyProtection="1">
      <alignment horizontal="right" vertical="center"/>
      <protection locked="0"/>
    </xf>
    <xf numFmtId="166" fontId="10" fillId="0" borderId="0" xfId="17" applyNumberFormat="1" applyProtection="1">
      <protection locked="0"/>
    </xf>
    <xf numFmtId="10" fontId="10" fillId="0" borderId="0" xfId="17" applyNumberFormat="1" applyProtection="1">
      <protection locked="0"/>
    </xf>
    <xf numFmtId="3" fontId="10" fillId="0" borderId="0" xfId="17" applyNumberFormat="1" applyAlignment="1" applyProtection="1">
      <alignment horizontal="right" vertical="center"/>
      <protection locked="0"/>
    </xf>
    <xf numFmtId="167" fontId="10" fillId="0" borderId="0" xfId="17" applyNumberFormat="1" applyProtection="1">
      <protection locked="0"/>
    </xf>
    <xf numFmtId="168" fontId="0" fillId="0" borderId="0" xfId="18" applyNumberFormat="1" applyFont="1" applyProtection="1">
      <protection locked="0"/>
    </xf>
    <xf numFmtId="0" fontId="10" fillId="5" borderId="0" xfId="17" applyFill="1" applyProtection="1">
      <protection locked="0"/>
    </xf>
    <xf numFmtId="0" fontId="10" fillId="0" borderId="0" xfId="17" applyAlignment="1" applyProtection="1">
      <alignment horizontal="right"/>
      <protection locked="0"/>
    </xf>
    <xf numFmtId="0" fontId="10" fillId="4" borderId="0" xfId="17" applyFill="1" applyProtection="1">
      <protection locked="0"/>
    </xf>
    <xf numFmtId="168" fontId="0" fillId="0" borderId="0" xfId="18" applyNumberFormat="1" applyFont="1" applyAlignment="1" applyProtection="1">
      <alignment horizontal="center"/>
      <protection locked="0"/>
    </xf>
    <xf numFmtId="8" fontId="10" fillId="0" borderId="0" xfId="17" applyNumberFormat="1" applyProtection="1">
      <protection locked="0"/>
    </xf>
    <xf numFmtId="0" fontId="208" fillId="5" borderId="0" xfId="17" applyFont="1" applyFill="1" applyProtection="1">
      <protection locked="0"/>
    </xf>
    <xf numFmtId="3" fontId="10" fillId="4" borderId="0" xfId="17" applyNumberFormat="1" applyFill="1" applyAlignment="1" applyProtection="1">
      <alignment horizontal="right" vertical="center"/>
      <protection locked="0"/>
    </xf>
    <xf numFmtId="0" fontId="73" fillId="0" borderId="0" xfId="17" applyFont="1" applyProtection="1">
      <protection locked="0"/>
    </xf>
    <xf numFmtId="3" fontId="73" fillId="7" borderId="0" xfId="17" applyNumberFormat="1" applyFont="1" applyFill="1" applyAlignment="1" applyProtection="1">
      <alignment horizontal="right" vertical="center"/>
      <protection locked="0"/>
    </xf>
    <xf numFmtId="0" fontId="73" fillId="0" borderId="0" xfId="17" applyFont="1" applyAlignment="1" applyProtection="1">
      <alignment horizontal="center" vertical="center"/>
      <protection locked="0"/>
    </xf>
    <xf numFmtId="0" fontId="73" fillId="0" borderId="0" xfId="17" applyFont="1" applyAlignment="1" applyProtection="1">
      <alignment horizontal="right"/>
      <protection locked="0"/>
    </xf>
    <xf numFmtId="166" fontId="73" fillId="0" borderId="0" xfId="17" applyNumberFormat="1" applyFont="1" applyProtection="1">
      <protection locked="0"/>
    </xf>
    <xf numFmtId="9" fontId="16" fillId="7" borderId="0" xfId="18" applyFont="1" applyFill="1" applyAlignment="1" applyProtection="1">
      <alignment horizontal="right" vertical="center"/>
      <protection locked="0"/>
    </xf>
    <xf numFmtId="8" fontId="73" fillId="0" borderId="0" xfId="17" applyNumberFormat="1" applyFont="1" applyProtection="1">
      <protection locked="0"/>
    </xf>
    <xf numFmtId="168" fontId="16" fillId="0" borderId="0" xfId="18" applyNumberFormat="1" applyFont="1" applyProtection="1">
      <protection locked="0"/>
    </xf>
    <xf numFmtId="3" fontId="73" fillId="0" borderId="0" xfId="17" applyNumberFormat="1" applyFont="1" applyAlignment="1" applyProtection="1">
      <alignment horizontal="right" vertical="center"/>
      <protection locked="0"/>
    </xf>
    <xf numFmtId="0" fontId="40" fillId="0" borderId="0" xfId="17" applyFont="1" applyProtection="1">
      <protection locked="0"/>
    </xf>
    <xf numFmtId="0" fontId="40" fillId="8" borderId="0" xfId="17" applyFont="1" applyFill="1" applyProtection="1">
      <protection locked="0"/>
    </xf>
    <xf numFmtId="0" fontId="44" fillId="24" borderId="0" xfId="17" applyFont="1" applyFill="1" applyAlignment="1" applyProtection="1">
      <alignment horizontal="center" vertical="center"/>
      <protection locked="0"/>
    </xf>
    <xf numFmtId="0" fontId="48" fillId="3" borderId="0" xfId="17" applyFont="1" applyFill="1" applyProtection="1">
      <protection locked="0"/>
    </xf>
    <xf numFmtId="0" fontId="42" fillId="24" borderId="0" xfId="17" applyFont="1" applyFill="1" applyAlignment="1" applyProtection="1">
      <alignment horizontal="center" vertical="center"/>
      <protection locked="0"/>
    </xf>
    <xf numFmtId="0" fontId="42" fillId="24" borderId="0" xfId="17" applyFont="1" applyFill="1" applyProtection="1">
      <protection locked="0"/>
    </xf>
    <xf numFmtId="0" fontId="51" fillId="24" borderId="0" xfId="17" applyFont="1" applyFill="1" applyAlignment="1" applyProtection="1">
      <alignment horizontal="center" vertical="center" wrapText="1"/>
      <protection locked="0"/>
    </xf>
    <xf numFmtId="0" fontId="17" fillId="24" borderId="0" xfId="17" applyFont="1" applyFill="1" applyAlignment="1" applyProtection="1">
      <alignment horizontal="center" vertical="center"/>
      <protection locked="0"/>
    </xf>
    <xf numFmtId="0" fontId="70" fillId="24" borderId="0" xfId="17" applyFont="1" applyFill="1" applyAlignment="1" applyProtection="1">
      <alignment horizontal="center" vertical="center" wrapText="1"/>
      <protection locked="0"/>
    </xf>
    <xf numFmtId="0" fontId="73" fillId="24" borderId="0" xfId="17" applyFont="1" applyFill="1" applyProtection="1">
      <protection locked="0"/>
    </xf>
    <xf numFmtId="0" fontId="181" fillId="24" borderId="0" xfId="17" applyFont="1" applyFill="1" applyProtection="1">
      <protection locked="0"/>
    </xf>
    <xf numFmtId="0" fontId="72" fillId="3" borderId="0" xfId="17" applyFont="1" applyFill="1" applyProtection="1">
      <protection locked="0"/>
    </xf>
    <xf numFmtId="0" fontId="10" fillId="5" borderId="0" xfId="4" applyFont="1" applyFill="1" applyAlignment="1">
      <alignment vertical="center"/>
    </xf>
    <xf numFmtId="0" fontId="10" fillId="9" borderId="0" xfId="4" applyFont="1" applyFill="1" applyAlignment="1">
      <alignment vertical="center"/>
    </xf>
    <xf numFmtId="0" fontId="10" fillId="5" borderId="0" xfId="4" applyFont="1" applyFill="1" applyAlignment="1" applyProtection="1">
      <alignment vertical="center"/>
      <protection locked="0"/>
    </xf>
    <xf numFmtId="164" fontId="43" fillId="7" borderId="0" xfId="4" applyNumberFormat="1" applyFont="1" applyFill="1" applyAlignment="1">
      <alignment horizontal="right" vertical="center"/>
    </xf>
    <xf numFmtId="0" fontId="50" fillId="7" borderId="0" xfId="4" applyFont="1" applyFill="1" applyAlignment="1">
      <alignment horizontal="right" vertical="center"/>
    </xf>
    <xf numFmtId="0" fontId="15" fillId="0" borderId="0" xfId="14" applyAlignment="1">
      <alignment horizontal="left" vertical="top"/>
    </xf>
    <xf numFmtId="164" fontId="27" fillId="7" borderId="0" xfId="0" applyNumberFormat="1" applyFont="1" applyFill="1" applyAlignment="1" applyProtection="1">
      <alignment horizontal="center" vertical="center" wrapText="1"/>
      <protection locked="0"/>
    </xf>
    <xf numFmtId="14" fontId="15" fillId="0" borderId="0" xfId="14" applyNumberFormat="1" applyAlignment="1" applyProtection="1">
      <alignment horizontal="center" vertical="center"/>
      <protection locked="0"/>
    </xf>
    <xf numFmtId="174" fontId="15" fillId="0" borderId="0" xfId="14" applyNumberFormat="1" applyAlignment="1">
      <alignment horizontal="center" vertical="center"/>
    </xf>
    <xf numFmtId="174" fontId="170" fillId="0" borderId="0" xfId="14" applyNumberFormat="1" applyFont="1" applyAlignment="1">
      <alignment horizontal="center" vertical="center"/>
    </xf>
    <xf numFmtId="174" fontId="15" fillId="4" borderId="0" xfId="14" applyNumberFormat="1" applyFill="1" applyAlignment="1">
      <alignment horizontal="center" vertical="center"/>
    </xf>
    <xf numFmtId="174" fontId="170" fillId="4" borderId="0" xfId="14" applyNumberFormat="1" applyFont="1" applyFill="1" applyAlignment="1">
      <alignment horizontal="center" vertical="center"/>
    </xf>
    <xf numFmtId="14" fontId="15" fillId="0" borderId="0" xfId="14" applyNumberFormat="1"/>
    <xf numFmtId="1" fontId="15" fillId="0" borderId="0" xfId="14" applyNumberFormat="1" applyAlignment="1">
      <alignment horizontal="center" vertical="center"/>
    </xf>
    <xf numFmtId="14" fontId="15" fillId="0" borderId="0" xfId="14" applyNumberFormat="1" applyAlignment="1">
      <alignment horizontal="center" vertical="center"/>
    </xf>
    <xf numFmtId="174" fontId="15" fillId="5" borderId="0" xfId="14" applyNumberFormat="1" applyFill="1" applyAlignment="1">
      <alignment horizontal="center" vertical="center"/>
    </xf>
    <xf numFmtId="174" fontId="170" fillId="5" borderId="0" xfId="14" applyNumberFormat="1" applyFont="1" applyFill="1" applyAlignment="1">
      <alignment horizontal="center" vertical="center"/>
    </xf>
    <xf numFmtId="41" fontId="200" fillId="24" borderId="0" xfId="14" applyNumberFormat="1" applyFont="1" applyFill="1" applyAlignment="1">
      <alignment horizontal="center" vertical="center"/>
    </xf>
    <xf numFmtId="0" fontId="15" fillId="0" borderId="0" xfId="14" applyAlignment="1">
      <alignment horizontal="left" vertical="top" wrapText="1"/>
    </xf>
    <xf numFmtId="41" fontId="216" fillId="0" borderId="0" xfId="1" applyFont="1" applyFill="1" applyBorder="1" applyAlignment="1">
      <alignment horizontal="left" vertical="top"/>
    </xf>
    <xf numFmtId="41" fontId="219" fillId="0" borderId="0" xfId="1" applyFont="1" applyFill="1" applyBorder="1" applyAlignment="1">
      <alignment horizontal="left" vertical="top"/>
    </xf>
    <xf numFmtId="41" fontId="219" fillId="27" borderId="61" xfId="1" applyFont="1" applyFill="1" applyBorder="1" applyAlignment="1">
      <alignment horizontal="center" vertical="top" wrapText="1"/>
    </xf>
    <xf numFmtId="41" fontId="219" fillId="27" borderId="61" xfId="1" applyFont="1" applyFill="1" applyBorder="1" applyAlignment="1">
      <alignment horizontal="right" vertical="top" wrapText="1" indent="2"/>
    </xf>
    <xf numFmtId="41" fontId="219" fillId="27" borderId="61" xfId="1" applyFont="1" applyFill="1" applyBorder="1" applyAlignment="1">
      <alignment horizontal="left" vertical="top" wrapText="1" indent="2"/>
    </xf>
    <xf numFmtId="41" fontId="216" fillId="0" borderId="61" xfId="1" applyFont="1" applyFill="1" applyBorder="1" applyAlignment="1">
      <alignment horizontal="center" vertical="top" shrinkToFit="1"/>
    </xf>
    <xf numFmtId="41" fontId="216" fillId="0" borderId="61" xfId="1" applyFont="1" applyFill="1" applyBorder="1" applyAlignment="1">
      <alignment horizontal="right" vertical="top" indent="2" shrinkToFit="1"/>
    </xf>
    <xf numFmtId="41" fontId="216" fillId="0" borderId="61" xfId="1" applyFont="1" applyFill="1" applyBorder="1" applyAlignment="1">
      <alignment horizontal="left" vertical="top" indent="1" shrinkToFit="1"/>
    </xf>
    <xf numFmtId="41" fontId="216" fillId="0" borderId="61" xfId="1" applyFont="1" applyBorder="1" applyAlignment="1">
      <alignment horizontal="center" vertical="top" shrinkToFit="1"/>
    </xf>
    <xf numFmtId="41" fontId="216" fillId="0" borderId="61" xfId="1" applyFont="1" applyFill="1" applyBorder="1" applyAlignment="1">
      <alignment horizontal="left" vertical="top" indent="2" shrinkToFit="1"/>
    </xf>
    <xf numFmtId="41" fontId="216" fillId="0" borderId="61" xfId="1" applyFont="1" applyBorder="1" applyAlignment="1">
      <alignment horizontal="right" vertical="top" indent="2" shrinkToFit="1"/>
    </xf>
    <xf numFmtId="41" fontId="216" fillId="0" borderId="61" xfId="1" applyFont="1" applyBorder="1" applyAlignment="1">
      <alignment horizontal="right" vertical="top" indent="1" shrinkToFit="1"/>
    </xf>
    <xf numFmtId="41" fontId="216" fillId="0" borderId="61" xfId="1" applyFont="1" applyFill="1" applyBorder="1" applyAlignment="1">
      <alignment horizontal="right" vertical="top" indent="1" shrinkToFit="1"/>
    </xf>
    <xf numFmtId="164" fontId="27" fillId="5" borderId="0" xfId="0" applyNumberFormat="1" applyFont="1" applyFill="1" applyAlignment="1" applyProtection="1">
      <alignment vertical="center"/>
      <protection hidden="1"/>
    </xf>
    <xf numFmtId="1" fontId="160" fillId="4" borderId="0" xfId="1" applyNumberFormat="1" applyFont="1" applyFill="1" applyBorder="1" applyAlignment="1" applyProtection="1">
      <alignment horizontal="right" vertical="center"/>
      <protection hidden="1"/>
    </xf>
    <xf numFmtId="41" fontId="27" fillId="5" borderId="0" xfId="1" applyFont="1" applyFill="1" applyBorder="1" applyAlignment="1" applyProtection="1">
      <alignment vertical="center"/>
      <protection hidden="1"/>
    </xf>
    <xf numFmtId="164" fontId="21" fillId="0" borderId="0" xfId="0" quotePrefix="1" applyNumberFormat="1" applyFont="1" applyAlignment="1" applyProtection="1">
      <alignment horizontal="left" vertical="center"/>
      <protection hidden="1"/>
    </xf>
    <xf numFmtId="1" fontId="23" fillId="4" borderId="0" xfId="0" applyNumberFormat="1" applyFont="1" applyFill="1" applyAlignment="1" applyProtection="1">
      <alignment vertical="center" wrapText="1"/>
      <protection hidden="1"/>
    </xf>
    <xf numFmtId="164" fontId="27" fillId="4" borderId="0" xfId="0" applyNumberFormat="1" applyFont="1" applyFill="1" applyAlignment="1" applyProtection="1">
      <alignment horizontal="right" vertical="center" wrapText="1"/>
      <protection hidden="1"/>
    </xf>
    <xf numFmtId="41" fontId="23" fillId="4" borderId="0" xfId="1" applyFont="1" applyFill="1" applyBorder="1" applyAlignment="1" applyProtection="1">
      <alignment horizontal="right"/>
      <protection hidden="1"/>
    </xf>
    <xf numFmtId="164" fontId="21" fillId="5" borderId="0" xfId="0" quotePrefix="1" applyNumberFormat="1" applyFont="1" applyFill="1" applyAlignment="1" applyProtection="1">
      <alignment horizontal="left" vertical="center"/>
      <protection hidden="1"/>
    </xf>
    <xf numFmtId="0" fontId="15" fillId="0" borderId="0" xfId="14" applyAlignment="1" applyProtection="1">
      <alignment horizontal="center" vertical="center" wrapText="1"/>
      <protection locked="0"/>
    </xf>
    <xf numFmtId="41" fontId="0" fillId="4" borderId="0" xfId="1" applyFont="1" applyFill="1" applyAlignment="1" applyProtection="1">
      <alignment horizontal="center" vertical="center"/>
    </xf>
    <xf numFmtId="41" fontId="0" fillId="0" borderId="0" xfId="1" applyFont="1" applyAlignment="1" applyProtection="1">
      <alignment horizontal="center" vertical="center"/>
    </xf>
    <xf numFmtId="41" fontId="0" fillId="5" borderId="0" xfId="1" applyFont="1" applyFill="1" applyAlignment="1" applyProtection="1">
      <alignment horizontal="center" vertical="center"/>
    </xf>
    <xf numFmtId="41" fontId="0" fillId="0" borderId="0" xfId="1" applyFont="1" applyAlignment="1" applyProtection="1">
      <alignment horizontal="center" vertical="center"/>
      <protection locked="0"/>
    </xf>
    <xf numFmtId="41" fontId="0" fillId="4" borderId="0" xfId="1" applyFont="1" applyFill="1" applyAlignment="1" applyProtection="1">
      <alignment horizontal="center" vertical="center"/>
      <protection locked="0"/>
    </xf>
    <xf numFmtId="164" fontId="18" fillId="5" borderId="0" xfId="0" applyNumberFormat="1" applyFont="1" applyFill="1" applyAlignment="1" applyProtection="1">
      <alignment horizontal="center" vertical="center"/>
      <protection locked="0"/>
    </xf>
    <xf numFmtId="0" fontId="15" fillId="0" borderId="0" xfId="14"/>
    <xf numFmtId="0" fontId="7" fillId="0" borderId="0" xfId="122" applyAlignment="1">
      <alignment horizontal="center" vertical="center"/>
    </xf>
    <xf numFmtId="170" fontId="0" fillId="0" borderId="0" xfId="123" applyNumberFormat="1" applyFont="1" applyAlignment="1">
      <alignment horizontal="center" vertical="center"/>
    </xf>
    <xf numFmtId="10" fontId="7" fillId="0" borderId="0" xfId="122" applyNumberFormat="1" applyAlignment="1">
      <alignment horizontal="center" vertical="center"/>
    </xf>
    <xf numFmtId="10" fontId="0" fillId="0" borderId="0" xfId="123" applyNumberFormat="1" applyFont="1" applyAlignment="1">
      <alignment horizontal="center" vertical="center"/>
    </xf>
    <xf numFmtId="41" fontId="15" fillId="0" borderId="0" xfId="1" applyAlignment="1" applyProtection="1">
      <alignment horizontal="center" vertical="center"/>
    </xf>
    <xf numFmtId="170" fontId="221" fillId="0" borderId="0" xfId="13" applyNumberFormat="1" applyFont="1" applyAlignment="1" applyProtection="1">
      <alignment horizontal="center" vertical="center"/>
      <protection locked="0"/>
    </xf>
    <xf numFmtId="41" fontId="160" fillId="7" borderId="0" xfId="1" applyFont="1" applyFill="1" applyBorder="1" applyAlignment="1" applyProtection="1">
      <alignment horizontal="right"/>
      <protection locked="0"/>
    </xf>
    <xf numFmtId="164" fontId="24" fillId="5" borderId="0" xfId="0" applyNumberFormat="1" applyFont="1" applyFill="1" applyAlignment="1" applyProtection="1">
      <alignment horizontal="left" vertical="center"/>
      <protection hidden="1"/>
    </xf>
    <xf numFmtId="0" fontId="91" fillId="0" borderId="13" xfId="8" applyFont="1" applyBorder="1" applyAlignment="1" applyProtection="1">
      <alignment horizontal="center" vertical="center"/>
      <protection hidden="1"/>
    </xf>
    <xf numFmtId="0" fontId="91" fillId="0" borderId="2" xfId="8" applyFont="1" applyBorder="1" applyAlignment="1" applyProtection="1">
      <alignment horizontal="center" vertical="center"/>
      <protection hidden="1"/>
    </xf>
    <xf numFmtId="0" fontId="79" fillId="11" borderId="2" xfId="8" applyFont="1" applyFill="1" applyBorder="1" applyAlignment="1" applyProtection="1">
      <alignment horizontal="center" vertical="center"/>
      <protection hidden="1"/>
    </xf>
    <xf numFmtId="0" fontId="24" fillId="0" borderId="0" xfId="0" applyFont="1" applyAlignment="1" applyProtection="1">
      <alignment horizontal="center" vertical="center"/>
      <protection locked="0"/>
    </xf>
    <xf numFmtId="0" fontId="24" fillId="0" borderId="0" xfId="0" applyFont="1" applyAlignment="1" applyProtection="1">
      <alignment vertical="center"/>
      <protection locked="0"/>
    </xf>
    <xf numFmtId="0" fontId="24" fillId="0" borderId="0" xfId="0" applyFont="1" applyAlignment="1" applyProtection="1">
      <alignment horizontal="left" vertical="top"/>
      <protection locked="0"/>
    </xf>
    <xf numFmtId="0" fontId="205" fillId="0" borderId="0" xfId="0" applyFont="1" applyAlignment="1" applyProtection="1">
      <alignment vertical="center"/>
      <protection locked="0"/>
    </xf>
    <xf numFmtId="0" fontId="223" fillId="0" borderId="0" xfId="0" applyFont="1" applyAlignment="1" applyProtection="1">
      <alignment vertical="center"/>
      <protection locked="0"/>
    </xf>
    <xf numFmtId="0" fontId="206" fillId="0" borderId="0" xfId="0" applyFont="1" applyAlignment="1" applyProtection="1">
      <alignment vertical="center"/>
      <protection hidden="1"/>
    </xf>
    <xf numFmtId="0" fontId="41" fillId="0" borderId="0" xfId="0" applyFont="1" applyAlignment="1" applyProtection="1">
      <alignment vertical="center"/>
      <protection locked="0"/>
    </xf>
    <xf numFmtId="0" fontId="16" fillId="0" borderId="0" xfId="0" applyFont="1" applyAlignment="1" applyProtection="1">
      <alignment vertical="center"/>
      <protection locked="0"/>
    </xf>
    <xf numFmtId="0" fontId="152" fillId="0" borderId="0" xfId="0" applyFont="1" applyAlignment="1" applyProtection="1">
      <alignment vertical="top"/>
      <protection locked="0"/>
    </xf>
    <xf numFmtId="49" fontId="223" fillId="0" borderId="0" xfId="0" applyNumberFormat="1" applyFont="1" applyAlignment="1" applyProtection="1">
      <alignment horizontal="center" vertical="center"/>
      <protection locked="0"/>
    </xf>
    <xf numFmtId="0" fontId="223" fillId="0" borderId="0" xfId="0" applyFont="1" applyAlignment="1" applyProtection="1">
      <alignment horizontal="left" vertical="center"/>
      <protection locked="0"/>
    </xf>
    <xf numFmtId="0" fontId="2" fillId="0" borderId="0" xfId="1022" applyProtection="1">
      <protection locked="0"/>
    </xf>
    <xf numFmtId="0" fontId="48" fillId="6" borderId="0" xfId="1022" applyFont="1" applyFill="1" applyProtection="1">
      <protection locked="0"/>
    </xf>
    <xf numFmtId="41" fontId="43" fillId="0" borderId="0" xfId="1023" applyFont="1" applyAlignment="1" applyProtection="1">
      <alignment horizontal="center" vertical="center"/>
      <protection hidden="1"/>
    </xf>
    <xf numFmtId="3" fontId="43" fillId="7" borderId="0" xfId="1022" applyNumberFormat="1" applyFont="1" applyFill="1" applyAlignment="1" applyProtection="1">
      <alignment horizontal="right"/>
      <protection locked="0"/>
    </xf>
    <xf numFmtId="0" fontId="2" fillId="0" borderId="0" xfId="1022" applyAlignment="1" applyProtection="1">
      <alignment horizontal="center" vertical="center"/>
      <protection locked="0"/>
    </xf>
    <xf numFmtId="0" fontId="2" fillId="0" borderId="0" xfId="1022" applyAlignment="1" applyProtection="1">
      <alignment horizontal="right"/>
      <protection locked="0"/>
    </xf>
    <xf numFmtId="3" fontId="2" fillId="0" borderId="0" xfId="1022" applyNumberFormat="1" applyAlignment="1" applyProtection="1">
      <alignment horizontal="right"/>
      <protection hidden="1"/>
    </xf>
    <xf numFmtId="3" fontId="43" fillId="4" borderId="0" xfId="1024" applyNumberFormat="1" applyFont="1" applyFill="1" applyAlignment="1" applyProtection="1">
      <alignment horizontal="right"/>
      <protection hidden="1"/>
    </xf>
    <xf numFmtId="168" fontId="0" fillId="0" borderId="0" xfId="1024" applyNumberFormat="1" applyFont="1" applyAlignment="1" applyProtection="1">
      <alignment horizontal="right"/>
      <protection hidden="1"/>
    </xf>
    <xf numFmtId="166" fontId="2" fillId="0" borderId="0" xfId="1022" applyNumberFormat="1" applyProtection="1">
      <protection locked="0"/>
    </xf>
    <xf numFmtId="3" fontId="43" fillId="7" borderId="0" xfId="1022" quotePrefix="1" applyNumberFormat="1" applyFont="1" applyFill="1" applyAlignment="1" applyProtection="1">
      <alignment horizontal="right"/>
      <protection locked="0"/>
    </xf>
    <xf numFmtId="3" fontId="43" fillId="0" borderId="0" xfId="1022" applyNumberFormat="1" applyFont="1" applyAlignment="1" applyProtection="1">
      <alignment horizontal="right" vertical="center"/>
      <protection hidden="1"/>
    </xf>
    <xf numFmtId="3" fontId="43" fillId="4" borderId="0" xfId="1022" applyNumberFormat="1" applyFont="1" applyFill="1" applyAlignment="1" applyProtection="1">
      <alignment horizontal="right"/>
      <protection locked="0"/>
    </xf>
    <xf numFmtId="9" fontId="43" fillId="7" borderId="0" xfId="1024" applyFont="1" applyFill="1" applyAlignment="1" applyProtection="1">
      <alignment horizontal="right"/>
      <protection locked="0"/>
    </xf>
    <xf numFmtId="3" fontId="43" fillId="4" borderId="0" xfId="1022" applyNumberFormat="1" applyFont="1" applyFill="1" applyAlignment="1" applyProtection="1">
      <alignment horizontal="right"/>
      <protection hidden="1"/>
    </xf>
    <xf numFmtId="167" fontId="2" fillId="0" borderId="0" xfId="1022" applyNumberFormat="1" applyProtection="1">
      <protection locked="0"/>
    </xf>
    <xf numFmtId="3" fontId="2" fillId="4" borderId="0" xfId="1022" applyNumberFormat="1" applyFill="1" applyAlignment="1" applyProtection="1">
      <alignment horizontal="right"/>
      <protection hidden="1"/>
    </xf>
    <xf numFmtId="3" fontId="43" fillId="0" borderId="0" xfId="1022" applyNumberFormat="1" applyFont="1" applyAlignment="1" applyProtection="1">
      <alignment horizontal="right"/>
      <protection hidden="1"/>
    </xf>
    <xf numFmtId="0" fontId="43" fillId="0" borderId="0" xfId="1022" applyFont="1" applyProtection="1">
      <protection locked="0"/>
    </xf>
    <xf numFmtId="3" fontId="43" fillId="0" borderId="0" xfId="1022" applyNumberFormat="1" applyFont="1" applyAlignment="1" applyProtection="1">
      <alignment horizontal="right"/>
      <protection locked="0"/>
    </xf>
    <xf numFmtId="3" fontId="43" fillId="5" borderId="0" xfId="1024" applyNumberFormat="1" applyFont="1" applyFill="1" applyAlignment="1" applyProtection="1">
      <alignment horizontal="right"/>
      <protection hidden="1"/>
    </xf>
    <xf numFmtId="3" fontId="43" fillId="5" borderId="0" xfId="1022" applyNumberFormat="1" applyFont="1" applyFill="1" applyAlignment="1" applyProtection="1">
      <alignment horizontal="right"/>
      <protection hidden="1"/>
    </xf>
    <xf numFmtId="9" fontId="43" fillId="7" borderId="0" xfId="1024" applyFont="1" applyFill="1" applyAlignment="1" applyProtection="1">
      <alignment horizontal="right"/>
      <protection hidden="1"/>
    </xf>
    <xf numFmtId="41" fontId="43" fillId="7" borderId="0" xfId="1025" quotePrefix="1" applyFont="1" applyFill="1" applyAlignment="1" applyProtection="1">
      <alignment horizontal="right"/>
      <protection locked="0"/>
    </xf>
    <xf numFmtId="0" fontId="51" fillId="24" borderId="0" xfId="1022" applyFont="1" applyFill="1" applyAlignment="1" applyProtection="1">
      <alignment horizontal="center" vertical="center" wrapText="1"/>
      <protection locked="0"/>
    </xf>
    <xf numFmtId="0" fontId="44" fillId="24" borderId="0" xfId="1022" applyFont="1" applyFill="1" applyAlignment="1" applyProtection="1">
      <alignment horizontal="center" vertical="center"/>
      <protection locked="0"/>
    </xf>
    <xf numFmtId="164" fontId="42" fillId="24" borderId="0" xfId="1022" applyNumberFormat="1" applyFont="1" applyFill="1" applyAlignment="1" applyProtection="1">
      <alignment horizontal="center" vertical="center"/>
      <protection hidden="1"/>
    </xf>
    <xf numFmtId="3" fontId="42" fillId="24" borderId="0" xfId="1022" applyNumberFormat="1" applyFont="1" applyFill="1" applyAlignment="1" applyProtection="1">
      <alignment horizontal="right"/>
      <protection hidden="1"/>
    </xf>
    <xf numFmtId="49" fontId="226" fillId="0" borderId="0" xfId="4" applyNumberFormat="1" applyFont="1" applyAlignment="1" applyProtection="1">
      <alignment vertical="center"/>
      <protection locked="0"/>
    </xf>
    <xf numFmtId="0" fontId="226" fillId="0" borderId="0" xfId="4" applyFont="1" applyAlignment="1" applyProtection="1">
      <alignment vertical="center"/>
      <protection locked="0"/>
    </xf>
    <xf numFmtId="0" fontId="77" fillId="7" borderId="0" xfId="4" applyFont="1" applyFill="1" applyAlignment="1" applyProtection="1">
      <alignment horizontal="center" vertical="center"/>
      <protection locked="0"/>
    </xf>
    <xf numFmtId="0" fontId="59" fillId="7" borderId="0" xfId="4" applyFont="1" applyFill="1" applyAlignment="1" applyProtection="1">
      <alignment horizontal="right" vertical="center"/>
      <protection locked="0"/>
    </xf>
    <xf numFmtId="14" fontId="59" fillId="7" borderId="0" xfId="4" applyNumberFormat="1" applyFont="1" applyFill="1" applyAlignment="1" applyProtection="1">
      <alignment vertical="center"/>
      <protection locked="0"/>
    </xf>
    <xf numFmtId="49" fontId="59" fillId="7" borderId="0" xfId="4" quotePrefix="1" applyNumberFormat="1" applyFont="1" applyFill="1" applyAlignment="1" applyProtection="1">
      <alignment horizontal="right" vertical="center"/>
      <protection locked="0"/>
    </xf>
    <xf numFmtId="0" fontId="66" fillId="5" borderId="0" xfId="4" applyFont="1" applyFill="1" applyAlignment="1" applyProtection="1">
      <alignment vertical="center"/>
      <protection locked="0"/>
    </xf>
    <xf numFmtId="0" fontId="161" fillId="5" borderId="0" xfId="4" applyFont="1" applyFill="1" applyAlignment="1" applyProtection="1">
      <alignment vertical="center"/>
      <protection locked="0"/>
    </xf>
    <xf numFmtId="0" fontId="177" fillId="7" borderId="0" xfId="4" applyFont="1" applyFill="1" applyAlignment="1" applyProtection="1">
      <alignment horizontal="right" vertical="center"/>
      <protection locked="0"/>
    </xf>
    <xf numFmtId="164" fontId="24" fillId="7" borderId="0" xfId="0" applyNumberFormat="1" applyFont="1" applyFill="1" applyAlignment="1" applyProtection="1">
      <alignment horizontal="right" vertical="center" wrapText="1"/>
      <protection locked="0"/>
    </xf>
    <xf numFmtId="1" fontId="167" fillId="0" borderId="0" xfId="0" applyNumberFormat="1" applyFont="1" applyAlignment="1" applyProtection="1">
      <alignment horizontal="center" vertical="center"/>
      <protection hidden="1"/>
    </xf>
    <xf numFmtId="41" fontId="171" fillId="0" borderId="1" xfId="1" applyFont="1" applyBorder="1" applyAlignment="1" applyProtection="1">
      <alignment horizontal="right" vertical="center" wrapText="1"/>
    </xf>
    <xf numFmtId="41" fontId="168" fillId="0" borderId="1" xfId="1" applyFont="1" applyBorder="1" applyAlignment="1" applyProtection="1">
      <alignment horizontal="right" vertical="center" wrapText="1"/>
    </xf>
    <xf numFmtId="0" fontId="171" fillId="0" borderId="72" xfId="8" applyFont="1" applyBorder="1" applyAlignment="1" applyProtection="1">
      <alignment horizontal="center" vertical="center" wrapText="1"/>
      <protection locked="0"/>
    </xf>
    <xf numFmtId="1" fontId="171" fillId="0" borderId="72" xfId="8" applyNumberFormat="1" applyFont="1" applyBorder="1" applyAlignment="1">
      <alignment horizontal="center" vertical="center" wrapText="1"/>
    </xf>
    <xf numFmtId="41" fontId="171" fillId="0" borderId="72" xfId="1" applyFont="1" applyBorder="1" applyAlignment="1" applyProtection="1">
      <alignment horizontal="center" vertical="center" wrapText="1"/>
    </xf>
    <xf numFmtId="0" fontId="183" fillId="0" borderId="1" xfId="8" applyFont="1" applyBorder="1" applyAlignment="1" applyProtection="1">
      <alignment horizontal="right" vertical="center"/>
      <protection locked="0"/>
    </xf>
    <xf numFmtId="41" fontId="171" fillId="0" borderId="72" xfId="1" applyFont="1" applyBorder="1" applyAlignment="1" applyProtection="1">
      <alignment horizontal="right" vertical="center" wrapText="1"/>
    </xf>
    <xf numFmtId="0" fontId="168" fillId="0" borderId="72" xfId="8" applyFont="1" applyBorder="1" applyAlignment="1" applyProtection="1">
      <alignment horizontal="center" vertical="center" wrapText="1"/>
      <protection locked="0"/>
    </xf>
    <xf numFmtId="41" fontId="168" fillId="0" borderId="72" xfId="1" applyFont="1" applyBorder="1" applyAlignment="1" applyProtection="1">
      <alignment horizontal="center" vertical="center" wrapText="1"/>
    </xf>
    <xf numFmtId="41" fontId="168" fillId="0" borderId="72" xfId="1" applyFont="1" applyBorder="1" applyAlignment="1" applyProtection="1">
      <alignment horizontal="right" vertical="center" wrapText="1"/>
    </xf>
    <xf numFmtId="41" fontId="178" fillId="0" borderId="1" xfId="1" applyFont="1" applyBorder="1" applyAlignment="1" applyProtection="1">
      <alignment horizontal="right" vertical="center" wrapText="1"/>
    </xf>
    <xf numFmtId="41" fontId="52" fillId="5" borderId="0" xfId="1" applyFont="1" applyFill="1" applyAlignment="1">
      <alignment horizontal="right" vertical="center"/>
    </xf>
    <xf numFmtId="41" fontId="52" fillId="9" borderId="0" xfId="1" applyFont="1" applyFill="1" applyAlignment="1">
      <alignment horizontal="right" vertical="center"/>
    </xf>
    <xf numFmtId="41" fontId="52" fillId="0" borderId="0" xfId="1" applyFont="1" applyAlignment="1">
      <alignment horizontal="right" vertical="center"/>
    </xf>
    <xf numFmtId="41" fontId="61" fillId="25" borderId="0" xfId="1" applyFont="1" applyFill="1" applyAlignment="1">
      <alignment vertical="center"/>
    </xf>
    <xf numFmtId="41" fontId="60" fillId="9" borderId="0" xfId="1" applyFont="1" applyFill="1" applyAlignment="1">
      <alignment vertical="center"/>
    </xf>
    <xf numFmtId="0" fontId="116" fillId="13" borderId="0" xfId="8" applyFont="1" applyFill="1" applyAlignment="1" applyProtection="1">
      <alignment horizontal="center" vertical="center"/>
      <protection locked="0"/>
    </xf>
    <xf numFmtId="49" fontId="223" fillId="0" borderId="0" xfId="0" quotePrefix="1" applyNumberFormat="1" applyFont="1" applyAlignment="1" applyProtection="1">
      <alignment horizontal="center" vertical="center"/>
      <protection locked="0"/>
    </xf>
    <xf numFmtId="164" fontId="24" fillId="4" borderId="0" xfId="0" applyNumberFormat="1" applyFont="1" applyFill="1" applyAlignment="1" applyProtection="1">
      <alignment vertical="center" wrapText="1"/>
      <protection locked="0"/>
    </xf>
    <xf numFmtId="41" fontId="0" fillId="0" borderId="0" xfId="1" applyFont="1" applyAlignment="1" applyProtection="1">
      <alignment vertical="center"/>
      <protection hidden="1"/>
    </xf>
    <xf numFmtId="41" fontId="0" fillId="0" borderId="0" xfId="1" applyFont="1" applyAlignment="1" applyProtection="1">
      <alignment horizontal="center" vertical="center"/>
      <protection hidden="1"/>
    </xf>
    <xf numFmtId="41" fontId="0" fillId="4" borderId="0" xfId="1" applyFont="1" applyFill="1" applyAlignment="1" applyProtection="1">
      <alignment vertical="center"/>
      <protection hidden="1"/>
    </xf>
    <xf numFmtId="41" fontId="0" fillId="4" borderId="0" xfId="1" applyFont="1" applyFill="1" applyAlignment="1" applyProtection="1">
      <alignment horizontal="center" vertical="center"/>
      <protection hidden="1"/>
    </xf>
    <xf numFmtId="174" fontId="15" fillId="0" borderId="0" xfId="14" applyNumberFormat="1" applyAlignment="1" applyProtection="1">
      <alignment horizontal="center" vertical="center"/>
      <protection hidden="1"/>
    </xf>
    <xf numFmtId="174" fontId="170" fillId="0" borderId="0" xfId="14" applyNumberFormat="1" applyFont="1" applyAlignment="1" applyProtection="1">
      <alignment horizontal="center" vertical="center"/>
      <protection hidden="1"/>
    </xf>
    <xf numFmtId="174" fontId="15" fillId="4" borderId="0" xfId="14" applyNumberFormat="1" applyFill="1" applyAlignment="1" applyProtection="1">
      <alignment horizontal="center" vertical="center"/>
      <protection hidden="1"/>
    </xf>
    <xf numFmtId="174" fontId="170" fillId="4" borderId="0" xfId="14" applyNumberFormat="1" applyFont="1" applyFill="1" applyAlignment="1" applyProtection="1">
      <alignment horizontal="center" vertical="center"/>
      <protection hidden="1"/>
    </xf>
    <xf numFmtId="14" fontId="15" fillId="0" borderId="0" xfId="14" applyNumberFormat="1" applyProtection="1">
      <protection hidden="1"/>
    </xf>
    <xf numFmtId="41" fontId="0" fillId="0" borderId="0" xfId="1" applyFont="1" applyProtection="1">
      <protection hidden="1"/>
    </xf>
    <xf numFmtId="1" fontId="15" fillId="0" borderId="0" xfId="14" applyNumberFormat="1" applyAlignment="1" applyProtection="1">
      <alignment horizontal="center" vertical="center"/>
      <protection hidden="1"/>
    </xf>
    <xf numFmtId="14" fontId="15" fillId="0" borderId="0" xfId="14" applyNumberFormat="1" applyAlignment="1" applyProtection="1">
      <alignment horizontal="center" vertical="center"/>
      <protection hidden="1"/>
    </xf>
    <xf numFmtId="41" fontId="0" fillId="5" borderId="0" xfId="1" applyFont="1" applyFill="1" applyAlignment="1" applyProtection="1">
      <alignment vertical="center"/>
      <protection hidden="1"/>
    </xf>
    <xf numFmtId="41" fontId="0" fillId="5" borderId="0" xfId="1" applyFont="1" applyFill="1" applyAlignment="1" applyProtection="1">
      <alignment horizontal="center" vertical="center"/>
      <protection hidden="1"/>
    </xf>
    <xf numFmtId="174" fontId="15" fillId="5" borderId="0" xfId="14" applyNumberFormat="1" applyFill="1" applyAlignment="1" applyProtection="1">
      <alignment horizontal="center" vertical="center"/>
      <protection hidden="1"/>
    </xf>
    <xf numFmtId="174" fontId="170" fillId="5" borderId="0" xfId="14" applyNumberFormat="1" applyFont="1" applyFill="1" applyAlignment="1" applyProtection="1">
      <alignment horizontal="center" vertical="center"/>
      <protection hidden="1"/>
    </xf>
    <xf numFmtId="41" fontId="170" fillId="4" borderId="0" xfId="1" applyFont="1" applyFill="1" applyAlignment="1" applyProtection="1">
      <alignment horizontal="center" vertical="center"/>
      <protection hidden="1"/>
    </xf>
    <xf numFmtId="41" fontId="170" fillId="5" borderId="0" xfId="1" applyFont="1" applyFill="1" applyAlignment="1" applyProtection="1">
      <alignment horizontal="center" vertical="center"/>
      <protection hidden="1"/>
    </xf>
    <xf numFmtId="41" fontId="170" fillId="0" borderId="0" xfId="1" applyFont="1" applyAlignment="1" applyProtection="1">
      <alignment horizontal="center" vertical="center"/>
      <protection hidden="1"/>
    </xf>
    <xf numFmtId="41" fontId="190" fillId="5" borderId="0" xfId="1" applyFont="1" applyFill="1" applyBorder="1" applyAlignment="1" applyProtection="1">
      <alignment vertical="center"/>
      <protection hidden="1"/>
    </xf>
    <xf numFmtId="0" fontId="210" fillId="0" borderId="0" xfId="0" applyFont="1" applyAlignment="1">
      <alignment horizontal="left" vertical="top"/>
    </xf>
    <xf numFmtId="41" fontId="190" fillId="7" borderId="0" xfId="1" applyFont="1" applyFill="1" applyBorder="1" applyAlignment="1" applyProtection="1">
      <alignment vertical="center" wrapText="1"/>
      <protection locked="0"/>
    </xf>
    <xf numFmtId="49" fontId="37" fillId="0" borderId="0" xfId="3" applyNumberFormat="1" applyAlignment="1" applyProtection="1">
      <alignment horizontal="center" vertical="center"/>
      <protection locked="0"/>
    </xf>
    <xf numFmtId="0" fontId="43" fillId="7" borderId="0" xfId="4" applyFont="1" applyFill="1" applyAlignment="1" applyProtection="1">
      <alignment horizontal="right" vertical="center"/>
      <protection locked="0"/>
    </xf>
    <xf numFmtId="41" fontId="77" fillId="9" borderId="0" xfId="1" applyFont="1" applyFill="1" applyAlignment="1">
      <alignment vertical="center"/>
    </xf>
    <xf numFmtId="0" fontId="14" fillId="0" borderId="0" xfId="4" applyAlignment="1" applyProtection="1">
      <alignment horizontal="center" vertical="center"/>
      <protection hidden="1"/>
    </xf>
    <xf numFmtId="164" fontId="14" fillId="0" borderId="0" xfId="4" applyNumberFormat="1" applyAlignment="1" applyProtection="1">
      <alignment horizontal="center" vertical="center"/>
      <protection hidden="1"/>
    </xf>
    <xf numFmtId="41" fontId="43" fillId="0" borderId="0" xfId="1" applyFont="1" applyAlignment="1" applyProtection="1">
      <alignment horizontal="center" vertical="center"/>
      <protection hidden="1"/>
    </xf>
    <xf numFmtId="3" fontId="10" fillId="0" borderId="0" xfId="17" applyNumberFormat="1" applyAlignment="1" applyProtection="1">
      <alignment horizontal="right" vertical="center"/>
      <protection hidden="1"/>
    </xf>
    <xf numFmtId="41" fontId="10" fillId="4" borderId="0" xfId="19" applyFont="1" applyFill="1" applyAlignment="1" applyProtection="1">
      <protection hidden="1"/>
    </xf>
    <xf numFmtId="41" fontId="50" fillId="0" borderId="0" xfId="19" applyFont="1" applyAlignment="1" applyProtection="1">
      <protection hidden="1"/>
    </xf>
    <xf numFmtId="41" fontId="42" fillId="24" borderId="0" xfId="19" applyFont="1" applyFill="1" applyAlignment="1" applyProtection="1">
      <protection hidden="1"/>
    </xf>
    <xf numFmtId="164" fontId="42" fillId="24" borderId="0" xfId="17" applyNumberFormat="1" applyFont="1" applyFill="1" applyAlignment="1" applyProtection="1">
      <alignment horizontal="center" vertical="center"/>
      <protection hidden="1"/>
    </xf>
    <xf numFmtId="3" fontId="10" fillId="5" borderId="0" xfId="17" applyNumberFormat="1" applyFill="1" applyAlignment="1" applyProtection="1">
      <alignment horizontal="right" vertical="center"/>
      <protection hidden="1"/>
    </xf>
    <xf numFmtId="3" fontId="10" fillId="4" borderId="0" xfId="17" applyNumberFormat="1" applyFill="1" applyAlignment="1" applyProtection="1">
      <alignment horizontal="right" vertical="center"/>
      <protection hidden="1"/>
    </xf>
    <xf numFmtId="3" fontId="10" fillId="0" borderId="0" xfId="17" applyNumberFormat="1" applyAlignment="1" applyProtection="1">
      <alignment horizontal="right"/>
      <protection hidden="1"/>
    </xf>
    <xf numFmtId="168" fontId="0" fillId="0" borderId="0" xfId="18" applyNumberFormat="1" applyFont="1" applyAlignment="1" applyProtection="1">
      <alignment horizontal="right"/>
      <protection hidden="1"/>
    </xf>
    <xf numFmtId="3" fontId="43" fillId="0" borderId="0" xfId="17" applyNumberFormat="1" applyFont="1" applyAlignment="1" applyProtection="1">
      <alignment horizontal="right" vertical="center"/>
      <protection hidden="1"/>
    </xf>
    <xf numFmtId="3" fontId="53" fillId="4" borderId="0" xfId="17" applyNumberFormat="1" applyFont="1" applyFill="1" applyAlignment="1" applyProtection="1">
      <alignment horizontal="right" vertical="center"/>
      <protection hidden="1"/>
    </xf>
    <xf numFmtId="3" fontId="52" fillId="4" borderId="0" xfId="17" applyNumberFormat="1" applyFont="1" applyFill="1" applyAlignment="1" applyProtection="1">
      <alignment horizontal="right" vertical="center"/>
      <protection hidden="1"/>
    </xf>
    <xf numFmtId="3" fontId="209" fillId="5" borderId="0" xfId="17" applyNumberFormat="1" applyFont="1" applyFill="1" applyAlignment="1" applyProtection="1">
      <alignment horizontal="right" vertical="center"/>
      <protection hidden="1"/>
    </xf>
    <xf numFmtId="3" fontId="52" fillId="5" borderId="0" xfId="17" applyNumberFormat="1" applyFont="1" applyFill="1" applyAlignment="1" applyProtection="1">
      <alignment horizontal="right" vertical="center"/>
      <protection hidden="1"/>
    </xf>
    <xf numFmtId="164" fontId="42" fillId="24" borderId="0" xfId="17" applyNumberFormat="1" applyFont="1" applyFill="1" applyProtection="1">
      <protection hidden="1"/>
    </xf>
    <xf numFmtId="41" fontId="43" fillId="0" borderId="0" xfId="1" applyFont="1" applyAlignment="1">
      <alignment horizontal="center" vertical="center"/>
    </xf>
    <xf numFmtId="0" fontId="73" fillId="0" borderId="0" xfId="4" applyFont="1" applyAlignment="1" applyProtection="1">
      <alignment horizontal="center" vertical="center"/>
      <protection hidden="1"/>
    </xf>
    <xf numFmtId="164" fontId="73" fillId="0" borderId="0" xfId="4" applyNumberFormat="1" applyFont="1" applyAlignment="1" applyProtection="1">
      <alignment horizontal="center" vertical="center"/>
      <protection hidden="1"/>
    </xf>
    <xf numFmtId="41" fontId="40" fillId="0" borderId="0" xfId="1" applyFont="1" applyAlignment="1" applyProtection="1">
      <alignment horizontal="center" vertical="center"/>
      <protection hidden="1"/>
    </xf>
    <xf numFmtId="164" fontId="73" fillId="0" borderId="0" xfId="17" applyNumberFormat="1" applyFont="1" applyAlignment="1" applyProtection="1">
      <alignment horizontal="center"/>
      <protection hidden="1"/>
    </xf>
    <xf numFmtId="168" fontId="16" fillId="0" borderId="0" xfId="18" applyNumberFormat="1" applyFont="1" applyAlignment="1" applyProtection="1">
      <alignment horizontal="center"/>
      <protection hidden="1"/>
    </xf>
    <xf numFmtId="164" fontId="40" fillId="0" borderId="0" xfId="17" applyNumberFormat="1" applyFont="1" applyAlignment="1" applyProtection="1">
      <alignment horizontal="center" vertical="center"/>
      <protection hidden="1"/>
    </xf>
    <xf numFmtId="3" fontId="40" fillId="4" borderId="0" xfId="17" applyNumberFormat="1" applyFont="1" applyFill="1" applyAlignment="1" applyProtection="1">
      <alignment horizontal="right" vertical="center"/>
      <protection hidden="1"/>
    </xf>
    <xf numFmtId="3" fontId="73" fillId="0" borderId="0" xfId="17" applyNumberFormat="1" applyFont="1" applyAlignment="1" applyProtection="1">
      <alignment horizontal="right" vertical="center"/>
      <protection hidden="1"/>
    </xf>
    <xf numFmtId="3" fontId="73" fillId="4" borderId="0" xfId="17" applyNumberFormat="1" applyFont="1" applyFill="1" applyAlignment="1" applyProtection="1">
      <alignment horizontal="right" vertical="center"/>
      <protection hidden="1"/>
    </xf>
    <xf numFmtId="3" fontId="40" fillId="0" borderId="0" xfId="17" applyNumberFormat="1" applyFont="1" applyAlignment="1" applyProtection="1">
      <alignment horizontal="right" vertical="center"/>
      <protection hidden="1"/>
    </xf>
    <xf numFmtId="3" fontId="27" fillId="4" borderId="0" xfId="17" applyNumberFormat="1" applyFont="1" applyFill="1" applyAlignment="1" applyProtection="1">
      <alignment horizontal="right" vertical="center"/>
      <protection hidden="1"/>
    </xf>
    <xf numFmtId="3" fontId="18" fillId="24" borderId="0" xfId="17" applyNumberFormat="1" applyFont="1" applyFill="1" applyAlignment="1" applyProtection="1">
      <alignment horizontal="right" vertical="center"/>
      <protection hidden="1"/>
    </xf>
    <xf numFmtId="164" fontId="181" fillId="24" borderId="0" xfId="17" applyNumberFormat="1" applyFont="1" applyFill="1" applyProtection="1">
      <protection hidden="1"/>
    </xf>
    <xf numFmtId="0" fontId="44" fillId="24" borderId="0" xfId="1022" applyFont="1" applyFill="1" applyAlignment="1" applyProtection="1">
      <alignment horizontal="center" vertical="center" wrapText="1"/>
      <protection locked="0"/>
    </xf>
    <xf numFmtId="0" fontId="44" fillId="24" borderId="0" xfId="17" applyFont="1" applyFill="1" applyAlignment="1" applyProtection="1">
      <alignment horizontal="center" vertical="center" wrapText="1"/>
      <protection locked="0"/>
    </xf>
    <xf numFmtId="10" fontId="172" fillId="0" borderId="0" xfId="13" applyNumberFormat="1" applyFont="1" applyAlignment="1" applyProtection="1">
      <alignment horizontal="center" vertical="center"/>
      <protection locked="0"/>
    </xf>
    <xf numFmtId="0" fontId="123" fillId="0" borderId="0" xfId="8" applyFont="1" applyAlignment="1" applyProtection="1">
      <alignment horizontal="right"/>
      <protection locked="0"/>
    </xf>
    <xf numFmtId="0" fontId="78" fillId="0" borderId="0" xfId="8" applyFont="1" applyAlignment="1" applyProtection="1">
      <alignment horizontal="left" vertical="center" wrapText="1"/>
      <protection locked="0"/>
    </xf>
    <xf numFmtId="0" fontId="119" fillId="0" borderId="0" xfId="8" applyFont="1" applyAlignment="1" applyProtection="1">
      <alignment horizontal="left" vertical="center" wrapText="1"/>
      <protection locked="0"/>
    </xf>
    <xf numFmtId="0" fontId="89" fillId="13" borderId="0" xfId="8" applyFont="1" applyFill="1" applyAlignment="1" applyProtection="1">
      <alignment horizontal="center" vertical="center"/>
      <protection locked="0"/>
    </xf>
    <xf numFmtId="0" fontId="119" fillId="0" borderId="0" xfId="8" applyFont="1" applyAlignment="1" applyProtection="1">
      <alignment horizontal="left" vertical="center"/>
      <protection locked="0"/>
    </xf>
    <xf numFmtId="0" fontId="137" fillId="0" borderId="0" xfId="8" applyFont="1" applyAlignment="1" applyProtection="1">
      <alignment horizontal="left" vertical="center" wrapText="1"/>
      <protection locked="0"/>
    </xf>
    <xf numFmtId="0" fontId="115" fillId="22" borderId="0" xfId="8" applyFont="1" applyFill="1" applyAlignment="1" applyProtection="1">
      <alignment horizontal="left" vertical="center" wrapText="1"/>
      <protection locked="0"/>
    </xf>
    <xf numFmtId="0" fontId="86" fillId="0" borderId="0" xfId="8" applyFont="1" applyAlignment="1" applyProtection="1">
      <alignment horizontal="center" vertical="center"/>
      <protection locked="0"/>
    </xf>
    <xf numFmtId="0" fontId="10" fillId="0" borderId="0" xfId="17" applyAlignment="1" applyProtection="1">
      <alignment horizontal="center" vertical="center"/>
      <protection hidden="1"/>
    </xf>
    <xf numFmtId="164" fontId="10" fillId="0" borderId="0" xfId="17" applyNumberFormat="1" applyAlignment="1" applyProtection="1">
      <alignment horizontal="center" vertical="center"/>
      <protection hidden="1"/>
    </xf>
    <xf numFmtId="0" fontId="199" fillId="0" borderId="0" xfId="14" applyFont="1" applyAlignment="1">
      <alignment horizontal="center" vertical="center" wrapText="1"/>
    </xf>
    <xf numFmtId="41" fontId="199" fillId="0" borderId="0" xfId="14" applyNumberFormat="1" applyFont="1" applyAlignment="1">
      <alignment horizontal="center" vertical="center"/>
    </xf>
    <xf numFmtId="0" fontId="128" fillId="16" borderId="0" xfId="8" applyFont="1" applyFill="1" applyAlignment="1" applyProtection="1">
      <alignment horizontal="center" vertical="center" wrapText="1"/>
      <protection locked="0"/>
    </xf>
    <xf numFmtId="0" fontId="130" fillId="17" borderId="0" xfId="8" applyFont="1" applyFill="1" applyAlignment="1" applyProtection="1">
      <alignment horizontal="center" vertical="center" wrapText="1"/>
      <protection locked="0"/>
    </xf>
    <xf numFmtId="0" fontId="132" fillId="10" borderId="0" xfId="8" applyFont="1" applyFill="1" applyAlignment="1" applyProtection="1">
      <alignment horizontal="center" vertical="center" wrapText="1"/>
      <protection locked="0"/>
    </xf>
    <xf numFmtId="0" fontId="130" fillId="12" borderId="0" xfId="8" applyFont="1" applyFill="1" applyAlignment="1" applyProtection="1">
      <alignment horizontal="center" vertical="center" wrapText="1"/>
      <protection locked="0"/>
    </xf>
    <xf numFmtId="0" fontId="130" fillId="18" borderId="0" xfId="8" applyFont="1" applyFill="1" applyAlignment="1" applyProtection="1">
      <alignment horizontal="center" vertical="center" wrapText="1"/>
      <protection locked="0"/>
    </xf>
    <xf numFmtId="0" fontId="128" fillId="8" borderId="0" xfId="8" applyFont="1" applyFill="1" applyAlignment="1" applyProtection="1">
      <alignment horizontal="center" vertical="center" wrapText="1"/>
      <protection locked="0"/>
    </xf>
    <xf numFmtId="0" fontId="130" fillId="19" borderId="0" xfId="8" applyFont="1" applyFill="1" applyAlignment="1" applyProtection="1">
      <alignment horizontal="center" vertical="center" wrapText="1"/>
      <protection locked="0"/>
    </xf>
    <xf numFmtId="0" fontId="132" fillId="20" borderId="0" xfId="8" applyFont="1" applyFill="1" applyAlignment="1" applyProtection="1">
      <alignment horizontal="center" vertical="center" wrapText="1"/>
      <protection locked="0"/>
    </xf>
    <xf numFmtId="0" fontId="135" fillId="21" borderId="0" xfId="8" applyFont="1" applyFill="1" applyAlignment="1" applyProtection="1">
      <alignment horizontal="center" vertical="center" wrapText="1"/>
      <protection locked="0"/>
    </xf>
    <xf numFmtId="0" fontId="136" fillId="13" borderId="0" xfId="8" applyFont="1" applyFill="1" applyAlignment="1" applyProtection="1">
      <alignment horizontal="left" vertical="center"/>
      <protection locked="0"/>
    </xf>
    <xf numFmtId="1" fontId="142" fillId="0" borderId="0" xfId="8" applyNumberFormat="1" applyFont="1" applyAlignment="1" applyProtection="1">
      <alignment horizontal="center" vertical="center"/>
      <protection locked="0"/>
    </xf>
    <xf numFmtId="0" fontId="143" fillId="0" borderId="0" xfId="8" applyFont="1" applyAlignment="1" applyProtection="1">
      <alignment horizontal="left" vertical="center"/>
      <protection locked="0"/>
    </xf>
    <xf numFmtId="0" fontId="90" fillId="13" borderId="0" xfId="8" applyFont="1" applyFill="1" applyAlignment="1" applyProtection="1">
      <alignment horizontal="center" vertical="center"/>
      <protection locked="0"/>
    </xf>
    <xf numFmtId="0" fontId="232" fillId="0" borderId="0" xfId="8" applyFont="1" applyProtection="1">
      <protection locked="0"/>
    </xf>
    <xf numFmtId="0" fontId="233" fillId="0" borderId="0" xfId="8" applyFont="1" applyProtection="1">
      <protection locked="0"/>
    </xf>
    <xf numFmtId="0" fontId="234" fillId="0" borderId="0" xfId="8" applyFont="1" applyProtection="1">
      <protection locked="0"/>
    </xf>
    <xf numFmtId="0" fontId="234" fillId="0" borderId="0" xfId="8" applyFont="1" applyAlignment="1" applyProtection="1">
      <alignment horizontal="left"/>
      <protection locked="0"/>
    </xf>
    <xf numFmtId="3" fontId="27" fillId="7" borderId="1" xfId="1026" applyNumberFormat="1" applyFont="1" applyFill="1" applyBorder="1" applyProtection="1">
      <protection locked="0"/>
    </xf>
    <xf numFmtId="3" fontId="233" fillId="0" borderId="0" xfId="1026" applyNumberFormat="1" applyFont="1" applyBorder="1" applyProtection="1">
      <protection locked="0"/>
    </xf>
    <xf numFmtId="0" fontId="238" fillId="8" borderId="1" xfId="8" applyFont="1" applyFill="1" applyBorder="1" applyAlignment="1" applyProtection="1">
      <alignment horizontal="center"/>
      <protection locked="0"/>
    </xf>
    <xf numFmtId="3" fontId="238" fillId="8" borderId="1" xfId="8" applyNumberFormat="1" applyFont="1" applyFill="1" applyBorder="1" applyAlignment="1" applyProtection="1">
      <alignment horizontal="center"/>
      <protection locked="0"/>
    </xf>
    <xf numFmtId="0" fontId="233" fillId="0" borderId="0" xfId="8" applyFont="1" applyAlignment="1" applyProtection="1">
      <alignment horizontal="center"/>
      <protection locked="0"/>
    </xf>
    <xf numFmtId="0" fontId="233" fillId="0" borderId="1" xfId="8" applyFont="1" applyBorder="1" applyAlignment="1" applyProtection="1">
      <alignment horizontal="center"/>
      <protection locked="0"/>
    </xf>
    <xf numFmtId="0" fontId="233" fillId="0" borderId="1" xfId="8" applyFont="1" applyBorder="1" applyAlignment="1" applyProtection="1">
      <alignment horizontal="left"/>
      <protection locked="0"/>
    </xf>
    <xf numFmtId="41" fontId="233" fillId="0" borderId="1" xfId="1" applyFont="1" applyBorder="1" applyAlignment="1" applyProtection="1">
      <alignment horizontal="right"/>
      <protection locked="0"/>
    </xf>
    <xf numFmtId="3" fontId="233" fillId="0" borderId="1" xfId="1026" applyNumberFormat="1" applyFont="1" applyBorder="1" applyAlignment="1" applyProtection="1">
      <alignment horizontal="right"/>
      <protection locked="0"/>
    </xf>
    <xf numFmtId="3" fontId="27" fillId="0" borderId="1" xfId="1026" applyNumberFormat="1" applyFont="1" applyBorder="1" applyAlignment="1" applyProtection="1">
      <alignment horizontal="right"/>
      <protection hidden="1"/>
    </xf>
    <xf numFmtId="3" fontId="97" fillId="0" borderId="1" xfId="1026" applyNumberFormat="1" applyFont="1" applyBorder="1" applyAlignment="1" applyProtection="1">
      <alignment horizontal="right"/>
      <protection locked="0"/>
    </xf>
    <xf numFmtId="3" fontId="90" fillId="0" borderId="1" xfId="1026" applyNumberFormat="1" applyFont="1" applyBorder="1" applyAlignment="1" applyProtection="1">
      <alignment horizontal="right"/>
      <protection hidden="1"/>
    </xf>
    <xf numFmtId="9" fontId="240" fillId="8" borderId="1" xfId="1027" applyFont="1" applyFill="1" applyBorder="1" applyAlignment="1" applyProtection="1">
      <alignment horizontal="right" vertical="center"/>
      <protection hidden="1"/>
    </xf>
    <xf numFmtId="0" fontId="241" fillId="0" borderId="0" xfId="8" applyFont="1" applyAlignment="1" applyProtection="1">
      <alignment vertical="center"/>
      <protection locked="0"/>
    </xf>
    <xf numFmtId="0" fontId="233" fillId="0" borderId="63" xfId="8" applyFont="1" applyBorder="1" applyAlignment="1" applyProtection="1">
      <alignment horizontal="left"/>
      <protection locked="0"/>
    </xf>
    <xf numFmtId="3" fontId="245" fillId="0" borderId="1" xfId="1026" applyNumberFormat="1" applyFont="1" applyBorder="1" applyAlignment="1" applyProtection="1">
      <alignment horizontal="right" vertical="center"/>
      <protection hidden="1"/>
    </xf>
    <xf numFmtId="9" fontId="239" fillId="8" borderId="1" xfId="1027" applyFont="1" applyFill="1" applyBorder="1" applyAlignment="1" applyProtection="1">
      <alignment horizontal="right" vertical="center"/>
      <protection hidden="1"/>
    </xf>
    <xf numFmtId="0" fontId="233" fillId="0" borderId="0" xfId="8" applyFont="1" applyAlignment="1" applyProtection="1">
      <alignment horizontal="left" vertical="center"/>
      <protection locked="0"/>
    </xf>
    <xf numFmtId="41" fontId="233" fillId="0" borderId="71" xfId="1" applyFont="1" applyFill="1" applyBorder="1" applyAlignment="1" applyProtection="1">
      <alignment horizontal="right" vertical="center"/>
      <protection hidden="1"/>
    </xf>
    <xf numFmtId="41" fontId="246" fillId="0" borderId="71" xfId="1" applyFont="1" applyFill="1" applyBorder="1" applyAlignment="1" applyProtection="1">
      <alignment horizontal="right" vertical="center"/>
      <protection locked="0"/>
    </xf>
    <xf numFmtId="41" fontId="232" fillId="0" borderId="1" xfId="1" applyFont="1" applyFill="1" applyBorder="1" applyAlignment="1" applyProtection="1">
      <alignment horizontal="right" vertical="center"/>
      <protection hidden="1"/>
    </xf>
    <xf numFmtId="3" fontId="233" fillId="0" borderId="0" xfId="8" applyNumberFormat="1" applyFont="1" applyProtection="1">
      <protection locked="0"/>
    </xf>
    <xf numFmtId="0" fontId="1" fillId="0" borderId="0" xfId="1028"/>
    <xf numFmtId="0" fontId="63" fillId="0" borderId="0" xfId="1029" applyFont="1" applyAlignment="1" applyProtection="1">
      <alignment horizontal="center" vertical="center" wrapText="1"/>
      <protection locked="0"/>
    </xf>
    <xf numFmtId="165" fontId="63" fillId="0" borderId="0" xfId="1031" applyNumberFormat="1" applyFont="1" applyBorder="1"/>
    <xf numFmtId="9" fontId="1" fillId="0" borderId="0" xfId="1028" applyNumberFormat="1"/>
    <xf numFmtId="0" fontId="247" fillId="24" borderId="0" xfId="1029" applyFont="1" applyFill="1" applyAlignment="1" applyProtection="1">
      <alignment horizontal="center" vertical="center" wrapText="1"/>
      <protection locked="0"/>
    </xf>
    <xf numFmtId="9" fontId="247" fillId="24" borderId="0" xfId="1030" applyFont="1" applyFill="1" applyBorder="1" applyAlignment="1" applyProtection="1">
      <alignment horizontal="center" vertical="center" wrapText="1"/>
      <protection locked="0"/>
    </xf>
    <xf numFmtId="0" fontId="247" fillId="24" borderId="0" xfId="1028" applyFont="1" applyFill="1" applyAlignment="1">
      <alignment horizontal="center" vertical="center" wrapText="1"/>
    </xf>
    <xf numFmtId="164" fontId="249" fillId="24" borderId="0" xfId="0" applyNumberFormat="1" applyFont="1" applyFill="1" applyAlignment="1" applyProtection="1">
      <alignment horizontal="left" vertical="center" wrapText="1"/>
      <protection locked="0"/>
    </xf>
    <xf numFmtId="0" fontId="21" fillId="0" borderId="0" xfId="0" applyFont="1" applyAlignment="1" applyProtection="1">
      <alignment horizontal="left" vertical="top"/>
      <protection locked="0"/>
    </xf>
    <xf numFmtId="0" fontId="16" fillId="0" borderId="0" xfId="0" applyFont="1" applyAlignment="1" applyProtection="1">
      <alignment horizontal="center" vertical="center"/>
      <protection locked="0"/>
    </xf>
    <xf numFmtId="0" fontId="21" fillId="0" borderId="0" xfId="0" applyFont="1" applyAlignment="1" applyProtection="1">
      <alignment vertical="center"/>
      <protection locked="0"/>
    </xf>
    <xf numFmtId="41" fontId="167" fillId="0" borderId="0" xfId="0" applyNumberFormat="1" applyFont="1" applyAlignment="1" applyProtection="1">
      <alignment vertical="center"/>
      <protection locked="0"/>
    </xf>
    <xf numFmtId="0" fontId="41" fillId="0" borderId="0" xfId="0" applyFont="1" applyAlignment="1" applyProtection="1">
      <alignment horizontal="center" vertical="center"/>
      <protection locked="0"/>
    </xf>
    <xf numFmtId="0" fontId="41" fillId="0" borderId="0" xfId="0" applyFont="1" applyAlignment="1" applyProtection="1">
      <alignment horizontal="left" vertical="top"/>
      <protection locked="0"/>
    </xf>
    <xf numFmtId="41" fontId="222" fillId="0" borderId="0" xfId="0" applyNumberFormat="1" applyFont="1" applyAlignment="1" applyProtection="1">
      <alignment vertical="center"/>
      <protection locked="0"/>
    </xf>
    <xf numFmtId="49" fontId="222" fillId="0" borderId="0" xfId="0" applyNumberFormat="1" applyFont="1" applyAlignment="1" applyProtection="1">
      <alignment vertical="center"/>
      <protection locked="0"/>
    </xf>
    <xf numFmtId="41" fontId="228" fillId="0" borderId="8" xfId="0" applyNumberFormat="1" applyFont="1" applyBorder="1" applyAlignment="1" applyProtection="1">
      <alignment vertical="center"/>
      <protection locked="0"/>
    </xf>
    <xf numFmtId="0" fontId="33" fillId="25" borderId="1" xfId="0" applyFont="1" applyFill="1" applyBorder="1" applyAlignment="1" applyProtection="1">
      <alignment vertical="center"/>
      <protection locked="0"/>
    </xf>
    <xf numFmtId="0" fontId="16" fillId="0" borderId="0" xfId="0" applyFont="1" applyAlignment="1" applyProtection="1">
      <alignment horizontal="right" vertical="center"/>
      <protection locked="0"/>
    </xf>
    <xf numFmtId="41" fontId="27" fillId="0" borderId="1" xfId="1" applyFont="1" applyFill="1" applyBorder="1" applyAlignment="1" applyProtection="1">
      <alignment horizontal="center" vertical="center"/>
      <protection locked="0"/>
    </xf>
    <xf numFmtId="41" fontId="160" fillId="4" borderId="1" xfId="0" applyNumberFormat="1" applyFont="1" applyFill="1" applyBorder="1" applyAlignment="1" applyProtection="1">
      <alignment vertical="center" wrapText="1"/>
      <protection locked="0"/>
    </xf>
    <xf numFmtId="41" fontId="160" fillId="4" borderId="63" xfId="0" applyNumberFormat="1" applyFont="1" applyFill="1" applyBorder="1" applyAlignment="1" applyProtection="1">
      <alignment vertical="center" wrapText="1"/>
      <protection locked="0"/>
    </xf>
    <xf numFmtId="0" fontId="160" fillId="0" borderId="0" xfId="0" applyFont="1" applyAlignment="1" applyProtection="1">
      <alignment horizontal="right" vertical="center"/>
      <protection hidden="1"/>
    </xf>
    <xf numFmtId="0" fontId="35" fillId="24" borderId="1" xfId="0" applyFont="1" applyFill="1" applyBorder="1" applyAlignment="1" applyProtection="1">
      <alignment horizontal="center" vertical="center"/>
      <protection hidden="1"/>
    </xf>
    <xf numFmtId="41" fontId="160" fillId="0" borderId="1" xfId="1" applyFont="1" applyFill="1" applyBorder="1" applyAlignment="1" applyProtection="1">
      <alignment horizontal="center" vertical="center"/>
      <protection hidden="1"/>
    </xf>
    <xf numFmtId="41" fontId="40" fillId="0" borderId="1" xfId="1" applyFont="1" applyFill="1" applyBorder="1" applyAlignment="1" applyProtection="1">
      <alignment horizontal="center" vertical="center"/>
      <protection hidden="1"/>
    </xf>
    <xf numFmtId="41" fontId="214" fillId="0" borderId="1" xfId="1" applyFont="1" applyFill="1" applyBorder="1" applyAlignment="1" applyProtection="1">
      <alignment horizontal="center" vertical="center"/>
      <protection hidden="1"/>
    </xf>
    <xf numFmtId="41" fontId="178" fillId="0" borderId="1" xfId="1" applyFont="1" applyFill="1" applyBorder="1" applyAlignment="1" applyProtection="1">
      <alignment horizontal="right" vertical="center"/>
      <protection hidden="1"/>
    </xf>
    <xf numFmtId="41" fontId="198" fillId="0" borderId="1" xfId="1" applyFont="1" applyFill="1" applyBorder="1" applyAlignment="1" applyProtection="1">
      <alignment horizontal="right" vertical="center"/>
      <protection hidden="1"/>
    </xf>
    <xf numFmtId="41" fontId="214" fillId="0" borderId="1" xfId="1" applyFont="1" applyFill="1" applyBorder="1" applyAlignment="1" applyProtection="1">
      <alignment horizontal="right" vertical="center"/>
      <protection hidden="1"/>
    </xf>
    <xf numFmtId="41" fontId="213" fillId="0" borderId="1" xfId="1" applyFont="1" applyFill="1" applyBorder="1" applyAlignment="1" applyProtection="1">
      <alignment horizontal="center" vertical="center"/>
      <protection hidden="1"/>
    </xf>
    <xf numFmtId="41" fontId="24" fillId="0" borderId="1" xfId="1" applyFont="1" applyFill="1" applyBorder="1" applyAlignment="1" applyProtection="1">
      <alignment vertical="center" wrapText="1"/>
      <protection hidden="1"/>
    </xf>
    <xf numFmtId="0" fontId="35" fillId="25" borderId="1" xfId="0" applyFont="1" applyFill="1" applyBorder="1" applyAlignment="1" applyProtection="1">
      <alignment vertical="center"/>
      <protection hidden="1"/>
    </xf>
    <xf numFmtId="0" fontId="35" fillId="24" borderId="1" xfId="0" applyFont="1" applyFill="1" applyBorder="1" applyAlignment="1" applyProtection="1">
      <alignment horizontal="right" vertical="center"/>
      <protection hidden="1"/>
    </xf>
    <xf numFmtId="41" fontId="27" fillId="0" borderId="1" xfId="1" applyFont="1" applyFill="1" applyBorder="1" applyAlignment="1" applyProtection="1">
      <alignment horizontal="center" vertical="center"/>
      <protection hidden="1"/>
    </xf>
    <xf numFmtId="41" fontId="24" fillId="0" borderId="1" xfId="1" applyFont="1" applyFill="1" applyBorder="1" applyAlignment="1" applyProtection="1">
      <alignment horizontal="center" vertical="center" wrapText="1"/>
      <protection hidden="1"/>
    </xf>
    <xf numFmtId="41" fontId="160" fillId="4" borderId="1" xfId="0" applyNumberFormat="1" applyFont="1" applyFill="1" applyBorder="1" applyAlignment="1" applyProtection="1">
      <alignment horizontal="center" vertical="center" wrapText="1"/>
      <protection hidden="1"/>
    </xf>
    <xf numFmtId="41" fontId="27" fillId="0" borderId="1" xfId="1" applyFont="1" applyFill="1" applyBorder="1" applyAlignment="1" applyProtection="1">
      <alignment vertical="center"/>
      <protection hidden="1"/>
    </xf>
    <xf numFmtId="41" fontId="160" fillId="5" borderId="1" xfId="1" applyFont="1" applyFill="1" applyBorder="1" applyAlignment="1" applyProtection="1">
      <alignment horizontal="center" vertical="center"/>
      <protection hidden="1"/>
    </xf>
    <xf numFmtId="41" fontId="250" fillId="0" borderId="1" xfId="1" applyFont="1" applyFill="1" applyBorder="1" applyAlignment="1" applyProtection="1">
      <alignment horizontal="right" vertical="center" wrapText="1"/>
      <protection locked="0"/>
    </xf>
    <xf numFmtId="164" fontId="18" fillId="24" borderId="0" xfId="0" applyNumberFormat="1" applyFont="1" applyFill="1" applyAlignment="1" applyProtection="1">
      <alignment horizontal="right" vertical="center"/>
      <protection locked="0"/>
    </xf>
    <xf numFmtId="164" fontId="73" fillId="4" borderId="0" xfId="0" applyNumberFormat="1" applyFont="1" applyFill="1" applyAlignment="1" applyProtection="1">
      <alignment horizontal="left" vertical="center" wrapText="1"/>
      <protection locked="0"/>
    </xf>
    <xf numFmtId="164" fontId="30" fillId="4" borderId="0" xfId="0" applyNumberFormat="1" applyFont="1" applyFill="1" applyAlignment="1" applyProtection="1">
      <alignment horizontal="left" vertical="center"/>
      <protection locked="0"/>
    </xf>
    <xf numFmtId="164" fontId="27" fillId="5" borderId="0" xfId="0" applyNumberFormat="1" applyFont="1" applyFill="1" applyAlignment="1" applyProtection="1">
      <alignment horizontal="left" vertical="center"/>
      <protection locked="0"/>
    </xf>
    <xf numFmtId="164" fontId="22" fillId="5" borderId="0" xfId="0" applyNumberFormat="1" applyFont="1" applyFill="1" applyAlignment="1" applyProtection="1">
      <alignment horizontal="center" vertical="center"/>
      <protection locked="0"/>
    </xf>
    <xf numFmtId="14" fontId="65" fillId="0" borderId="0" xfId="4" applyNumberFormat="1" applyFont="1" applyAlignment="1" applyProtection="1">
      <alignment horizontal="right"/>
      <protection locked="0"/>
    </xf>
    <xf numFmtId="0" fontId="59" fillId="0" borderId="0" xfId="4" applyFont="1" applyAlignment="1" applyProtection="1">
      <alignment vertical="center"/>
      <protection locked="0"/>
    </xf>
    <xf numFmtId="0" fontId="39" fillId="24" borderId="0" xfId="0" applyFont="1" applyFill="1" applyAlignment="1" applyProtection="1">
      <alignment vertical="center"/>
      <protection locked="0"/>
    </xf>
    <xf numFmtId="0" fontId="70" fillId="31" borderId="0" xfId="0" applyFont="1" applyFill="1" applyAlignment="1" applyProtection="1">
      <alignment horizontal="left" vertical="top"/>
      <protection locked="0"/>
    </xf>
    <xf numFmtId="0" fontId="70" fillId="31" borderId="0" xfId="0" applyFont="1" applyFill="1" applyAlignment="1" applyProtection="1">
      <alignment horizontal="center" vertical="center"/>
      <protection locked="0"/>
    </xf>
    <xf numFmtId="0" fontId="252" fillId="31" borderId="0" xfId="0" applyFont="1" applyFill="1" applyAlignment="1" applyProtection="1">
      <alignment vertical="top"/>
      <protection locked="0"/>
    </xf>
    <xf numFmtId="0" fontId="70" fillId="31" borderId="0" xfId="0" applyFont="1" applyFill="1" applyAlignment="1" applyProtection="1">
      <alignment horizontal="left" vertical="center" wrapText="1"/>
      <protection locked="0"/>
    </xf>
    <xf numFmtId="0" fontId="24" fillId="0" borderId="0" xfId="0" quotePrefix="1" applyFont="1" applyAlignment="1" applyProtection="1">
      <alignment horizontal="left" vertical="center" wrapText="1"/>
      <protection locked="0"/>
    </xf>
    <xf numFmtId="0" fontId="24" fillId="0" borderId="0" xfId="0" applyFont="1" applyAlignment="1" applyProtection="1">
      <alignment horizontal="left" vertical="center"/>
      <protection locked="0"/>
    </xf>
    <xf numFmtId="0" fontId="224" fillId="0" borderId="0" xfId="7" applyFont="1" applyFill="1" applyBorder="1" applyAlignment="1" applyProtection="1">
      <alignment horizontal="left" vertical="center" wrapText="1"/>
      <protection locked="0"/>
    </xf>
    <xf numFmtId="0" fontId="223" fillId="0" borderId="0" xfId="0" applyFont="1" applyAlignment="1" applyProtection="1">
      <alignment horizontal="left" vertical="center"/>
      <protection locked="0"/>
    </xf>
    <xf numFmtId="0" fontId="230" fillId="0" borderId="0" xfId="0" applyFont="1" applyAlignment="1" applyProtection="1">
      <alignment horizontal="center" vertical="top"/>
      <protection locked="0"/>
    </xf>
    <xf numFmtId="0" fontId="37" fillId="0" borderId="0" xfId="3" applyFill="1" applyBorder="1" applyAlignment="1">
      <alignment horizontal="center" vertical="top" wrapText="1"/>
    </xf>
    <xf numFmtId="0" fontId="231" fillId="0" borderId="0" xfId="0" applyFont="1" applyAlignment="1">
      <alignment horizontal="left" vertical="top" wrapText="1"/>
    </xf>
    <xf numFmtId="0" fontId="42" fillId="24" borderId="0" xfId="4" applyFont="1" applyFill="1" applyAlignment="1" applyProtection="1">
      <alignment horizontal="center" vertical="center"/>
      <protection locked="0"/>
    </xf>
    <xf numFmtId="0" fontId="66" fillId="0" borderId="0" xfId="4" applyFont="1" applyAlignment="1" applyProtection="1">
      <alignment horizontal="left"/>
      <protection locked="0"/>
    </xf>
    <xf numFmtId="0" fontId="66" fillId="0" borderId="0" xfId="4" applyFont="1" applyAlignment="1" applyProtection="1">
      <alignment horizontal="left" vertical="center"/>
      <protection locked="0"/>
    </xf>
    <xf numFmtId="0" fontId="43" fillId="0" borderId="0" xfId="4" applyFont="1" applyAlignment="1" applyProtection="1">
      <alignment horizontal="left" vertical="center"/>
      <protection locked="0"/>
    </xf>
    <xf numFmtId="0" fontId="14" fillId="0" borderId="0" xfId="4" applyAlignment="1" applyProtection="1">
      <alignment horizontal="center"/>
      <protection locked="0"/>
    </xf>
    <xf numFmtId="0" fontId="42" fillId="25" borderId="0" xfId="4" applyFont="1" applyFill="1" applyAlignment="1" applyProtection="1">
      <alignment horizontal="center" vertical="center"/>
      <protection locked="0"/>
    </xf>
    <xf numFmtId="0" fontId="234" fillId="0" borderId="0" xfId="8" applyFont="1" applyAlignment="1" applyProtection="1">
      <alignment horizontal="left"/>
      <protection locked="0"/>
    </xf>
    <xf numFmtId="0" fontId="235" fillId="0" borderId="1" xfId="8" applyFont="1" applyBorder="1" applyAlignment="1" applyProtection="1">
      <alignment horizontal="left"/>
      <protection locked="0"/>
    </xf>
    <xf numFmtId="0" fontId="236" fillId="24" borderId="1" xfId="8" applyFont="1" applyFill="1" applyBorder="1" applyAlignment="1" applyProtection="1">
      <alignment horizontal="center" vertical="center"/>
      <protection locked="0"/>
    </xf>
    <xf numFmtId="0" fontId="244" fillId="4" borderId="1" xfId="8" applyFont="1" applyFill="1" applyBorder="1" applyAlignment="1" applyProtection="1">
      <alignment horizontal="center" vertical="center"/>
      <protection locked="0"/>
    </xf>
    <xf numFmtId="9" fontId="239" fillId="4" borderId="1" xfId="8" applyNumberFormat="1" applyFont="1" applyFill="1" applyBorder="1" applyAlignment="1" applyProtection="1">
      <alignment horizontal="center" vertical="center"/>
      <protection locked="0"/>
    </xf>
    <xf numFmtId="0" fontId="239" fillId="4" borderId="1" xfId="8" applyFont="1" applyFill="1" applyBorder="1" applyAlignment="1" applyProtection="1">
      <alignment horizontal="center" vertical="center"/>
      <protection locked="0"/>
    </xf>
    <xf numFmtId="9" fontId="239" fillId="4" borderId="84" xfId="8" applyNumberFormat="1" applyFont="1" applyFill="1" applyBorder="1" applyAlignment="1" applyProtection="1">
      <alignment horizontal="center" vertical="center"/>
      <protection hidden="1"/>
    </xf>
    <xf numFmtId="9" fontId="239" fillId="4" borderId="68" xfId="8" applyNumberFormat="1" applyFont="1" applyFill="1" applyBorder="1" applyAlignment="1" applyProtection="1">
      <alignment horizontal="center" vertical="center"/>
      <protection hidden="1"/>
    </xf>
    <xf numFmtId="9" fontId="239" fillId="4" borderId="69" xfId="8" applyNumberFormat="1" applyFont="1" applyFill="1" applyBorder="1" applyAlignment="1" applyProtection="1">
      <alignment horizontal="center" vertical="center"/>
      <protection hidden="1"/>
    </xf>
    <xf numFmtId="9" fontId="239" fillId="4" borderId="86" xfId="8" applyNumberFormat="1" applyFont="1" applyFill="1" applyBorder="1" applyAlignment="1" applyProtection="1">
      <alignment horizontal="center" vertical="center"/>
      <protection hidden="1"/>
    </xf>
    <xf numFmtId="9" fontId="239" fillId="4" borderId="8" xfId="8" applyNumberFormat="1" applyFont="1" applyFill="1" applyBorder="1" applyAlignment="1" applyProtection="1">
      <alignment horizontal="center" vertical="center"/>
      <protection hidden="1"/>
    </xf>
    <xf numFmtId="9" fontId="239" fillId="4" borderId="70" xfId="8" applyNumberFormat="1" applyFont="1" applyFill="1" applyBorder="1" applyAlignment="1" applyProtection="1">
      <alignment horizontal="center" vertical="center"/>
      <protection hidden="1"/>
    </xf>
    <xf numFmtId="0" fontId="242" fillId="4" borderId="1" xfId="8" applyFont="1" applyFill="1" applyBorder="1" applyAlignment="1" applyProtection="1">
      <alignment horizontal="center" vertical="center" wrapText="1"/>
      <protection hidden="1"/>
    </xf>
    <xf numFmtId="0" fontId="237" fillId="0" borderId="1" xfId="8" applyFont="1" applyBorder="1" applyAlignment="1" applyProtection="1">
      <alignment horizontal="center" vertical="center" wrapText="1"/>
      <protection locked="0"/>
    </xf>
    <xf numFmtId="0" fontId="90" fillId="0" borderId="62" xfId="8" applyFont="1" applyBorder="1" applyAlignment="1" applyProtection="1">
      <alignment horizontal="center"/>
      <protection locked="0"/>
    </xf>
    <xf numFmtId="0" fontId="90" fillId="0" borderId="63" xfId="8" applyFont="1" applyBorder="1" applyAlignment="1" applyProtection="1">
      <alignment horizontal="center"/>
      <protection locked="0"/>
    </xf>
    <xf numFmtId="0" fontId="233" fillId="8" borderId="1" xfId="8" applyFont="1" applyFill="1" applyBorder="1" applyAlignment="1" applyProtection="1">
      <alignment horizontal="left" vertical="center" wrapText="1"/>
      <protection locked="0"/>
    </xf>
    <xf numFmtId="9" fontId="239" fillId="8" borderId="1" xfId="1027" applyFont="1" applyFill="1" applyBorder="1" applyAlignment="1" applyProtection="1">
      <alignment horizontal="center" vertical="center"/>
      <protection hidden="1"/>
    </xf>
    <xf numFmtId="0" fontId="233" fillId="8" borderId="62" xfId="8" applyFont="1" applyFill="1" applyBorder="1" applyAlignment="1" applyProtection="1">
      <alignment horizontal="left" vertical="center" wrapText="1"/>
      <protection locked="0"/>
    </xf>
    <xf numFmtId="0" fontId="233" fillId="8" borderId="63" xfId="8" applyFont="1" applyFill="1" applyBorder="1" applyAlignment="1" applyProtection="1">
      <alignment horizontal="left" vertical="center" wrapText="1"/>
      <protection locked="0"/>
    </xf>
    <xf numFmtId="0" fontId="241" fillId="24" borderId="1" xfId="8" applyFont="1" applyFill="1" applyBorder="1" applyAlignment="1" applyProtection="1">
      <alignment horizontal="center" vertical="center"/>
      <protection locked="0"/>
    </xf>
    <xf numFmtId="0" fontId="242" fillId="8" borderId="84" xfId="8" applyFont="1" applyFill="1" applyBorder="1" applyAlignment="1" applyProtection="1">
      <alignment horizontal="center" vertical="center"/>
      <protection locked="0"/>
    </xf>
    <xf numFmtId="0" fontId="242" fillId="8" borderId="69" xfId="8" applyFont="1" applyFill="1" applyBorder="1" applyAlignment="1" applyProtection="1">
      <alignment horizontal="center" vertical="center"/>
      <protection locked="0"/>
    </xf>
    <xf numFmtId="0" fontId="242" fillId="8" borderId="86" xfId="8" applyFont="1" applyFill="1" applyBorder="1" applyAlignment="1" applyProtection="1">
      <alignment horizontal="center" vertical="center"/>
      <protection locked="0"/>
    </xf>
    <xf numFmtId="0" fontId="242" fillId="8" borderId="70" xfId="8" applyFont="1" applyFill="1" applyBorder="1" applyAlignment="1" applyProtection="1">
      <alignment horizontal="center" vertical="center"/>
      <protection locked="0"/>
    </xf>
    <xf numFmtId="0" fontId="242" fillId="8" borderId="1" xfId="8" applyFont="1" applyFill="1" applyBorder="1" applyAlignment="1" applyProtection="1">
      <alignment horizontal="center" vertical="center"/>
      <protection locked="0"/>
    </xf>
    <xf numFmtId="0" fontId="242" fillId="8" borderId="68" xfId="8" applyFont="1" applyFill="1" applyBorder="1" applyAlignment="1" applyProtection="1">
      <alignment horizontal="center" vertical="center"/>
      <protection locked="0"/>
    </xf>
    <xf numFmtId="0" fontId="242" fillId="8" borderId="8" xfId="8" applyFont="1" applyFill="1" applyBorder="1" applyAlignment="1" applyProtection="1">
      <alignment horizontal="center" vertical="center"/>
      <protection locked="0"/>
    </xf>
    <xf numFmtId="0" fontId="243" fillId="8" borderId="1" xfId="8" applyFont="1" applyFill="1" applyBorder="1" applyAlignment="1" applyProtection="1">
      <alignment horizontal="center" vertical="center"/>
      <protection locked="0"/>
    </xf>
    <xf numFmtId="0" fontId="233" fillId="0" borderId="71" xfId="8" applyFont="1" applyBorder="1" applyAlignment="1" applyProtection="1">
      <alignment horizontal="left" vertical="center" wrapText="1"/>
      <protection locked="0"/>
    </xf>
    <xf numFmtId="0" fontId="238" fillId="0" borderId="62" xfId="8" applyFont="1" applyBorder="1" applyAlignment="1" applyProtection="1">
      <alignment horizontal="center" vertical="center"/>
      <protection locked="0"/>
    </xf>
    <xf numFmtId="0" fontId="238" fillId="0" borderId="63" xfId="8" applyFont="1" applyBorder="1" applyAlignment="1" applyProtection="1">
      <alignment horizontal="center" vertical="center"/>
      <protection locked="0"/>
    </xf>
    <xf numFmtId="0" fontId="244" fillId="0" borderId="1" xfId="8" applyFont="1" applyBorder="1" applyAlignment="1" applyProtection="1">
      <alignment horizontal="center" vertical="center"/>
      <protection locked="0"/>
    </xf>
    <xf numFmtId="9" fontId="239" fillId="0" borderId="1" xfId="8" applyNumberFormat="1" applyFont="1" applyBorder="1" applyAlignment="1" applyProtection="1">
      <alignment horizontal="center" vertical="center"/>
      <protection locked="0"/>
    </xf>
    <xf numFmtId="0" fontId="239" fillId="0" borderId="1" xfId="8" applyFont="1" applyBorder="1" applyAlignment="1" applyProtection="1">
      <alignment horizontal="center" vertical="center"/>
      <protection locked="0"/>
    </xf>
    <xf numFmtId="9" fontId="239" fillId="0" borderId="84" xfId="8" applyNumberFormat="1" applyFont="1" applyBorder="1" applyAlignment="1" applyProtection="1">
      <alignment horizontal="center" vertical="center"/>
      <protection hidden="1"/>
    </xf>
    <xf numFmtId="9" fontId="239" fillId="0" borderId="68" xfId="8" applyNumberFormat="1" applyFont="1" applyBorder="1" applyAlignment="1" applyProtection="1">
      <alignment horizontal="center" vertical="center"/>
      <protection hidden="1"/>
    </xf>
    <xf numFmtId="9" fontId="239" fillId="0" borderId="69" xfId="8" applyNumberFormat="1" applyFont="1" applyBorder="1" applyAlignment="1" applyProtection="1">
      <alignment horizontal="center" vertical="center"/>
      <protection hidden="1"/>
    </xf>
    <xf numFmtId="9" fontId="239" fillId="0" borderId="86" xfId="8" applyNumberFormat="1" applyFont="1" applyBorder="1" applyAlignment="1" applyProtection="1">
      <alignment horizontal="center" vertical="center"/>
      <protection hidden="1"/>
    </xf>
    <xf numFmtId="9" fontId="239" fillId="0" borderId="8" xfId="8" applyNumberFormat="1" applyFont="1" applyBorder="1" applyAlignment="1" applyProtection="1">
      <alignment horizontal="center" vertical="center"/>
      <protection hidden="1"/>
    </xf>
    <xf numFmtId="9" fontId="239" fillId="0" borderId="70" xfId="8" applyNumberFormat="1" applyFont="1" applyBorder="1" applyAlignment="1" applyProtection="1">
      <alignment horizontal="center" vertical="center"/>
      <protection hidden="1"/>
    </xf>
    <xf numFmtId="0" fontId="242" fillId="0" borderId="1" xfId="8" applyFont="1" applyBorder="1" applyAlignment="1" applyProtection="1">
      <alignment horizontal="center" vertical="center" wrapText="1"/>
      <protection hidden="1"/>
    </xf>
    <xf numFmtId="0" fontId="238" fillId="0" borderId="1" xfId="8" applyFont="1" applyBorder="1" applyAlignment="1" applyProtection="1">
      <alignment horizontal="left" vertical="center" wrapText="1"/>
      <protection locked="0"/>
    </xf>
    <xf numFmtId="164" fontId="30" fillId="4" borderId="0" xfId="0" applyNumberFormat="1" applyFont="1" applyFill="1" applyAlignment="1" applyProtection="1">
      <alignment horizontal="left" vertical="center" wrapText="1"/>
      <protection locked="0"/>
    </xf>
    <xf numFmtId="164" fontId="18" fillId="24" borderId="0" xfId="0" applyNumberFormat="1" applyFont="1" applyFill="1" applyAlignment="1" applyProtection="1">
      <alignment horizontal="left" vertical="center" wrapText="1"/>
      <protection locked="0"/>
    </xf>
    <xf numFmtId="164" fontId="22" fillId="24" borderId="0" xfId="1" applyNumberFormat="1" applyFont="1" applyFill="1" applyBorder="1" applyAlignment="1" applyProtection="1">
      <alignment horizontal="right" vertical="center" wrapText="1"/>
      <protection locked="0"/>
    </xf>
    <xf numFmtId="41" fontId="18" fillId="24" borderId="0" xfId="1" applyFont="1" applyFill="1" applyBorder="1" applyAlignment="1" applyProtection="1">
      <alignment horizontal="right" vertical="center"/>
      <protection hidden="1"/>
    </xf>
    <xf numFmtId="164" fontId="30" fillId="5" borderId="0" xfId="0" applyNumberFormat="1" applyFont="1" applyFill="1" applyAlignment="1" applyProtection="1">
      <alignment horizontal="left" vertical="center" wrapText="1"/>
      <protection locked="0"/>
    </xf>
    <xf numFmtId="164" fontId="189" fillId="5" borderId="0" xfId="0" applyNumberFormat="1" applyFont="1" applyFill="1" applyAlignment="1" applyProtection="1">
      <alignment horizontal="left" vertical="center" wrapText="1"/>
      <protection locked="0"/>
    </xf>
    <xf numFmtId="164" fontId="160" fillId="7" borderId="0" xfId="0" applyNumberFormat="1" applyFont="1" applyFill="1" applyAlignment="1" applyProtection="1">
      <alignment horizontal="right" vertical="center"/>
      <protection locked="0"/>
    </xf>
    <xf numFmtId="41" fontId="191" fillId="4" borderId="0" xfId="1" applyFont="1" applyFill="1" applyBorder="1" applyAlignment="1" applyProtection="1">
      <alignment horizontal="right" vertical="center"/>
      <protection hidden="1"/>
    </xf>
    <xf numFmtId="164" fontId="30" fillId="0" borderId="0" xfId="0" applyNumberFormat="1" applyFont="1" applyAlignment="1" applyProtection="1">
      <alignment horizontal="left" vertical="center" wrapText="1"/>
      <protection locked="0"/>
    </xf>
    <xf numFmtId="41" fontId="191" fillId="0" borderId="0" xfId="1" applyFont="1" applyFill="1" applyBorder="1" applyAlignment="1" applyProtection="1">
      <alignment horizontal="right" vertical="center"/>
      <protection hidden="1"/>
    </xf>
    <xf numFmtId="41" fontId="191" fillId="4" borderId="0" xfId="1" applyFont="1" applyFill="1" applyBorder="1" applyAlignment="1" applyProtection="1">
      <alignment horizontal="center" vertical="center" wrapText="1"/>
      <protection locked="0"/>
    </xf>
    <xf numFmtId="164" fontId="189" fillId="4" borderId="0" xfId="0" applyNumberFormat="1" applyFont="1" applyFill="1" applyAlignment="1" applyProtection="1">
      <alignment horizontal="left" vertical="center" wrapText="1"/>
      <protection locked="0"/>
    </xf>
    <xf numFmtId="41" fontId="191" fillId="5" borderId="0" xfId="1" applyFont="1" applyFill="1" applyBorder="1" applyAlignment="1" applyProtection="1">
      <alignment horizontal="center" vertical="center" wrapText="1"/>
      <protection hidden="1"/>
    </xf>
    <xf numFmtId="41" fontId="192" fillId="4" borderId="0" xfId="1" applyFont="1" applyFill="1" applyBorder="1" applyAlignment="1" applyProtection="1">
      <alignment horizontal="center" vertical="center"/>
      <protection hidden="1"/>
    </xf>
    <xf numFmtId="164" fontId="31" fillId="5" borderId="0" xfId="0" applyNumberFormat="1" applyFont="1" applyFill="1" applyAlignment="1" applyProtection="1">
      <alignment horizontal="left" vertical="center" wrapText="1"/>
      <protection locked="0"/>
    </xf>
    <xf numFmtId="164" fontId="23" fillId="7" borderId="0" xfId="1" applyNumberFormat="1" applyFont="1" applyFill="1" applyBorder="1" applyAlignment="1" applyProtection="1">
      <alignment horizontal="center" vertical="center"/>
      <protection locked="0"/>
    </xf>
    <xf numFmtId="164" fontId="191" fillId="7" borderId="0" xfId="1" applyNumberFormat="1" applyFont="1" applyFill="1" applyBorder="1" applyAlignment="1" applyProtection="1">
      <alignment horizontal="right" vertical="center"/>
      <protection locked="0"/>
    </xf>
    <xf numFmtId="164" fontId="222" fillId="5" borderId="0" xfId="0" applyNumberFormat="1" applyFont="1" applyFill="1" applyAlignment="1" applyProtection="1">
      <alignment horizontal="left" vertical="center" wrapText="1"/>
      <protection locked="0"/>
    </xf>
    <xf numFmtId="164" fontId="18" fillId="24" borderId="0" xfId="0" applyNumberFormat="1" applyFont="1" applyFill="1" applyAlignment="1" applyProtection="1">
      <alignment horizontal="right" vertical="center"/>
      <protection locked="0"/>
    </xf>
    <xf numFmtId="41" fontId="191" fillId="4" borderId="0" xfId="1" applyFont="1" applyFill="1" applyBorder="1" applyAlignment="1" applyProtection="1">
      <alignment horizontal="right" vertical="center" wrapText="1"/>
      <protection hidden="1"/>
    </xf>
    <xf numFmtId="164" fontId="73" fillId="4" borderId="0" xfId="0" applyNumberFormat="1" applyFont="1" applyFill="1" applyAlignment="1" applyProtection="1">
      <alignment horizontal="left" vertical="center" wrapText="1"/>
      <protection locked="0"/>
    </xf>
    <xf numFmtId="14" fontId="160" fillId="7" borderId="0" xfId="1" applyNumberFormat="1" applyFont="1" applyFill="1" applyBorder="1" applyAlignment="1" applyProtection="1">
      <alignment horizontal="right" vertical="center"/>
      <protection locked="0"/>
    </xf>
    <xf numFmtId="164" fontId="30" fillId="4" borderId="0" xfId="0" applyNumberFormat="1" applyFont="1" applyFill="1" applyAlignment="1" applyProtection="1">
      <alignment horizontal="left" vertical="center"/>
      <protection locked="0"/>
    </xf>
    <xf numFmtId="164" fontId="191" fillId="4" borderId="0" xfId="1" applyNumberFormat="1" applyFont="1" applyFill="1" applyBorder="1" applyAlignment="1" applyProtection="1">
      <alignment horizontal="right" vertical="center"/>
      <protection hidden="1"/>
    </xf>
    <xf numFmtId="164" fontId="24" fillId="4" borderId="0" xfId="0" applyNumberFormat="1" applyFont="1" applyFill="1" applyAlignment="1" applyProtection="1">
      <alignment horizontal="center" vertical="center"/>
      <protection locked="0"/>
    </xf>
    <xf numFmtId="164" fontId="27" fillId="4" borderId="0" xfId="0" applyNumberFormat="1" applyFont="1" applyFill="1" applyAlignment="1" applyProtection="1">
      <alignment horizontal="center" vertical="center"/>
      <protection locked="0"/>
    </xf>
    <xf numFmtId="164" fontId="28" fillId="24" borderId="0" xfId="0" applyNumberFormat="1" applyFont="1" applyFill="1" applyAlignment="1" applyProtection="1">
      <alignment horizontal="left" vertical="center" wrapText="1"/>
      <protection locked="0"/>
    </xf>
    <xf numFmtId="164" fontId="28" fillId="24" borderId="0" xfId="0" applyNumberFormat="1" applyFont="1" applyFill="1" applyAlignment="1" applyProtection="1">
      <alignment horizontal="left" vertical="center"/>
      <protection locked="0"/>
    </xf>
    <xf numFmtId="164" fontId="20" fillId="24" borderId="0" xfId="0" applyNumberFormat="1" applyFont="1" applyFill="1" applyAlignment="1" applyProtection="1">
      <alignment horizontal="center" vertical="center"/>
      <protection hidden="1"/>
    </xf>
    <xf numFmtId="164" fontId="160" fillId="5" borderId="0" xfId="0" applyNumberFormat="1" applyFont="1" applyFill="1" applyAlignment="1" applyProtection="1">
      <alignment horizontal="left" vertical="center"/>
      <protection locked="0"/>
    </xf>
    <xf numFmtId="164" fontId="27" fillId="5" borderId="0" xfId="0" applyNumberFormat="1" applyFont="1" applyFill="1" applyAlignment="1" applyProtection="1">
      <alignment horizontal="left" vertical="center"/>
      <protection locked="0"/>
    </xf>
    <xf numFmtId="165" fontId="27" fillId="5" borderId="0" xfId="2" applyNumberFormat="1" applyFont="1" applyFill="1" applyBorder="1" applyAlignment="1" applyProtection="1">
      <alignment horizontal="right" vertical="center"/>
      <protection hidden="1"/>
    </xf>
    <xf numFmtId="164" fontId="18" fillId="24" borderId="0" xfId="1" applyNumberFormat="1" applyFont="1" applyFill="1" applyBorder="1" applyAlignment="1" applyProtection="1">
      <alignment horizontal="right" vertical="center" wrapText="1"/>
      <protection locked="0"/>
    </xf>
    <xf numFmtId="41" fontId="18" fillId="24" borderId="0" xfId="1" applyFont="1" applyFill="1" applyBorder="1" applyAlignment="1" applyProtection="1">
      <alignment horizontal="left" vertical="center"/>
      <protection hidden="1"/>
    </xf>
    <xf numFmtId="164" fontId="32" fillId="0" borderId="0" xfId="0" applyNumberFormat="1" applyFont="1" applyAlignment="1" applyProtection="1">
      <alignment horizontal="center" vertical="center" wrapText="1"/>
      <protection hidden="1"/>
    </xf>
    <xf numFmtId="164" fontId="25" fillId="24" borderId="0" xfId="0" applyNumberFormat="1" applyFont="1" applyFill="1" applyAlignment="1" applyProtection="1">
      <alignment horizontal="center" vertical="center"/>
      <protection locked="0"/>
    </xf>
    <xf numFmtId="164" fontId="160" fillId="5" borderId="0" xfId="0" applyNumberFormat="1" applyFont="1" applyFill="1" applyAlignment="1" applyProtection="1">
      <alignment horizontal="right" vertical="center"/>
      <protection hidden="1"/>
    </xf>
    <xf numFmtId="14" fontId="160" fillId="4" borderId="0" xfId="1" applyNumberFormat="1" applyFont="1" applyFill="1" applyBorder="1" applyAlignment="1" applyProtection="1">
      <alignment horizontal="right" vertical="center"/>
      <protection hidden="1"/>
    </xf>
    <xf numFmtId="164" fontId="18" fillId="5" borderId="0" xfId="0" applyNumberFormat="1" applyFont="1" applyFill="1" applyAlignment="1" applyProtection="1">
      <alignment horizontal="center" vertical="center"/>
      <protection locked="0"/>
    </xf>
    <xf numFmtId="164" fontId="22" fillId="5" borderId="0" xfId="0" applyNumberFormat="1" applyFont="1" applyFill="1" applyAlignment="1" applyProtection="1">
      <alignment horizontal="center" vertical="center"/>
      <protection locked="0"/>
    </xf>
    <xf numFmtId="41" fontId="191" fillId="4" borderId="0" xfId="1" applyFont="1" applyFill="1" applyBorder="1" applyAlignment="1" applyProtection="1">
      <alignment horizontal="center" vertical="center" wrapText="1"/>
      <protection hidden="1"/>
    </xf>
    <xf numFmtId="164" fontId="160" fillId="0" borderId="0" xfId="0" applyNumberFormat="1" applyFont="1" applyAlignment="1" applyProtection="1">
      <alignment horizontal="center" vertical="center"/>
      <protection hidden="1"/>
    </xf>
    <xf numFmtId="41" fontId="24" fillId="4" borderId="0" xfId="1" applyFont="1" applyFill="1" applyBorder="1" applyAlignment="1" applyProtection="1">
      <alignment horizontal="right" vertical="center"/>
      <protection hidden="1"/>
    </xf>
    <xf numFmtId="164" fontId="24" fillId="7" borderId="0" xfId="0" applyNumberFormat="1" applyFont="1" applyFill="1" applyAlignment="1" applyProtection="1">
      <alignment horizontal="left" vertical="center" wrapText="1"/>
      <protection locked="0"/>
    </xf>
    <xf numFmtId="164" fontId="27" fillId="7" borderId="0" xfId="0" applyNumberFormat="1" applyFont="1" applyFill="1" applyAlignment="1" applyProtection="1">
      <alignment horizontal="left" vertical="center" wrapText="1"/>
      <protection locked="0"/>
    </xf>
    <xf numFmtId="164" fontId="193" fillId="7" borderId="0" xfId="0" applyNumberFormat="1" applyFont="1" applyFill="1" applyAlignment="1" applyProtection="1">
      <alignment horizontal="center" vertical="center"/>
      <protection locked="0"/>
    </xf>
    <xf numFmtId="41" fontId="190" fillId="7" borderId="0" xfId="1" applyFont="1" applyFill="1" applyBorder="1" applyAlignment="1" applyProtection="1">
      <alignment horizontal="right" vertical="center"/>
      <protection locked="0"/>
    </xf>
    <xf numFmtId="0" fontId="248" fillId="0" borderId="0" xfId="1028" applyFont="1" applyAlignment="1">
      <alignment horizontal="left" vertical="center"/>
    </xf>
    <xf numFmtId="41" fontId="27" fillId="0" borderId="84" xfId="1" applyFont="1" applyFill="1" applyBorder="1" applyAlignment="1" applyProtection="1">
      <alignment horizontal="center" vertical="center"/>
      <protection locked="0"/>
    </xf>
    <xf numFmtId="41" fontId="27" fillId="0" borderId="68" xfId="1" applyFont="1" applyFill="1" applyBorder="1" applyAlignment="1" applyProtection="1">
      <alignment horizontal="center" vertical="center"/>
      <protection locked="0"/>
    </xf>
    <xf numFmtId="41" fontId="27" fillId="0" borderId="69" xfId="1" applyFont="1" applyFill="1" applyBorder="1" applyAlignment="1" applyProtection="1">
      <alignment horizontal="center" vertical="center"/>
      <protection locked="0"/>
    </xf>
    <xf numFmtId="41" fontId="27" fillId="0" borderId="85" xfId="1" applyFont="1" applyFill="1" applyBorder="1" applyAlignment="1" applyProtection="1">
      <alignment horizontal="center" vertical="center"/>
      <protection locked="0"/>
    </xf>
    <xf numFmtId="41" fontId="27" fillId="0" borderId="0" xfId="1" applyFont="1" applyFill="1" applyBorder="1" applyAlignment="1" applyProtection="1">
      <alignment horizontal="center" vertical="center"/>
      <protection locked="0"/>
    </xf>
    <xf numFmtId="41" fontId="27" fillId="0" borderId="83" xfId="1" applyFont="1" applyFill="1" applyBorder="1" applyAlignment="1" applyProtection="1">
      <alignment horizontal="center" vertical="center"/>
      <protection locked="0"/>
    </xf>
    <xf numFmtId="41" fontId="27" fillId="0" borderId="86" xfId="1" applyFont="1" applyFill="1" applyBorder="1" applyAlignment="1" applyProtection="1">
      <alignment horizontal="center" vertical="center"/>
      <protection locked="0"/>
    </xf>
    <xf numFmtId="41" fontId="27" fillId="0" borderId="8" xfId="1" applyFont="1" applyFill="1" applyBorder="1" applyAlignment="1" applyProtection="1">
      <alignment horizontal="center" vertical="center"/>
      <protection locked="0"/>
    </xf>
    <xf numFmtId="41" fontId="27" fillId="0" borderId="70" xfId="1" applyFont="1" applyFill="1" applyBorder="1" applyAlignment="1" applyProtection="1">
      <alignment horizontal="center" vertical="center"/>
      <protection locked="0"/>
    </xf>
    <xf numFmtId="0" fontId="160" fillId="4" borderId="62" xfId="0" applyFont="1" applyFill="1" applyBorder="1" applyAlignment="1" applyProtection="1">
      <alignment horizontal="left" vertical="center" wrapText="1"/>
      <protection locked="0"/>
    </xf>
    <xf numFmtId="0" fontId="160" fillId="4" borderId="67" xfId="0" applyFont="1" applyFill="1" applyBorder="1" applyAlignment="1" applyProtection="1">
      <alignment horizontal="left" vertical="center" wrapText="1"/>
      <protection locked="0"/>
    </xf>
    <xf numFmtId="0" fontId="160" fillId="4" borderId="63" xfId="0" applyFont="1" applyFill="1" applyBorder="1" applyAlignment="1" applyProtection="1">
      <alignment horizontal="left" vertical="center" wrapText="1"/>
      <protection locked="0"/>
    </xf>
    <xf numFmtId="0" fontId="211" fillId="0" borderId="1" xfId="0" applyFont="1" applyBorder="1" applyAlignment="1" applyProtection="1">
      <alignment horizontal="left" vertical="center" wrapText="1"/>
      <protection locked="0"/>
    </xf>
    <xf numFmtId="0" fontId="211" fillId="0" borderId="1" xfId="0" applyFont="1" applyBorder="1" applyAlignment="1" applyProtection="1">
      <alignment horizontal="left" vertical="center"/>
      <protection locked="0"/>
    </xf>
    <xf numFmtId="0" fontId="160" fillId="0" borderId="1" xfId="0" applyFont="1" applyBorder="1" applyAlignment="1" applyProtection="1">
      <alignment horizontal="left" vertical="center" wrapText="1"/>
      <protection hidden="1"/>
    </xf>
    <xf numFmtId="0" fontId="25" fillId="25" borderId="62" xfId="0" applyFont="1" applyFill="1" applyBorder="1" applyAlignment="1" applyProtection="1">
      <alignment horizontal="left" vertical="center"/>
      <protection locked="0"/>
    </xf>
    <xf numFmtId="0" fontId="25" fillId="25" borderId="63" xfId="0" applyFont="1" applyFill="1" applyBorder="1" applyAlignment="1" applyProtection="1">
      <alignment horizontal="left" vertical="center"/>
      <protection locked="0"/>
    </xf>
    <xf numFmtId="0" fontId="38" fillId="0" borderId="1" xfId="0" applyFont="1" applyBorder="1" applyAlignment="1" applyProtection="1">
      <alignment horizontal="left" vertical="center" wrapText="1"/>
      <protection locked="0"/>
    </xf>
    <xf numFmtId="0" fontId="160" fillId="4" borderId="62" xfId="0" applyFont="1" applyFill="1" applyBorder="1" applyAlignment="1" applyProtection="1">
      <alignment horizontal="left" vertical="center" wrapText="1"/>
      <protection hidden="1"/>
    </xf>
    <xf numFmtId="0" fontId="160" fillId="4" borderId="67" xfId="0" applyFont="1" applyFill="1" applyBorder="1" applyAlignment="1" applyProtection="1">
      <alignment horizontal="left" vertical="center" wrapText="1"/>
      <protection hidden="1"/>
    </xf>
    <xf numFmtId="0" fontId="35" fillId="24" borderId="1" xfId="0" applyFont="1" applyFill="1" applyBorder="1" applyAlignment="1" applyProtection="1">
      <alignment horizontal="left" vertical="center"/>
      <protection locked="0"/>
    </xf>
    <xf numFmtId="0" fontId="160" fillId="0" borderId="1" xfId="0" applyFont="1" applyBorder="1" applyAlignment="1" applyProtection="1">
      <alignment horizontal="left" vertical="center"/>
      <protection locked="0"/>
    </xf>
    <xf numFmtId="0" fontId="251" fillId="0" borderId="62" xfId="0" applyFont="1" applyBorder="1" applyAlignment="1" applyProtection="1">
      <alignment horizontal="left" vertical="center" wrapText="1"/>
      <protection locked="0"/>
    </xf>
    <xf numFmtId="0" fontId="251" fillId="0" borderId="63" xfId="0" applyFont="1" applyBorder="1" applyAlignment="1" applyProtection="1">
      <alignment horizontal="left" vertical="center" wrapText="1"/>
      <protection locked="0"/>
    </xf>
    <xf numFmtId="0" fontId="172" fillId="0" borderId="62" xfId="0" applyFont="1" applyBorder="1" applyAlignment="1" applyProtection="1">
      <alignment horizontal="left" vertical="center" wrapText="1"/>
      <protection locked="0"/>
    </xf>
    <xf numFmtId="0" fontId="172" fillId="0" borderId="63" xfId="0" applyFont="1" applyBorder="1" applyAlignment="1" applyProtection="1">
      <alignment horizontal="left" vertical="center" wrapText="1"/>
      <protection locked="0"/>
    </xf>
    <xf numFmtId="0" fontId="251" fillId="0" borderId="67" xfId="0" applyFont="1" applyBorder="1" applyAlignment="1" applyProtection="1">
      <alignment horizontal="left" vertical="center" wrapText="1"/>
      <protection locked="0"/>
    </xf>
    <xf numFmtId="0" fontId="230" fillId="0" borderId="62" xfId="0" applyFont="1" applyBorder="1" applyAlignment="1" applyProtection="1">
      <alignment horizontal="left" vertical="center" wrapText="1"/>
      <protection locked="0"/>
    </xf>
    <xf numFmtId="0" fontId="230" fillId="0" borderId="67" xfId="0" applyFont="1" applyBorder="1" applyAlignment="1" applyProtection="1">
      <alignment horizontal="left" vertical="center" wrapText="1"/>
      <protection locked="0"/>
    </xf>
    <xf numFmtId="0" fontId="230" fillId="0" borderId="63" xfId="0" applyFont="1" applyBorder="1" applyAlignment="1" applyProtection="1">
      <alignment horizontal="left" vertical="center" wrapText="1"/>
      <protection locked="0"/>
    </xf>
    <xf numFmtId="0" fontId="162" fillId="0" borderId="62" xfId="0" applyFont="1" applyBorder="1" applyAlignment="1" applyProtection="1">
      <alignment horizontal="left" vertical="center" wrapText="1"/>
      <protection locked="0"/>
    </xf>
    <xf numFmtId="0" fontId="162" fillId="0" borderId="63" xfId="0" applyFont="1" applyBorder="1" applyAlignment="1" applyProtection="1">
      <alignment horizontal="left" vertical="center" wrapText="1"/>
      <protection locked="0"/>
    </xf>
    <xf numFmtId="0" fontId="160" fillId="0" borderId="62" xfId="0" applyFont="1" applyBorder="1" applyAlignment="1" applyProtection="1">
      <alignment horizontal="left" vertical="center" wrapText="1"/>
      <protection locked="0"/>
    </xf>
    <xf numFmtId="0" fontId="160" fillId="0" borderId="63" xfId="0" applyFont="1" applyBorder="1" applyAlignment="1" applyProtection="1">
      <alignment horizontal="left" vertical="center" wrapText="1"/>
      <protection locked="0"/>
    </xf>
    <xf numFmtId="0" fontId="160" fillId="0" borderId="1" xfId="0" applyFont="1" applyBorder="1" applyAlignment="1" applyProtection="1">
      <alignment horizontal="left" vertical="center" wrapText="1"/>
      <protection locked="0"/>
    </xf>
    <xf numFmtId="0" fontId="212" fillId="0" borderId="1" xfId="0" applyFont="1" applyBorder="1" applyAlignment="1" applyProtection="1">
      <alignment horizontal="left" vertical="center" wrapText="1"/>
      <protection locked="0"/>
    </xf>
    <xf numFmtId="0" fontId="212" fillId="0" borderId="62" xfId="0" applyFont="1" applyBorder="1" applyAlignment="1" applyProtection="1">
      <alignment horizontal="left" vertical="center" wrapText="1"/>
      <protection locked="0"/>
    </xf>
    <xf numFmtId="0" fontId="212" fillId="0" borderId="63" xfId="0" applyFont="1" applyBorder="1" applyAlignment="1" applyProtection="1">
      <alignment horizontal="left" vertical="center" wrapText="1"/>
      <protection locked="0"/>
    </xf>
    <xf numFmtId="0" fontId="212" fillId="0" borderId="62" xfId="0" applyFont="1" applyBorder="1" applyAlignment="1" applyProtection="1">
      <alignment vertical="center" wrapText="1"/>
      <protection hidden="1"/>
    </xf>
    <xf numFmtId="0" fontId="212" fillId="0" borderId="63" xfId="0" applyFont="1" applyBorder="1" applyAlignment="1" applyProtection="1">
      <alignment vertical="center" wrapText="1"/>
      <protection hidden="1"/>
    </xf>
    <xf numFmtId="0" fontId="212" fillId="0" borderId="62" xfId="0" applyFont="1" applyBorder="1" applyAlignment="1" applyProtection="1">
      <alignment horizontal="left" vertical="center" wrapText="1"/>
      <protection hidden="1"/>
    </xf>
    <xf numFmtId="0" fontId="212" fillId="0" borderId="63" xfId="0" applyFont="1" applyBorder="1" applyAlignment="1" applyProtection="1">
      <alignment horizontal="left" vertical="center" wrapText="1"/>
      <protection hidden="1"/>
    </xf>
    <xf numFmtId="0" fontId="212" fillId="0" borderId="62" xfId="0" applyFont="1" applyBorder="1" applyAlignment="1" applyProtection="1">
      <alignment vertical="center" wrapText="1"/>
      <protection locked="0"/>
    </xf>
    <xf numFmtId="0" fontId="212" fillId="0" borderId="63" xfId="0" applyFont="1" applyBorder="1" applyAlignment="1" applyProtection="1">
      <alignment vertical="center" wrapText="1"/>
      <protection locked="0"/>
    </xf>
    <xf numFmtId="41" fontId="167" fillId="0" borderId="0" xfId="0" applyNumberFormat="1" applyFont="1" applyAlignment="1" applyProtection="1">
      <alignment horizontal="center" vertical="center"/>
      <protection hidden="1"/>
    </xf>
    <xf numFmtId="41" fontId="222" fillId="0" borderId="0" xfId="0" applyNumberFormat="1" applyFont="1" applyAlignment="1" applyProtection="1">
      <alignment horizontal="right" vertical="center"/>
      <protection hidden="1"/>
    </xf>
    <xf numFmtId="49" fontId="222" fillId="0" borderId="0" xfId="0" applyNumberFormat="1" applyFont="1" applyAlignment="1" applyProtection="1">
      <alignment horizontal="right" vertical="center"/>
      <protection hidden="1"/>
    </xf>
    <xf numFmtId="41" fontId="228" fillId="0" borderId="8" xfId="0" applyNumberFormat="1" applyFont="1" applyBorder="1" applyAlignment="1" applyProtection="1">
      <alignment horizontal="right" vertical="center"/>
      <protection hidden="1"/>
    </xf>
    <xf numFmtId="0" fontId="69" fillId="31" borderId="0" xfId="0" applyFont="1" applyFill="1" applyAlignment="1" applyProtection="1">
      <alignment horizontal="left" vertical="center"/>
      <protection locked="0"/>
    </xf>
    <xf numFmtId="49" fontId="254" fillId="31" borderId="0" xfId="0" applyNumberFormat="1" applyFont="1" applyFill="1" applyAlignment="1" applyProtection="1">
      <alignment horizontal="left" vertical="top"/>
      <protection locked="0"/>
    </xf>
    <xf numFmtId="0" fontId="254" fillId="31" borderId="0" xfId="0" applyFont="1" applyFill="1" applyAlignment="1" applyProtection="1">
      <alignment horizontal="left" vertical="top"/>
      <protection locked="0"/>
    </xf>
    <xf numFmtId="0" fontId="253" fillId="31" borderId="0" xfId="0" applyFont="1" applyFill="1" applyAlignment="1" applyProtection="1">
      <alignment horizontal="left" vertical="center"/>
      <protection locked="0"/>
    </xf>
    <xf numFmtId="0" fontId="18" fillId="31" borderId="0" xfId="0" applyFont="1" applyFill="1" applyAlignment="1" applyProtection="1">
      <alignment horizontal="left" vertical="top" wrapText="1"/>
      <protection locked="0"/>
    </xf>
    <xf numFmtId="0" fontId="119" fillId="0" borderId="0" xfId="8" applyFont="1" applyAlignment="1" applyProtection="1">
      <alignment horizontal="right"/>
      <protection locked="0"/>
    </xf>
    <xf numFmtId="0" fontId="121" fillId="0" borderId="0" xfId="9" applyFont="1" applyAlignment="1" applyProtection="1">
      <alignment horizontal="right"/>
      <protection locked="0"/>
    </xf>
    <xf numFmtId="0" fontId="122" fillId="0" borderId="0" xfId="8" applyFont="1" applyAlignment="1" applyProtection="1">
      <alignment horizontal="right"/>
      <protection locked="0"/>
    </xf>
    <xf numFmtId="0" fontId="124" fillId="11" borderId="0" xfId="8" applyFont="1" applyFill="1" applyAlignment="1" applyProtection="1">
      <alignment horizontal="center" vertical="center"/>
      <protection locked="0"/>
    </xf>
    <xf numFmtId="0" fontId="125" fillId="0" borderId="0" xfId="8" applyFont="1" applyAlignment="1" applyProtection="1">
      <alignment horizontal="center" vertical="center"/>
      <protection locked="0"/>
    </xf>
    <xf numFmtId="0" fontId="123" fillId="0" borderId="0" xfId="8" applyFont="1" applyAlignment="1" applyProtection="1">
      <alignment horizontal="right"/>
      <protection locked="0"/>
    </xf>
    <xf numFmtId="14" fontId="123" fillId="0" borderId="0" xfId="8" applyNumberFormat="1" applyFont="1" applyAlignment="1" applyProtection="1">
      <alignment horizontal="right" wrapText="1"/>
      <protection locked="0"/>
    </xf>
    <xf numFmtId="0" fontId="148" fillId="0" borderId="0" xfId="8" applyFont="1" applyAlignment="1" applyProtection="1">
      <alignment horizontal="left" vertical="center" wrapText="1"/>
      <protection locked="0"/>
    </xf>
    <xf numFmtId="49" fontId="110" fillId="0" borderId="0" xfId="8" applyNumberFormat="1" applyFont="1" applyAlignment="1" applyProtection="1">
      <alignment horizontal="left" vertical="center" wrapText="1"/>
      <protection locked="0"/>
    </xf>
    <xf numFmtId="0" fontId="110" fillId="0" borderId="0" xfId="8" applyFont="1" applyAlignment="1" applyProtection="1">
      <alignment horizontal="left" vertical="center" wrapText="1"/>
      <protection locked="0"/>
    </xf>
    <xf numFmtId="49" fontId="149" fillId="0" borderId="0" xfId="8" applyNumberFormat="1" applyFont="1" applyAlignment="1" applyProtection="1">
      <alignment horizontal="left" vertical="center" wrapText="1"/>
      <protection locked="0"/>
    </xf>
    <xf numFmtId="0" fontId="149" fillId="0" borderId="0" xfId="8" applyFont="1" applyAlignment="1" applyProtection="1">
      <alignment horizontal="left" vertical="center" wrapText="1"/>
      <protection locked="0"/>
    </xf>
    <xf numFmtId="0" fontId="129" fillId="17" borderId="0" xfId="8" applyFont="1" applyFill="1" applyAlignment="1" applyProtection="1">
      <alignment horizontal="left" vertical="center" wrapText="1"/>
      <protection locked="0"/>
    </xf>
    <xf numFmtId="0" fontId="131" fillId="10" borderId="0" xfId="8" applyFont="1" applyFill="1" applyAlignment="1" applyProtection="1">
      <alignment horizontal="left" vertical="center" wrapText="1"/>
      <protection locked="0"/>
    </xf>
    <xf numFmtId="0" fontId="129" fillId="12" borderId="0" xfId="8" applyFont="1" applyFill="1" applyAlignment="1" applyProtection="1">
      <alignment horizontal="left" vertical="center" wrapText="1"/>
      <protection locked="0"/>
    </xf>
    <xf numFmtId="0" fontId="131" fillId="16" borderId="0" xfId="8" applyFont="1" applyFill="1" applyAlignment="1" applyProtection="1">
      <alignment horizontal="left" vertical="center" wrapText="1"/>
      <protection locked="0"/>
    </xf>
    <xf numFmtId="0" fontId="129" fillId="18" borderId="0" xfId="8" applyFont="1" applyFill="1" applyAlignment="1" applyProtection="1">
      <alignment horizontal="left" vertical="center" wrapText="1"/>
      <protection locked="0"/>
    </xf>
    <xf numFmtId="0" fontId="131" fillId="8" borderId="0" xfId="8" applyFont="1" applyFill="1" applyAlignment="1" applyProtection="1">
      <alignment horizontal="left" vertical="center" wrapText="1"/>
      <protection locked="0"/>
    </xf>
    <xf numFmtId="0" fontId="99" fillId="0" borderId="0" xfId="8" applyFont="1" applyAlignment="1" applyProtection="1">
      <alignment horizontal="center" vertical="center"/>
      <protection locked="0"/>
    </xf>
    <xf numFmtId="0" fontId="78" fillId="0" borderId="0" xfId="8" applyFont="1" applyAlignment="1" applyProtection="1">
      <alignment horizontal="left" vertical="center" wrapText="1"/>
      <protection locked="0"/>
    </xf>
    <xf numFmtId="0" fontId="123" fillId="0" borderId="0" xfId="8" applyFont="1" applyAlignment="1" applyProtection="1">
      <alignment horizontal="right" vertical="center" wrapText="1"/>
      <protection locked="0"/>
    </xf>
    <xf numFmtId="3" fontId="80" fillId="0" borderId="0" xfId="8" applyNumberFormat="1" applyFont="1" applyAlignment="1" applyProtection="1">
      <alignment horizontal="center" vertical="center"/>
      <protection locked="0"/>
    </xf>
    <xf numFmtId="0" fontId="80" fillId="0" borderId="0" xfId="8" applyFont="1" applyAlignment="1" applyProtection="1">
      <alignment horizontal="center" vertical="center"/>
      <protection locked="0"/>
    </xf>
    <xf numFmtId="0" fontId="98" fillId="16" borderId="0" xfId="8" applyFont="1" applyFill="1" applyAlignment="1" applyProtection="1">
      <alignment horizontal="left" vertical="center" wrapText="1"/>
      <protection locked="0"/>
    </xf>
    <xf numFmtId="0" fontId="129" fillId="11" borderId="0" xfId="8" applyFont="1" applyFill="1" applyAlignment="1" applyProtection="1">
      <alignment horizontal="center" vertical="center"/>
      <protection locked="0"/>
    </xf>
    <xf numFmtId="0" fontId="86" fillId="12" borderId="0" xfId="8" applyFont="1" applyFill="1" applyAlignment="1" applyProtection="1">
      <alignment horizontal="center" vertical="center"/>
      <protection locked="0"/>
    </xf>
    <xf numFmtId="0" fontId="119" fillId="0" borderId="0" xfId="8" applyFont="1" applyAlignment="1" applyProtection="1">
      <alignment horizontal="left" vertical="center" wrapText="1"/>
      <protection locked="0"/>
    </xf>
    <xf numFmtId="0" fontId="90" fillId="13" borderId="0" xfId="8" applyFont="1" applyFill="1" applyAlignment="1" applyProtection="1">
      <alignment horizontal="center" vertical="center"/>
      <protection locked="0"/>
    </xf>
    <xf numFmtId="0" fontId="137" fillId="0" borderId="0" xfId="8" applyFont="1" applyAlignment="1" applyProtection="1">
      <alignment horizontal="left" vertical="center" wrapText="1"/>
      <protection locked="0"/>
    </xf>
    <xf numFmtId="0" fontId="137" fillId="0" borderId="0" xfId="8" applyFont="1" applyAlignment="1" applyProtection="1">
      <alignment horizontal="left" vertical="center"/>
      <protection locked="0"/>
    </xf>
    <xf numFmtId="0" fontId="129" fillId="19" borderId="0" xfId="8" applyFont="1" applyFill="1" applyAlignment="1" applyProtection="1">
      <alignment horizontal="left" vertical="center" wrapText="1"/>
      <protection locked="0"/>
    </xf>
    <xf numFmtId="0" fontId="131" fillId="20" borderId="0" xfId="8" applyFont="1" applyFill="1" applyAlignment="1" applyProtection="1">
      <alignment horizontal="left" vertical="center" wrapText="1"/>
      <protection locked="0"/>
    </xf>
    <xf numFmtId="0" fontId="129" fillId="21" borderId="0" xfId="8" applyFont="1" applyFill="1" applyAlignment="1" applyProtection="1">
      <alignment horizontal="left" vertical="center" wrapText="1"/>
      <protection locked="0"/>
    </xf>
    <xf numFmtId="0" fontId="92" fillId="21" borderId="0" xfId="8" applyFont="1" applyFill="1" applyAlignment="1" applyProtection="1">
      <alignment horizontal="center" vertical="center" wrapText="1"/>
      <protection locked="0"/>
    </xf>
    <xf numFmtId="3" fontId="134" fillId="21" borderId="0" xfId="8" applyNumberFormat="1" applyFont="1" applyFill="1" applyAlignment="1" applyProtection="1">
      <alignment horizontal="center" vertical="center" wrapText="1"/>
      <protection locked="0"/>
    </xf>
    <xf numFmtId="0" fontId="136" fillId="13" borderId="0" xfId="8" applyFont="1" applyFill="1" applyAlignment="1" applyProtection="1">
      <alignment horizontal="left" vertical="center"/>
      <protection locked="0"/>
    </xf>
    <xf numFmtId="0" fontId="89" fillId="13" borderId="0" xfId="8" applyFont="1" applyFill="1" applyAlignment="1" applyProtection="1">
      <alignment horizontal="center" vertical="center"/>
      <protection locked="0"/>
    </xf>
    <xf numFmtId="0" fontId="119" fillId="0" borderId="0" xfId="8" applyFont="1" applyAlignment="1" applyProtection="1">
      <alignment horizontal="left" vertical="center"/>
      <protection locked="0"/>
    </xf>
    <xf numFmtId="0" fontId="137" fillId="0" borderId="0" xfId="8" applyFont="1" applyAlignment="1" applyProtection="1">
      <alignment horizontal="left" vertical="top" wrapText="1"/>
      <protection locked="0"/>
    </xf>
    <xf numFmtId="0" fontId="137" fillId="0" borderId="0" xfId="8" applyFont="1" applyAlignment="1" applyProtection="1">
      <alignment horizontal="left" vertical="top"/>
      <protection locked="0"/>
    </xf>
    <xf numFmtId="0" fontId="119" fillId="0" borderId="0" xfId="8" applyFont="1" applyAlignment="1" applyProtection="1">
      <alignment horizontal="right" vertical="center"/>
      <protection locked="0"/>
    </xf>
    <xf numFmtId="0" fontId="137" fillId="0" borderId="0" xfId="8" applyFont="1" applyAlignment="1" applyProtection="1">
      <alignment vertical="center" wrapText="1"/>
      <protection locked="0"/>
    </xf>
    <xf numFmtId="0" fontId="137" fillId="0" borderId="0" xfId="8" applyFont="1" applyAlignment="1" applyProtection="1">
      <alignment vertical="center"/>
      <protection locked="0"/>
    </xf>
    <xf numFmtId="0" fontId="78" fillId="14" borderId="0" xfId="8" applyFont="1" applyFill="1" applyAlignment="1" applyProtection="1">
      <alignment horizontal="left" vertical="center" wrapText="1"/>
      <protection locked="0"/>
    </xf>
    <xf numFmtId="0" fontId="91" fillId="22" borderId="0" xfId="8" applyFont="1" applyFill="1" applyAlignment="1" applyProtection="1">
      <alignment horizontal="left" vertical="center" wrapText="1"/>
      <protection locked="0"/>
    </xf>
    <xf numFmtId="0" fontId="115" fillId="22" borderId="0" xfId="8" applyFont="1" applyFill="1" applyAlignment="1" applyProtection="1">
      <alignment horizontal="left" vertical="center" wrapText="1"/>
      <protection locked="0"/>
    </xf>
    <xf numFmtId="0" fontId="78" fillId="0" borderId="0" xfId="8" applyFont="1" applyAlignment="1" applyProtection="1">
      <alignment horizontal="center" vertical="center"/>
      <protection locked="0"/>
    </xf>
    <xf numFmtId="0" fontId="146" fillId="11" borderId="0" xfId="8" quotePrefix="1" applyFont="1" applyFill="1" applyAlignment="1" applyProtection="1">
      <alignment horizontal="center" vertical="center" wrapText="1"/>
      <protection locked="0"/>
    </xf>
    <xf numFmtId="0" fontId="22" fillId="3" borderId="62" xfId="8" applyFont="1" applyFill="1" applyBorder="1" applyAlignment="1" applyProtection="1">
      <alignment horizontal="center" vertical="center" wrapText="1"/>
      <protection locked="0"/>
    </xf>
    <xf numFmtId="0" fontId="22" fillId="3" borderId="67" xfId="8" applyFont="1" applyFill="1" applyBorder="1" applyAlignment="1" applyProtection="1">
      <alignment horizontal="center" vertical="center" wrapText="1"/>
      <protection locked="0"/>
    </xf>
    <xf numFmtId="0" fontId="22" fillId="3" borderId="63" xfId="8" applyFont="1" applyFill="1" applyBorder="1" applyAlignment="1" applyProtection="1">
      <alignment horizontal="center" vertical="center" wrapText="1"/>
      <protection locked="0"/>
    </xf>
    <xf numFmtId="0" fontId="182" fillId="0" borderId="1" xfId="14" applyFont="1" applyBorder="1" applyAlignment="1" applyProtection="1">
      <alignment horizontal="center" vertical="center" wrapText="1"/>
      <protection locked="0"/>
    </xf>
    <xf numFmtId="0" fontId="15" fillId="0" borderId="0" xfId="14" applyAlignment="1" applyProtection="1">
      <alignment horizontal="center" vertical="center" wrapText="1"/>
      <protection locked="0"/>
    </xf>
    <xf numFmtId="0" fontId="70" fillId="3" borderId="71" xfId="8" applyFont="1" applyFill="1" applyBorder="1" applyAlignment="1" applyProtection="1">
      <alignment horizontal="center" vertical="center" wrapText="1"/>
      <protection locked="0"/>
    </xf>
    <xf numFmtId="0" fontId="70" fillId="3" borderId="72" xfId="8" applyFont="1" applyFill="1" applyBorder="1" applyAlignment="1" applyProtection="1">
      <alignment horizontal="center" vertical="center" wrapText="1"/>
      <protection locked="0"/>
    </xf>
    <xf numFmtId="42" fontId="70" fillId="3" borderId="71" xfId="12" applyFont="1" applyFill="1" applyBorder="1" applyAlignment="1" applyProtection="1">
      <alignment horizontal="center" vertical="center" wrapText="1"/>
      <protection locked="0"/>
    </xf>
    <xf numFmtId="42" fontId="70" fillId="3" borderId="72" xfId="12" applyFont="1" applyFill="1" applyBorder="1" applyAlignment="1" applyProtection="1">
      <alignment horizontal="center" vertical="center" wrapText="1"/>
      <protection locked="0"/>
    </xf>
    <xf numFmtId="0" fontId="181" fillId="3" borderId="0" xfId="8" applyFont="1" applyFill="1" applyAlignment="1" applyProtection="1">
      <alignment horizontal="center" vertical="center" wrapText="1"/>
      <protection locked="0"/>
    </xf>
    <xf numFmtId="0" fontId="181" fillId="3" borderId="83" xfId="8" applyFont="1" applyFill="1" applyBorder="1" applyAlignment="1" applyProtection="1">
      <alignment horizontal="center" vertical="center" wrapText="1"/>
      <protection locked="0"/>
    </xf>
    <xf numFmtId="0" fontId="73" fillId="7" borderId="0" xfId="8" applyFill="1" applyAlignment="1" applyProtection="1">
      <alignment horizontal="center" vertical="center" wrapText="1"/>
      <protection locked="0"/>
    </xf>
    <xf numFmtId="0" fontId="181" fillId="3" borderId="1" xfId="8" applyFont="1" applyFill="1" applyBorder="1" applyAlignment="1" applyProtection="1">
      <alignment horizontal="center" vertical="center" wrapText="1"/>
      <protection locked="0"/>
    </xf>
    <xf numFmtId="0" fontId="73" fillId="7" borderId="1" xfId="8" applyFill="1" applyBorder="1" applyAlignment="1" applyProtection="1">
      <alignment horizontal="center" vertical="center" wrapText="1"/>
      <protection locked="0"/>
    </xf>
    <xf numFmtId="0" fontId="70" fillId="3" borderId="1" xfId="8" applyFont="1" applyFill="1" applyBorder="1" applyAlignment="1" applyProtection="1">
      <alignment horizontal="center" vertical="center" wrapText="1"/>
      <protection locked="0"/>
    </xf>
    <xf numFmtId="42" fontId="70" fillId="3" borderId="1" xfId="12" applyFont="1" applyFill="1" applyBorder="1" applyAlignment="1" applyProtection="1">
      <alignment horizontal="center" vertical="center" wrapText="1"/>
      <protection locked="0"/>
    </xf>
    <xf numFmtId="0" fontId="22" fillId="3" borderId="1" xfId="8" applyFont="1" applyFill="1" applyBorder="1" applyAlignment="1" applyProtection="1">
      <alignment horizontal="center" vertical="center" wrapText="1"/>
      <protection locked="0"/>
    </xf>
    <xf numFmtId="170" fontId="185" fillId="0" borderId="1" xfId="14" applyNumberFormat="1" applyFont="1" applyBorder="1" applyAlignment="1" applyProtection="1">
      <alignment horizontal="center" vertical="center" wrapText="1"/>
      <protection locked="0"/>
    </xf>
    <xf numFmtId="0" fontId="22" fillId="24" borderId="1" xfId="8" applyFont="1" applyFill="1" applyBorder="1" applyAlignment="1" applyProtection="1">
      <alignment horizontal="center" vertical="center" wrapText="1"/>
      <protection locked="0"/>
    </xf>
    <xf numFmtId="0" fontId="70" fillId="24" borderId="1" xfId="8" applyFont="1" applyFill="1" applyBorder="1" applyAlignment="1" applyProtection="1">
      <alignment horizontal="center" vertical="center" wrapText="1"/>
      <protection locked="0"/>
    </xf>
    <xf numFmtId="42" fontId="70" fillId="24" borderId="1" xfId="12" applyFont="1" applyFill="1" applyBorder="1" applyAlignment="1" applyProtection="1">
      <alignment horizontal="center" vertical="center" wrapText="1"/>
      <protection locked="0"/>
    </xf>
    <xf numFmtId="0" fontId="181" fillId="24" borderId="1" xfId="8" applyFont="1" applyFill="1" applyBorder="1" applyAlignment="1" applyProtection="1">
      <alignment horizontal="center" vertical="center" wrapText="1"/>
      <protection locked="0"/>
    </xf>
    <xf numFmtId="0" fontId="22" fillId="24" borderId="62" xfId="8" applyFont="1" applyFill="1" applyBorder="1" applyAlignment="1" applyProtection="1">
      <alignment horizontal="center" vertical="center" wrapText="1"/>
      <protection locked="0"/>
    </xf>
    <xf numFmtId="0" fontId="22" fillId="24" borderId="67" xfId="8" applyFont="1" applyFill="1" applyBorder="1" applyAlignment="1" applyProtection="1">
      <alignment horizontal="center" vertical="center" wrapText="1"/>
      <protection locked="0"/>
    </xf>
    <xf numFmtId="0" fontId="22" fillId="24" borderId="63" xfId="8" applyFont="1" applyFill="1" applyBorder="1" applyAlignment="1" applyProtection="1">
      <alignment horizontal="center" vertical="center" wrapText="1"/>
      <protection locked="0"/>
    </xf>
    <xf numFmtId="0" fontId="70" fillId="24" borderId="71" xfId="8" applyFont="1" applyFill="1" applyBorder="1" applyAlignment="1" applyProtection="1">
      <alignment horizontal="center" vertical="center" wrapText="1"/>
      <protection locked="0"/>
    </xf>
    <xf numFmtId="0" fontId="70" fillId="24" borderId="72" xfId="8" applyFont="1" applyFill="1" applyBorder="1" applyAlignment="1" applyProtection="1">
      <alignment horizontal="center" vertical="center" wrapText="1"/>
      <protection locked="0"/>
    </xf>
    <xf numFmtId="42" fontId="70" fillId="24" borderId="71" xfId="12" applyFont="1" applyFill="1" applyBorder="1" applyAlignment="1" applyProtection="1">
      <alignment horizontal="center" vertical="center" wrapText="1"/>
      <protection locked="0"/>
    </xf>
    <xf numFmtId="42" fontId="70" fillId="24" borderId="72" xfId="12" applyFont="1" applyFill="1" applyBorder="1" applyAlignment="1" applyProtection="1">
      <alignment horizontal="center" vertical="center" wrapText="1"/>
      <protection locked="0"/>
    </xf>
    <xf numFmtId="0" fontId="181" fillId="29" borderId="0" xfId="8" applyFont="1" applyFill="1" applyAlignment="1" applyProtection="1">
      <alignment horizontal="center" vertical="center" wrapText="1"/>
      <protection locked="0"/>
    </xf>
    <xf numFmtId="0" fontId="181" fillId="29" borderId="83" xfId="8" applyFont="1" applyFill="1" applyBorder="1" applyAlignment="1" applyProtection="1">
      <alignment horizontal="center" vertical="center" wrapText="1"/>
      <protection locked="0"/>
    </xf>
    <xf numFmtId="0" fontId="181" fillId="30" borderId="0" xfId="8" applyFont="1" applyFill="1" applyAlignment="1" applyProtection="1">
      <alignment horizontal="center" vertical="center" wrapText="1"/>
      <protection locked="0"/>
    </xf>
    <xf numFmtId="0" fontId="187" fillId="0" borderId="68" xfId="14" applyFont="1" applyBorder="1" applyAlignment="1" applyProtection="1">
      <alignment horizontal="center" vertical="center" wrapText="1"/>
      <protection locked="0"/>
    </xf>
    <xf numFmtId="0" fontId="187" fillId="0" borderId="69" xfId="14" applyFont="1" applyBorder="1" applyAlignment="1" applyProtection="1">
      <alignment horizontal="center" vertical="center" wrapText="1"/>
      <protection locked="0"/>
    </xf>
    <xf numFmtId="0" fontId="187" fillId="0" borderId="8" xfId="14" applyFont="1" applyBorder="1" applyAlignment="1" applyProtection="1">
      <alignment horizontal="center" vertical="center" wrapText="1"/>
      <protection locked="0"/>
    </xf>
    <xf numFmtId="0" fontId="187" fillId="0" borderId="70" xfId="14" applyFont="1" applyBorder="1" applyAlignment="1" applyProtection="1">
      <alignment horizontal="center" vertical="center" wrapText="1"/>
      <protection locked="0"/>
    </xf>
    <xf numFmtId="170" fontId="220" fillId="0" borderId="71" xfId="13" applyNumberFormat="1" applyFont="1" applyBorder="1" applyAlignment="1" applyProtection="1">
      <alignment horizontal="center" vertical="center" wrapText="1"/>
      <protection locked="0"/>
    </xf>
    <xf numFmtId="170" fontId="220" fillId="0" borderId="72" xfId="13" applyNumberFormat="1" applyFont="1" applyBorder="1" applyAlignment="1" applyProtection="1">
      <alignment horizontal="center" vertical="center" wrapText="1"/>
      <protection locked="0"/>
    </xf>
    <xf numFmtId="0" fontId="73" fillId="7" borderId="8" xfId="8" applyFill="1" applyBorder="1" applyAlignment="1" applyProtection="1">
      <alignment horizontal="center" vertical="center" wrapText="1"/>
      <protection locked="0"/>
    </xf>
    <xf numFmtId="41" fontId="176" fillId="0" borderId="0" xfId="8" applyNumberFormat="1" applyFont="1" applyAlignment="1" applyProtection="1">
      <alignment horizontal="center" vertical="center"/>
      <protection locked="0"/>
    </xf>
    <xf numFmtId="0" fontId="171" fillId="5" borderId="0" xfId="8" applyFont="1" applyFill="1" applyAlignment="1">
      <alignment horizontal="center" vertical="center"/>
    </xf>
    <xf numFmtId="1" fontId="171" fillId="5" borderId="0" xfId="8" applyNumberFormat="1" applyFont="1" applyFill="1" applyAlignment="1">
      <alignment horizontal="center" vertical="center"/>
    </xf>
    <xf numFmtId="41" fontId="171" fillId="5" borderId="0" xfId="1" applyFont="1" applyFill="1" applyBorder="1" applyAlignment="1" applyProtection="1">
      <alignment horizontal="center" vertical="center"/>
      <protection locked="0"/>
    </xf>
    <xf numFmtId="41" fontId="184" fillId="0" borderId="0" xfId="8" applyNumberFormat="1" applyFont="1" applyAlignment="1" applyProtection="1">
      <alignment horizontal="center" vertical="center"/>
      <protection locked="0"/>
    </xf>
    <xf numFmtId="41" fontId="198" fillId="0" borderId="0" xfId="8" applyNumberFormat="1" applyFont="1" applyAlignment="1" applyProtection="1">
      <alignment horizontal="center" vertical="center"/>
      <protection locked="0"/>
    </xf>
    <xf numFmtId="0" fontId="171" fillId="4" borderId="0" xfId="8" applyFont="1" applyFill="1" applyAlignment="1">
      <alignment horizontal="center" vertical="center"/>
    </xf>
    <xf numFmtId="1" fontId="171" fillId="4" borderId="0" xfId="8" applyNumberFormat="1" applyFont="1" applyFill="1" applyAlignment="1">
      <alignment horizontal="center" vertical="center"/>
    </xf>
    <xf numFmtId="41" fontId="171" fillId="4" borderId="0" xfId="1" applyFont="1" applyFill="1" applyBorder="1" applyAlignment="1" applyProtection="1">
      <alignment horizontal="center" vertical="center"/>
      <protection locked="0"/>
    </xf>
    <xf numFmtId="0" fontId="171" fillId="4" borderId="0" xfId="8" applyFont="1" applyFill="1" applyAlignment="1" applyProtection="1">
      <alignment horizontal="center" vertical="center"/>
      <protection locked="0"/>
    </xf>
    <xf numFmtId="0" fontId="171" fillId="5" borderId="0" xfId="8" applyFont="1" applyFill="1" applyAlignment="1" applyProtection="1">
      <alignment horizontal="center" vertical="center"/>
      <protection locked="0"/>
    </xf>
    <xf numFmtId="0" fontId="171" fillId="7" borderId="0" xfId="8" applyFont="1" applyFill="1" applyAlignment="1" applyProtection="1">
      <alignment horizontal="left" vertical="center" wrapText="1"/>
      <protection locked="0"/>
    </xf>
    <xf numFmtId="41" fontId="0" fillId="4" borderId="0" xfId="1" applyFont="1" applyFill="1" applyAlignment="1" applyProtection="1">
      <alignment horizontal="center" vertical="center"/>
    </xf>
    <xf numFmtId="41" fontId="165" fillId="0" borderId="0" xfId="1" applyFont="1" applyAlignment="1" applyProtection="1">
      <alignment horizontal="center" vertical="center"/>
    </xf>
    <xf numFmtId="41" fontId="0" fillId="0" borderId="0" xfId="1" applyFont="1" applyAlignment="1" applyProtection="1">
      <alignment horizontal="center" vertical="center"/>
    </xf>
    <xf numFmtId="41" fontId="0" fillId="5" borderId="0" xfId="1" applyFont="1" applyFill="1" applyAlignment="1" applyProtection="1">
      <alignment horizontal="center" vertical="center"/>
    </xf>
    <xf numFmtId="41" fontId="0" fillId="0" borderId="0" xfId="1" applyFont="1" applyAlignment="1" applyProtection="1">
      <alignment horizontal="center" vertical="center"/>
      <protection locked="0"/>
    </xf>
    <xf numFmtId="41" fontId="0" fillId="4" borderId="0" xfId="1" applyFont="1" applyFill="1" applyAlignment="1" applyProtection="1">
      <alignment horizontal="center" vertical="center"/>
      <protection locked="0"/>
    </xf>
    <xf numFmtId="0" fontId="200" fillId="24" borderId="0" xfId="14" applyFont="1" applyFill="1" applyAlignment="1">
      <alignment horizontal="center" vertical="center"/>
    </xf>
    <xf numFmtId="0" fontId="199" fillId="0" borderId="0" xfId="14" applyFont="1" applyAlignment="1">
      <alignment horizontal="center" vertical="center"/>
    </xf>
    <xf numFmtId="0" fontId="215" fillId="0" borderId="0" xfId="14" applyFont="1" applyAlignment="1">
      <alignment horizontal="center" vertical="center"/>
    </xf>
    <xf numFmtId="0" fontId="77" fillId="0" borderId="0" xfId="14" applyFont="1" applyAlignment="1">
      <alignment horizontal="center" vertical="center"/>
    </xf>
    <xf numFmtId="0" fontId="15" fillId="0" borderId="0" xfId="14" applyAlignment="1">
      <alignment horizontal="center"/>
    </xf>
    <xf numFmtId="0" fontId="194" fillId="3" borderId="8" xfId="14" applyFont="1" applyFill="1" applyBorder="1" applyAlignment="1">
      <alignment horizontal="center" vertical="top"/>
    </xf>
    <xf numFmtId="0" fontId="171" fillId="4" borderId="1" xfId="8" applyFont="1" applyFill="1" applyBorder="1" applyAlignment="1" applyProtection="1">
      <alignment horizontal="center" vertical="center" wrapText="1"/>
      <protection locked="0"/>
    </xf>
    <xf numFmtId="0" fontId="171" fillId="4" borderId="62" xfId="8" applyFont="1" applyFill="1" applyBorder="1" applyAlignment="1" applyProtection="1">
      <alignment horizontal="center" vertical="center" wrapText="1"/>
      <protection locked="0"/>
    </xf>
    <xf numFmtId="0" fontId="171" fillId="4" borderId="67" xfId="8" applyFont="1" applyFill="1" applyBorder="1" applyAlignment="1" applyProtection="1">
      <alignment horizontal="center" vertical="center" wrapText="1"/>
      <protection locked="0"/>
    </xf>
    <xf numFmtId="0" fontId="171" fillId="4" borderId="63" xfId="8" applyFont="1" applyFill="1" applyBorder="1" applyAlignment="1" applyProtection="1">
      <alignment horizontal="center" vertical="center" wrapText="1"/>
      <protection locked="0"/>
    </xf>
    <xf numFmtId="0" fontId="171" fillId="4" borderId="71" xfId="8" applyFont="1" applyFill="1" applyBorder="1" applyAlignment="1" applyProtection="1">
      <alignment horizontal="center" vertical="center" wrapText="1"/>
      <protection locked="0"/>
    </xf>
    <xf numFmtId="0" fontId="171" fillId="4" borderId="72" xfId="8" applyFont="1" applyFill="1" applyBorder="1" applyAlignment="1" applyProtection="1">
      <alignment horizontal="center" vertical="center" wrapText="1"/>
      <protection locked="0"/>
    </xf>
    <xf numFmtId="0" fontId="56" fillId="25" borderId="0" xfId="4" applyFont="1" applyFill="1" applyAlignment="1" applyProtection="1">
      <alignment horizontal="center" vertical="center"/>
      <protection locked="0"/>
    </xf>
    <xf numFmtId="0" fontId="56" fillId="24" borderId="0" xfId="4" applyFont="1" applyFill="1" applyAlignment="1" applyProtection="1">
      <alignment horizontal="center" vertical="center"/>
      <protection locked="0"/>
    </xf>
    <xf numFmtId="0" fontId="62" fillId="0" borderId="0" xfId="4" applyFont="1" applyAlignment="1" applyProtection="1">
      <alignment horizontal="left"/>
      <protection locked="0"/>
    </xf>
    <xf numFmtId="14" fontId="47" fillId="0" borderId="0" xfId="4" applyNumberFormat="1" applyFont="1" applyAlignment="1">
      <alignment horizontal="right"/>
    </xf>
    <xf numFmtId="0" fontId="226" fillId="0" borderId="0" xfId="4" applyFont="1" applyAlignment="1" applyProtection="1">
      <alignment horizontal="left" vertical="center"/>
      <protection locked="0"/>
    </xf>
    <xf numFmtId="0" fontId="227" fillId="0" borderId="0" xfId="4" applyFont="1" applyAlignment="1" applyProtection="1">
      <alignment horizontal="center" vertical="center"/>
      <protection locked="0"/>
    </xf>
    <xf numFmtId="0" fontId="47" fillId="0" borderId="0" xfId="4" applyFont="1" applyAlignment="1" applyProtection="1">
      <alignment horizontal="left"/>
      <protection locked="0"/>
    </xf>
    <xf numFmtId="0" fontId="58" fillId="24" borderId="0" xfId="4" applyFont="1" applyFill="1" applyAlignment="1" applyProtection="1">
      <alignment horizontal="left" vertical="center"/>
      <protection locked="0"/>
    </xf>
    <xf numFmtId="41" fontId="52" fillId="5" borderId="0" xfId="1" applyFont="1" applyFill="1" applyAlignment="1" applyProtection="1">
      <alignment horizontal="right"/>
    </xf>
    <xf numFmtId="9" fontId="52" fillId="9" borderId="0" xfId="5" applyFont="1" applyFill="1" applyAlignment="1" applyProtection="1">
      <alignment horizontal="right"/>
    </xf>
    <xf numFmtId="3" fontId="52" fillId="5" borderId="0" xfId="4" applyNumberFormat="1" applyFont="1" applyFill="1" applyAlignment="1">
      <alignment horizontal="right" vertical="center"/>
    </xf>
    <xf numFmtId="41" fontId="52" fillId="5" borderId="0" xfId="1" applyFont="1" applyFill="1" applyAlignment="1">
      <alignment horizontal="right"/>
    </xf>
    <xf numFmtId="41" fontId="52" fillId="9" borderId="0" xfId="1" applyFont="1" applyFill="1" applyAlignment="1">
      <alignment horizontal="right"/>
    </xf>
    <xf numFmtId="9" fontId="52" fillId="5" borderId="0" xfId="5" applyFont="1" applyFill="1" applyAlignment="1" applyProtection="1">
      <alignment horizontal="right"/>
    </xf>
    <xf numFmtId="3" fontId="58" fillId="25" borderId="0" xfId="4" applyNumberFormat="1" applyFont="1" applyFill="1" applyAlignment="1">
      <alignment horizontal="right" vertical="center"/>
    </xf>
    <xf numFmtId="0" fontId="14" fillId="0" borderId="0" xfId="4" applyProtection="1">
      <protection locked="0"/>
    </xf>
    <xf numFmtId="0" fontId="52" fillId="9" borderId="0" xfId="4" applyFont="1" applyFill="1" applyAlignment="1" applyProtection="1">
      <alignment horizontal="left" vertical="center"/>
      <protection locked="0"/>
    </xf>
    <xf numFmtId="3" fontId="52" fillId="9" borderId="0" xfId="4" applyNumberFormat="1" applyFont="1" applyFill="1" applyAlignment="1">
      <alignment horizontal="right" vertical="center"/>
    </xf>
    <xf numFmtId="9" fontId="52" fillId="5" borderId="0" xfId="5" applyFont="1" applyFill="1" applyAlignment="1" applyProtection="1">
      <alignment horizontal="right" vertical="center"/>
    </xf>
    <xf numFmtId="9" fontId="52" fillId="9" borderId="0" xfId="5" applyFont="1" applyFill="1" applyAlignment="1" applyProtection="1">
      <alignment horizontal="right" vertical="center"/>
    </xf>
    <xf numFmtId="3" fontId="58" fillId="25" borderId="0" xfId="4" applyNumberFormat="1" applyFont="1" applyFill="1" applyAlignment="1">
      <alignment horizontal="right"/>
    </xf>
    <xf numFmtId="0" fontId="229" fillId="0" borderId="0" xfId="4" quotePrefix="1" applyFont="1" applyAlignment="1" applyProtection="1">
      <alignment horizontal="center" vertical="center"/>
      <protection locked="0"/>
    </xf>
    <xf numFmtId="0" fontId="229" fillId="0" borderId="0" xfId="4" applyFont="1" applyAlignment="1" applyProtection="1">
      <alignment horizontal="center" vertical="center"/>
      <protection locked="0"/>
    </xf>
    <xf numFmtId="41" fontId="52" fillId="9" borderId="0" xfId="1" applyFont="1" applyFill="1" applyAlignment="1">
      <alignment horizontal="right" vertical="center"/>
    </xf>
    <xf numFmtId="41" fontId="52" fillId="5" borderId="0" xfId="1" applyFont="1" applyFill="1" applyAlignment="1">
      <alignment horizontal="right" vertical="center"/>
    </xf>
    <xf numFmtId="41" fontId="58" fillId="25" borderId="0" xfId="1" applyFont="1" applyFill="1" applyAlignment="1">
      <alignment horizontal="right" vertical="center"/>
    </xf>
    <xf numFmtId="0" fontId="58" fillId="25" borderId="0" xfId="4" applyFont="1" applyFill="1" applyAlignment="1" applyProtection="1">
      <alignment horizontal="left" vertical="center"/>
      <protection locked="0"/>
    </xf>
    <xf numFmtId="0" fontId="10" fillId="5" borderId="0" xfId="4" applyFont="1" applyFill="1" applyAlignment="1">
      <alignment horizontal="left" vertical="center"/>
    </xf>
    <xf numFmtId="0" fontId="10" fillId="9" borderId="0" xfId="4" applyFont="1" applyFill="1" applyAlignment="1">
      <alignment horizontal="left" vertical="center"/>
    </xf>
    <xf numFmtId="0" fontId="176" fillId="0" borderId="0" xfId="8" applyFont="1" applyAlignment="1" applyProtection="1">
      <alignment horizontal="center" vertical="center"/>
      <protection locked="0"/>
    </xf>
    <xf numFmtId="0" fontId="181" fillId="24" borderId="0" xfId="8" applyFont="1" applyFill="1" applyAlignment="1" applyProtection="1">
      <alignment horizontal="center" vertical="center" wrapText="1"/>
      <protection locked="0"/>
    </xf>
    <xf numFmtId="0" fontId="181" fillId="24" borderId="83" xfId="8" applyFont="1" applyFill="1" applyBorder="1" applyAlignment="1" applyProtection="1">
      <alignment horizontal="center" vertical="center" wrapText="1"/>
      <protection locked="0"/>
    </xf>
    <xf numFmtId="0" fontId="187" fillId="0" borderId="1" xfId="14" applyFont="1" applyBorder="1" applyAlignment="1" applyProtection="1">
      <alignment horizontal="center" vertical="center" wrapText="1"/>
      <protection locked="0"/>
    </xf>
    <xf numFmtId="170" fontId="220" fillId="0" borderId="1" xfId="13" applyNumberFormat="1" applyFont="1" applyBorder="1" applyAlignment="1" applyProtection="1">
      <alignment horizontal="center" vertical="center" wrapText="1"/>
      <protection locked="0"/>
    </xf>
    <xf numFmtId="0" fontId="194" fillId="24" borderId="8" xfId="14" applyFont="1" applyFill="1" applyBorder="1" applyAlignment="1">
      <alignment horizontal="center" vertical="top"/>
    </xf>
    <xf numFmtId="0" fontId="42" fillId="24" borderId="0" xfId="11" applyFont="1" applyFill="1" applyAlignment="1">
      <alignment horizontal="center" vertical="center"/>
    </xf>
    <xf numFmtId="0" fontId="43" fillId="0" borderId="0" xfId="11" applyFont="1" applyAlignment="1">
      <alignment horizontal="left" wrapText="1"/>
    </xf>
    <xf numFmtId="0" fontId="37" fillId="0" borderId="0" xfId="3" applyAlignment="1" applyProtection="1">
      <alignment horizontal="center" vertical="center"/>
      <protection locked="0"/>
    </xf>
    <xf numFmtId="0" fontId="154" fillId="0" borderId="0" xfId="4" applyFont="1" applyAlignment="1" applyProtection="1">
      <alignment horizontal="center" vertical="center" wrapText="1"/>
      <protection locked="0"/>
    </xf>
    <xf numFmtId="0" fontId="47" fillId="10" borderId="0" xfId="4" applyFont="1" applyFill="1" applyAlignment="1" applyProtection="1">
      <alignment horizontal="right" vertical="center"/>
      <protection locked="0"/>
    </xf>
    <xf numFmtId="14" fontId="47" fillId="10" borderId="0" xfId="4" applyNumberFormat="1" applyFont="1" applyFill="1" applyAlignment="1" applyProtection="1">
      <alignment horizontal="right" vertical="center" wrapText="1"/>
      <protection locked="0"/>
    </xf>
    <xf numFmtId="0" fontId="194" fillId="25" borderId="8" xfId="14" applyFont="1" applyFill="1" applyBorder="1" applyAlignment="1">
      <alignment horizontal="center" vertical="top"/>
    </xf>
    <xf numFmtId="41" fontId="217" fillId="27" borderId="64" xfId="1" applyFont="1" applyFill="1" applyBorder="1" applyAlignment="1">
      <alignment horizontal="center" vertical="top" wrapText="1"/>
    </xf>
    <xf numFmtId="41" fontId="218" fillId="27" borderId="66" xfId="1" applyFont="1" applyFill="1" applyBorder="1" applyAlignment="1">
      <alignment horizontal="center" vertical="top" wrapText="1"/>
    </xf>
    <xf numFmtId="41" fontId="218" fillId="27" borderId="65" xfId="1" applyFont="1" applyFill="1" applyBorder="1" applyAlignment="1">
      <alignment horizontal="center" vertical="top" wrapText="1"/>
    </xf>
    <xf numFmtId="0" fontId="50" fillId="7" borderId="0" xfId="17" applyFont="1" applyFill="1" applyAlignment="1" applyProtection="1">
      <alignment horizontal="center"/>
      <protection locked="0"/>
    </xf>
    <xf numFmtId="0" fontId="207" fillId="7" borderId="0" xfId="17" applyFont="1" applyFill="1" applyAlignment="1" applyProtection="1">
      <alignment horizontal="center"/>
      <protection locked="0"/>
    </xf>
    <xf numFmtId="164" fontId="75" fillId="0" borderId="0" xfId="17" applyNumberFormat="1" applyFont="1" applyAlignment="1" applyProtection="1">
      <alignment horizontal="center"/>
      <protection locked="0"/>
    </xf>
    <xf numFmtId="0" fontId="49" fillId="24" borderId="0" xfId="17" applyFont="1" applyFill="1" applyAlignment="1" applyProtection="1">
      <alignment horizontal="center" vertical="center"/>
      <protection locked="0"/>
    </xf>
    <xf numFmtId="0" fontId="42" fillId="24" borderId="0" xfId="1022" applyFont="1" applyFill="1" applyAlignment="1" applyProtection="1">
      <alignment horizontal="center"/>
      <protection locked="0"/>
    </xf>
    <xf numFmtId="0" fontId="43" fillId="7" borderId="0" xfId="1022" applyFont="1" applyFill="1" applyAlignment="1" applyProtection="1">
      <alignment horizontal="center"/>
      <protection locked="0"/>
    </xf>
    <xf numFmtId="0" fontId="49" fillId="24" borderId="0" xfId="1022" applyFont="1" applyFill="1" applyAlignment="1" applyProtection="1">
      <alignment horizontal="center" vertical="center"/>
      <protection locked="0"/>
    </xf>
    <xf numFmtId="0" fontId="44" fillId="24" borderId="0" xfId="1022" applyFont="1" applyFill="1" applyAlignment="1" applyProtection="1">
      <alignment horizontal="center" vertical="center" wrapText="1"/>
      <protection locked="0"/>
    </xf>
    <xf numFmtId="0" fontId="225" fillId="0" borderId="0" xfId="1022" applyFont="1" applyAlignment="1" applyProtection="1">
      <alignment horizontal="center" vertical="center"/>
      <protection locked="0"/>
    </xf>
    <xf numFmtId="164" fontId="52" fillId="0" borderId="0" xfId="1022" applyNumberFormat="1" applyFont="1" applyAlignment="1" applyProtection="1">
      <alignment horizontal="center" vertical="center"/>
      <protection hidden="1"/>
    </xf>
    <xf numFmtId="0" fontId="43" fillId="7" borderId="0" xfId="17" applyFont="1" applyFill="1" applyAlignment="1" applyProtection="1">
      <alignment horizontal="center"/>
      <protection locked="0"/>
    </xf>
    <xf numFmtId="0" fontId="44" fillId="24" borderId="0" xfId="17" applyFont="1" applyFill="1" applyAlignment="1" applyProtection="1">
      <alignment horizontal="center" vertical="center" wrapText="1"/>
      <protection locked="0"/>
    </xf>
    <xf numFmtId="0" fontId="42" fillId="24" borderId="0" xfId="17" applyFont="1" applyFill="1" applyAlignment="1" applyProtection="1">
      <alignment horizontal="center"/>
      <protection locked="0"/>
    </xf>
    <xf numFmtId="0" fontId="74" fillId="24" borderId="0" xfId="17" applyFont="1" applyFill="1" applyAlignment="1" applyProtection="1">
      <alignment horizontal="center" vertical="center"/>
      <protection locked="0"/>
    </xf>
    <xf numFmtId="0" fontId="17" fillId="24" borderId="0" xfId="17" applyFont="1" applyFill="1" applyAlignment="1" applyProtection="1">
      <alignment horizontal="center" vertical="center" wrapText="1"/>
      <protection locked="0"/>
    </xf>
    <xf numFmtId="0" fontId="17" fillId="0" borderId="0" xfId="17" applyFont="1" applyAlignment="1" applyProtection="1">
      <alignment horizontal="center"/>
      <protection locked="0"/>
    </xf>
    <xf numFmtId="0" fontId="49" fillId="24" borderId="0" xfId="4" applyFont="1" applyFill="1" applyAlignment="1">
      <alignment horizontal="center" vertical="center"/>
    </xf>
    <xf numFmtId="0" fontId="113" fillId="27" borderId="59" xfId="0" applyFont="1" applyFill="1" applyBorder="1" applyAlignment="1">
      <alignment horizontal="center" vertical="center" wrapText="1"/>
    </xf>
    <xf numFmtId="0" fontId="0" fillId="27" borderId="60" xfId="0" applyFill="1" applyBorder="1" applyAlignment="1">
      <alignment horizontal="center" vertical="center" wrapText="1"/>
    </xf>
    <xf numFmtId="0" fontId="113" fillId="27" borderId="64" xfId="0" applyFont="1" applyFill="1" applyBorder="1" applyAlignment="1">
      <alignment horizontal="center" vertical="top" wrapText="1"/>
    </xf>
    <xf numFmtId="0" fontId="85" fillId="27" borderId="66" xfId="0" applyFont="1" applyFill="1" applyBorder="1" applyAlignment="1">
      <alignment horizontal="center" vertical="top" wrapText="1"/>
    </xf>
    <xf numFmtId="0" fontId="85" fillId="27" borderId="65" xfId="0" applyFont="1" applyFill="1" applyBorder="1" applyAlignment="1">
      <alignment horizontal="center" vertical="top" wrapText="1"/>
    </xf>
    <xf numFmtId="0" fontId="171" fillId="7" borderId="0" xfId="8" applyFont="1" applyFill="1" applyAlignment="1" applyProtection="1">
      <alignment horizontal="center" vertical="center" wrapText="1"/>
      <protection locked="0"/>
    </xf>
    <xf numFmtId="41" fontId="0" fillId="4" borderId="0" xfId="1" applyFont="1" applyFill="1" applyAlignment="1" applyProtection="1">
      <alignment horizontal="center" vertical="center"/>
      <protection hidden="1"/>
    </xf>
    <xf numFmtId="41" fontId="165" fillId="0" borderId="0" xfId="1" applyFont="1" applyAlignment="1" applyProtection="1">
      <alignment horizontal="center" vertical="center"/>
      <protection hidden="1"/>
    </xf>
    <xf numFmtId="41" fontId="0" fillId="0" borderId="0" xfId="1" applyFont="1" applyAlignment="1" applyProtection="1">
      <alignment horizontal="center" vertical="center"/>
      <protection hidden="1"/>
    </xf>
    <xf numFmtId="41" fontId="0" fillId="5" borderId="0" xfId="1" applyFont="1" applyFill="1" applyAlignment="1" applyProtection="1">
      <alignment horizontal="center" vertical="center"/>
      <protection hidden="1"/>
    </xf>
    <xf numFmtId="41" fontId="173" fillId="0" borderId="0" xfId="8" applyNumberFormat="1" applyFont="1" applyAlignment="1" applyProtection="1">
      <alignment horizontal="center" vertical="center"/>
      <protection locked="0"/>
    </xf>
    <xf numFmtId="0" fontId="81" fillId="14" borderId="6" xfId="8" applyFont="1" applyFill="1" applyBorder="1" applyAlignment="1" applyProtection="1">
      <alignment horizontal="center" vertical="center" wrapText="1"/>
      <protection locked="0"/>
    </xf>
    <xf numFmtId="0" fontId="81" fillId="14" borderId="6" xfId="8" applyFont="1" applyFill="1" applyBorder="1" applyAlignment="1" applyProtection="1">
      <alignment horizontal="center" vertical="center"/>
      <protection locked="0"/>
    </xf>
    <xf numFmtId="0" fontId="82" fillId="11" borderId="2" xfId="8" applyFont="1" applyFill="1" applyBorder="1" applyAlignment="1" applyProtection="1">
      <alignment horizontal="center" vertical="center" wrapText="1"/>
      <protection locked="0"/>
    </xf>
    <xf numFmtId="0" fontId="82" fillId="11" borderId="7" xfId="8" applyFont="1" applyFill="1" applyBorder="1" applyAlignment="1" applyProtection="1">
      <alignment horizontal="center" vertical="center" wrapText="1"/>
      <protection locked="0"/>
    </xf>
    <xf numFmtId="0" fontId="82" fillId="12" borderId="2" xfId="8" applyFont="1" applyFill="1" applyBorder="1" applyAlignment="1" applyProtection="1">
      <alignment horizontal="center" vertical="center" wrapText="1"/>
      <protection locked="0"/>
    </xf>
    <xf numFmtId="0" fontId="82" fillId="12" borderId="2" xfId="8" applyFont="1" applyFill="1" applyBorder="1" applyAlignment="1" applyProtection="1">
      <alignment horizontal="center" vertical="center"/>
      <protection locked="0"/>
    </xf>
    <xf numFmtId="0" fontId="84" fillId="13" borderId="3" xfId="8" applyFont="1" applyFill="1" applyBorder="1" applyAlignment="1" applyProtection="1">
      <alignment horizontal="center" vertical="center" wrapText="1"/>
      <protection locked="0"/>
    </xf>
    <xf numFmtId="0" fontId="84" fillId="13" borderId="4" xfId="8" applyFont="1" applyFill="1" applyBorder="1" applyAlignment="1" applyProtection="1">
      <alignment horizontal="center" vertical="center" wrapText="1"/>
      <protection locked="0"/>
    </xf>
    <xf numFmtId="0" fontId="84" fillId="13" borderId="5" xfId="8" applyFont="1" applyFill="1" applyBorder="1" applyAlignment="1" applyProtection="1">
      <alignment horizontal="center" vertical="center" wrapText="1"/>
      <protection locked="0"/>
    </xf>
    <xf numFmtId="0" fontId="84" fillId="14" borderId="6" xfId="8" applyFont="1" applyFill="1" applyBorder="1" applyAlignment="1" applyProtection="1">
      <alignment horizontal="center" vertical="center" wrapText="1"/>
      <protection locked="0"/>
    </xf>
    <xf numFmtId="0" fontId="84" fillId="14" borderId="9" xfId="8" applyFont="1" applyFill="1" applyBorder="1" applyAlignment="1" applyProtection="1">
      <alignment horizontal="center" vertical="center" wrapText="1"/>
      <protection locked="0"/>
    </xf>
    <xf numFmtId="0" fontId="88" fillId="13" borderId="15" xfId="8" applyFont="1" applyFill="1" applyBorder="1" applyAlignment="1" applyProtection="1">
      <alignment horizontal="center" vertical="center" wrapText="1"/>
      <protection hidden="1"/>
    </xf>
    <xf numFmtId="0" fontId="88" fillId="13" borderId="16" xfId="8" applyFont="1" applyFill="1" applyBorder="1" applyAlignment="1" applyProtection="1">
      <alignment horizontal="center" vertical="center" wrapText="1"/>
      <protection hidden="1"/>
    </xf>
    <xf numFmtId="0" fontId="82" fillId="11" borderId="11" xfId="8" applyFont="1" applyFill="1" applyBorder="1" applyAlignment="1" applyProtection="1">
      <alignment horizontal="center" vertical="center"/>
      <protection locked="0"/>
    </xf>
    <xf numFmtId="0" fontId="82" fillId="11" borderId="12" xfId="8" applyFont="1" applyFill="1" applyBorder="1" applyAlignment="1" applyProtection="1">
      <alignment horizontal="center" vertical="center"/>
      <protection locked="0"/>
    </xf>
    <xf numFmtId="0" fontId="86" fillId="15" borderId="10" xfId="8" quotePrefix="1" applyFont="1" applyFill="1" applyBorder="1" applyAlignment="1" applyProtection="1">
      <alignment horizontal="center" vertical="center"/>
      <protection hidden="1"/>
    </xf>
    <xf numFmtId="0" fontId="86" fillId="15" borderId="13" xfId="8" applyFont="1" applyFill="1" applyBorder="1" applyAlignment="1" applyProtection="1">
      <alignment horizontal="center" vertical="center"/>
      <protection hidden="1"/>
    </xf>
    <xf numFmtId="0" fontId="87" fillId="15" borderId="10" xfId="8" applyFont="1" applyFill="1" applyBorder="1" applyAlignment="1" applyProtection="1">
      <alignment horizontal="center" vertical="center"/>
      <protection hidden="1"/>
    </xf>
    <xf numFmtId="0" fontId="87" fillId="15" borderId="14" xfId="8" applyFont="1" applyFill="1" applyBorder="1" applyAlignment="1" applyProtection="1">
      <alignment horizontal="center" vertical="center"/>
      <protection hidden="1"/>
    </xf>
    <xf numFmtId="0" fontId="87" fillId="15" borderId="13" xfId="8" applyFont="1" applyFill="1" applyBorder="1" applyAlignment="1" applyProtection="1">
      <alignment horizontal="center" vertical="center"/>
      <protection hidden="1"/>
    </xf>
    <xf numFmtId="0" fontId="80" fillId="11" borderId="2" xfId="8" applyFont="1" applyFill="1" applyBorder="1" applyAlignment="1" applyProtection="1">
      <alignment horizontal="center" vertical="center" wrapText="1"/>
      <protection locked="0"/>
    </xf>
    <xf numFmtId="0" fontId="80" fillId="11" borderId="2" xfId="8" applyFont="1" applyFill="1" applyBorder="1" applyAlignment="1" applyProtection="1">
      <alignment horizontal="center" vertical="center"/>
      <protection locked="0"/>
    </xf>
    <xf numFmtId="0" fontId="80" fillId="12" borderId="2" xfId="8" applyFont="1" applyFill="1" applyBorder="1" applyAlignment="1" applyProtection="1">
      <alignment horizontal="center" vertical="center"/>
      <protection locked="0"/>
    </xf>
    <xf numFmtId="0" fontId="81" fillId="13" borderId="3" xfId="8" applyFont="1" applyFill="1" applyBorder="1" applyAlignment="1" applyProtection="1">
      <alignment horizontal="center" vertical="center" wrapText="1"/>
      <protection locked="0"/>
    </xf>
    <xf numFmtId="0" fontId="81" fillId="13" borderId="4" xfId="8" applyFont="1" applyFill="1" applyBorder="1" applyAlignment="1" applyProtection="1">
      <alignment horizontal="center" vertical="center" wrapText="1"/>
      <protection locked="0"/>
    </xf>
    <xf numFmtId="0" fontId="81" fillId="13" borderId="5" xfId="8" applyFont="1" applyFill="1" applyBorder="1" applyAlignment="1" applyProtection="1">
      <alignment horizontal="center" vertical="center" wrapText="1"/>
      <protection locked="0"/>
    </xf>
    <xf numFmtId="0" fontId="91" fillId="0" borderId="2" xfId="8" applyFont="1" applyBorder="1" applyAlignment="1" applyProtection="1">
      <alignment horizontal="center" vertical="center"/>
      <protection hidden="1"/>
    </xf>
    <xf numFmtId="0" fontId="91" fillId="0" borderId="10" xfId="8" applyFont="1" applyBorder="1" applyAlignment="1" applyProtection="1">
      <alignment horizontal="center" vertical="center"/>
      <protection hidden="1"/>
    </xf>
    <xf numFmtId="0" fontId="91" fillId="0" borderId="14" xfId="8" applyFont="1" applyBorder="1" applyAlignment="1" applyProtection="1">
      <alignment horizontal="center" vertical="center"/>
      <protection hidden="1"/>
    </xf>
    <xf numFmtId="0" fontId="91" fillId="0" borderId="3" xfId="8" applyFont="1" applyBorder="1" applyAlignment="1" applyProtection="1">
      <alignment horizontal="center" vertical="center"/>
      <protection hidden="1"/>
    </xf>
    <xf numFmtId="0" fontId="91" fillId="0" borderId="4" xfId="8" applyFont="1" applyBorder="1" applyAlignment="1" applyProtection="1">
      <alignment horizontal="center" vertical="center"/>
      <protection hidden="1"/>
    </xf>
    <xf numFmtId="0" fontId="91" fillId="0" borderId="5" xfId="8" applyFont="1" applyBorder="1" applyAlignment="1" applyProtection="1">
      <alignment horizontal="center" vertical="center"/>
      <protection hidden="1"/>
    </xf>
    <xf numFmtId="0" fontId="88" fillId="14" borderId="1" xfId="8" applyFont="1" applyFill="1" applyBorder="1" applyAlignment="1" applyProtection="1">
      <alignment horizontal="center" vertical="center"/>
      <protection hidden="1"/>
    </xf>
    <xf numFmtId="0" fontId="79" fillId="11" borderId="10" xfId="8" applyFont="1" applyFill="1" applyBorder="1" applyAlignment="1" applyProtection="1">
      <alignment horizontal="center" vertical="center"/>
      <protection hidden="1"/>
    </xf>
    <xf numFmtId="0" fontId="79" fillId="11" borderId="13" xfId="8" applyFont="1" applyFill="1" applyBorder="1" applyAlignment="1" applyProtection="1">
      <alignment horizontal="center" vertical="center"/>
      <protection hidden="1"/>
    </xf>
    <xf numFmtId="0" fontId="79" fillId="11" borderId="2" xfId="8" applyFont="1" applyFill="1" applyBorder="1" applyAlignment="1" applyProtection="1">
      <alignment horizontal="center" vertical="center"/>
      <protection hidden="1"/>
    </xf>
    <xf numFmtId="0" fontId="88" fillId="14" borderId="15" xfId="8" applyFont="1" applyFill="1" applyBorder="1" applyAlignment="1" applyProtection="1">
      <alignment horizontal="center" vertical="center"/>
      <protection hidden="1"/>
    </xf>
    <xf numFmtId="0" fontId="88" fillId="14" borderId="16" xfId="8" applyFont="1" applyFill="1" applyBorder="1" applyAlignment="1" applyProtection="1">
      <alignment horizontal="center" vertical="center"/>
      <protection hidden="1"/>
    </xf>
    <xf numFmtId="0" fontId="91" fillId="0" borderId="13" xfId="8" applyFont="1" applyBorder="1" applyAlignment="1" applyProtection="1">
      <alignment horizontal="center" vertical="center"/>
      <protection hidden="1"/>
    </xf>
    <xf numFmtId="0" fontId="91" fillId="0" borderId="6" xfId="8" applyFont="1" applyBorder="1" applyAlignment="1" applyProtection="1">
      <alignment horizontal="center" vertical="center"/>
      <protection hidden="1"/>
    </xf>
    <xf numFmtId="0" fontId="80" fillId="11" borderId="24" xfId="8" applyFont="1" applyFill="1" applyBorder="1" applyAlignment="1" applyProtection="1">
      <alignment horizontal="center" vertical="center" wrapText="1"/>
      <protection locked="0"/>
    </xf>
    <xf numFmtId="0" fontId="80" fillId="11" borderId="25" xfId="8" applyFont="1" applyFill="1" applyBorder="1" applyAlignment="1" applyProtection="1">
      <alignment horizontal="center" vertical="center"/>
      <protection locked="0"/>
    </xf>
    <xf numFmtId="0" fontId="80" fillId="11" borderId="26" xfId="8" applyFont="1" applyFill="1" applyBorder="1" applyAlignment="1" applyProtection="1">
      <alignment horizontal="center" vertical="center"/>
      <protection locked="0"/>
    </xf>
    <xf numFmtId="0" fontId="96" fillId="11" borderId="24" xfId="8" applyFont="1" applyFill="1" applyBorder="1" applyAlignment="1" applyProtection="1">
      <alignment horizontal="center" vertical="center"/>
      <protection hidden="1"/>
    </xf>
    <xf numFmtId="0" fontId="96" fillId="11" borderId="27" xfId="8" applyFont="1" applyFill="1" applyBorder="1" applyAlignment="1" applyProtection="1">
      <alignment horizontal="center" vertical="center"/>
      <protection hidden="1"/>
    </xf>
    <xf numFmtId="0" fontId="80" fillId="12" borderId="28" xfId="8" applyFont="1" applyFill="1" applyBorder="1" applyAlignment="1" applyProtection="1">
      <alignment horizontal="center" vertical="center"/>
      <protection locked="0"/>
    </xf>
    <xf numFmtId="0" fontId="80" fillId="12" borderId="25" xfId="8" applyFont="1" applyFill="1" applyBorder="1" applyAlignment="1" applyProtection="1">
      <alignment horizontal="center" vertical="center"/>
      <protection locked="0"/>
    </xf>
    <xf numFmtId="0" fontId="80" fillId="12" borderId="27" xfId="8" applyFont="1" applyFill="1" applyBorder="1" applyAlignment="1" applyProtection="1">
      <alignment horizontal="center" vertical="center"/>
      <protection locked="0"/>
    </xf>
    <xf numFmtId="0" fontId="96" fillId="12" borderId="24" xfId="8" applyFont="1" applyFill="1" applyBorder="1" applyAlignment="1" applyProtection="1">
      <alignment horizontal="center" vertical="center" wrapText="1"/>
      <protection hidden="1"/>
    </xf>
    <xf numFmtId="0" fontId="96" fillId="12" borderId="28" xfId="8" applyFont="1" applyFill="1" applyBorder="1" applyAlignment="1" applyProtection="1">
      <alignment horizontal="center" vertical="center" wrapText="1"/>
      <protection hidden="1"/>
    </xf>
    <xf numFmtId="0" fontId="96" fillId="12" borderId="25" xfId="8" applyFont="1" applyFill="1" applyBorder="1" applyAlignment="1" applyProtection="1">
      <alignment horizontal="center" vertical="center" wrapText="1"/>
      <protection hidden="1"/>
    </xf>
    <xf numFmtId="0" fontId="96" fillId="12" borderId="26" xfId="8" applyFont="1" applyFill="1" applyBorder="1" applyAlignment="1" applyProtection="1">
      <alignment horizontal="center" vertical="center" wrapText="1"/>
      <protection hidden="1"/>
    </xf>
    <xf numFmtId="0" fontId="97" fillId="13" borderId="1" xfId="8" quotePrefix="1" applyFont="1" applyFill="1" applyBorder="1" applyAlignment="1" applyProtection="1">
      <alignment horizontal="left" vertical="center" wrapText="1"/>
      <protection locked="0"/>
    </xf>
    <xf numFmtId="0" fontId="81" fillId="14" borderId="1" xfId="8" applyFont="1" applyFill="1" applyBorder="1" applyAlignment="1" applyProtection="1">
      <alignment horizontal="center" vertical="center" wrapText="1"/>
      <protection locked="0"/>
    </xf>
    <xf numFmtId="0" fontId="92" fillId="11" borderId="2" xfId="8" applyFont="1" applyFill="1" applyBorder="1" applyAlignment="1" applyProtection="1">
      <alignment horizontal="center" vertical="center" wrapText="1"/>
      <protection hidden="1"/>
    </xf>
    <xf numFmtId="0" fontId="92" fillId="12" borderId="2" xfId="8" applyFont="1" applyFill="1" applyBorder="1" applyAlignment="1" applyProtection="1">
      <alignment horizontal="center" vertical="center"/>
      <protection hidden="1"/>
    </xf>
    <xf numFmtId="0" fontId="94" fillId="13" borderId="3" xfId="8" applyFont="1" applyFill="1" applyBorder="1" applyAlignment="1" applyProtection="1">
      <alignment horizontal="center" vertical="center"/>
      <protection hidden="1"/>
    </xf>
    <xf numFmtId="0" fontId="94" fillId="13" borderId="4" xfId="8" applyFont="1" applyFill="1" applyBorder="1" applyAlignment="1" applyProtection="1">
      <alignment horizontal="center" vertical="center"/>
      <protection hidden="1"/>
    </xf>
    <xf numFmtId="0" fontId="94" fillId="13" borderId="5" xfId="8" applyFont="1" applyFill="1" applyBorder="1" applyAlignment="1" applyProtection="1">
      <alignment horizontal="center" vertical="center"/>
      <protection hidden="1"/>
    </xf>
    <xf numFmtId="0" fontId="94" fillId="14" borderId="6" xfId="8" applyFont="1" applyFill="1" applyBorder="1" applyAlignment="1" applyProtection="1">
      <alignment horizontal="center" vertical="center" wrapText="1"/>
      <protection hidden="1"/>
    </xf>
    <xf numFmtId="0" fontId="80" fillId="11" borderId="2" xfId="8" applyFont="1" applyFill="1" applyBorder="1" applyAlignment="1" applyProtection="1">
      <alignment horizontal="center" vertical="center" wrapText="1"/>
      <protection hidden="1"/>
    </xf>
    <xf numFmtId="0" fontId="95" fillId="0" borderId="0" xfId="8" applyFont="1" applyAlignment="1" applyProtection="1">
      <alignment horizontal="center" vertical="center" wrapText="1"/>
      <protection locked="0"/>
    </xf>
    <xf numFmtId="0" fontId="80" fillId="12" borderId="2" xfId="8" applyFont="1" applyFill="1" applyBorder="1" applyAlignment="1" applyProtection="1">
      <alignment horizontal="center" vertical="center"/>
      <protection hidden="1"/>
    </xf>
    <xf numFmtId="0" fontId="81" fillId="13" borderId="19" xfId="8" applyFont="1" applyFill="1" applyBorder="1" applyAlignment="1" applyProtection="1">
      <alignment horizontal="center" vertical="center"/>
      <protection hidden="1"/>
    </xf>
    <xf numFmtId="0" fontId="81" fillId="13" borderId="20" xfId="8" applyFont="1" applyFill="1" applyBorder="1" applyAlignment="1" applyProtection="1">
      <alignment horizontal="center" vertical="center"/>
      <protection hidden="1"/>
    </xf>
    <xf numFmtId="0" fontId="81" fillId="13" borderId="21" xfId="8" applyFont="1" applyFill="1" applyBorder="1" applyAlignment="1" applyProtection="1">
      <alignment horizontal="center" vertical="center"/>
      <protection hidden="1"/>
    </xf>
    <xf numFmtId="0" fontId="81" fillId="13" borderId="18" xfId="8" applyFont="1" applyFill="1" applyBorder="1" applyAlignment="1" applyProtection="1">
      <alignment horizontal="center" vertical="center"/>
      <protection hidden="1"/>
    </xf>
    <xf numFmtId="0" fontId="81" fillId="13" borderId="22" xfId="8" applyFont="1" applyFill="1" applyBorder="1" applyAlignment="1" applyProtection="1">
      <alignment horizontal="center" vertical="center"/>
      <protection hidden="1"/>
    </xf>
    <xf numFmtId="0" fontId="81" fillId="13" borderId="23" xfId="8" applyFont="1" applyFill="1" applyBorder="1" applyAlignment="1" applyProtection="1">
      <alignment horizontal="center" vertical="center"/>
      <protection hidden="1"/>
    </xf>
    <xf numFmtId="0" fontId="81" fillId="14" borderId="6" xfId="8" applyFont="1" applyFill="1" applyBorder="1" applyAlignment="1" applyProtection="1">
      <alignment horizontal="center" vertical="center" wrapText="1"/>
      <protection hidden="1"/>
    </xf>
    <xf numFmtId="0" fontId="84" fillId="14" borderId="1" xfId="8" applyFont="1" applyFill="1" applyBorder="1" applyAlignment="1" applyProtection="1">
      <alignment horizontal="center" vertical="center" wrapText="1"/>
      <protection locked="0"/>
    </xf>
    <xf numFmtId="0" fontId="79" fillId="0" borderId="0" xfId="8" applyFont="1" applyAlignment="1" applyProtection="1">
      <alignment horizontal="center"/>
      <protection hidden="1"/>
    </xf>
    <xf numFmtId="0" fontId="96" fillId="11" borderId="10" xfId="8" applyFont="1" applyFill="1" applyBorder="1" applyAlignment="1" applyProtection="1">
      <alignment horizontal="center" vertical="center"/>
      <protection hidden="1"/>
    </xf>
    <xf numFmtId="0" fontId="96" fillId="11" borderId="13" xfId="8" applyFont="1" applyFill="1" applyBorder="1" applyAlignment="1" applyProtection="1">
      <alignment horizontal="center" vertical="center"/>
      <protection hidden="1"/>
    </xf>
    <xf numFmtId="0" fontId="86" fillId="12" borderId="24" xfId="8" applyFont="1" applyFill="1" applyBorder="1" applyAlignment="1" applyProtection="1">
      <alignment horizontal="center" vertical="center" wrapText="1"/>
      <protection locked="0"/>
    </xf>
    <xf numFmtId="0" fontId="86" fillId="12" borderId="25" xfId="8" applyFont="1" applyFill="1" applyBorder="1" applyAlignment="1" applyProtection="1">
      <alignment horizontal="center" vertical="center" wrapText="1"/>
      <protection locked="0"/>
    </xf>
    <xf numFmtId="0" fontId="86" fillId="12" borderId="27" xfId="8" applyFont="1" applyFill="1" applyBorder="1" applyAlignment="1" applyProtection="1">
      <alignment horizontal="center" vertical="center" wrapText="1"/>
      <protection locked="0"/>
    </xf>
    <xf numFmtId="0" fontId="86" fillId="12" borderId="26" xfId="8" applyFont="1" applyFill="1" applyBorder="1" applyAlignment="1" applyProtection="1">
      <alignment horizontal="center" vertical="center" wrapText="1"/>
      <protection locked="0"/>
    </xf>
    <xf numFmtId="0" fontId="99" fillId="13" borderId="3" xfId="8" applyFont="1" applyFill="1" applyBorder="1" applyAlignment="1" applyProtection="1">
      <alignment horizontal="center" vertical="center" wrapText="1"/>
      <protection locked="0"/>
    </xf>
    <xf numFmtId="0" fontId="99" fillId="13" borderId="4" xfId="8" applyFont="1" applyFill="1" applyBorder="1" applyAlignment="1" applyProtection="1">
      <alignment horizontal="center" vertical="center" wrapText="1"/>
      <protection locked="0"/>
    </xf>
    <xf numFmtId="0" fontId="99" fillId="13" borderId="5" xfId="8" applyFont="1" applyFill="1" applyBorder="1" applyAlignment="1" applyProtection="1">
      <alignment horizontal="center" vertical="center" wrapText="1"/>
      <protection locked="0"/>
    </xf>
    <xf numFmtId="0" fontId="100" fillId="13" borderId="3" xfId="8" applyFont="1" applyFill="1" applyBorder="1" applyAlignment="1" applyProtection="1">
      <alignment horizontal="center" vertical="center" wrapText="1"/>
      <protection hidden="1"/>
    </xf>
    <xf numFmtId="0" fontId="100" fillId="13" borderId="4" xfId="8" applyFont="1" applyFill="1" applyBorder="1" applyAlignment="1" applyProtection="1">
      <alignment horizontal="center" vertical="center" wrapText="1"/>
      <protection hidden="1"/>
    </xf>
    <xf numFmtId="0" fontId="100" fillId="13" borderId="5" xfId="8" applyFont="1" applyFill="1" applyBorder="1" applyAlignment="1" applyProtection="1">
      <alignment horizontal="center" vertical="center" wrapText="1"/>
      <protection hidden="1"/>
    </xf>
    <xf numFmtId="0" fontId="101" fillId="15" borderId="36" xfId="8" applyFont="1" applyFill="1" applyBorder="1" applyAlignment="1" applyProtection="1">
      <alignment horizontal="center" vertical="center"/>
      <protection locked="0"/>
    </xf>
    <xf numFmtId="0" fontId="101" fillId="15" borderId="37" xfId="8" applyFont="1" applyFill="1" applyBorder="1" applyAlignment="1" applyProtection="1">
      <alignment horizontal="center" vertical="center"/>
      <protection locked="0"/>
    </xf>
    <xf numFmtId="0" fontId="83" fillId="12" borderId="29" xfId="8" applyFont="1" applyFill="1" applyBorder="1" applyAlignment="1" applyProtection="1">
      <alignment horizontal="center" vertical="center" wrapText="1"/>
      <protection locked="0"/>
    </xf>
    <xf numFmtId="0" fontId="83" fillId="12" borderId="30" xfId="8" applyFont="1" applyFill="1" applyBorder="1" applyAlignment="1" applyProtection="1">
      <alignment horizontal="center" vertical="center" wrapText="1"/>
      <protection locked="0"/>
    </xf>
    <xf numFmtId="0" fontId="83" fillId="12" borderId="31" xfId="8" applyFont="1" applyFill="1" applyBorder="1" applyAlignment="1" applyProtection="1">
      <alignment horizontal="center" vertical="center" wrapText="1"/>
      <protection locked="0"/>
    </xf>
    <xf numFmtId="0" fontId="83" fillId="12" borderId="34" xfId="8" applyFont="1" applyFill="1" applyBorder="1" applyAlignment="1" applyProtection="1">
      <alignment horizontal="center" vertical="center" wrapText="1"/>
      <protection locked="0"/>
    </xf>
    <xf numFmtId="0" fontId="83" fillId="12" borderId="9" xfId="8" applyFont="1" applyFill="1" applyBorder="1" applyAlignment="1" applyProtection="1">
      <alignment horizontal="center" vertical="center" wrapText="1"/>
      <protection locked="0"/>
    </xf>
    <xf numFmtId="0" fontId="83" fillId="12" borderId="19" xfId="8" applyFont="1" applyFill="1" applyBorder="1" applyAlignment="1" applyProtection="1">
      <alignment horizontal="center" vertical="center" wrapText="1"/>
      <protection locked="0"/>
    </xf>
    <xf numFmtId="0" fontId="83" fillId="12" borderId="29" xfId="8" applyFont="1" applyFill="1" applyBorder="1" applyAlignment="1" applyProtection="1">
      <alignment horizontal="center" vertical="center"/>
      <protection hidden="1"/>
    </xf>
    <xf numFmtId="0" fontId="83" fillId="12" borderId="30" xfId="8" applyFont="1" applyFill="1" applyBorder="1" applyAlignment="1" applyProtection="1">
      <alignment horizontal="center" vertical="center"/>
      <protection hidden="1"/>
    </xf>
    <xf numFmtId="0" fontId="83" fillId="12" borderId="31" xfId="8" applyFont="1" applyFill="1" applyBorder="1" applyAlignment="1" applyProtection="1">
      <alignment horizontal="center" vertical="center"/>
      <protection hidden="1"/>
    </xf>
    <xf numFmtId="0" fontId="83" fillId="12" borderId="32" xfId="8" applyFont="1" applyFill="1" applyBorder="1" applyAlignment="1" applyProtection="1">
      <alignment horizontal="center" vertical="center"/>
      <protection hidden="1"/>
    </xf>
    <xf numFmtId="0" fontId="83" fillId="12" borderId="34" xfId="8" applyFont="1" applyFill="1" applyBorder="1" applyAlignment="1" applyProtection="1">
      <alignment horizontal="center" vertical="center"/>
      <protection hidden="1"/>
    </xf>
    <xf numFmtId="0" fontId="83" fillId="12" borderId="9" xfId="8" applyFont="1" applyFill="1" applyBorder="1" applyAlignment="1" applyProtection="1">
      <alignment horizontal="center" vertical="center"/>
      <protection hidden="1"/>
    </xf>
    <xf numFmtId="0" fontId="83" fillId="12" borderId="19" xfId="8" applyFont="1" applyFill="1" applyBorder="1" applyAlignment="1" applyProtection="1">
      <alignment horizontal="center" vertical="center"/>
      <protection hidden="1"/>
    </xf>
    <xf numFmtId="0" fontId="83" fillId="12" borderId="35" xfId="8" applyFont="1" applyFill="1" applyBorder="1" applyAlignment="1" applyProtection="1">
      <alignment horizontal="center" vertical="center"/>
      <protection hidden="1"/>
    </xf>
    <xf numFmtId="0" fontId="79" fillId="0" borderId="0" xfId="8" applyFont="1" applyAlignment="1" applyProtection="1">
      <alignment horizontal="center" vertical="center" wrapText="1"/>
      <protection hidden="1"/>
    </xf>
    <xf numFmtId="0" fontId="90" fillId="13" borderId="19" xfId="8" applyFont="1" applyFill="1" applyBorder="1" applyAlignment="1" applyProtection="1">
      <alignment horizontal="center" vertical="center" wrapText="1"/>
      <protection locked="0"/>
    </xf>
    <xf numFmtId="0" fontId="90" fillId="13" borderId="20" xfId="8" applyFont="1" applyFill="1" applyBorder="1" applyAlignment="1" applyProtection="1">
      <alignment horizontal="center" vertical="center" wrapText="1"/>
      <protection locked="0"/>
    </xf>
    <xf numFmtId="0" fontId="90" fillId="13" borderId="21" xfId="8" applyFont="1" applyFill="1" applyBorder="1" applyAlignment="1" applyProtection="1">
      <alignment horizontal="center" vertical="center" wrapText="1"/>
      <protection locked="0"/>
    </xf>
    <xf numFmtId="0" fontId="90" fillId="13" borderId="18" xfId="8" applyFont="1" applyFill="1" applyBorder="1" applyAlignment="1" applyProtection="1">
      <alignment horizontal="center" vertical="center" wrapText="1"/>
      <protection locked="0"/>
    </xf>
    <xf numFmtId="0" fontId="90" fillId="13" borderId="22" xfId="8" applyFont="1" applyFill="1" applyBorder="1" applyAlignment="1" applyProtection="1">
      <alignment horizontal="center" vertical="center" wrapText="1"/>
      <protection locked="0"/>
    </xf>
    <xf numFmtId="0" fontId="90" fillId="13" borderId="23" xfId="8" applyFont="1" applyFill="1" applyBorder="1" applyAlignment="1" applyProtection="1">
      <alignment horizontal="center" vertical="center" wrapText="1"/>
      <protection locked="0"/>
    </xf>
    <xf numFmtId="0" fontId="98" fillId="13" borderId="19" xfId="8" applyFont="1" applyFill="1" applyBorder="1" applyAlignment="1" applyProtection="1">
      <alignment horizontal="center" vertical="center" wrapText="1"/>
      <protection hidden="1"/>
    </xf>
    <xf numFmtId="0" fontId="98" fillId="13" borderId="20" xfId="8" applyFont="1" applyFill="1" applyBorder="1" applyAlignment="1" applyProtection="1">
      <alignment horizontal="center" vertical="center" wrapText="1"/>
      <protection hidden="1"/>
    </xf>
    <xf numFmtId="0" fontId="98" fillId="13" borderId="21" xfId="8" applyFont="1" applyFill="1" applyBorder="1" applyAlignment="1" applyProtection="1">
      <alignment horizontal="center" vertical="center" wrapText="1"/>
      <protection hidden="1"/>
    </xf>
    <xf numFmtId="0" fontId="98" fillId="13" borderId="18" xfId="8" applyFont="1" applyFill="1" applyBorder="1" applyAlignment="1" applyProtection="1">
      <alignment horizontal="center" vertical="center" wrapText="1"/>
      <protection hidden="1"/>
    </xf>
    <xf numFmtId="0" fontId="98" fillId="13" borderId="22" xfId="8" applyFont="1" applyFill="1" applyBorder="1" applyAlignment="1" applyProtection="1">
      <alignment horizontal="center" vertical="center" wrapText="1"/>
      <protection hidden="1"/>
    </xf>
    <xf numFmtId="0" fontId="98" fillId="13" borderId="23" xfId="8" applyFont="1" applyFill="1" applyBorder="1" applyAlignment="1" applyProtection="1">
      <alignment horizontal="center" vertical="center" wrapText="1"/>
      <protection hidden="1"/>
    </xf>
    <xf numFmtId="0" fontId="79" fillId="0" borderId="33" xfId="8" applyFont="1" applyBorder="1" applyAlignment="1" applyProtection="1">
      <alignment horizontal="center" vertical="center" wrapText="1"/>
      <protection hidden="1"/>
    </xf>
    <xf numFmtId="0" fontId="83" fillId="11" borderId="2" xfId="8" applyFont="1" applyFill="1" applyBorder="1" applyAlignment="1" applyProtection="1">
      <alignment horizontal="center" vertical="center" wrapText="1"/>
      <protection locked="0"/>
    </xf>
    <xf numFmtId="0" fontId="80" fillId="11" borderId="2" xfId="8" applyFont="1" applyFill="1" applyBorder="1" applyAlignment="1" applyProtection="1">
      <alignment horizontal="center" vertical="center"/>
      <protection hidden="1"/>
    </xf>
    <xf numFmtId="0" fontId="83" fillId="12" borderId="39" xfId="8" applyFont="1" applyFill="1" applyBorder="1" applyAlignment="1" applyProtection="1">
      <alignment horizontal="center" vertical="center"/>
      <protection locked="0"/>
    </xf>
    <xf numFmtId="0" fontId="83" fillId="12" borderId="40" xfId="8" applyFont="1" applyFill="1" applyBorder="1" applyAlignment="1" applyProtection="1">
      <alignment horizontal="center" vertical="center"/>
      <protection locked="0"/>
    </xf>
    <xf numFmtId="0" fontId="83" fillId="12" borderId="41" xfId="8" applyFont="1" applyFill="1" applyBorder="1" applyAlignment="1" applyProtection="1">
      <alignment horizontal="center" vertical="center"/>
      <protection locked="0"/>
    </xf>
    <xf numFmtId="0" fontId="83" fillId="12" borderId="42" xfId="8" applyFont="1" applyFill="1" applyBorder="1" applyAlignment="1" applyProtection="1">
      <alignment horizontal="center" vertical="center"/>
      <protection locked="0"/>
    </xf>
    <xf numFmtId="0" fontId="83" fillId="12" borderId="43" xfId="8" applyFont="1" applyFill="1" applyBorder="1" applyAlignment="1" applyProtection="1">
      <alignment horizontal="center" vertical="center"/>
      <protection locked="0"/>
    </xf>
    <xf numFmtId="0" fontId="83" fillId="12" borderId="44" xfId="8" applyFont="1" applyFill="1" applyBorder="1" applyAlignment="1" applyProtection="1">
      <alignment horizontal="center" vertical="center"/>
      <protection locked="0"/>
    </xf>
    <xf numFmtId="0" fontId="104" fillId="12" borderId="2" xfId="8" applyFont="1" applyFill="1" applyBorder="1" applyAlignment="1" applyProtection="1">
      <alignment horizontal="center" vertical="center"/>
      <protection hidden="1"/>
    </xf>
    <xf numFmtId="0" fontId="85" fillId="13" borderId="19" xfId="8" applyFont="1" applyFill="1" applyBorder="1" applyAlignment="1" applyProtection="1">
      <alignment horizontal="center" vertical="center"/>
      <protection locked="0"/>
    </xf>
    <xf numFmtId="0" fontId="85" fillId="13" borderId="20" xfId="8" applyFont="1" applyFill="1" applyBorder="1" applyAlignment="1" applyProtection="1">
      <alignment horizontal="center" vertical="center"/>
      <protection locked="0"/>
    </xf>
    <xf numFmtId="0" fontId="85" fillId="13" borderId="21" xfId="8" applyFont="1" applyFill="1" applyBorder="1" applyAlignment="1" applyProtection="1">
      <alignment horizontal="center" vertical="center"/>
      <protection locked="0"/>
    </xf>
    <xf numFmtId="0" fontId="85" fillId="13" borderId="18" xfId="8" applyFont="1" applyFill="1" applyBorder="1" applyAlignment="1" applyProtection="1">
      <alignment horizontal="center" vertical="center"/>
      <protection locked="0"/>
    </xf>
    <xf numFmtId="0" fontId="85" fillId="13" borderId="22" xfId="8" applyFont="1" applyFill="1" applyBorder="1" applyAlignment="1" applyProtection="1">
      <alignment horizontal="center" vertical="center"/>
      <protection locked="0"/>
    </xf>
    <xf numFmtId="0" fontId="85" fillId="13" borderId="23" xfId="8" applyFont="1" applyFill="1" applyBorder="1" applyAlignment="1" applyProtection="1">
      <alignment horizontal="center" vertical="center"/>
      <protection locked="0"/>
    </xf>
    <xf numFmtId="0" fontId="105" fillId="13" borderId="19" xfId="8" applyFont="1" applyFill="1" applyBorder="1" applyAlignment="1" applyProtection="1">
      <alignment horizontal="center" vertical="center"/>
      <protection hidden="1"/>
    </xf>
    <xf numFmtId="0" fontId="105" fillId="13" borderId="20" xfId="8" applyFont="1" applyFill="1" applyBorder="1" applyAlignment="1" applyProtection="1">
      <alignment horizontal="center" vertical="center"/>
      <protection hidden="1"/>
    </xf>
    <xf numFmtId="0" fontId="105" fillId="13" borderId="21" xfId="8" applyFont="1" applyFill="1" applyBorder="1" applyAlignment="1" applyProtection="1">
      <alignment horizontal="center" vertical="center"/>
      <protection hidden="1"/>
    </xf>
    <xf numFmtId="0" fontId="105" fillId="13" borderId="18" xfId="8" applyFont="1" applyFill="1" applyBorder="1" applyAlignment="1" applyProtection="1">
      <alignment horizontal="center" vertical="center"/>
      <protection hidden="1"/>
    </xf>
    <xf numFmtId="0" fontId="105" fillId="13" borderId="22" xfId="8" applyFont="1" applyFill="1" applyBorder="1" applyAlignment="1" applyProtection="1">
      <alignment horizontal="center" vertical="center"/>
      <protection hidden="1"/>
    </xf>
    <xf numFmtId="0" fontId="105" fillId="13" borderId="23" xfId="8" applyFont="1" applyFill="1" applyBorder="1" applyAlignment="1" applyProtection="1">
      <alignment horizontal="center" vertical="center"/>
      <protection hidden="1"/>
    </xf>
    <xf numFmtId="0" fontId="87" fillId="11" borderId="2" xfId="8" applyFont="1" applyFill="1" applyBorder="1" applyAlignment="1" applyProtection="1">
      <alignment horizontal="center" vertical="center"/>
      <protection locked="0"/>
    </xf>
    <xf numFmtId="0" fontId="83" fillId="11" borderId="2" xfId="8" applyFont="1" applyFill="1" applyBorder="1" applyAlignment="1" applyProtection="1">
      <alignment horizontal="center" vertical="center"/>
      <protection hidden="1"/>
    </xf>
    <xf numFmtId="0" fontId="87" fillId="12" borderId="10" xfId="8" applyFont="1" applyFill="1" applyBorder="1" applyAlignment="1" applyProtection="1">
      <alignment horizontal="center" vertical="center"/>
      <protection locked="0"/>
    </xf>
    <xf numFmtId="0" fontId="87" fillId="12" borderId="14" xfId="8" applyFont="1" applyFill="1" applyBorder="1" applyAlignment="1" applyProtection="1">
      <alignment horizontal="center" vertical="center"/>
      <protection locked="0"/>
    </xf>
    <xf numFmtId="0" fontId="87" fillId="12" borderId="13" xfId="8" applyFont="1" applyFill="1" applyBorder="1" applyAlignment="1" applyProtection="1">
      <alignment horizontal="center" vertical="center"/>
      <protection locked="0"/>
    </xf>
    <xf numFmtId="0" fontId="83" fillId="12" borderId="2" xfId="8" applyFont="1" applyFill="1" applyBorder="1" applyAlignment="1" applyProtection="1">
      <alignment horizontal="center" vertical="center"/>
      <protection hidden="1"/>
    </xf>
    <xf numFmtId="0" fontId="88" fillId="13" borderId="3" xfId="8" applyFont="1" applyFill="1" applyBorder="1" applyAlignment="1" applyProtection="1">
      <alignment horizontal="center" vertical="center"/>
      <protection locked="0"/>
    </xf>
    <xf numFmtId="0" fontId="88" fillId="13" borderId="4" xfId="8" applyFont="1" applyFill="1" applyBorder="1" applyAlignment="1" applyProtection="1">
      <alignment horizontal="center" vertical="center"/>
      <protection locked="0"/>
    </xf>
    <xf numFmtId="0" fontId="88" fillId="13" borderId="5" xfId="8" applyFont="1" applyFill="1" applyBorder="1" applyAlignment="1" applyProtection="1">
      <alignment horizontal="center" vertical="center"/>
      <protection locked="0"/>
    </xf>
    <xf numFmtId="0" fontId="85" fillId="13" borderId="3" xfId="8" applyFont="1" applyFill="1" applyBorder="1" applyAlignment="1" applyProtection="1">
      <alignment horizontal="center" vertical="center"/>
      <protection hidden="1"/>
    </xf>
    <xf numFmtId="0" fontId="85" fillId="13" borderId="4" xfId="8" applyFont="1" applyFill="1" applyBorder="1" applyAlignment="1" applyProtection="1">
      <alignment horizontal="center" vertical="center"/>
      <protection hidden="1"/>
    </xf>
    <xf numFmtId="0" fontId="85" fillId="13" borderId="5" xfId="8" applyFont="1" applyFill="1" applyBorder="1" applyAlignment="1" applyProtection="1">
      <alignment horizontal="center" vertical="center"/>
      <protection hidden="1"/>
    </xf>
    <xf numFmtId="0" fontId="99" fillId="14" borderId="6" xfId="8" applyFont="1" applyFill="1" applyBorder="1" applyAlignment="1" applyProtection="1">
      <alignment horizontal="center" vertical="center"/>
      <protection hidden="1"/>
    </xf>
    <xf numFmtId="0" fontId="101" fillId="11" borderId="29" xfId="8" applyFont="1" applyFill="1" applyBorder="1" applyAlignment="1" applyProtection="1">
      <alignment horizontal="center" vertical="center" wrapText="1"/>
      <protection locked="0"/>
    </xf>
    <xf numFmtId="0" fontId="101" fillId="11" borderId="30" xfId="8" applyFont="1" applyFill="1" applyBorder="1" applyAlignment="1" applyProtection="1">
      <alignment horizontal="center" vertical="center" wrapText="1"/>
      <protection locked="0"/>
    </xf>
    <xf numFmtId="0" fontId="101" fillId="11" borderId="32" xfId="8" applyFont="1" applyFill="1" applyBorder="1" applyAlignment="1" applyProtection="1">
      <alignment horizontal="center" vertical="center" wrapText="1"/>
      <protection locked="0"/>
    </xf>
    <xf numFmtId="0" fontId="101" fillId="11" borderId="34" xfId="8" applyFont="1" applyFill="1" applyBorder="1" applyAlignment="1" applyProtection="1">
      <alignment horizontal="center" vertical="center" wrapText="1"/>
      <protection locked="0"/>
    </xf>
    <xf numFmtId="0" fontId="101" fillId="11" borderId="9" xfId="8" applyFont="1" applyFill="1" applyBorder="1" applyAlignment="1" applyProtection="1">
      <alignment horizontal="center" vertical="center" wrapText="1"/>
      <protection locked="0"/>
    </xf>
    <xf numFmtId="0" fontId="101" fillId="11" borderId="35" xfId="8" applyFont="1" applyFill="1" applyBorder="1" applyAlignment="1" applyProtection="1">
      <alignment horizontal="center" vertical="center" wrapText="1"/>
      <protection locked="0"/>
    </xf>
    <xf numFmtId="0" fontId="108" fillId="11" borderId="48" xfId="8" applyFont="1" applyFill="1" applyBorder="1" applyAlignment="1" applyProtection="1">
      <alignment horizontal="center" vertical="center"/>
      <protection hidden="1"/>
    </xf>
    <xf numFmtId="0" fontId="108" fillId="11" borderId="30" xfId="8" applyFont="1" applyFill="1" applyBorder="1" applyAlignment="1" applyProtection="1">
      <alignment horizontal="center" vertical="center"/>
      <protection hidden="1"/>
    </xf>
    <xf numFmtId="0" fontId="108" fillId="11" borderId="32" xfId="8" applyFont="1" applyFill="1" applyBorder="1" applyAlignment="1" applyProtection="1">
      <alignment horizontal="center" vertical="center"/>
      <protection hidden="1"/>
    </xf>
    <xf numFmtId="0" fontId="108" fillId="11" borderId="21" xfId="8" applyFont="1" applyFill="1" applyBorder="1" applyAlignment="1" applyProtection="1">
      <alignment horizontal="center" vertical="center"/>
      <protection hidden="1"/>
    </xf>
    <xf numFmtId="0" fontId="108" fillId="11" borderId="9" xfId="8" applyFont="1" applyFill="1" applyBorder="1" applyAlignment="1" applyProtection="1">
      <alignment horizontal="center" vertical="center"/>
      <protection hidden="1"/>
    </xf>
    <xf numFmtId="0" fontId="108" fillId="11" borderId="35" xfId="8" applyFont="1" applyFill="1" applyBorder="1" applyAlignment="1" applyProtection="1">
      <alignment horizontal="center" vertical="center"/>
      <protection hidden="1"/>
    </xf>
    <xf numFmtId="0" fontId="101" fillId="12" borderId="39" xfId="8" applyFont="1" applyFill="1" applyBorder="1" applyAlignment="1" applyProtection="1">
      <alignment horizontal="center" vertical="center"/>
      <protection locked="0"/>
    </xf>
    <xf numFmtId="0" fontId="101" fillId="12" borderId="40" xfId="8" applyFont="1" applyFill="1" applyBorder="1" applyAlignment="1" applyProtection="1">
      <alignment horizontal="center" vertical="center"/>
      <protection locked="0"/>
    </xf>
    <xf numFmtId="0" fontId="101" fillId="12" borderId="41" xfId="8" applyFont="1" applyFill="1" applyBorder="1" applyAlignment="1" applyProtection="1">
      <alignment horizontal="center" vertical="center"/>
      <protection locked="0"/>
    </xf>
    <xf numFmtId="0" fontId="101" fillId="12" borderId="42" xfId="8" applyFont="1" applyFill="1" applyBorder="1" applyAlignment="1" applyProtection="1">
      <alignment horizontal="center" vertical="center"/>
      <protection locked="0"/>
    </xf>
    <xf numFmtId="0" fontId="101" fillId="12" borderId="43" xfId="8" applyFont="1" applyFill="1" applyBorder="1" applyAlignment="1" applyProtection="1">
      <alignment horizontal="center" vertical="center"/>
      <protection locked="0"/>
    </xf>
    <xf numFmtId="0" fontId="101" fillId="12" borderId="44" xfId="8" applyFont="1" applyFill="1" applyBorder="1" applyAlignment="1" applyProtection="1">
      <alignment horizontal="center" vertical="center"/>
      <protection locked="0"/>
    </xf>
    <xf numFmtId="0" fontId="109" fillId="12" borderId="2" xfId="8" applyFont="1" applyFill="1" applyBorder="1" applyAlignment="1" applyProtection="1">
      <alignment horizontal="center" vertical="center"/>
      <protection hidden="1"/>
    </xf>
    <xf numFmtId="0" fontId="110" fillId="13" borderId="19" xfId="8" applyFont="1" applyFill="1" applyBorder="1" applyAlignment="1" applyProtection="1">
      <alignment horizontal="center" vertical="center"/>
      <protection locked="0"/>
    </xf>
    <xf numFmtId="0" fontId="110" fillId="13" borderId="20" xfId="8" applyFont="1" applyFill="1" applyBorder="1" applyAlignment="1" applyProtection="1">
      <alignment horizontal="center" vertical="center"/>
      <protection locked="0"/>
    </xf>
    <xf numFmtId="0" fontId="110" fillId="13" borderId="21" xfId="8" applyFont="1" applyFill="1" applyBorder="1" applyAlignment="1" applyProtection="1">
      <alignment horizontal="center" vertical="center"/>
      <protection locked="0"/>
    </xf>
    <xf numFmtId="0" fontId="110" fillId="13" borderId="18" xfId="8" applyFont="1" applyFill="1" applyBorder="1" applyAlignment="1" applyProtection="1">
      <alignment horizontal="center" vertical="center"/>
      <protection locked="0"/>
    </xf>
    <xf numFmtId="0" fontId="110" fillId="13" borderId="22" xfId="8" applyFont="1" applyFill="1" applyBorder="1" applyAlignment="1" applyProtection="1">
      <alignment horizontal="center" vertical="center"/>
      <protection locked="0"/>
    </xf>
    <xf numFmtId="0" fontId="110" fillId="13" borderId="23" xfId="8" applyFont="1" applyFill="1" applyBorder="1" applyAlignment="1" applyProtection="1">
      <alignment horizontal="center" vertical="center"/>
      <protection locked="0"/>
    </xf>
    <xf numFmtId="0" fontId="111" fillId="13" borderId="6" xfId="8" applyFont="1" applyFill="1" applyBorder="1" applyAlignment="1" applyProtection="1">
      <alignment horizontal="center" vertical="center"/>
      <protection hidden="1"/>
    </xf>
    <xf numFmtId="0" fontId="79" fillId="0" borderId="0" xfId="8" applyFont="1" applyAlignment="1" applyProtection="1">
      <alignment horizontal="center" vertical="center"/>
      <protection hidden="1"/>
    </xf>
    <xf numFmtId="0" fontId="91" fillId="0" borderId="45" xfId="8" applyFont="1" applyBorder="1" applyAlignment="1" applyProtection="1">
      <alignment horizontal="center" vertical="center"/>
      <protection hidden="1"/>
    </xf>
    <xf numFmtId="0" fontId="91" fillId="0" borderId="46" xfId="8" applyFont="1" applyBorder="1" applyAlignment="1" applyProtection="1">
      <alignment horizontal="center" vertical="center"/>
      <protection hidden="1"/>
    </xf>
    <xf numFmtId="0" fontId="91" fillId="0" borderId="47" xfId="8" applyFont="1" applyBorder="1" applyAlignment="1" applyProtection="1">
      <alignment horizontal="center" vertical="center"/>
      <protection hidden="1"/>
    </xf>
    <xf numFmtId="0" fontId="107" fillId="0" borderId="0" xfId="8" applyFont="1" applyAlignment="1" applyProtection="1">
      <alignment horizontal="center" vertical="center"/>
      <protection locked="0"/>
    </xf>
    <xf numFmtId="0" fontId="86" fillId="0" borderId="0" xfId="8" applyFont="1" applyAlignment="1" applyProtection="1">
      <alignment horizontal="center" vertical="center"/>
      <protection locked="0"/>
    </xf>
    <xf numFmtId="0" fontId="113" fillId="11" borderId="24" xfId="8" applyFont="1" applyFill="1" applyBorder="1" applyAlignment="1" applyProtection="1">
      <alignment horizontal="center" vertical="center"/>
      <protection locked="0"/>
    </xf>
    <xf numFmtId="0" fontId="113" fillId="11" borderId="25" xfId="8" applyFont="1" applyFill="1" applyBorder="1" applyAlignment="1" applyProtection="1">
      <alignment horizontal="center" vertical="center"/>
      <protection locked="0"/>
    </xf>
    <xf numFmtId="0" fontId="113" fillId="11" borderId="26" xfId="8" applyFont="1" applyFill="1" applyBorder="1" applyAlignment="1" applyProtection="1">
      <alignment horizontal="center" vertical="center"/>
      <protection locked="0"/>
    </xf>
    <xf numFmtId="0" fontId="113" fillId="11" borderId="24" xfId="8" applyFont="1" applyFill="1" applyBorder="1" applyAlignment="1" applyProtection="1">
      <alignment horizontal="center" vertical="center"/>
      <protection hidden="1"/>
    </xf>
    <xf numFmtId="0" fontId="113" fillId="11" borderId="25" xfId="8" applyFont="1" applyFill="1" applyBorder="1" applyAlignment="1" applyProtection="1">
      <alignment horizontal="center" vertical="center"/>
      <protection hidden="1"/>
    </xf>
    <xf numFmtId="0" fontId="113" fillId="11" borderId="26" xfId="8" applyFont="1" applyFill="1" applyBorder="1" applyAlignment="1" applyProtection="1">
      <alignment horizontal="center" vertical="center"/>
      <protection hidden="1"/>
    </xf>
    <xf numFmtId="0" fontId="113" fillId="12" borderId="10" xfId="8" applyFont="1" applyFill="1" applyBorder="1" applyAlignment="1" applyProtection="1">
      <alignment horizontal="center" vertical="center"/>
      <protection locked="0"/>
    </xf>
    <xf numFmtId="0" fontId="113" fillId="12" borderId="14" xfId="8" applyFont="1" applyFill="1" applyBorder="1" applyAlignment="1" applyProtection="1">
      <alignment horizontal="center" vertical="center"/>
      <protection locked="0"/>
    </xf>
    <xf numFmtId="0" fontId="113" fillId="12" borderId="13" xfId="8" applyFont="1" applyFill="1" applyBorder="1" applyAlignment="1" applyProtection="1">
      <alignment horizontal="center" vertical="center"/>
      <protection locked="0"/>
    </xf>
    <xf numFmtId="0" fontId="113" fillId="12" borderId="2" xfId="8" applyFont="1" applyFill="1" applyBorder="1" applyAlignment="1" applyProtection="1">
      <alignment horizontal="center" vertical="center"/>
      <protection hidden="1"/>
    </xf>
    <xf numFmtId="0" fontId="90" fillId="13" borderId="3" xfId="8" applyFont="1" applyFill="1" applyBorder="1" applyAlignment="1" applyProtection="1">
      <alignment horizontal="center" vertical="center"/>
      <protection locked="0"/>
    </xf>
    <xf numFmtId="0" fontId="90" fillId="13" borderId="4" xfId="8" applyFont="1" applyFill="1" applyBorder="1" applyAlignment="1" applyProtection="1">
      <alignment horizontal="center" vertical="center"/>
      <protection locked="0"/>
    </xf>
    <xf numFmtId="0" fontId="90" fillId="13" borderId="5" xfId="8" applyFont="1" applyFill="1" applyBorder="1" applyAlignment="1" applyProtection="1">
      <alignment horizontal="center" vertical="center"/>
      <protection locked="0"/>
    </xf>
    <xf numFmtId="0" fontId="90" fillId="13" borderId="6" xfId="8" applyFont="1" applyFill="1" applyBorder="1" applyAlignment="1" applyProtection="1">
      <alignment horizontal="center" vertical="center"/>
      <protection hidden="1"/>
    </xf>
    <xf numFmtId="0" fontId="114" fillId="14" borderId="19" xfId="8" applyFont="1" applyFill="1" applyBorder="1" applyAlignment="1" applyProtection="1">
      <alignment horizontal="center" vertical="center" wrapText="1"/>
      <protection locked="0"/>
    </xf>
    <xf numFmtId="0" fontId="114" fillId="14" borderId="20" xfId="8" applyFont="1" applyFill="1" applyBorder="1" applyAlignment="1" applyProtection="1">
      <alignment horizontal="center" vertical="center" wrapText="1"/>
      <protection locked="0"/>
    </xf>
    <xf numFmtId="0" fontId="114" fillId="14" borderId="21" xfId="8" applyFont="1" applyFill="1" applyBorder="1" applyAlignment="1" applyProtection="1">
      <alignment horizontal="center" vertical="center" wrapText="1"/>
      <protection locked="0"/>
    </xf>
    <xf numFmtId="0" fontId="114" fillId="14" borderId="18" xfId="8" applyFont="1" applyFill="1" applyBorder="1" applyAlignment="1" applyProtection="1">
      <alignment horizontal="center" vertical="center" wrapText="1"/>
      <protection locked="0"/>
    </xf>
    <xf numFmtId="0" fontId="114" fillId="14" borderId="22" xfId="8" applyFont="1" applyFill="1" applyBorder="1" applyAlignment="1" applyProtection="1">
      <alignment horizontal="center" vertical="center" wrapText="1"/>
      <protection locked="0"/>
    </xf>
    <xf numFmtId="0" fontId="114" fillId="14" borderId="23" xfId="8" applyFont="1" applyFill="1" applyBorder="1" applyAlignment="1" applyProtection="1">
      <alignment horizontal="center" vertical="center" wrapText="1"/>
      <protection locked="0"/>
    </xf>
    <xf numFmtId="0" fontId="100" fillId="14" borderId="6" xfId="8" applyFont="1" applyFill="1" applyBorder="1" applyAlignment="1" applyProtection="1">
      <alignment horizontal="center" vertical="center"/>
      <protection hidden="1"/>
    </xf>
    <xf numFmtId="0" fontId="112" fillId="13" borderId="6" xfId="8" applyFont="1" applyFill="1" applyBorder="1" applyAlignment="1" applyProtection="1">
      <alignment horizontal="center" vertical="center"/>
      <protection locked="0"/>
    </xf>
    <xf numFmtId="0" fontId="83" fillId="11" borderId="24" xfId="8" applyFont="1" applyFill="1" applyBorder="1" applyAlignment="1" applyProtection="1">
      <alignment horizontal="center" vertical="center"/>
      <protection locked="0"/>
    </xf>
    <xf numFmtId="0" fontId="83" fillId="11" borderId="25" xfId="8" applyFont="1" applyFill="1" applyBorder="1" applyAlignment="1" applyProtection="1">
      <alignment horizontal="center" vertical="center"/>
      <protection locked="0"/>
    </xf>
    <xf numFmtId="0" fontId="83" fillId="11" borderId="26" xfId="8" applyFont="1" applyFill="1" applyBorder="1" applyAlignment="1" applyProtection="1">
      <alignment horizontal="center" vertical="center"/>
      <protection locked="0"/>
    </xf>
    <xf numFmtId="0" fontId="83" fillId="11" borderId="24" xfId="8" applyFont="1" applyFill="1" applyBorder="1" applyAlignment="1" applyProtection="1">
      <alignment horizontal="center" vertical="center"/>
      <protection hidden="1"/>
    </xf>
    <xf numFmtId="0" fontId="83" fillId="11" borderId="25" xfId="8" applyFont="1" applyFill="1" applyBorder="1" applyAlignment="1" applyProtection="1">
      <alignment horizontal="center" vertical="center"/>
      <protection hidden="1"/>
    </xf>
    <xf numFmtId="0" fontId="83" fillId="11" borderId="26" xfId="8" applyFont="1" applyFill="1" applyBorder="1" applyAlignment="1" applyProtection="1">
      <alignment horizontal="center" vertical="center"/>
      <protection hidden="1"/>
    </xf>
    <xf numFmtId="0" fontId="83" fillId="12" borderId="10" xfId="8" applyFont="1" applyFill="1" applyBorder="1" applyAlignment="1" applyProtection="1">
      <alignment horizontal="center" vertical="center"/>
      <protection locked="0"/>
    </xf>
    <xf numFmtId="0" fontId="83" fillId="12" borderId="14" xfId="8" applyFont="1" applyFill="1" applyBorder="1" applyAlignment="1" applyProtection="1">
      <alignment horizontal="center" vertical="center"/>
      <protection locked="0"/>
    </xf>
    <xf numFmtId="0" fontId="83" fillId="12" borderId="13" xfId="8" applyFont="1" applyFill="1" applyBorder="1" applyAlignment="1" applyProtection="1">
      <alignment horizontal="center" vertical="center"/>
      <protection locked="0"/>
    </xf>
    <xf numFmtId="0" fontId="80" fillId="11" borderId="29" xfId="8" applyFont="1" applyFill="1" applyBorder="1" applyAlignment="1" applyProtection="1">
      <alignment horizontal="center" vertical="center" wrapText="1"/>
      <protection locked="0"/>
    </xf>
    <xf numFmtId="0" fontId="80" fillId="11" borderId="30" xfId="8" applyFont="1" applyFill="1" applyBorder="1" applyAlignment="1" applyProtection="1">
      <alignment horizontal="center" vertical="center" wrapText="1"/>
      <protection locked="0"/>
    </xf>
    <xf numFmtId="0" fontId="80" fillId="11" borderId="32" xfId="8" applyFont="1" applyFill="1" applyBorder="1" applyAlignment="1" applyProtection="1">
      <alignment horizontal="center" vertical="center" wrapText="1"/>
      <protection locked="0"/>
    </xf>
    <xf numFmtId="0" fontId="80" fillId="11" borderId="49" xfId="8" applyFont="1" applyFill="1" applyBorder="1" applyAlignment="1" applyProtection="1">
      <alignment horizontal="center" vertical="center" wrapText="1"/>
      <protection locked="0"/>
    </xf>
    <xf numFmtId="0" fontId="80" fillId="11" borderId="50" xfId="8" applyFont="1" applyFill="1" applyBorder="1" applyAlignment="1" applyProtection="1">
      <alignment horizontal="center" vertical="center" wrapText="1"/>
      <protection locked="0"/>
    </xf>
    <xf numFmtId="0" fontId="80" fillId="11" borderId="51" xfId="8" applyFont="1" applyFill="1" applyBorder="1" applyAlignment="1" applyProtection="1">
      <alignment horizontal="center" vertical="center" wrapText="1"/>
      <protection locked="0"/>
    </xf>
    <xf numFmtId="0" fontId="83" fillId="11" borderId="2" xfId="8" applyFont="1" applyFill="1" applyBorder="1" applyAlignment="1" applyProtection="1">
      <alignment horizontal="center" vertical="center"/>
      <protection locked="0"/>
    </xf>
    <xf numFmtId="0" fontId="80" fillId="12" borderId="39" xfId="8" applyFont="1" applyFill="1" applyBorder="1" applyAlignment="1" applyProtection="1">
      <alignment horizontal="center" vertical="center"/>
      <protection locked="0"/>
    </xf>
    <xf numFmtId="0" fontId="80" fillId="12" borderId="40" xfId="8" applyFont="1" applyFill="1" applyBorder="1" applyAlignment="1" applyProtection="1">
      <alignment horizontal="center" vertical="center"/>
      <protection locked="0"/>
    </xf>
    <xf numFmtId="0" fontId="80" fillId="12" borderId="41" xfId="8" applyFont="1" applyFill="1" applyBorder="1" applyAlignment="1" applyProtection="1">
      <alignment horizontal="center" vertical="center"/>
      <protection locked="0"/>
    </xf>
    <xf numFmtId="0" fontId="80" fillId="12" borderId="42" xfId="8" applyFont="1" applyFill="1" applyBorder="1" applyAlignment="1" applyProtection="1">
      <alignment horizontal="center" vertical="center"/>
      <protection locked="0"/>
    </xf>
    <xf numFmtId="0" fontId="80" fillId="12" borderId="43" xfId="8" applyFont="1" applyFill="1" applyBorder="1" applyAlignment="1" applyProtection="1">
      <alignment horizontal="center" vertical="center"/>
      <protection locked="0"/>
    </xf>
    <xf numFmtId="0" fontId="80" fillId="12" borderId="44" xfId="8" applyFont="1" applyFill="1" applyBorder="1" applyAlignment="1" applyProtection="1">
      <alignment horizontal="center" vertical="center"/>
      <protection locked="0"/>
    </xf>
    <xf numFmtId="0" fontId="115" fillId="12" borderId="2" xfId="8" applyFont="1" applyFill="1" applyBorder="1" applyAlignment="1" applyProtection="1">
      <alignment horizontal="center" vertical="center"/>
      <protection locked="0"/>
    </xf>
    <xf numFmtId="0" fontId="116" fillId="13" borderId="19" xfId="8" applyFont="1" applyFill="1" applyBorder="1" applyAlignment="1" applyProtection="1">
      <alignment horizontal="center" vertical="center"/>
      <protection locked="0"/>
    </xf>
    <xf numFmtId="0" fontId="116" fillId="13" borderId="20" xfId="8" applyFont="1" applyFill="1" applyBorder="1" applyAlignment="1" applyProtection="1">
      <alignment horizontal="center" vertical="center"/>
      <protection locked="0"/>
    </xf>
    <xf numFmtId="0" fontId="116" fillId="13" borderId="21" xfId="8" applyFont="1" applyFill="1" applyBorder="1" applyAlignment="1" applyProtection="1">
      <alignment horizontal="center" vertical="center"/>
      <protection locked="0"/>
    </xf>
    <xf numFmtId="0" fontId="116" fillId="13" borderId="18" xfId="8" applyFont="1" applyFill="1" applyBorder="1" applyAlignment="1" applyProtection="1">
      <alignment horizontal="center" vertical="center"/>
      <protection locked="0"/>
    </xf>
    <xf numFmtId="0" fontId="116" fillId="13" borderId="22" xfId="8" applyFont="1" applyFill="1" applyBorder="1" applyAlignment="1" applyProtection="1">
      <alignment horizontal="center" vertical="center"/>
      <protection locked="0"/>
    </xf>
    <xf numFmtId="0" fontId="116" fillId="13" borderId="23" xfId="8" applyFont="1" applyFill="1" applyBorder="1" applyAlignment="1" applyProtection="1">
      <alignment horizontal="center" vertical="center"/>
      <protection locked="0"/>
    </xf>
    <xf numFmtId="0" fontId="83" fillId="11" borderId="56" xfId="8" applyFont="1" applyFill="1" applyBorder="1" applyAlignment="1" applyProtection="1">
      <alignment horizontal="center" vertical="center"/>
      <protection hidden="1"/>
    </xf>
    <xf numFmtId="0" fontId="83" fillId="11" borderId="57" xfId="8" applyFont="1" applyFill="1" applyBorder="1" applyAlignment="1" applyProtection="1">
      <alignment horizontal="center" vertical="center"/>
      <protection hidden="1"/>
    </xf>
    <xf numFmtId="0" fontId="83" fillId="11" borderId="58" xfId="8" applyFont="1" applyFill="1" applyBorder="1" applyAlignment="1" applyProtection="1">
      <alignment horizontal="center" vertical="center"/>
      <protection hidden="1"/>
    </xf>
    <xf numFmtId="0" fontId="83" fillId="11" borderId="52" xfId="8" applyFont="1" applyFill="1" applyBorder="1" applyAlignment="1" applyProtection="1">
      <alignment horizontal="center" vertical="center"/>
      <protection locked="0"/>
    </xf>
    <xf numFmtId="0" fontId="83" fillId="11" borderId="53" xfId="8" applyFont="1" applyFill="1" applyBorder="1" applyAlignment="1" applyProtection="1">
      <alignment horizontal="center" vertical="center"/>
      <protection locked="0"/>
    </xf>
    <xf numFmtId="0" fontId="83" fillId="11" borderId="54" xfId="8" applyFont="1" applyFill="1" applyBorder="1" applyAlignment="1" applyProtection="1">
      <alignment horizontal="center" vertical="center"/>
      <protection locked="0"/>
    </xf>
    <xf numFmtId="0" fontId="110" fillId="13" borderId="6" xfId="8" applyFont="1" applyFill="1" applyBorder="1" applyAlignment="1" applyProtection="1">
      <alignment horizontal="center" vertical="center"/>
      <protection locked="0"/>
    </xf>
    <xf numFmtId="0" fontId="108" fillId="11" borderId="2" xfId="8" applyFont="1" applyFill="1" applyBorder="1" applyAlignment="1" applyProtection="1">
      <alignment horizontal="center" vertical="center"/>
      <protection hidden="1"/>
    </xf>
    <xf numFmtId="0" fontId="117" fillId="12" borderId="2" xfId="8" applyFont="1" applyFill="1" applyBorder="1" applyAlignment="1" applyProtection="1">
      <alignment horizontal="center" vertical="center"/>
      <protection hidden="1"/>
    </xf>
    <xf numFmtId="0" fontId="116" fillId="13" borderId="6" xfId="8" applyFont="1" applyFill="1" applyBorder="1" applyAlignment="1" applyProtection="1">
      <alignment horizontal="center" vertical="center"/>
      <protection locked="0"/>
    </xf>
    <xf numFmtId="0" fontId="118" fillId="13" borderId="6" xfId="8" applyFont="1" applyFill="1" applyBorder="1" applyAlignment="1" applyProtection="1">
      <alignment horizontal="center" vertical="center"/>
      <protection hidden="1"/>
    </xf>
    <xf numFmtId="0" fontId="79" fillId="0" borderId="0" xfId="8" applyFont="1" applyAlignment="1">
      <alignment horizontal="center" vertical="center" wrapText="1"/>
    </xf>
    <xf numFmtId="0" fontId="83" fillId="11" borderId="10" xfId="8" applyFont="1" applyFill="1" applyBorder="1" applyAlignment="1">
      <alignment horizontal="center" vertical="center"/>
    </xf>
    <xf numFmtId="0" fontId="83" fillId="11" borderId="14" xfId="8" applyFont="1" applyFill="1" applyBorder="1" applyAlignment="1">
      <alignment horizontal="center" vertical="center"/>
    </xf>
    <xf numFmtId="0" fontId="83" fillId="11" borderId="13" xfId="8" applyFont="1" applyFill="1" applyBorder="1" applyAlignment="1">
      <alignment horizontal="center" vertical="center"/>
    </xf>
    <xf numFmtId="0" fontId="90" fillId="23" borderId="0" xfId="8" applyFont="1" applyFill="1" applyAlignment="1">
      <alignment horizontal="center" vertical="center"/>
    </xf>
    <xf numFmtId="0" fontId="90" fillId="23" borderId="0" xfId="8" applyFont="1" applyFill="1" applyAlignment="1">
      <alignment horizontal="center" vertical="center" wrapText="1"/>
    </xf>
    <xf numFmtId="0" fontId="89" fillId="23" borderId="0" xfId="8" applyFont="1" applyFill="1" applyAlignment="1">
      <alignment horizontal="left" vertical="center" wrapText="1"/>
    </xf>
    <xf numFmtId="0" fontId="78" fillId="23" borderId="0" xfId="8" applyFont="1" applyFill="1" applyAlignment="1">
      <alignment horizontal="left" vertical="center" wrapText="1"/>
    </xf>
    <xf numFmtId="0" fontId="90" fillId="5" borderId="0" xfId="8" applyFont="1" applyFill="1" applyAlignment="1">
      <alignment horizontal="center" vertical="center"/>
    </xf>
    <xf numFmtId="0" fontId="89" fillId="5" borderId="0" xfId="8" applyFont="1" applyFill="1" applyAlignment="1">
      <alignment horizontal="left" vertical="center" wrapText="1"/>
    </xf>
    <xf numFmtId="0" fontId="78" fillId="5" borderId="0" xfId="8" applyFont="1" applyFill="1" applyAlignment="1">
      <alignment horizontal="left" vertical="center" wrapText="1"/>
    </xf>
    <xf numFmtId="0" fontId="78" fillId="0" borderId="0" xfId="8" applyFont="1" applyAlignment="1">
      <alignment horizontal="left" vertical="center" wrapText="1"/>
    </xf>
    <xf numFmtId="0" fontId="80" fillId="11" borderId="2" xfId="8" applyFont="1" applyFill="1" applyBorder="1" applyAlignment="1">
      <alignment horizontal="center" vertical="center"/>
    </xf>
    <xf numFmtId="0" fontId="78" fillId="4" borderId="0" xfId="8" applyFont="1" applyFill="1" applyAlignment="1">
      <alignment horizontal="left" vertical="center" wrapText="1"/>
    </xf>
    <xf numFmtId="0" fontId="116" fillId="13" borderId="43" xfId="8" applyFont="1" applyFill="1" applyBorder="1" applyAlignment="1">
      <alignment horizontal="center" vertical="center" wrapText="1"/>
    </xf>
    <xf numFmtId="0" fontId="79" fillId="11" borderId="2" xfId="8" applyFont="1" applyFill="1" applyBorder="1" applyAlignment="1">
      <alignment horizontal="center" vertical="center"/>
    </xf>
    <xf numFmtId="0" fontId="90" fillId="4" borderId="6" xfId="8" applyFont="1" applyFill="1" applyBorder="1" applyAlignment="1">
      <alignment horizontal="center" vertical="center"/>
    </xf>
    <xf numFmtId="0" fontId="90" fillId="0" borderId="6" xfId="8" applyFont="1" applyBorder="1" applyAlignment="1">
      <alignment horizontal="center" vertical="center"/>
    </xf>
    <xf numFmtId="0" fontId="90" fillId="0" borderId="6" xfId="8" applyFont="1" applyBorder="1" applyAlignment="1">
      <alignment horizontal="center" vertical="center" wrapText="1"/>
    </xf>
    <xf numFmtId="0" fontId="96" fillId="11" borderId="2" xfId="8" applyFont="1" applyFill="1" applyBorder="1" applyAlignment="1">
      <alignment horizontal="center" vertical="center"/>
    </xf>
    <xf numFmtId="0" fontId="86" fillId="11" borderId="2" xfId="8" applyFont="1" applyFill="1" applyBorder="1" applyAlignment="1">
      <alignment horizontal="center" vertical="center"/>
    </xf>
    <xf numFmtId="0" fontId="115" fillId="11" borderId="2" xfId="8" applyFont="1" applyFill="1" applyBorder="1" applyAlignment="1">
      <alignment horizontal="center" vertical="center" wrapText="1"/>
    </xf>
    <xf numFmtId="172" fontId="25" fillId="24" borderId="1" xfId="0" applyNumberFormat="1" applyFont="1" applyFill="1" applyBorder="1" applyAlignment="1">
      <alignment horizontal="center" vertical="center"/>
    </xf>
    <xf numFmtId="172" fontId="25" fillId="25" borderId="1" xfId="0" applyNumberFormat="1" applyFont="1" applyFill="1" applyBorder="1" applyAlignment="1">
      <alignment horizontal="center" vertical="center"/>
    </xf>
    <xf numFmtId="0" fontId="69" fillId="24" borderId="1" xfId="0" applyFont="1" applyFill="1" applyBorder="1" applyAlignment="1" applyProtection="1">
      <alignment horizontal="left" vertical="center"/>
      <protection locked="0"/>
    </xf>
    <xf numFmtId="171" fontId="69" fillId="25" borderId="1" xfId="0" applyNumberFormat="1" applyFont="1" applyFill="1" applyBorder="1" applyAlignment="1" applyProtection="1">
      <alignment horizontal="center" vertical="center"/>
      <protection locked="0"/>
    </xf>
    <xf numFmtId="0" fontId="71" fillId="25" borderId="1" xfId="0" applyFont="1" applyFill="1" applyBorder="1" applyAlignment="1" applyProtection="1">
      <alignment horizontal="left" vertical="center" wrapText="1"/>
      <protection locked="0"/>
    </xf>
    <xf numFmtId="0" fontId="71" fillId="25" borderId="1" xfId="0" applyFont="1" applyFill="1" applyBorder="1" applyAlignment="1" applyProtection="1">
      <alignment horizontal="left" vertical="center"/>
      <protection locked="0"/>
    </xf>
    <xf numFmtId="171" fontId="70" fillId="25" borderId="1" xfId="0" applyNumberFormat="1" applyFont="1" applyFill="1" applyBorder="1" applyAlignment="1" applyProtection="1">
      <alignment horizontal="center" vertical="center" wrapText="1"/>
      <protection locked="0"/>
    </xf>
    <xf numFmtId="172" fontId="25" fillId="26" borderId="1" xfId="0" applyNumberFormat="1" applyFont="1" applyFill="1" applyBorder="1" applyAlignment="1">
      <alignment horizontal="center" vertical="center"/>
    </xf>
    <xf numFmtId="0" fontId="159" fillId="25" borderId="0" xfId="10" applyFont="1" applyFill="1" applyAlignment="1" applyProtection="1">
      <alignment horizontal="left" vertical="center" wrapText="1"/>
      <protection locked="0"/>
    </xf>
    <xf numFmtId="0" fontId="42" fillId="24" borderId="0" xfId="10" applyFont="1" applyFill="1" applyAlignment="1" applyProtection="1">
      <alignment horizontal="left" vertical="center" wrapText="1"/>
      <protection hidden="1"/>
    </xf>
    <xf numFmtId="0" fontId="206" fillId="0" borderId="0" xfId="0" applyFont="1" applyAlignment="1" applyProtection="1">
      <alignment horizontal="center" vertical="center"/>
      <protection hidden="1"/>
    </xf>
    <xf numFmtId="0" fontId="37" fillId="0" borderId="0" xfId="3" applyFill="1" applyBorder="1" applyAlignment="1" applyProtection="1">
      <alignment horizontal="center" vertical="center"/>
      <protection locked="0"/>
    </xf>
  </cellXfs>
  <cellStyles count="1032">
    <cellStyle name="Comma" xfId="2" builtinId="3"/>
    <cellStyle name="Comma [0]" xfId="1" builtinId="6"/>
    <cellStyle name="Comma [0] 10" xfId="712" xr:uid="{D03E2093-F8CD-41D3-B629-70C7C0EA6382}"/>
    <cellStyle name="Comma [0] 10 2" xfId="1023" xr:uid="{97953000-D358-4996-BA6E-294BEC943233}"/>
    <cellStyle name="Comma [0] 2" xfId="6" xr:uid="{6AC0609C-A87E-4714-B5C4-59170373216F}"/>
    <cellStyle name="Comma [0] 2 2" xfId="19" xr:uid="{05A71BDA-5030-4C9F-B76B-485623AB08BF}"/>
    <cellStyle name="Comma [0] 2 2 2" xfId="32" xr:uid="{1EB769C9-29CB-44DA-AF44-412EF6CE967D}"/>
    <cellStyle name="Comma [0] 2 2 2 2" xfId="75" xr:uid="{82EC263D-0405-4C30-9948-49ACCB1EC73F}"/>
    <cellStyle name="Comma [0] 2 2 2 2 2" xfId="231" xr:uid="{57B9A86E-3799-4F47-B870-03DBBE9AC6C9}"/>
    <cellStyle name="Comma [0] 2 2 2 2 2 2" xfId="544" xr:uid="{A2174CC9-1FA1-4EC1-87F2-87BD2C887DFE}"/>
    <cellStyle name="Comma [0] 2 2 2 2 2 3" xfId="934" xr:uid="{6368D931-61E6-40F0-B369-67DE4AC682CA}"/>
    <cellStyle name="Comma [0] 2 2 2 2 3" xfId="388" xr:uid="{6EDA458F-B541-4450-9FCA-A366F13CC774}"/>
    <cellStyle name="Comma [0] 2 2 2 2 4" xfId="779" xr:uid="{D407A110-E67D-407A-87E3-38447940B3B5}"/>
    <cellStyle name="Comma [0] 2 2 2 3" xfId="148" xr:uid="{44A4B49E-DC58-4FB0-B837-8FFC952299CE}"/>
    <cellStyle name="Comma [0] 2 2 2 3 2" xfId="304" xr:uid="{0D0E9287-9063-4237-A466-7BE16F020A26}"/>
    <cellStyle name="Comma [0] 2 2 2 3 2 2" xfId="617" xr:uid="{28590D35-0257-4334-B4FB-AE894833C1A9}"/>
    <cellStyle name="Comma [0] 2 2 2 3 2 3" xfId="1007" xr:uid="{AEB82FE7-EC25-437B-BE1A-8B1007A3AE41}"/>
    <cellStyle name="Comma [0] 2 2 2 3 3" xfId="461" xr:uid="{9CFCE02C-CBC5-40AB-89C0-58775C16D3BB}"/>
    <cellStyle name="Comma [0] 2 2 2 3 4" xfId="852" xr:uid="{A9B34600-8EBE-4CBD-A9F7-BFD3B2C1176B}"/>
    <cellStyle name="Comma [0] 2 2 2 4" xfId="188" xr:uid="{EB4C24F1-10C3-490D-89D8-7C82D563C1EE}"/>
    <cellStyle name="Comma [0] 2 2 2 4 2" xfId="501" xr:uid="{15FA9CE9-97C2-438B-9AF5-D916DD586971}"/>
    <cellStyle name="Comma [0] 2 2 2 4 3" xfId="891" xr:uid="{0AFD1D2F-DF85-429F-8298-006F9873A7B7}"/>
    <cellStyle name="Comma [0] 2 2 2 5" xfId="345" xr:uid="{BE690ABF-7F48-4A34-824B-223BF866BF24}"/>
    <cellStyle name="Comma [0] 2 2 2 6" xfId="697" xr:uid="{860F7214-98CD-4206-9241-4E389BC7CA6F}"/>
    <cellStyle name="Comma [0] 2 2 2 7" xfId="736" xr:uid="{C9088340-A9DD-44C7-8559-0FA14ADE2F5F}"/>
    <cellStyle name="Comma [0] 2 2 3" xfId="62" xr:uid="{E3B70610-8BDF-4A16-B1CC-B07EA1A6B251}"/>
    <cellStyle name="Comma [0] 2 2 3 2" xfId="218" xr:uid="{45892BFA-45DC-46F3-8CB3-DBB0CE4F2941}"/>
    <cellStyle name="Comma [0] 2 2 3 2 2" xfId="531" xr:uid="{2346098E-260D-407D-993F-DBE9A7305F7F}"/>
    <cellStyle name="Comma [0] 2 2 3 2 3" xfId="921" xr:uid="{98EFAD37-CCF6-41C1-BABD-2648BF2BE37A}"/>
    <cellStyle name="Comma [0] 2 2 3 3" xfId="375" xr:uid="{1A9E94FF-E251-4A86-93B2-99BF3A50AD42}"/>
    <cellStyle name="Comma [0] 2 2 3 4" xfId="766" xr:uid="{B5D01CD2-F913-43B8-A8FF-973C770E8F9C}"/>
    <cellStyle name="Comma [0] 2 2 4" xfId="135" xr:uid="{7400D835-A27B-461E-BEE6-FB8DC47A0CAB}"/>
    <cellStyle name="Comma [0] 2 2 4 2" xfId="291" xr:uid="{D5E4E0DB-61CE-41CC-A9FB-5D681ACBF6A8}"/>
    <cellStyle name="Comma [0] 2 2 4 2 2" xfId="604" xr:uid="{B25B7C4B-3CB5-467B-9F47-44CD0B061F03}"/>
    <cellStyle name="Comma [0] 2 2 4 2 3" xfId="994" xr:uid="{212CFB15-69E2-4A06-BEE0-4304FABE17E8}"/>
    <cellStyle name="Comma [0] 2 2 4 3" xfId="448" xr:uid="{76BF818D-4D89-4A2B-8680-8126B4D0CB05}"/>
    <cellStyle name="Comma [0] 2 2 4 4" xfId="839" xr:uid="{34D866CE-38E2-4E8F-A609-E80E4DC1DC43}"/>
    <cellStyle name="Comma [0] 2 2 5" xfId="175" xr:uid="{84B74C04-58D0-45E0-8D5E-43C5770961AC}"/>
    <cellStyle name="Comma [0] 2 2 5 2" xfId="488" xr:uid="{19760C3A-0C8D-4859-9B46-62629D77BBC5}"/>
    <cellStyle name="Comma [0] 2 2 5 3" xfId="878" xr:uid="{750C586C-6E94-4300-973F-1D642B04732C}"/>
    <cellStyle name="Comma [0] 2 2 6" xfId="332" xr:uid="{CB8C3DDA-A75B-4C84-BCF7-FD752B9DEAE9}"/>
    <cellStyle name="Comma [0] 2 2 7" xfId="684" xr:uid="{672AC282-8564-4F9F-AABC-A2F6A3B47043}"/>
    <cellStyle name="Comma [0] 2 2 8" xfId="723" xr:uid="{1A2A4E44-062F-44D7-9D19-8D4FF283A84F}"/>
    <cellStyle name="Comma [0] 2 2 9" xfId="1025" xr:uid="{4503C40D-C862-4BD2-9423-778ED8B9AFFC}"/>
    <cellStyle name="Comma [0] 2 3" xfId="25" xr:uid="{A63CC8EF-98B8-4906-8A09-28B8E8762DD8}"/>
    <cellStyle name="Comma [0] 2 3 2" xfId="68" xr:uid="{FFB8783C-847D-49B0-9478-C080965DA846}"/>
    <cellStyle name="Comma [0] 2 3 2 2" xfId="224" xr:uid="{8E9F81F2-AA5E-48EE-8450-90DDE7C2F3BF}"/>
    <cellStyle name="Comma [0] 2 3 2 2 2" xfId="537" xr:uid="{D14CCC20-8D72-407C-938A-F106F0704B44}"/>
    <cellStyle name="Comma [0] 2 3 2 2 3" xfId="927" xr:uid="{9D8B37F1-07FE-44A3-A9E9-BCA6CA1393BB}"/>
    <cellStyle name="Comma [0] 2 3 2 3" xfId="381" xr:uid="{DDEDEDE2-BF4A-45B6-B91F-45DBEF144ED6}"/>
    <cellStyle name="Comma [0] 2 3 2 4" xfId="772" xr:uid="{C6166530-FE04-4FB5-A38B-D89AD4D92E51}"/>
    <cellStyle name="Comma [0] 2 3 3" xfId="141" xr:uid="{E8851545-3142-47E6-AD2D-284C51247D03}"/>
    <cellStyle name="Comma [0] 2 3 3 2" xfId="297" xr:uid="{9F4ACD8E-CD2E-49CC-915F-6FE74BA7437E}"/>
    <cellStyle name="Comma [0] 2 3 3 2 2" xfId="610" xr:uid="{505CCF77-D364-49A9-92DD-1705010F7B6D}"/>
    <cellStyle name="Comma [0] 2 3 3 2 3" xfId="1000" xr:uid="{990CC2ED-65D8-4C5D-848E-8B0061D9F66B}"/>
    <cellStyle name="Comma [0] 2 3 3 3" xfId="454" xr:uid="{1FCB6ED1-4C2C-4F04-A9DE-0708D93BBC5F}"/>
    <cellStyle name="Comma [0] 2 3 3 4" xfId="845" xr:uid="{57C716A8-E683-4A66-8FB0-816158BCEC9D}"/>
    <cellStyle name="Comma [0] 2 3 4" xfId="181" xr:uid="{86A03465-4757-442C-90BE-D15654412B92}"/>
    <cellStyle name="Comma [0] 2 3 4 2" xfId="494" xr:uid="{614580A3-1AC2-41E1-B3B1-72A872C3415F}"/>
    <cellStyle name="Comma [0] 2 3 4 3" xfId="884" xr:uid="{576FE25D-9B2F-4FCD-A3B1-D60545EFE0AD}"/>
    <cellStyle name="Comma [0] 2 3 5" xfId="338" xr:uid="{FCA23BCB-9572-4453-B486-98A134669353}"/>
    <cellStyle name="Comma [0] 2 3 6" xfId="690" xr:uid="{DC026B10-11DE-4F45-813F-24B146C4A5AE}"/>
    <cellStyle name="Comma [0] 2 3 7" xfId="729" xr:uid="{18856593-6015-4F66-A119-251598A244BF}"/>
    <cellStyle name="Comma [0] 2 4" xfId="52" xr:uid="{8CAA2C94-A778-41C6-ABC9-2514ED584C02}"/>
    <cellStyle name="Comma [0] 2 4 2" xfId="208" xr:uid="{BD050BE5-C7FB-4A06-B39E-25FC33007F34}"/>
    <cellStyle name="Comma [0] 2 4 2 2" xfId="521" xr:uid="{08DF098F-F467-4D33-9D7E-094E112C5AE2}"/>
    <cellStyle name="Comma [0] 2 4 2 3" xfId="911" xr:uid="{CFFC329D-1C3A-409D-A70A-904E86AF76E1}"/>
    <cellStyle name="Comma [0] 2 4 3" xfId="365" xr:uid="{CAD9033D-562D-47D4-B689-CB6E1F421D4E}"/>
    <cellStyle name="Comma [0] 2 4 4" xfId="756" xr:uid="{0923C59C-EF52-42E5-A3C8-E4FC35DD2A66}"/>
    <cellStyle name="Comma [0] 2 5" xfId="128" xr:uid="{321AC1CE-3D8A-4372-BC18-DF8C1D3E6577}"/>
    <cellStyle name="Comma [0] 2 5 2" xfId="284" xr:uid="{66E29B61-5D98-4058-821E-F46F5504927A}"/>
    <cellStyle name="Comma [0] 2 5 2 2" xfId="597" xr:uid="{6F1EA09B-EE7A-4002-A753-7732696B1DEE}"/>
    <cellStyle name="Comma [0] 2 5 2 3" xfId="987" xr:uid="{A2C3ED78-BCE2-4FA7-AB47-807BA614C653}"/>
    <cellStyle name="Comma [0] 2 5 3" xfId="441" xr:uid="{2C70BD60-0920-4956-B8E2-B185DFC0B4D2}"/>
    <cellStyle name="Comma [0] 2 5 4" xfId="832" xr:uid="{695D380A-BD05-4536-A625-29AA057CAD95}"/>
    <cellStyle name="Comma [0] 2 6" xfId="167" xr:uid="{2173F2DE-B6E0-4B20-8C0E-F77640BF169D}"/>
    <cellStyle name="Comma [0] 2 6 2" xfId="480" xr:uid="{89175FCE-5A16-4259-B3BA-413F452194D5}"/>
    <cellStyle name="Comma [0] 2 6 3" xfId="871" xr:uid="{B6982873-0803-4C63-A4B4-C294045F9743}"/>
    <cellStyle name="Comma [0] 2 7" xfId="324" xr:uid="{3346D4C3-D3E1-4108-8BC1-76F71B0B02A4}"/>
    <cellStyle name="Comma [0] 2 8" xfId="677" xr:uid="{FA97DD90-FC8A-4C3C-8B4A-220697BEA2E1}"/>
    <cellStyle name="Comma [0] 2 9" xfId="716" xr:uid="{64EDD212-2ECB-4E61-A442-4B7FB5481C92}"/>
    <cellStyle name="Comma [0] 3" xfId="15" xr:uid="{C6908086-AF19-49EC-806B-2C9E09D9D4B9}"/>
    <cellStyle name="Comma [0] 3 2" xfId="29" xr:uid="{A3F9FEC1-F951-4AAB-90C2-1A3C86AB64AE}"/>
    <cellStyle name="Comma [0] 3 2 2" xfId="72" xr:uid="{4A94B0F1-6BF0-4A24-B556-233DD1DB31BB}"/>
    <cellStyle name="Comma [0] 3 2 2 2" xfId="228" xr:uid="{D28B2C5C-D7A8-45BC-9819-6D708DE6A986}"/>
    <cellStyle name="Comma [0] 3 2 2 2 2" xfId="541" xr:uid="{335B2C78-DAD5-4881-88F7-99A9E9A72B44}"/>
    <cellStyle name="Comma [0] 3 2 2 2 3" xfId="931" xr:uid="{3A04E54A-B12F-45B1-9ECE-E94F27E85226}"/>
    <cellStyle name="Comma [0] 3 2 2 3" xfId="385" xr:uid="{919CD4FE-F131-4742-BD92-2C363C729C0C}"/>
    <cellStyle name="Comma [0] 3 2 2 4" xfId="776" xr:uid="{47350B5F-3678-460D-9DCC-5448D0181903}"/>
    <cellStyle name="Comma [0] 3 2 3" xfId="145" xr:uid="{A0EBAE41-AA87-4E55-A403-A6F29E80894D}"/>
    <cellStyle name="Comma [0] 3 2 3 2" xfId="301" xr:uid="{8BCAAE56-A5C3-475E-9DDA-C20829F38699}"/>
    <cellStyle name="Comma [0] 3 2 3 2 2" xfId="614" xr:uid="{4BC98EB6-C794-4C1A-932D-04559DE01E6F}"/>
    <cellStyle name="Comma [0] 3 2 3 2 3" xfId="1004" xr:uid="{CEAEF4FB-BCE1-4F7E-B95F-11203B1C291F}"/>
    <cellStyle name="Comma [0] 3 2 3 3" xfId="458" xr:uid="{C83B365F-7363-474B-9972-ECA7850A75D1}"/>
    <cellStyle name="Comma [0] 3 2 3 4" xfId="849" xr:uid="{51D3DC63-4908-4627-9B17-C21793C02F13}"/>
    <cellStyle name="Comma [0] 3 2 4" xfId="185" xr:uid="{24B35545-60D9-41CB-AC30-D733D906375D}"/>
    <cellStyle name="Comma [0] 3 2 4 2" xfId="498" xr:uid="{7DE902D8-65A0-4664-9A31-3A7C05EFBCDB}"/>
    <cellStyle name="Comma [0] 3 2 4 3" xfId="888" xr:uid="{32AD564B-7942-4340-9C60-159388B2E77D}"/>
    <cellStyle name="Comma [0] 3 2 5" xfId="342" xr:uid="{7A161700-7B44-4A31-8AE7-90D4D3AF8B49}"/>
    <cellStyle name="Comma [0] 3 2 6" xfId="694" xr:uid="{EE621905-2515-4339-B16D-75D52699263A}"/>
    <cellStyle name="Comma [0] 3 2 7" xfId="733" xr:uid="{A39F40C9-3EF8-4B4B-BEB8-29F74F36572F}"/>
    <cellStyle name="Comma [0] 3 3" xfId="58" xr:uid="{62BF54D5-8C76-44F0-897D-9F2EFC2E80C0}"/>
    <cellStyle name="Comma [0] 3 3 2" xfId="214" xr:uid="{6F07B112-963A-4FEF-81EA-7CCE3BFFB662}"/>
    <cellStyle name="Comma [0] 3 3 2 2" xfId="527" xr:uid="{608F5091-FE07-4668-B798-EA1228C6AA3F}"/>
    <cellStyle name="Comma [0] 3 3 2 3" xfId="917" xr:uid="{F704F1E4-20FE-44AC-AE0D-41652C8D86A0}"/>
    <cellStyle name="Comma [0] 3 3 3" xfId="371" xr:uid="{3FC2BB0D-BC80-4FD4-B393-D55F7E165BCC}"/>
    <cellStyle name="Comma [0] 3 3 4" xfId="762" xr:uid="{21C7FA09-8CAD-4D6A-9D63-2EC2A1E35106}"/>
    <cellStyle name="Comma [0] 3 4" xfId="132" xr:uid="{02D7AD20-00D6-4B3F-8E88-1CA9ECD8FCE7}"/>
    <cellStyle name="Comma [0] 3 4 2" xfId="288" xr:uid="{A080F7A6-C566-4A41-804F-B9D438C57A6A}"/>
    <cellStyle name="Comma [0] 3 4 2 2" xfId="601" xr:uid="{3E6063AD-B52D-4F3A-B859-D18514E524A8}"/>
    <cellStyle name="Comma [0] 3 4 2 3" xfId="991" xr:uid="{4DFA13C8-893F-46D0-91E9-E45A3217E3E3}"/>
    <cellStyle name="Comma [0] 3 4 3" xfId="445" xr:uid="{B792A838-8CD5-40E1-9A94-9A85C9BF4D0B}"/>
    <cellStyle name="Comma [0] 3 4 4" xfId="836" xr:uid="{5782535B-E2C9-496E-9393-0ED32E42F7AE}"/>
    <cellStyle name="Comma [0] 3 5" xfId="172" xr:uid="{050E7B3B-C9D4-44AC-878E-C8A23DD06A8D}"/>
    <cellStyle name="Comma [0] 3 5 2" xfId="485" xr:uid="{CD40B2BC-8476-4C77-B96A-5CB3D2AA7075}"/>
    <cellStyle name="Comma [0] 3 5 3" xfId="875" xr:uid="{33417AC9-3BFA-46C1-A422-6EE77C7B28D4}"/>
    <cellStyle name="Comma [0] 3 6" xfId="329" xr:uid="{E3627F51-3E78-4823-93C9-B6E77034C0AF}"/>
    <cellStyle name="Comma [0] 3 7" xfId="681" xr:uid="{1BD48E2B-F814-428B-9DD8-A7FDCCD30BB9}"/>
    <cellStyle name="Comma [0] 3 8" xfId="720" xr:uid="{943E659A-2D5E-4D88-9F1C-B64003D04CB0}"/>
    <cellStyle name="Comma [0] 4" xfId="20" xr:uid="{6AA6D04F-E308-4A79-9B48-F0CA31FBF98E}"/>
    <cellStyle name="Comma [0] 4 2" xfId="63" xr:uid="{B96487F1-AF3C-44F6-990A-C4936C0615B3}"/>
    <cellStyle name="Comma [0] 4 2 2" xfId="219" xr:uid="{CA70E7DA-5127-4C17-9BD6-A997B2B148A5}"/>
    <cellStyle name="Comma [0] 4 2 2 2" xfId="532" xr:uid="{49A5FCDE-F558-4894-815F-F0F47F418675}"/>
    <cellStyle name="Comma [0] 4 2 2 3" xfId="922" xr:uid="{E5CA7BF3-BF58-41DD-909D-A05B1F1E5B01}"/>
    <cellStyle name="Comma [0] 4 2 3" xfId="376" xr:uid="{B2D554C6-4304-4564-9430-57FA1CA981DC}"/>
    <cellStyle name="Comma [0] 4 2 4" xfId="767" xr:uid="{D5E4FFE7-ACCD-4568-B73F-2E6A1C453D1D}"/>
    <cellStyle name="Comma [0] 4 3" xfId="136" xr:uid="{9FE0E3A0-2C78-4554-AE9A-58BE31F45443}"/>
    <cellStyle name="Comma [0] 4 3 2" xfId="292" xr:uid="{9E8D157A-14AF-4449-8880-6D4B55FB1B70}"/>
    <cellStyle name="Comma [0] 4 3 2 2" xfId="605" xr:uid="{53737661-BDEB-465A-855B-320DCC0747F2}"/>
    <cellStyle name="Comma [0] 4 3 2 3" xfId="995" xr:uid="{AA09AE1D-20E9-4A5F-9C1E-737FDB13AC48}"/>
    <cellStyle name="Comma [0] 4 3 3" xfId="449" xr:uid="{F81C9B94-7253-44E8-B09F-C9B5B1281077}"/>
    <cellStyle name="Comma [0] 4 3 4" xfId="840" xr:uid="{9D242DE9-0C3A-4B9D-B307-2E579BD7558D}"/>
    <cellStyle name="Comma [0] 4 4" xfId="176" xr:uid="{FAF00BBB-4373-4A2F-B7B5-A7F8DF8435C8}"/>
    <cellStyle name="Comma [0] 4 4 2" xfId="489" xr:uid="{A90626ED-35C4-4523-8E46-FFCB4C32F020}"/>
    <cellStyle name="Comma [0] 4 4 3" xfId="879" xr:uid="{3E37A38D-8F57-49A7-8B8A-98B522BE243F}"/>
    <cellStyle name="Comma [0] 4 5" xfId="333" xr:uid="{66D48B44-6B83-48DD-87C3-A9818314FC59}"/>
    <cellStyle name="Comma [0] 4 6" xfId="685" xr:uid="{86B3FA45-BBE1-4C04-A747-8531E85D6D87}"/>
    <cellStyle name="Comma [0] 4 7" xfId="724" xr:uid="{36103C30-852F-4912-A2CE-9DB41EBC55CE}"/>
    <cellStyle name="Comma [0] 5" xfId="47" xr:uid="{B6003CFC-9F6A-42F9-9EC3-D90708A9FF01}"/>
    <cellStyle name="Comma [0] 5 2" xfId="203" xr:uid="{E5677D80-CD46-44AC-B5C9-032BACA1BD78}"/>
    <cellStyle name="Comma [0] 5 2 2" xfId="516" xr:uid="{89EBEEB3-88E4-4C0F-8B93-494430AB0AFC}"/>
    <cellStyle name="Comma [0] 5 2 3" xfId="906" xr:uid="{601EB9E1-3DD8-4FC9-BD03-2152B6F835A1}"/>
    <cellStyle name="Comma [0] 5 3" xfId="360" xr:uid="{CDFEF9F3-FC7F-4632-BEEB-486C168F2F12}"/>
    <cellStyle name="Comma [0] 5 4" xfId="751" xr:uid="{014C8F11-6A8D-4FE3-A04D-5706AC6A1EDE}"/>
    <cellStyle name="Comma [0] 6" xfId="124" xr:uid="{CA3A4C9A-B945-4CED-983B-33ACFC0B3C2A}"/>
    <cellStyle name="Comma [0] 6 2" xfId="280" xr:uid="{548AE9C9-87C5-4436-A223-0FE54DAFF5CE}"/>
    <cellStyle name="Comma [0] 6 2 2" xfId="593" xr:uid="{525D94B1-C020-401C-A9C4-B5B7E2FCA7EE}"/>
    <cellStyle name="Comma [0] 6 2 3" xfId="983" xr:uid="{07C092B1-9CE4-4CD4-AC8E-418CADB45788}"/>
    <cellStyle name="Comma [0] 6 3" xfId="437" xr:uid="{2230EA25-25DD-4974-92BE-8958C6C26965}"/>
    <cellStyle name="Comma [0] 6 4" xfId="828" xr:uid="{B0AC8D3C-67E9-495F-BFDE-B49A0A62E3C7}"/>
    <cellStyle name="Comma [0] 7" xfId="163" xr:uid="{628F45C9-C0D4-436F-9017-4418FE5E1EE0}"/>
    <cellStyle name="Comma [0] 7 2" xfId="476" xr:uid="{2361859A-0714-4448-9B6B-E179438E7CEC}"/>
    <cellStyle name="Comma [0] 7 3" xfId="867" xr:uid="{428FC492-35A9-4869-96D8-42E190F451A3}"/>
    <cellStyle name="Comma [0] 8" xfId="320" xr:uid="{C6BBA1C9-E4BC-402A-A187-B18608D92B13}"/>
    <cellStyle name="Comma [0] 9" xfId="673" xr:uid="{0979C1DC-E484-471B-B94A-3EE261F02CD3}"/>
    <cellStyle name="Comma 10" xfId="40" xr:uid="{B02DCC4B-2EBA-4499-8D07-7AAE327FC514}"/>
    <cellStyle name="Comma 10 2" xfId="83" xr:uid="{78772D4E-B7EB-45FB-9FB6-F08A535C47AC}"/>
    <cellStyle name="Comma 10 2 2" xfId="239" xr:uid="{DB7AB982-0C45-4FCA-9FB2-24ABD11E05F7}"/>
    <cellStyle name="Comma 10 2 2 2" xfId="552" xr:uid="{DE8E92FE-AB2F-4992-85FE-05B4FD93B67B}"/>
    <cellStyle name="Comma 10 2 2 3" xfId="942" xr:uid="{08522ABF-7E80-4928-9779-8F764E7A7357}"/>
    <cellStyle name="Comma 10 2 3" xfId="396" xr:uid="{2F7A5307-B0EE-4A5A-9869-53F58E3CDFBC}"/>
    <cellStyle name="Comma 10 2 4" xfId="787" xr:uid="{06E3DEFA-4C2E-429B-A4CF-E915865F5882}"/>
    <cellStyle name="Comma 10 3" xfId="156" xr:uid="{14EEBE74-A23C-4A1F-BAFF-AEF3E155B8C5}"/>
    <cellStyle name="Comma 10 3 2" xfId="312" xr:uid="{FE3C3C35-DBFA-4979-AA7A-F857CC459DAF}"/>
    <cellStyle name="Comma 10 3 2 2" xfId="625" xr:uid="{8F47B964-2BA7-4BF7-831B-4B137F80F26D}"/>
    <cellStyle name="Comma 10 3 2 3" xfId="1015" xr:uid="{BF741DD5-DE1F-4ED2-B5A4-8CB6536F0AAD}"/>
    <cellStyle name="Comma 10 3 3" xfId="469" xr:uid="{367BE12A-549A-4AFD-B5D5-FED01D292505}"/>
    <cellStyle name="Comma 10 3 4" xfId="860" xr:uid="{B53CAC98-ECD3-48D9-A45B-29B285B36E61}"/>
    <cellStyle name="Comma 10 4" xfId="196" xr:uid="{EAE3B47C-1FD8-42EE-84E2-D9DFF79EF588}"/>
    <cellStyle name="Comma 10 4 2" xfId="509" xr:uid="{DE44B0B9-0463-42E6-8E4F-56EB6ECDB68E}"/>
    <cellStyle name="Comma 10 4 3" xfId="899" xr:uid="{4C0AFDA8-0212-4C63-95EE-CF9144D03D8C}"/>
    <cellStyle name="Comma 10 5" xfId="353" xr:uid="{13877C67-4916-4A8C-9DA4-D945247DF67C}"/>
    <cellStyle name="Comma 10 6" xfId="705" xr:uid="{5EC4034A-C60B-4444-B278-1EB09B27DEEE}"/>
    <cellStyle name="Comma 10 7" xfId="744" xr:uid="{D23023D0-CE84-4A05-8FA9-D1AF29DD972F}"/>
    <cellStyle name="Comma 100" xfId="664" xr:uid="{28C2E992-C269-4D62-8FAF-415BEEA9023E}"/>
    <cellStyle name="Comma 101" xfId="674" xr:uid="{745FE735-CC1A-45B6-AC3A-0F18BD2F18DA}"/>
    <cellStyle name="Comma 102" xfId="713" xr:uid="{9202E77D-314E-4D12-8324-16E6C248E8BC}"/>
    <cellStyle name="Comma 11" xfId="42" xr:uid="{405B9BFA-28D3-4878-BE3A-862F2B6E6FA0}"/>
    <cellStyle name="Comma 11 2" xfId="85" xr:uid="{B502923C-CAE3-4EBD-9124-A623773C014F}"/>
    <cellStyle name="Comma 11 2 2" xfId="241" xr:uid="{491FDF16-F4A7-4C4E-BFDB-BA44D5BA7EE4}"/>
    <cellStyle name="Comma 11 2 2 2" xfId="554" xr:uid="{B47A124B-6160-44EA-8A69-CA097BD934D1}"/>
    <cellStyle name="Comma 11 2 2 3" xfId="944" xr:uid="{52151CB2-66C0-44AA-91BE-FADF7ADC4900}"/>
    <cellStyle name="Comma 11 2 3" xfId="398" xr:uid="{2B8BACFB-19A1-4365-B6F3-582B175921E9}"/>
    <cellStyle name="Comma 11 2 4" xfId="789" xr:uid="{AC3ADDD3-F353-4067-B8A7-1560D6D0E3DF}"/>
    <cellStyle name="Comma 11 3" xfId="158" xr:uid="{B50BD57E-2980-4F8B-BC31-20EC62D11BAF}"/>
    <cellStyle name="Comma 11 3 2" xfId="314" xr:uid="{A14AE04F-6DB2-46D6-8E77-A16391BD8A28}"/>
    <cellStyle name="Comma 11 3 2 2" xfId="627" xr:uid="{3266BDA1-669B-40ED-AA43-F2772D203CAD}"/>
    <cellStyle name="Comma 11 3 2 3" xfId="1017" xr:uid="{0F84F44F-1266-4088-893F-6B7B33E3685B}"/>
    <cellStyle name="Comma 11 3 3" xfId="471" xr:uid="{DB78C681-769A-4ACE-A34E-832E8302AD74}"/>
    <cellStyle name="Comma 11 3 4" xfId="862" xr:uid="{DB97BA4A-0666-4497-A934-B741C982C64C}"/>
    <cellStyle name="Comma 11 4" xfId="198" xr:uid="{7449F5A1-68D4-4089-8DE4-274C7720F4FA}"/>
    <cellStyle name="Comma 11 4 2" xfId="511" xr:uid="{42D81484-28EB-4AB0-91A9-6DCB5C11EC10}"/>
    <cellStyle name="Comma 11 4 3" xfId="901" xr:uid="{24D03F29-E0E8-4AF1-AB28-AA77C0BF37C0}"/>
    <cellStyle name="Comma 11 5" xfId="355" xr:uid="{7D2731C1-C1A7-4350-BE92-4619370CC96F}"/>
    <cellStyle name="Comma 11 6" xfId="707" xr:uid="{975344A8-8EED-4D45-A111-C1A17A83F797}"/>
    <cellStyle name="Comma 11 7" xfId="746" xr:uid="{15D1C643-F5A4-4D19-903C-8B894183EF47}"/>
    <cellStyle name="Comma 12" xfId="35" xr:uid="{0B260C63-DEFA-4D68-ACA6-C5CC0D352636}"/>
    <cellStyle name="Comma 12 2" xfId="78" xr:uid="{D1CDB928-717F-4AB8-ADAB-9649E404CD84}"/>
    <cellStyle name="Comma 12 2 2" xfId="234" xr:uid="{EF9A82BF-8407-416A-AFE7-9584DF7E7066}"/>
    <cellStyle name="Comma 12 2 2 2" xfId="547" xr:uid="{D7094BF6-049D-4E36-ADAC-A707CA73C7C4}"/>
    <cellStyle name="Comma 12 2 2 3" xfId="937" xr:uid="{5D96F0B9-39AA-4658-9563-DA907E6FE936}"/>
    <cellStyle name="Comma 12 2 3" xfId="391" xr:uid="{2F11AF3C-EB8D-404E-914C-C0364F2D05AF}"/>
    <cellStyle name="Comma 12 2 4" xfId="782" xr:uid="{03029B9F-4716-48AC-BD45-864B8A56D888}"/>
    <cellStyle name="Comma 12 3" xfId="151" xr:uid="{C709D7CB-423D-4CAE-BE78-7D4F56A04416}"/>
    <cellStyle name="Comma 12 3 2" xfId="307" xr:uid="{892B3999-05D5-4E74-B6D0-4F0B5000A46A}"/>
    <cellStyle name="Comma 12 3 2 2" xfId="620" xr:uid="{C3DFB55C-636A-43A4-9CC1-4C3CDF0B4130}"/>
    <cellStyle name="Comma 12 3 2 3" xfId="1010" xr:uid="{A89B2D65-874E-493D-A6A3-DBD074DEC25F}"/>
    <cellStyle name="Comma 12 3 3" xfId="464" xr:uid="{D3C500BC-52C4-404E-8572-68A027F9831A}"/>
    <cellStyle name="Comma 12 3 4" xfId="855" xr:uid="{A856C7C2-A298-4477-903D-06BBD980BC5C}"/>
    <cellStyle name="Comma 12 4" xfId="191" xr:uid="{8F29D1B5-C4AD-4FA3-87A7-98CCBE9FE764}"/>
    <cellStyle name="Comma 12 4 2" xfId="504" xr:uid="{E7DFCD52-476D-4F52-9F95-A02CBB41478C}"/>
    <cellStyle name="Comma 12 4 3" xfId="894" xr:uid="{811D3FA4-F5B5-43CE-B7CF-F9C274E26C45}"/>
    <cellStyle name="Comma 12 5" xfId="348" xr:uid="{CF75C71E-3D64-47A5-B765-20A6B5713F5D}"/>
    <cellStyle name="Comma 12 6" xfId="700" xr:uid="{1F9C0190-A5B8-4072-9944-72C689E46039}"/>
    <cellStyle name="Comma 12 7" xfId="739" xr:uid="{67A0C730-F205-42B4-9505-B673AABE5624}"/>
    <cellStyle name="Comma 13" xfId="36" xr:uid="{615E265D-6C4B-4DCC-93A5-F6486779FC67}"/>
    <cellStyle name="Comma 13 2" xfId="79" xr:uid="{3A3AE417-FDE9-46E8-AB71-3E03E1822668}"/>
    <cellStyle name="Comma 13 2 2" xfId="235" xr:uid="{A5826D1A-2888-43E1-B07F-4EDEED554F38}"/>
    <cellStyle name="Comma 13 2 2 2" xfId="548" xr:uid="{12F074B5-C055-4919-8D28-5AE5F7F1E523}"/>
    <cellStyle name="Comma 13 2 2 3" xfId="938" xr:uid="{FAEF6AAD-C31C-414A-8AC7-64936633503F}"/>
    <cellStyle name="Comma 13 2 3" xfId="392" xr:uid="{D329F6BE-0890-45CB-9FD4-CB30B540C891}"/>
    <cellStyle name="Comma 13 2 4" xfId="783" xr:uid="{77B2D018-A17D-4DB6-92BE-05E69EA0F072}"/>
    <cellStyle name="Comma 13 3" xfId="152" xr:uid="{32383DCF-FE87-4AEA-A3FD-BB3675AC0656}"/>
    <cellStyle name="Comma 13 3 2" xfId="308" xr:uid="{78C9C1FB-0EE7-43FA-B7CB-CC02BA3E5738}"/>
    <cellStyle name="Comma 13 3 2 2" xfId="621" xr:uid="{999355C2-0A56-49B4-918F-C31EEA332454}"/>
    <cellStyle name="Comma 13 3 2 3" xfId="1011" xr:uid="{FC95B3BD-7A47-4978-8A8E-126F8D8B8129}"/>
    <cellStyle name="Comma 13 3 3" xfId="465" xr:uid="{1C06640C-9411-41A2-BDDD-E89B1746FCD5}"/>
    <cellStyle name="Comma 13 3 4" xfId="856" xr:uid="{6B5C9009-44E7-47C4-A895-2B81846DD06F}"/>
    <cellStyle name="Comma 13 4" xfId="192" xr:uid="{45B63353-4B2D-4520-A99C-EF281FBCEA57}"/>
    <cellStyle name="Comma 13 4 2" xfId="505" xr:uid="{73211AA8-8DE3-4613-8FD1-25457B1547F6}"/>
    <cellStyle name="Comma 13 4 3" xfId="895" xr:uid="{CAB69E5C-F172-41AE-B5CB-A45F0025E26C}"/>
    <cellStyle name="Comma 13 5" xfId="349" xr:uid="{EA6B979D-1B52-47E1-AF38-BA02872E4EBB}"/>
    <cellStyle name="Comma 13 6" xfId="701" xr:uid="{F23D1F7C-64E0-460B-ACA7-E4CB16C50DCB}"/>
    <cellStyle name="Comma 13 7" xfId="740" xr:uid="{C0C5E498-BC36-4789-8A4C-FB4537AAA89F}"/>
    <cellStyle name="Comma 14" xfId="45" xr:uid="{66665BFD-AD51-4406-BE12-6AA2E42403C1}"/>
    <cellStyle name="Comma 14 2" xfId="88" xr:uid="{4482CBA2-2D6A-4947-B3F8-0AD1188DB9B9}"/>
    <cellStyle name="Comma 14 2 2" xfId="244" xr:uid="{565AA3F7-D83E-45B6-983D-C89A70528A96}"/>
    <cellStyle name="Comma 14 2 2 2" xfId="557" xr:uid="{C201926F-993A-4663-A15D-4F565BEFBBFA}"/>
    <cellStyle name="Comma 14 2 2 3" xfId="947" xr:uid="{EA2E7440-C469-4493-A8A9-383A0540AEBC}"/>
    <cellStyle name="Comma 14 2 3" xfId="401" xr:uid="{F560E2BA-7DD4-456D-AEAB-9D0D5481A7BD}"/>
    <cellStyle name="Comma 14 2 4" xfId="792" xr:uid="{05F5EEB9-35E7-4B4B-977C-1372495D23D4}"/>
    <cellStyle name="Comma 14 3" xfId="161" xr:uid="{CB599D84-DBB6-4594-9313-E05D1E2C7207}"/>
    <cellStyle name="Comma 14 3 2" xfId="317" xr:uid="{8AD53014-F81B-4567-868A-93EC43DE61EA}"/>
    <cellStyle name="Comma 14 3 2 2" xfId="630" xr:uid="{0EC73866-A9B9-405A-B20B-7DF3C9C2D8FE}"/>
    <cellStyle name="Comma 14 3 2 3" xfId="1020" xr:uid="{4F404C82-E823-4213-A015-0CEC1C144B42}"/>
    <cellStyle name="Comma 14 3 3" xfId="474" xr:uid="{BE06BBC0-B712-4EBD-8CD3-8C1CED524269}"/>
    <cellStyle name="Comma 14 3 4" xfId="865" xr:uid="{28BDA6EF-BBD6-4EB2-A367-312CD2863691}"/>
    <cellStyle name="Comma 14 4" xfId="201" xr:uid="{2FF8C44B-090B-4E8B-B09B-BB42627D161D}"/>
    <cellStyle name="Comma 14 4 2" xfId="514" xr:uid="{6A99D6EA-4267-4B52-889B-ED665E7FFC33}"/>
    <cellStyle name="Comma 14 4 3" xfId="904" xr:uid="{E68EE4DC-C4CC-4F8C-BF59-E9721D7EABBD}"/>
    <cellStyle name="Comma 14 5" xfId="358" xr:uid="{B6C286C5-EEEA-44FD-BAF6-9C1B39060754}"/>
    <cellStyle name="Comma 14 6" xfId="710" xr:uid="{F6562E76-121C-4872-8A7C-2F2A5337F419}"/>
    <cellStyle name="Comma 14 7" xfId="749" xr:uid="{65C33875-02FA-4FA3-9712-8B3B7134C82D}"/>
    <cellStyle name="Comma 15" xfId="46" xr:uid="{4082A51A-B644-4E9D-B9D7-B0FC1FE5F463}"/>
    <cellStyle name="Comma 15 2" xfId="89" xr:uid="{093313B2-4497-4C63-85B5-FEE9C5A804F8}"/>
    <cellStyle name="Comma 15 2 2" xfId="245" xr:uid="{16077338-843D-457C-9E65-5AC7B2955B03}"/>
    <cellStyle name="Comma 15 2 2 2" xfId="558" xr:uid="{2DF20E4A-7F0E-4053-9DDD-8863D3E28F81}"/>
    <cellStyle name="Comma 15 2 2 3" xfId="948" xr:uid="{CDB20021-48C4-40CE-BD08-74BD04F603FF}"/>
    <cellStyle name="Comma 15 2 3" xfId="402" xr:uid="{B2700424-CF9D-4BD2-B4D1-ADBF858FB518}"/>
    <cellStyle name="Comma 15 2 4" xfId="793" xr:uid="{CC20FE60-896F-4645-9043-040738E59EC3}"/>
    <cellStyle name="Comma 15 3" xfId="162" xr:uid="{FF1DDE96-8E8C-4484-8361-44741FD10642}"/>
    <cellStyle name="Comma 15 3 2" xfId="318" xr:uid="{A79275BB-2F8B-4A10-8983-7FF62722F9DA}"/>
    <cellStyle name="Comma 15 3 2 2" xfId="631" xr:uid="{7230C117-5C38-486F-B2BA-2C37435E6603}"/>
    <cellStyle name="Comma 15 3 2 3" xfId="1021" xr:uid="{BDA91193-0031-4B0E-9BBB-F8EBEC29FC98}"/>
    <cellStyle name="Comma 15 3 3" xfId="475" xr:uid="{2D084657-9373-4B3C-AE1B-990A1BF1A6EC}"/>
    <cellStyle name="Comma 15 3 4" xfId="866" xr:uid="{0A52AFC8-90D3-4AC1-8C64-048B9F9033E2}"/>
    <cellStyle name="Comma 15 4" xfId="202" xr:uid="{3B231549-939D-4F14-8080-FE4F28B1997C}"/>
    <cellStyle name="Comma 15 4 2" xfId="515" xr:uid="{4F441D34-6B1B-4A31-B0A3-A5B4BB11569B}"/>
    <cellStyle name="Comma 15 4 3" xfId="905" xr:uid="{214DC19A-2DA8-4EE4-8BB0-01D3AF98F116}"/>
    <cellStyle name="Comma 15 5" xfId="359" xr:uid="{26C61F94-2658-48BE-B35C-B3ADBCBB611C}"/>
    <cellStyle name="Comma 15 6" xfId="711" xr:uid="{C87CB52F-80AF-467C-B39D-34411AFE28AE}"/>
    <cellStyle name="Comma 15 7" xfId="750" xr:uid="{FC391566-8A7B-47A8-8D69-F0FDFC04CA97}"/>
    <cellStyle name="Comma 16" xfId="44" xr:uid="{888370CD-F4DB-4C5E-A073-1C09E6FF48B1}"/>
    <cellStyle name="Comma 16 2" xfId="87" xr:uid="{647D3F27-04A8-4142-865E-011D8608B97D}"/>
    <cellStyle name="Comma 16 2 2" xfId="243" xr:uid="{9E6A3439-B554-4AEA-9B38-E7B82CFB8F4A}"/>
    <cellStyle name="Comma 16 2 2 2" xfId="556" xr:uid="{D3AD450B-61B0-42D4-8D9B-D6FFF1833839}"/>
    <cellStyle name="Comma 16 2 2 3" xfId="946" xr:uid="{3AC18280-C626-4A16-B01E-53CE58D139E5}"/>
    <cellStyle name="Comma 16 2 3" xfId="400" xr:uid="{3DB55B28-0198-451B-8909-13F8475F8C9A}"/>
    <cellStyle name="Comma 16 2 4" xfId="791" xr:uid="{1237AA2E-A5A2-43CE-B8E5-5B6A387CB480}"/>
    <cellStyle name="Comma 16 3" xfId="160" xr:uid="{15DD67E2-E39C-4AF3-B573-CDA70A17CA08}"/>
    <cellStyle name="Comma 16 3 2" xfId="316" xr:uid="{231ED3CB-3D26-41B6-9419-34885EDE8B4C}"/>
    <cellStyle name="Comma 16 3 2 2" xfId="629" xr:uid="{647D30D4-495D-4154-894D-7A602F7877BD}"/>
    <cellStyle name="Comma 16 3 2 3" xfId="1019" xr:uid="{3ABC86A9-0B55-4A00-8636-65138EB051D3}"/>
    <cellStyle name="Comma 16 3 3" xfId="473" xr:uid="{EBE465F8-617A-4321-9CAA-49DF7CA2FE48}"/>
    <cellStyle name="Comma 16 3 4" xfId="864" xr:uid="{C8D866C6-972B-4BA0-8118-DCC83A6931AF}"/>
    <cellStyle name="Comma 16 4" xfId="200" xr:uid="{EF3D76D9-7FB5-41D9-8EEC-7F5FADB4851D}"/>
    <cellStyle name="Comma 16 4 2" xfId="513" xr:uid="{600DD958-70E3-494D-93CE-887771DC95F3}"/>
    <cellStyle name="Comma 16 4 3" xfId="903" xr:uid="{482FBE12-5440-46EE-897E-C32B77DC4875}"/>
    <cellStyle name="Comma 16 5" xfId="357" xr:uid="{EEEBE707-FA8E-4B69-ABC9-79F6AC6D5B0C}"/>
    <cellStyle name="Comma 16 6" xfId="709" xr:uid="{F8A6E927-1503-4BA4-9B5E-4F3DE7C7D144}"/>
    <cellStyle name="Comma 16 7" xfId="748" xr:uid="{3286C9D7-5FDD-4C11-B60E-5F1F44B88394}"/>
    <cellStyle name="Comma 17" xfId="43" xr:uid="{7260A84C-1100-4B42-8823-BD7EFD1688CF}"/>
    <cellStyle name="Comma 17 2" xfId="86" xr:uid="{C2CEA15E-BD00-4425-B2FA-599F621C2B12}"/>
    <cellStyle name="Comma 17 2 2" xfId="242" xr:uid="{685BE92D-9F26-4048-A923-8A1E15EF593C}"/>
    <cellStyle name="Comma 17 2 2 2" xfId="555" xr:uid="{52810016-C0B6-453F-A590-812C0904DE5E}"/>
    <cellStyle name="Comma 17 2 2 3" xfId="945" xr:uid="{C5FB6AAB-6416-46EC-90B2-837ED89EE952}"/>
    <cellStyle name="Comma 17 2 3" xfId="399" xr:uid="{5C2BD90E-42FE-43BD-ABDD-32347AB041B2}"/>
    <cellStyle name="Comma 17 2 4" xfId="790" xr:uid="{123DF804-3157-4334-AA87-EF21EAE7CD6F}"/>
    <cellStyle name="Comma 17 3" xfId="159" xr:uid="{18CFFE20-2966-41D9-B32C-04408C338425}"/>
    <cellStyle name="Comma 17 3 2" xfId="315" xr:uid="{34BBF314-E10B-415F-8727-289B71B3D006}"/>
    <cellStyle name="Comma 17 3 2 2" xfId="628" xr:uid="{3F7665B3-1E12-44DD-8A28-E554F76BC151}"/>
    <cellStyle name="Comma 17 3 2 3" xfId="1018" xr:uid="{4A326980-F18A-4A6F-AE21-E025D8D4F266}"/>
    <cellStyle name="Comma 17 3 3" xfId="472" xr:uid="{9F9E4374-3C12-40EB-B039-019E8D24C27E}"/>
    <cellStyle name="Comma 17 3 4" xfId="863" xr:uid="{129BE8DC-6680-48DD-9066-1533FB65B704}"/>
    <cellStyle name="Comma 17 4" xfId="199" xr:uid="{4D50EC2F-1E3E-414A-8CF1-A2A88A4EF7E3}"/>
    <cellStyle name="Comma 17 4 2" xfId="512" xr:uid="{8F7472D8-B005-4823-BB66-D9275CDE0062}"/>
    <cellStyle name="Comma 17 4 3" xfId="902" xr:uid="{0A14A8D5-6F5A-4487-94C8-D5718521CCE2}"/>
    <cellStyle name="Comma 17 5" xfId="356" xr:uid="{AA5B7B06-A9EF-41FD-8B71-D60D255E8EEA}"/>
    <cellStyle name="Comma 17 6" xfId="708" xr:uid="{BBF08764-C44A-41C6-86DD-A8E067880FF3}"/>
    <cellStyle name="Comma 17 7" xfId="747" xr:uid="{53C070B9-EC9E-4AAF-A27C-CACB43BFC308}"/>
    <cellStyle name="Comma 18" xfId="48" xr:uid="{A9F71D6E-FFD6-49E0-83A9-B276E4FD3095}"/>
    <cellStyle name="Comma 18 2" xfId="204" xr:uid="{5D931621-AE69-4AAA-BEA4-376ED2F3F00A}"/>
    <cellStyle name="Comma 18 2 2" xfId="517" xr:uid="{70419403-781A-4A7F-B5BD-847D9C4A56C3}"/>
    <cellStyle name="Comma 18 2 3" xfId="907" xr:uid="{CACC043F-9366-4AAE-AB46-30256C1598CE}"/>
    <cellStyle name="Comma 18 3" xfId="361" xr:uid="{FAC13C4A-FE74-4AF0-9A27-369F1AE22CD4}"/>
    <cellStyle name="Comma 18 4" xfId="752" xr:uid="{17089B42-BEE2-4F9D-88D2-917937959CDC}"/>
    <cellStyle name="Comma 19" xfId="57" xr:uid="{304BCD74-FC5C-4DC7-82F9-D1076DAB8593}"/>
    <cellStyle name="Comma 19 2" xfId="213" xr:uid="{6BA09F89-80FB-41DA-9830-29DE4EEFD189}"/>
    <cellStyle name="Comma 19 2 2" xfId="526" xr:uid="{8F23CD29-F9FD-4340-96C2-B276DB272C67}"/>
    <cellStyle name="Comma 19 2 3" xfId="916" xr:uid="{E49D554B-6BF7-43C2-96CF-3CF2E3787692}"/>
    <cellStyle name="Comma 19 3" xfId="370" xr:uid="{7993DB3B-1704-42B1-819F-5AA203681ABD}"/>
    <cellStyle name="Comma 19 4" xfId="761" xr:uid="{33DE0E94-8DC0-466E-9067-89F658E07955}"/>
    <cellStyle name="Comma 2" xfId="21" xr:uid="{23568211-2488-4982-8C2C-AC8AC76FCB94}"/>
    <cellStyle name="Comma 2 2" xfId="64" xr:uid="{297212E6-70C0-438D-B67C-49CB192834A5}"/>
    <cellStyle name="Comma 2 2 2" xfId="220" xr:uid="{A1D1CB96-65CE-4021-8102-F638544CEA7A}"/>
    <cellStyle name="Comma 2 2 2 2" xfId="533" xr:uid="{0BB82D32-05B2-4B96-AA54-C2470623DD49}"/>
    <cellStyle name="Comma 2 2 2 3" xfId="923" xr:uid="{3BCBC5D9-773C-4755-8198-B5790618E191}"/>
    <cellStyle name="Comma 2 2 3" xfId="377" xr:uid="{F9E3E36B-F736-4F2F-8565-6707D7229A9C}"/>
    <cellStyle name="Comma 2 2 4" xfId="768" xr:uid="{A969919D-648F-4026-9DAB-C0038DC854AB}"/>
    <cellStyle name="Comma 2 3" xfId="137" xr:uid="{F5CFAA5A-5F31-41F7-8076-D7BC82EB1269}"/>
    <cellStyle name="Comma 2 3 2" xfId="293" xr:uid="{4850A95A-2863-47FE-B9A5-A74F78AF0B9B}"/>
    <cellStyle name="Comma 2 3 2 2" xfId="606" xr:uid="{07713B22-38E1-4F10-9AAD-C8E4B8F64659}"/>
    <cellStyle name="Comma 2 3 2 3" xfId="996" xr:uid="{16CC60B7-BD1F-446F-8D8E-185047F30B46}"/>
    <cellStyle name="Comma 2 3 3" xfId="450" xr:uid="{E09F4AB0-4499-440A-9E3A-9BCDA8C7FC5F}"/>
    <cellStyle name="Comma 2 3 4" xfId="841" xr:uid="{674CF1FF-DBBE-4D92-9357-4436C8302C5F}"/>
    <cellStyle name="Comma 2 4" xfId="177" xr:uid="{5D59950C-328F-4901-B560-9F6C1A5ACF1E}"/>
    <cellStyle name="Comma 2 4 2" xfId="490" xr:uid="{FD5B8159-1373-4BF4-918B-20E37E5C5B58}"/>
    <cellStyle name="Comma 2 4 3" xfId="880" xr:uid="{A6FF3F7A-3579-4C79-8799-CDC785021375}"/>
    <cellStyle name="Comma 2 5" xfId="334" xr:uid="{77B8E8AF-419B-47A9-93E3-F5D9A775A346}"/>
    <cellStyle name="Comma 2 6" xfId="686" xr:uid="{698798C8-51C7-41B6-B770-26E5F8C35BF5}"/>
    <cellStyle name="Comma 2 7" xfId="725" xr:uid="{74F32A21-5F36-4976-B3FA-C175DEF50A44}"/>
    <cellStyle name="Comma 20" xfId="93" xr:uid="{73DD5676-D7B8-4C90-844F-554DB8F37622}"/>
    <cellStyle name="Comma 20 2" xfId="249" xr:uid="{B091B89A-1E8C-4EF6-890B-EEE64610C3C5}"/>
    <cellStyle name="Comma 20 2 2" xfId="562" xr:uid="{C3A0FD53-D3F1-426C-AF62-CC66BB2240DF}"/>
    <cellStyle name="Comma 20 2 3" xfId="952" xr:uid="{27123332-9E63-4DE0-A339-503B41F59F3F}"/>
    <cellStyle name="Comma 20 3" xfId="406" xr:uid="{131F1A96-28BB-4448-A92F-C41636FF025D}"/>
    <cellStyle name="Comma 20 4" xfId="797" xr:uid="{0A7D3F25-81F6-4426-B513-E05886BAF537}"/>
    <cellStyle name="Comma 21" xfId="90" xr:uid="{1AB5FCAB-D5E7-4219-B565-993EA732B7AF}"/>
    <cellStyle name="Comma 21 2" xfId="246" xr:uid="{771D215C-B7D0-4289-90FD-BA444508A44C}"/>
    <cellStyle name="Comma 21 2 2" xfId="559" xr:uid="{5F11AAD1-E3E8-4DF8-8355-10C522D2FDB4}"/>
    <cellStyle name="Comma 21 2 3" xfId="949" xr:uid="{1AB97A41-E812-4868-9FE3-2A8E53823C70}"/>
    <cellStyle name="Comma 21 3" xfId="403" xr:uid="{F04705A3-125D-4729-BB28-5525D1E4069F}"/>
    <cellStyle name="Comma 21 4" xfId="794" xr:uid="{2CCA065A-2CCC-4F9F-88D2-428903BD328F}"/>
    <cellStyle name="Comma 22" xfId="92" xr:uid="{DCFB4A94-DD96-4C5A-9274-DCDF7A808725}"/>
    <cellStyle name="Comma 22 2" xfId="248" xr:uid="{12F6DB41-3C3B-4F81-B276-5B5764780E09}"/>
    <cellStyle name="Comma 22 2 2" xfId="561" xr:uid="{39061B07-052C-4FFD-94EE-7F4FD74BBB19}"/>
    <cellStyle name="Comma 22 2 3" xfId="951" xr:uid="{AE5B61AA-30C1-4C5A-B403-EA41CCC1CDF0}"/>
    <cellStyle name="Comma 22 3" xfId="405" xr:uid="{D8A32DEE-12C3-4B98-BE4F-EB1FF16E1D0D}"/>
    <cellStyle name="Comma 22 4" xfId="796" xr:uid="{9B74CF0F-DEA5-47DE-A6BB-5C00CB0B8445}"/>
    <cellStyle name="Comma 23" xfId="59" xr:uid="{BD4BD0B4-CD28-4419-886C-0F1A6BB9E7C6}"/>
    <cellStyle name="Comma 23 2" xfId="215" xr:uid="{0D7EF276-AFF9-4731-93F9-7E1D3E4CB537}"/>
    <cellStyle name="Comma 23 2 2" xfId="528" xr:uid="{644F3335-8E15-43CE-851C-ADED400D1FA5}"/>
    <cellStyle name="Comma 23 2 3" xfId="918" xr:uid="{913E1F76-8B18-40F6-A30E-7C5F754949E5}"/>
    <cellStyle name="Comma 23 3" xfId="372" xr:uid="{67904B40-EF1D-4C69-A690-AC01C5644C23}"/>
    <cellStyle name="Comma 23 4" xfId="763" xr:uid="{D9CCBAA2-B1B4-4740-BFF4-FBE9C6CA08A2}"/>
    <cellStyle name="Comma 24" xfId="53" xr:uid="{AD1306C5-BD5B-4906-9CDC-02529CCF4947}"/>
    <cellStyle name="Comma 24 2" xfId="209" xr:uid="{93CE2ADC-E83E-4A34-B52C-46519BCF3D0D}"/>
    <cellStyle name="Comma 24 2 2" xfId="522" xr:uid="{C612BFB5-0615-477B-8478-51517C0BA68C}"/>
    <cellStyle name="Comma 24 2 3" xfId="912" xr:uid="{DAE90FCA-F360-43E1-939C-0C21DCA826F7}"/>
    <cellStyle name="Comma 24 3" xfId="366" xr:uid="{815FA908-20E7-40FC-AF2A-34057FD67FD5}"/>
    <cellStyle name="Comma 24 4" xfId="757" xr:uid="{06E72A14-4D95-4330-A7EA-A899A5022D40}"/>
    <cellStyle name="Comma 25" xfId="49" xr:uid="{127A9F80-8159-4985-8E8B-BD7E75A81B7E}"/>
    <cellStyle name="Comma 25 2" xfId="205" xr:uid="{EAB8DBF1-A033-4136-929F-CA90472142CB}"/>
    <cellStyle name="Comma 25 2 2" xfId="518" xr:uid="{34B39BE4-7CA8-4030-B461-2E909590B589}"/>
    <cellStyle name="Comma 25 2 3" xfId="908" xr:uid="{8C18B7A3-0C98-4257-A07F-0524D8688A14}"/>
    <cellStyle name="Comma 25 3" xfId="362" xr:uid="{2E7BB258-ADB4-4AAF-91C5-7EAE2F90BD73}"/>
    <cellStyle name="Comma 25 4" xfId="753" xr:uid="{5A1A3AA4-0FD7-4E16-AC51-D40532348008}"/>
    <cellStyle name="Comma 26" xfId="95" xr:uid="{A30BD9ED-5BDA-4B6C-BEA8-4D764B41C39D}"/>
    <cellStyle name="Comma 26 2" xfId="251" xr:uid="{7E32878A-642B-4EDD-8D05-2001E3FDF644}"/>
    <cellStyle name="Comma 26 2 2" xfId="564" xr:uid="{91D2EC2B-F84C-47CF-B350-74757DABC795}"/>
    <cellStyle name="Comma 26 2 3" xfId="954" xr:uid="{A73EF18A-F1CB-4A7D-8732-4B478BEEA55F}"/>
    <cellStyle name="Comma 26 3" xfId="408" xr:uid="{A854ABF3-79DB-4B8F-8BD9-48A40FEE09EB}"/>
    <cellStyle name="Comma 26 4" xfId="799" xr:uid="{4C258AE4-6349-414B-B636-52A132512649}"/>
    <cellStyle name="Comma 269" xfId="1026" xr:uid="{1E0CA691-45D2-4614-851C-DB56773C1F8D}"/>
    <cellStyle name="Comma 27" xfId="98" xr:uid="{DC854180-B10A-46B8-9E1A-A0C59EF4558E}"/>
    <cellStyle name="Comma 27 2" xfId="254" xr:uid="{1328E993-24CB-42DD-B4F1-13D979291A85}"/>
    <cellStyle name="Comma 27 2 2" xfId="567" xr:uid="{E1032225-1761-4DCF-9647-6E8980437CED}"/>
    <cellStyle name="Comma 27 2 3" xfId="957" xr:uid="{12319317-50AE-4C25-A964-A7EE70EFC40A}"/>
    <cellStyle name="Comma 27 3" xfId="411" xr:uid="{D358F9A7-1B9D-4749-A984-5758EA707635}"/>
    <cellStyle name="Comma 27 4" xfId="802" xr:uid="{1DF0E42D-2185-450C-8190-872CF3C11E4D}"/>
    <cellStyle name="Comma 28" xfId="102" xr:uid="{E19F97E9-4A70-4D45-8524-D6D561895C73}"/>
    <cellStyle name="Comma 28 2" xfId="258" xr:uid="{CF0E92DA-6AED-409E-A253-7215CDAF22C0}"/>
    <cellStyle name="Comma 28 2 2" xfId="571" xr:uid="{B8455460-B1CE-4D26-9D14-D8AF3AC96FF7}"/>
    <cellStyle name="Comma 28 2 3" xfId="961" xr:uid="{5A9662F7-E5DA-40E5-B71D-6E1BF2AB9A53}"/>
    <cellStyle name="Comma 28 3" xfId="415" xr:uid="{1DD5D463-E4DD-46E4-AD63-4D9E78443087}"/>
    <cellStyle name="Comma 28 4" xfId="806" xr:uid="{86C88C75-710D-4A66-BF2E-5E0D4C933918}"/>
    <cellStyle name="Comma 29" xfId="97" xr:uid="{4CB2FF24-A04B-439F-AA53-60E60B079F78}"/>
    <cellStyle name="Comma 29 2" xfId="253" xr:uid="{63B8BFEE-1010-4A79-BE8F-03EA4E63D7B3}"/>
    <cellStyle name="Comma 29 2 2" xfId="566" xr:uid="{FC5F9D22-6FEE-4C62-9DCC-AD876AD299C4}"/>
    <cellStyle name="Comma 29 2 3" xfId="956" xr:uid="{5902BAD7-E2E4-489F-BD6D-69DB67FB977F}"/>
    <cellStyle name="Comma 29 3" xfId="410" xr:uid="{8FBB0101-87CA-42B7-8430-BC641779FCEF}"/>
    <cellStyle name="Comma 29 4" xfId="801" xr:uid="{C01A3B52-B90E-4D09-8B03-596054249E39}"/>
    <cellStyle name="Comma 3" xfId="22" xr:uid="{7A55DE3C-6FDD-48DE-A562-B4CFDA17D04F}"/>
    <cellStyle name="Comma 3 18" xfId="1031" xr:uid="{8CB867AD-EDBA-4827-B542-E55C98482CD4}"/>
    <cellStyle name="Comma 3 2" xfId="65" xr:uid="{FDC82481-42AE-464B-B06A-C5A384E2DDAA}"/>
    <cellStyle name="Comma 3 2 2" xfId="221" xr:uid="{4ACECFCC-B103-41DB-825E-81247CCC45E8}"/>
    <cellStyle name="Comma 3 2 2 2" xfId="534" xr:uid="{6C9F023F-D0B6-4D37-B9B4-6520C83D8088}"/>
    <cellStyle name="Comma 3 2 2 3" xfId="924" xr:uid="{A4EEF9D9-8AAB-425A-9841-F700A9564AF0}"/>
    <cellStyle name="Comma 3 2 3" xfId="378" xr:uid="{26106E6A-A02E-449E-8E66-6E4B7AB23EBA}"/>
    <cellStyle name="Comma 3 2 4" xfId="769" xr:uid="{2FED1B02-E3C6-4182-9C90-960A80812504}"/>
    <cellStyle name="Comma 3 3" xfId="138" xr:uid="{7C5FC5F1-F03F-41D1-9F6B-96A266DEA2D9}"/>
    <cellStyle name="Comma 3 3 2" xfId="294" xr:uid="{6BCFDD6D-63BC-4B6E-9A38-99B22FB06603}"/>
    <cellStyle name="Comma 3 3 2 2" xfId="607" xr:uid="{9D36F849-E318-4137-879D-A874F4B76C14}"/>
    <cellStyle name="Comma 3 3 2 3" xfId="997" xr:uid="{EBD821BD-51CA-44E9-AC6F-7D7E457A6047}"/>
    <cellStyle name="Comma 3 3 3" xfId="451" xr:uid="{B00D514D-7BC0-4678-8672-1FB1674B1223}"/>
    <cellStyle name="Comma 3 3 4" xfId="842" xr:uid="{7C774AC0-6157-4C6B-B24D-9F9662290C1D}"/>
    <cellStyle name="Comma 3 4" xfId="178" xr:uid="{11BA1F37-CDD8-4034-8820-9244D7AFF72D}"/>
    <cellStyle name="Comma 3 4 2" xfId="491" xr:uid="{A742D75A-2F23-43E3-909A-BD14CC196C1C}"/>
    <cellStyle name="Comma 3 4 3" xfId="881" xr:uid="{5FE3A697-2C57-492E-A55C-09F425392B19}"/>
    <cellStyle name="Comma 3 5" xfId="335" xr:uid="{CF649CD8-A656-4C96-8806-857B81B4415E}"/>
    <cellStyle name="Comma 3 6" xfId="687" xr:uid="{2E38B247-058E-42CF-A592-E7A522474913}"/>
    <cellStyle name="Comma 3 7" xfId="726" xr:uid="{42457E93-370B-4FA8-9A36-2B8F1123F14F}"/>
    <cellStyle name="Comma 30" xfId="91" xr:uid="{E965C31E-907F-47B2-91E9-9D2F18606473}"/>
    <cellStyle name="Comma 30 2" xfId="247" xr:uid="{5084F183-61F4-4A59-B7BE-43EF7056F4D3}"/>
    <cellStyle name="Comma 30 2 2" xfId="560" xr:uid="{BB23379A-164A-4153-839E-E28D318E2003}"/>
    <cellStyle name="Comma 30 2 3" xfId="950" xr:uid="{763CD271-5CF4-4C15-A84A-BD436FBBE517}"/>
    <cellStyle name="Comma 30 3" xfId="404" xr:uid="{29E138DD-B6C1-4FAC-A8C9-535E251E6D95}"/>
    <cellStyle name="Comma 30 4" xfId="795" xr:uid="{A71C7E25-AC4C-4BE9-8B5B-98DEF6A4AE1F}"/>
    <cellStyle name="Comma 31" xfId="99" xr:uid="{20FB87B6-2C4C-49C9-8AAE-49682A3030DF}"/>
    <cellStyle name="Comma 31 2" xfId="255" xr:uid="{1E209959-5358-459E-A65C-E20C91235DD6}"/>
    <cellStyle name="Comma 31 2 2" xfId="568" xr:uid="{AD4CD572-0CBE-44A8-B828-5D200ECC6859}"/>
    <cellStyle name="Comma 31 2 3" xfId="958" xr:uid="{EA96BC5C-0BD9-46EE-AF65-36AF6F8ADB23}"/>
    <cellStyle name="Comma 31 3" xfId="412" xr:uid="{ADAEC6A2-1432-434E-8E4A-958A0C6F1729}"/>
    <cellStyle name="Comma 31 4" xfId="803" xr:uid="{9B165260-4278-4C74-961F-36CE4B592B3E}"/>
    <cellStyle name="Comma 32" xfId="94" xr:uid="{F4EF5B35-9C79-4879-8FEB-7FB7FEEA8EDD}"/>
    <cellStyle name="Comma 32 2" xfId="250" xr:uid="{7FD99D31-B8A2-435E-A1D5-75A41BC68F21}"/>
    <cellStyle name="Comma 32 2 2" xfId="563" xr:uid="{682FA43D-4328-4E01-8027-DEF29CA6D739}"/>
    <cellStyle name="Comma 32 2 3" xfId="953" xr:uid="{F9D9BC69-CD86-4F40-81E9-670BB0D94254}"/>
    <cellStyle name="Comma 32 3" xfId="407" xr:uid="{FB290889-D23C-40E2-8F77-1FDD7F9C5FF6}"/>
    <cellStyle name="Comma 32 4" xfId="798" xr:uid="{44389A2C-CD13-4F87-87AA-E9A77EAADEB1}"/>
    <cellStyle name="Comma 33" xfId="105" xr:uid="{C8E6BADA-A9B3-496F-A5F9-8D409F9F701B}"/>
    <cellStyle name="Comma 33 2" xfId="261" xr:uid="{318DC6A0-4BC1-4BB0-BED9-153189EB7323}"/>
    <cellStyle name="Comma 33 2 2" xfId="574" xr:uid="{C92FC8D7-D9C6-4982-9BE3-7500A41D02CD}"/>
    <cellStyle name="Comma 33 2 3" xfId="964" xr:uid="{27EC5941-54E3-4228-8EC0-B2F841C7FC50}"/>
    <cellStyle name="Comma 33 3" xfId="418" xr:uid="{DB865245-BE90-4A70-B510-992FB5E9134D}"/>
    <cellStyle name="Comma 33 4" xfId="809" xr:uid="{D091198A-4DEB-4856-B3E4-228350C0CA20}"/>
    <cellStyle name="Comma 34" xfId="108" xr:uid="{42594209-8848-45EF-8D27-34226EE02A46}"/>
    <cellStyle name="Comma 34 2" xfId="264" xr:uid="{7F54A341-566F-4042-8AE0-D9324C8394D1}"/>
    <cellStyle name="Comma 34 2 2" xfId="577" xr:uid="{928CD066-7B5E-403D-95BA-A0CFCFB0076A}"/>
    <cellStyle name="Comma 34 2 3" xfId="967" xr:uid="{E4118A14-F315-4F84-9E0E-2F383EFD3ED2}"/>
    <cellStyle name="Comma 34 3" xfId="421" xr:uid="{7CB9D2F1-735E-459F-A679-E82DB2EC8F66}"/>
    <cellStyle name="Comma 34 4" xfId="812" xr:uid="{8DA80261-8508-406D-8C65-6A4494034E80}"/>
    <cellStyle name="Comma 35" xfId="104" xr:uid="{71257DCC-A9F3-4ABE-9904-4B7EF96BE65A}"/>
    <cellStyle name="Comma 35 2" xfId="260" xr:uid="{EC2420DF-3DB4-484A-B1C1-92A15C11CF18}"/>
    <cellStyle name="Comma 35 2 2" xfId="573" xr:uid="{507DE492-712F-41A1-AD15-56CC69052DFA}"/>
    <cellStyle name="Comma 35 2 3" xfId="963" xr:uid="{F8BEF1A3-6D73-4F6F-B161-73B311E0BBE6}"/>
    <cellStyle name="Comma 35 3" xfId="417" xr:uid="{B8593CE2-65E0-4C38-83AB-BC821A209549}"/>
    <cellStyle name="Comma 35 4" xfId="808" xr:uid="{623F41F0-8E30-434F-BED1-D73E1C9FE456}"/>
    <cellStyle name="Comma 36" xfId="100" xr:uid="{35AB9AB3-E1EA-49A0-8874-9D96C80A4C04}"/>
    <cellStyle name="Comma 36 2" xfId="256" xr:uid="{20DC5B4A-1750-491E-BC54-044B66F11A17}"/>
    <cellStyle name="Comma 36 2 2" xfId="569" xr:uid="{74454E80-7977-4EA5-8EF5-37DECB61EC5B}"/>
    <cellStyle name="Comma 36 2 3" xfId="959" xr:uid="{441CFB90-5894-476A-827D-C46673E62AB9}"/>
    <cellStyle name="Comma 36 3" xfId="413" xr:uid="{E868159C-8535-4420-AE71-606E66613200}"/>
    <cellStyle name="Comma 36 4" xfId="804" xr:uid="{58384479-3E0D-4B10-A99B-9BBCDC2F265C}"/>
    <cellStyle name="Comma 37" xfId="107" xr:uid="{B6B8C8F6-F047-42E1-9A3E-1A0FE38C71EA}"/>
    <cellStyle name="Comma 37 2" xfId="263" xr:uid="{4CCB840D-93D4-41F2-A815-FAFAE77490BC}"/>
    <cellStyle name="Comma 37 2 2" xfId="576" xr:uid="{E8904243-95F8-442F-B249-DCDBC1C6861F}"/>
    <cellStyle name="Comma 37 2 3" xfId="966" xr:uid="{DCB109AA-E987-47C8-935A-CDA2C62CFE6F}"/>
    <cellStyle name="Comma 37 3" xfId="420" xr:uid="{01D30E94-EF95-48F0-B130-5EA6EA68C12A}"/>
    <cellStyle name="Comma 37 4" xfId="811" xr:uid="{C8B04CD9-1ED6-4553-8AA1-F9D8C993FC0E}"/>
    <cellStyle name="Comma 38" xfId="111" xr:uid="{B07719FC-C21D-43BF-B73B-6DC5268DB50B}"/>
    <cellStyle name="Comma 38 2" xfId="267" xr:uid="{6BA66BC0-7F21-461F-8D48-1114E3E2D046}"/>
    <cellStyle name="Comma 38 2 2" xfId="580" xr:uid="{1E394B44-A3CC-4B43-B7B1-C73E877F8B17}"/>
    <cellStyle name="Comma 38 2 3" xfId="970" xr:uid="{F070802D-B18D-44A7-9A65-1B0F0FA37901}"/>
    <cellStyle name="Comma 38 3" xfId="424" xr:uid="{FAD9D50B-4710-46F3-AEA4-BBC462DE6E40}"/>
    <cellStyle name="Comma 38 4" xfId="815" xr:uid="{13255943-3186-495D-8F97-B7AD758C08E8}"/>
    <cellStyle name="Comma 39" xfId="96" xr:uid="{85EC955E-3983-4765-A103-1A4F144E8EDF}"/>
    <cellStyle name="Comma 39 2" xfId="252" xr:uid="{AFC14E65-6BCA-4A80-91F3-4161B144057A}"/>
    <cellStyle name="Comma 39 2 2" xfId="565" xr:uid="{EA0FC1E0-DB1D-4BBC-A6E6-0AEF0010FD81}"/>
    <cellStyle name="Comma 39 2 3" xfId="955" xr:uid="{3DE7C406-0A57-40C8-AF65-D0A03003CA12}"/>
    <cellStyle name="Comma 39 3" xfId="409" xr:uid="{39506689-2CBC-49E5-974F-9A5E78FD1DDC}"/>
    <cellStyle name="Comma 39 4" xfId="800" xr:uid="{4453FC6B-19F3-4D62-BEB9-81EAA903F902}"/>
    <cellStyle name="Comma 4" xfId="34" xr:uid="{2A42EC7B-9CE2-4A11-A91B-5F3220177DD0}"/>
    <cellStyle name="Comma 4 2" xfId="77" xr:uid="{CAB25375-1C57-4341-8EA5-C13D7CFD91A1}"/>
    <cellStyle name="Comma 4 2 2" xfId="233" xr:uid="{0CEB9010-FB06-4A86-963F-45C9262FA57E}"/>
    <cellStyle name="Comma 4 2 2 2" xfId="546" xr:uid="{79F97181-8DFD-44D7-A751-DF51273EA284}"/>
    <cellStyle name="Comma 4 2 2 3" xfId="936" xr:uid="{B9FDECA0-5122-4C29-84C4-DBD9F2482EEB}"/>
    <cellStyle name="Comma 4 2 3" xfId="390" xr:uid="{F9224831-E11A-4A13-A0B5-E41AB519B870}"/>
    <cellStyle name="Comma 4 2 4" xfId="781" xr:uid="{13745734-99E0-4008-BDB4-44D70BD04191}"/>
    <cellStyle name="Comma 4 3" xfId="150" xr:uid="{5BB8A630-1F44-45E9-8B29-0B2C9973F921}"/>
    <cellStyle name="Comma 4 3 2" xfId="306" xr:uid="{387FAAE9-35AA-498A-A044-3ECD45EF270E}"/>
    <cellStyle name="Comma 4 3 2 2" xfId="619" xr:uid="{BF75C48F-320C-4E3C-81DD-C80A71FED5DF}"/>
    <cellStyle name="Comma 4 3 2 3" xfId="1009" xr:uid="{3359BF0B-9B6F-4ABD-87EC-CA13FC2B44ED}"/>
    <cellStyle name="Comma 4 3 3" xfId="463" xr:uid="{7E2EDE2C-4C94-426B-BEA0-DAF006D45F90}"/>
    <cellStyle name="Comma 4 3 4" xfId="854" xr:uid="{F43BF81C-3C98-4E7A-BA71-71A22EC49ED1}"/>
    <cellStyle name="Comma 4 4" xfId="190" xr:uid="{47BE4C8D-B677-4926-B8C3-B3CEE1C632C1}"/>
    <cellStyle name="Comma 4 4 2" xfId="503" xr:uid="{EFD58C6D-6914-4496-B3B8-5E8A19A42B01}"/>
    <cellStyle name="Comma 4 4 3" xfId="893" xr:uid="{777411C6-9BA0-4A64-B51C-44D0AE49EF6A}"/>
    <cellStyle name="Comma 4 5" xfId="347" xr:uid="{45242735-E8DE-4F6F-BC1F-3257B7323537}"/>
    <cellStyle name="Comma 4 6" xfId="699" xr:uid="{81D540BD-FF43-4DEB-8B0D-670D6D42845F}"/>
    <cellStyle name="Comma 4 7" xfId="738" xr:uid="{FD728317-C155-453E-A897-A8FA72E9918C}"/>
    <cellStyle name="Comma 40" xfId="103" xr:uid="{C16A7475-FBE8-4F4B-82D6-851DB5CA3165}"/>
    <cellStyle name="Comma 40 2" xfId="259" xr:uid="{DD0F71F2-9B25-4D70-A895-ABC85EF234D5}"/>
    <cellStyle name="Comma 40 2 2" xfId="572" xr:uid="{97F4EA4F-072B-4AB0-8253-5A2FB4A5498E}"/>
    <cellStyle name="Comma 40 2 3" xfId="962" xr:uid="{8A944B85-6176-4737-B2C2-E7BE9EB1030A}"/>
    <cellStyle name="Comma 40 3" xfId="416" xr:uid="{204343F2-A34B-4AA6-86B1-1FF36099B04D}"/>
    <cellStyle name="Comma 40 4" xfId="807" xr:uid="{5468241D-B4D7-4AC9-B3ED-100C93A91A7C}"/>
    <cellStyle name="Comma 41" xfId="116" xr:uid="{6B892884-CDDD-4C65-A923-FE46B5D412A8}"/>
    <cellStyle name="Comma 41 2" xfId="272" xr:uid="{7A880DF7-B472-43FB-8096-072603720A86}"/>
    <cellStyle name="Comma 41 2 2" xfId="585" xr:uid="{8EE0CD1C-E008-4E00-B4AC-235683F0A965}"/>
    <cellStyle name="Comma 41 2 3" xfId="975" xr:uid="{4B380584-B395-492E-A625-D706CA7AB5E5}"/>
    <cellStyle name="Comma 41 3" xfId="429" xr:uid="{70342ABE-2375-43A2-A6C6-74DCA5019829}"/>
    <cellStyle name="Comma 41 4" xfId="820" xr:uid="{D13F85CC-7F10-4EDC-9541-DFBEE45AA103}"/>
    <cellStyle name="Comma 42" xfId="120" xr:uid="{185220A3-90D4-4EF3-9730-0AFD09C12357}"/>
    <cellStyle name="Comma 42 2" xfId="276" xr:uid="{EF680216-DCFE-4F38-99DC-E054EC3F1DDB}"/>
    <cellStyle name="Comma 42 2 2" xfId="589" xr:uid="{B8AD941A-3421-4E42-AA7A-0246EBEAA4D2}"/>
    <cellStyle name="Comma 42 2 3" xfId="979" xr:uid="{C71EB87E-EC49-47FE-92E2-E70BC39E6394}"/>
    <cellStyle name="Comma 42 3" xfId="433" xr:uid="{E86A792F-21F9-4C1C-88B2-3B98A08C14BA}"/>
    <cellStyle name="Comma 42 4" xfId="824" xr:uid="{25B22B0B-B483-46E7-AA4D-9E6445C528CF}"/>
    <cellStyle name="Comma 43" xfId="109" xr:uid="{A7690D4B-C48F-4E3A-9DB9-88D06DBD760A}"/>
    <cellStyle name="Comma 43 2" xfId="265" xr:uid="{31794CC8-34B4-4465-A833-7DC475CFD7F1}"/>
    <cellStyle name="Comma 43 2 2" xfId="578" xr:uid="{CCA4F395-1B73-47E4-AB3E-8066DCC836AA}"/>
    <cellStyle name="Comma 43 2 3" xfId="968" xr:uid="{73A75884-1834-4877-B924-5C35F7B2A8BC}"/>
    <cellStyle name="Comma 43 3" xfId="422" xr:uid="{96212D12-F393-4E22-B61E-A654508E1DA5}"/>
    <cellStyle name="Comma 43 4" xfId="813" xr:uid="{138ABD24-8FB3-43C7-92A5-B5EBCF1EDDDB}"/>
    <cellStyle name="Comma 44" xfId="110" xr:uid="{CF483697-747C-4509-819D-E9337619DDA2}"/>
    <cellStyle name="Comma 44 2" xfId="266" xr:uid="{D056D220-338A-4846-9D5E-0FC1EC7D070A}"/>
    <cellStyle name="Comma 44 2 2" xfId="579" xr:uid="{968601EE-22F0-4697-8E35-31463F7F0A1A}"/>
    <cellStyle name="Comma 44 2 3" xfId="969" xr:uid="{AE8E0042-B298-45FF-9ACD-DC435A3BC3B1}"/>
    <cellStyle name="Comma 44 3" xfId="423" xr:uid="{6354F5AA-5CC9-4707-B29C-3944ACFE93B9}"/>
    <cellStyle name="Comma 44 4" xfId="814" xr:uid="{699BE222-0347-4A28-BF76-7F644CAD2811}"/>
    <cellStyle name="Comma 45" xfId="113" xr:uid="{5D65D8DD-68E9-467B-8AC8-E7A9AE1FF83E}"/>
    <cellStyle name="Comma 45 2" xfId="269" xr:uid="{40A85985-AB4D-4720-8323-9FD8908754D9}"/>
    <cellStyle name="Comma 45 2 2" xfId="582" xr:uid="{437E6B9D-F8E3-4042-B5DC-813E9A9B2EA6}"/>
    <cellStyle name="Comma 45 2 3" xfId="972" xr:uid="{F209C355-44C3-4067-B0D9-F1228F5436A2}"/>
    <cellStyle name="Comma 45 3" xfId="426" xr:uid="{56AFF70F-F79D-4708-8B45-D0079284810D}"/>
    <cellStyle name="Comma 45 4" xfId="817" xr:uid="{63077167-3D8B-4FE0-979E-3A1B86F378CE}"/>
    <cellStyle name="Comma 46" xfId="115" xr:uid="{5808A4F7-3F1D-423C-81EE-6A94FF25008D}"/>
    <cellStyle name="Comma 46 2" xfId="271" xr:uid="{A1FA9418-0E87-43F7-8871-6F2373435C4F}"/>
    <cellStyle name="Comma 46 2 2" xfId="584" xr:uid="{17FFB126-BDA0-4252-879B-0BB7F29192F5}"/>
    <cellStyle name="Comma 46 2 3" xfId="974" xr:uid="{187272A4-5B2E-464C-BF1E-11FD181A0CA4}"/>
    <cellStyle name="Comma 46 3" xfId="428" xr:uid="{727C0214-0FAD-4A6C-94B5-5A957DB2EE02}"/>
    <cellStyle name="Comma 46 4" xfId="819" xr:uid="{82BF6AFF-3F7D-4F9C-8293-09E65E0D5BED}"/>
    <cellStyle name="Comma 47" xfId="118" xr:uid="{4D78B6D1-2278-4383-A166-94DA516A2C45}"/>
    <cellStyle name="Comma 47 2" xfId="274" xr:uid="{D19D7883-C89B-4D33-8790-2EC86092B5A1}"/>
    <cellStyle name="Comma 47 2 2" xfId="587" xr:uid="{BA119740-F7BD-40C3-9217-3F3D129769A5}"/>
    <cellStyle name="Comma 47 2 3" xfId="977" xr:uid="{421C62E7-99BB-4E5D-83C0-E1CB9107334F}"/>
    <cellStyle name="Comma 47 3" xfId="431" xr:uid="{61350665-A3E2-47B0-A1E5-A6C4B69C2B10}"/>
    <cellStyle name="Comma 47 4" xfId="822" xr:uid="{84D255D7-4CA8-461D-AD64-DA35D5998361}"/>
    <cellStyle name="Comma 48" xfId="117" xr:uid="{8C59DAA0-21D4-4D79-911A-9AFB5A80607A}"/>
    <cellStyle name="Comma 48 2" xfId="273" xr:uid="{976DC53F-3CBA-45DC-9D37-FCB15D891379}"/>
    <cellStyle name="Comma 48 2 2" xfId="586" xr:uid="{FCCAF71F-EA6A-48A4-81BC-1500E430FB24}"/>
    <cellStyle name="Comma 48 2 3" xfId="976" xr:uid="{038AB7EB-034D-48BC-9A76-09106C3CD218}"/>
    <cellStyle name="Comma 48 3" xfId="430" xr:uid="{CDB56944-40B6-4B1E-A0E9-D212D3380290}"/>
    <cellStyle name="Comma 48 4" xfId="821" xr:uid="{E88C8468-F719-40C4-B745-E9628B338E97}"/>
    <cellStyle name="Comma 49" xfId="114" xr:uid="{FADEF824-C307-43E0-BE1A-988E396E49C8}"/>
    <cellStyle name="Comma 49 2" xfId="270" xr:uid="{2DF7DE83-E6B3-41D9-81B9-8FA5329F17D8}"/>
    <cellStyle name="Comma 49 2 2" xfId="583" xr:uid="{E9CEC8D0-03A8-4241-A55E-752E85898A44}"/>
    <cellStyle name="Comma 49 2 3" xfId="973" xr:uid="{91890D5D-774B-4EC2-8D93-D1A669EDD569}"/>
    <cellStyle name="Comma 49 3" xfId="427" xr:uid="{1E2C846A-0940-4C1D-8627-29AB2F688293}"/>
    <cellStyle name="Comma 49 4" xfId="818" xr:uid="{2EB54F6E-EBCF-4E24-9D84-2C207EC8894F}"/>
    <cellStyle name="Comma 5" xfId="38" xr:uid="{E2FD4779-7054-429F-8639-7AFAEE7A5DE3}"/>
    <cellStyle name="Comma 5 2" xfId="81" xr:uid="{EF20B3B7-E50F-40EA-86CE-C4586B9E1CBC}"/>
    <cellStyle name="Comma 5 2 2" xfId="237" xr:uid="{3A675FA5-F0E9-4304-9C37-495DFB821A81}"/>
    <cellStyle name="Comma 5 2 2 2" xfId="550" xr:uid="{FB362AE9-6AAE-43FF-8187-A3142470CE3B}"/>
    <cellStyle name="Comma 5 2 2 3" xfId="940" xr:uid="{9158B790-0063-4DB9-9331-A0F04746BBAF}"/>
    <cellStyle name="Comma 5 2 3" xfId="394" xr:uid="{8937ED79-5FAB-4899-A0A0-D39310973BEE}"/>
    <cellStyle name="Comma 5 2 4" xfId="785" xr:uid="{61224CA0-AFF3-4901-B927-A8339BD39707}"/>
    <cellStyle name="Comma 5 3" xfId="154" xr:uid="{9AA7D1F3-D5C1-4141-8C36-20833C69829B}"/>
    <cellStyle name="Comma 5 3 2" xfId="310" xr:uid="{5FA7E332-E2F5-4CC6-919D-70D62208725C}"/>
    <cellStyle name="Comma 5 3 2 2" xfId="623" xr:uid="{C7BDA746-36AE-4410-A0A6-8F10C9609AB0}"/>
    <cellStyle name="Comma 5 3 2 3" xfId="1013" xr:uid="{D4715B23-D624-46A3-93F4-0510604DE767}"/>
    <cellStyle name="Comma 5 3 3" xfId="467" xr:uid="{93F7189E-65B9-49BA-AB1C-72D8D4A846C6}"/>
    <cellStyle name="Comma 5 3 4" xfId="858" xr:uid="{5410526D-FFCE-4809-A455-E0BE802284CB}"/>
    <cellStyle name="Comma 5 4" xfId="194" xr:uid="{01EEBEB2-5BE8-42FF-B1A9-DCD63ED45DA8}"/>
    <cellStyle name="Comma 5 4 2" xfId="507" xr:uid="{122A9141-95D8-4F35-B580-4AC8BA3A4E4F}"/>
    <cellStyle name="Comma 5 4 3" xfId="897" xr:uid="{7AFAA2A7-8659-427D-870C-2A644251769D}"/>
    <cellStyle name="Comma 5 5" xfId="351" xr:uid="{AA9B7746-CF49-4D1A-9F4A-80DA4300A5E7}"/>
    <cellStyle name="Comma 5 6" xfId="703" xr:uid="{04325870-3CDF-4B35-B2B7-B881D73E6E72}"/>
    <cellStyle name="Comma 5 7" xfId="742" xr:uid="{8BFC5700-41A2-4396-909C-67D4A7F30FBB}"/>
    <cellStyle name="Comma 50" xfId="112" xr:uid="{DB89E768-3250-42D1-8AEF-9A85CC319160}"/>
    <cellStyle name="Comma 50 2" xfId="268" xr:uid="{EBB16FBC-4873-4604-AB8C-152F89600E9D}"/>
    <cellStyle name="Comma 50 2 2" xfId="581" xr:uid="{F6A769E4-028A-4A97-B0FC-FA55B937DC7A}"/>
    <cellStyle name="Comma 50 2 3" xfId="971" xr:uid="{4E5BA3E2-47C0-4116-BEF8-311D846317CF}"/>
    <cellStyle name="Comma 50 3" xfId="425" xr:uid="{E1C67AFF-27CD-4424-A9D3-02847DD0F5AF}"/>
    <cellStyle name="Comma 50 4" xfId="816" xr:uid="{A2ECD07E-68DB-44CC-98B8-09B9DBB83943}"/>
    <cellStyle name="Comma 51" xfId="101" xr:uid="{F9B78443-2870-499E-AC2C-56C913FD1A47}"/>
    <cellStyle name="Comma 51 2" xfId="257" xr:uid="{0F5197D8-DC3E-4220-A825-E74989ADE012}"/>
    <cellStyle name="Comma 51 2 2" xfId="570" xr:uid="{40F71F74-F9CA-4191-ADE1-B1759F6E91BF}"/>
    <cellStyle name="Comma 51 2 3" xfId="960" xr:uid="{1047F015-D792-41EE-BB7B-C8CCA6E5BA5F}"/>
    <cellStyle name="Comma 51 3" xfId="414" xr:uid="{8E421417-9CC8-40CB-97AA-C0F5D36CEB78}"/>
    <cellStyle name="Comma 51 4" xfId="805" xr:uid="{10D002FD-58F3-4C5B-9ECC-7600B86218EC}"/>
    <cellStyle name="Comma 52" xfId="121" xr:uid="{EA2D9AA3-A2B2-4CD2-B13A-5122437C8A48}"/>
    <cellStyle name="Comma 52 2" xfId="277" xr:uid="{94B9FD80-24A2-401C-BE00-B9B7C0B0710C}"/>
    <cellStyle name="Comma 52 2 2" xfId="590" xr:uid="{4474EEF8-A33B-4FCA-9C50-CF55F324A17D}"/>
    <cellStyle name="Comma 52 2 3" xfId="980" xr:uid="{78FCD47B-7D8D-48D3-8674-D64EC1EC837C}"/>
    <cellStyle name="Comma 52 3" xfId="434" xr:uid="{15537270-C6CD-4759-B796-65EE108FF907}"/>
    <cellStyle name="Comma 52 4" xfId="825" xr:uid="{C3117DB0-60DC-4EA9-94AD-2D5358805432}"/>
    <cellStyle name="Comma 53" xfId="119" xr:uid="{21BBE6E3-FE50-435B-9941-6EE94F3354FB}"/>
    <cellStyle name="Comma 53 2" xfId="275" xr:uid="{9228D8BA-503F-4CAB-8D84-6996A75ADB25}"/>
    <cellStyle name="Comma 53 2 2" xfId="588" xr:uid="{CD2B37DA-FD3B-42C0-B200-EBF8C69D848E}"/>
    <cellStyle name="Comma 53 2 3" xfId="978" xr:uid="{F721B681-945C-4C02-BC11-5745F7CC4357}"/>
    <cellStyle name="Comma 53 3" xfId="432" xr:uid="{67558A78-074B-4A1B-AD90-E74827BC6E8A}"/>
    <cellStyle name="Comma 53 4" xfId="823" xr:uid="{6F91E0AE-AF11-40C0-BA8B-03801335EE2D}"/>
    <cellStyle name="Comma 54" xfId="106" xr:uid="{8B497DA4-FB84-4B48-8B6F-BB17F8A7114A}"/>
    <cellStyle name="Comma 54 2" xfId="262" xr:uid="{633FC578-65E0-4A40-B770-DC397F6E1298}"/>
    <cellStyle name="Comma 54 2 2" xfId="575" xr:uid="{05C62AFD-7E11-4441-B6A5-4D1AA5DCB6E8}"/>
    <cellStyle name="Comma 54 2 3" xfId="965" xr:uid="{D580DFD0-96CE-4C14-8ED3-73ED84DBF364}"/>
    <cellStyle name="Comma 54 3" xfId="419" xr:uid="{A6E2F088-65E6-48AC-8401-52E458F0DB13}"/>
    <cellStyle name="Comma 54 4" xfId="810" xr:uid="{1B62AACA-2B4A-4ACC-B108-BC71A86449A3}"/>
    <cellStyle name="Comma 55" xfId="125" xr:uid="{05864B51-670E-4E19-8E2A-B881E04F98F5}"/>
    <cellStyle name="Comma 55 2" xfId="281" xr:uid="{2952E9A8-B11F-4528-97F7-3E9B8E32811B}"/>
    <cellStyle name="Comma 55 2 2" xfId="594" xr:uid="{24004D2F-9973-44AD-8D5C-BF271A9A2F17}"/>
    <cellStyle name="Comma 55 2 3" xfId="984" xr:uid="{B92F3758-23C4-47BB-A124-0BC174AE60D9}"/>
    <cellStyle name="Comma 55 3" xfId="438" xr:uid="{E3429D98-98BD-4FC6-9A48-F99D7999099B}"/>
    <cellStyle name="Comma 55 4" xfId="829" xr:uid="{A468035B-554B-4C91-A95C-1FAB1C14CEE3}"/>
    <cellStyle name="Comma 56" xfId="164" xr:uid="{70E57366-E22A-4F34-9AAA-65B54B4E4731}"/>
    <cellStyle name="Comma 56 2" xfId="477" xr:uid="{64A57CD1-0A93-471B-9F6B-CCAA3648ABEE}"/>
    <cellStyle name="Comma 56 3" xfId="868" xr:uid="{B73B1B04-4187-489F-9887-2CDE7E2ABC53}"/>
    <cellStyle name="Comma 57" xfId="319" xr:uid="{30C3FF01-09B8-4E84-8FE2-252DBE24CE1C}"/>
    <cellStyle name="Comma 57 2" xfId="632" xr:uid="{1764AD77-CF59-40DE-A99B-DB2FAA4C52F5}"/>
    <cellStyle name="Comma 58" xfId="171" xr:uid="{D7CBB36A-FA3A-40C6-BE79-B6C4A17F5DC4}"/>
    <cellStyle name="Comma 58 2" xfId="484" xr:uid="{F0C302FC-79A8-412D-A77C-1392D63E732B}"/>
    <cellStyle name="Comma 59" xfId="321" xr:uid="{32DE958D-AD09-4616-A04A-359C58F4BABC}"/>
    <cellStyle name="Comma 6" xfId="37" xr:uid="{78224C0E-99FC-4BB9-9B6A-A639F9ED47C9}"/>
    <cellStyle name="Comma 6 2" xfId="80" xr:uid="{85801522-3F04-403B-9D1B-33280D0BDF39}"/>
    <cellStyle name="Comma 6 2 2" xfId="236" xr:uid="{B0B77B13-2185-46E1-BC33-6E270A77A16E}"/>
    <cellStyle name="Comma 6 2 2 2" xfId="549" xr:uid="{0DBF5286-E4C9-462D-BA46-34FF46983B36}"/>
    <cellStyle name="Comma 6 2 2 3" xfId="939" xr:uid="{4166DD71-3F68-462E-A79D-EB87F0A9DC49}"/>
    <cellStyle name="Comma 6 2 3" xfId="393" xr:uid="{8373DC57-6234-481A-BD84-E0AABB6A3C4C}"/>
    <cellStyle name="Comma 6 2 4" xfId="784" xr:uid="{DE02D761-4673-4035-B027-ECEE5C9440CB}"/>
    <cellStyle name="Comma 6 3" xfId="153" xr:uid="{3CF8D485-E917-46DF-93AC-C75D9CA29C15}"/>
    <cellStyle name="Comma 6 3 2" xfId="309" xr:uid="{63ACEA8D-49AF-4CB3-B40D-BA7DE2654DE1}"/>
    <cellStyle name="Comma 6 3 2 2" xfId="622" xr:uid="{60DD9573-A9C4-44DA-AFBC-23721B1ED091}"/>
    <cellStyle name="Comma 6 3 2 3" xfId="1012" xr:uid="{0DDAC6F5-21E3-4D9A-BCAA-11D131F7474D}"/>
    <cellStyle name="Comma 6 3 3" xfId="466" xr:uid="{D20F37F4-3690-49AB-BE21-3430D913045B}"/>
    <cellStyle name="Comma 6 3 4" xfId="857" xr:uid="{E190E913-B1A4-4867-8419-E3153C228DA2}"/>
    <cellStyle name="Comma 6 4" xfId="193" xr:uid="{9086080B-5740-4999-AFF6-B3DFF80BC804}"/>
    <cellStyle name="Comma 6 4 2" xfId="506" xr:uid="{ABD36E97-64AC-4AD1-9EC4-23AEF72C9BC2}"/>
    <cellStyle name="Comma 6 4 3" xfId="896" xr:uid="{4B9586F7-8A54-4E5C-9D0F-42FC0792103F}"/>
    <cellStyle name="Comma 6 5" xfId="350" xr:uid="{FA3B40AC-3B90-48C3-AA41-9E677C2070B6}"/>
    <cellStyle name="Comma 6 6" xfId="702" xr:uid="{2EB236A3-E0F9-494F-BBEC-1A02A2FB0D88}"/>
    <cellStyle name="Comma 6 7" xfId="741" xr:uid="{1BB9891F-FD57-4D25-BD0E-F26C2A4A7FAD}"/>
    <cellStyle name="Comma 60" xfId="328" xr:uid="{D2B81970-8FA4-44C3-802C-D9AFB3AB060F}"/>
    <cellStyle name="Comma 61" xfId="651" xr:uid="{7AD5BF83-D8B7-44FA-A2F2-09EB3B44BDE9}"/>
    <cellStyle name="Comma 62" xfId="654" xr:uid="{39FA67BF-B7AE-4428-81D9-02CE08631F99}"/>
    <cellStyle name="Comma 63" xfId="662" xr:uid="{0E51F7CC-6BE5-441E-B3BA-F36760D6480A}"/>
    <cellStyle name="Comma 64" xfId="645" xr:uid="{3268B51D-6025-4A4A-B346-23932B0A6A2E}"/>
    <cellStyle name="Comma 65" xfId="667" xr:uid="{D3102F6E-4D6B-4163-86A5-0975E14591F9}"/>
    <cellStyle name="Comma 66" xfId="649" xr:uid="{8B42C753-9071-49CB-B895-CBA4F8F8B14D}"/>
    <cellStyle name="Comma 67" xfId="668" xr:uid="{F1F48779-3BD4-4A41-A782-6AA4CCD7469A}"/>
    <cellStyle name="Comma 68" xfId="650" xr:uid="{E80E2861-29FD-4AC0-8220-9A414638C49C}"/>
    <cellStyle name="Comma 69" xfId="638" xr:uid="{B3A22A14-C9EA-4192-B8BC-118738548B24}"/>
    <cellStyle name="Comma 7" xfId="33" xr:uid="{0E14E0D9-9021-4F9F-96B2-07B59719692D}"/>
    <cellStyle name="Comma 7 2" xfId="76" xr:uid="{5BD143F7-BCF6-4730-9C35-334D4F042002}"/>
    <cellStyle name="Comma 7 2 2" xfId="232" xr:uid="{76BD9236-CD41-44C6-BA7C-740EDCC93CA4}"/>
    <cellStyle name="Comma 7 2 2 2" xfId="545" xr:uid="{A819328F-E755-4852-A649-549C519E281D}"/>
    <cellStyle name="Comma 7 2 2 3" xfId="935" xr:uid="{DAEAFB07-54EA-4BF0-84DD-953F98606DB5}"/>
    <cellStyle name="Comma 7 2 3" xfId="389" xr:uid="{D4F89818-522D-49AE-BF70-CAC0B22A7E40}"/>
    <cellStyle name="Comma 7 2 4" xfId="780" xr:uid="{97A2713A-DA98-47F5-9294-EB3AFCAD8A64}"/>
    <cellStyle name="Comma 7 3" xfId="149" xr:uid="{0CA56C88-E96A-4CD2-AF1F-D90483798676}"/>
    <cellStyle name="Comma 7 3 2" xfId="305" xr:uid="{C1C873C5-F4F3-47F8-A4D3-5A3FB557CE2E}"/>
    <cellStyle name="Comma 7 3 2 2" xfId="618" xr:uid="{6E6FFEA2-2906-433C-B81C-75A4669DE7B4}"/>
    <cellStyle name="Comma 7 3 2 3" xfId="1008" xr:uid="{4D7A6F0E-9F55-4E48-A0EF-132192186E99}"/>
    <cellStyle name="Comma 7 3 3" xfId="462" xr:uid="{13E9F820-F1FE-4064-9AE3-279B149EDCB8}"/>
    <cellStyle name="Comma 7 3 4" xfId="853" xr:uid="{937BF336-9AEE-44E5-890F-9AFEF327B8FF}"/>
    <cellStyle name="Comma 7 4" xfId="189" xr:uid="{CA1AE0C9-94B6-4B03-A052-4BF57ED11DE4}"/>
    <cellStyle name="Comma 7 4 2" xfId="502" xr:uid="{728195F2-24EA-47F3-9D9C-BDE2C20777C4}"/>
    <cellStyle name="Comma 7 4 3" xfId="892" xr:uid="{E1176083-093F-4644-A760-0512622C8B9C}"/>
    <cellStyle name="Comma 7 5" xfId="346" xr:uid="{7FF3F851-288B-4E4E-91B9-44F6CA5B1E40}"/>
    <cellStyle name="Comma 7 6" xfId="698" xr:uid="{17BA552B-D74B-4449-A6F1-520120D5D74E}"/>
    <cellStyle name="Comma 7 7" xfId="737" xr:uid="{E5EB605E-6851-4636-B4AE-E6573C65D0A9}"/>
    <cellStyle name="Comma 70" xfId="643" xr:uid="{AC2F561A-9D10-459F-85BA-0424AAA9E863}"/>
    <cellStyle name="Comma 71" xfId="644" xr:uid="{36269F7C-D617-4767-8498-A51E4185550A}"/>
    <cellStyle name="Comma 72" xfId="670" xr:uid="{F8475510-92A6-4764-829A-0FF2ACF6D4B3}"/>
    <cellStyle name="Comma 73" xfId="657" xr:uid="{4F737939-D1C1-4D99-89B1-4EF9843D1B46}"/>
    <cellStyle name="Comma 74" xfId="663" xr:uid="{608FA79F-F98E-4F72-906C-F21F50F57CB1}"/>
    <cellStyle name="Comma 75" xfId="634" xr:uid="{E54024B6-1808-4A92-A7BC-55AAFF42B713}"/>
    <cellStyle name="Comma 76" xfId="637" xr:uid="{27CC196C-B98B-4EA4-B01D-B25DA0104DD3}"/>
    <cellStyle name="Comma 77" xfId="652" xr:uid="{1A804396-F249-4AEA-8846-32A0CD44FA2F}"/>
    <cellStyle name="Comma 78" xfId="647" xr:uid="{08C8DDB7-B471-40E7-BCB8-C4DCC87F535B}"/>
    <cellStyle name="Comma 79" xfId="661" xr:uid="{3318ECB9-F2EB-4613-AF4A-A6990F5E176E}"/>
    <cellStyle name="Comma 8" xfId="41" xr:uid="{EA483ABA-141C-4C31-AB89-B2A1F21D2D91}"/>
    <cellStyle name="Comma 8 2" xfId="84" xr:uid="{647DB5A3-8EE9-4432-B79A-DCB77DDA7ACA}"/>
    <cellStyle name="Comma 8 2 2" xfId="240" xr:uid="{A0C45C9F-D3F8-4EDA-9CDF-E26C78C68264}"/>
    <cellStyle name="Comma 8 2 2 2" xfId="553" xr:uid="{93A61065-B48A-47F2-8B4D-1FF9895E11B0}"/>
    <cellStyle name="Comma 8 2 2 3" xfId="943" xr:uid="{E622A224-5602-41F0-88DC-998013115890}"/>
    <cellStyle name="Comma 8 2 3" xfId="397" xr:uid="{6B6DBC30-143B-4043-A4F0-C25E45A712A0}"/>
    <cellStyle name="Comma 8 2 4" xfId="788" xr:uid="{611B4A9F-EE24-413B-9106-A42756537AC3}"/>
    <cellStyle name="Comma 8 3" xfId="157" xr:uid="{D9C19692-9B38-495C-BA39-733975FF792F}"/>
    <cellStyle name="Comma 8 3 2" xfId="313" xr:uid="{5FA0A696-8547-41F0-BD2E-808681F7ABB0}"/>
    <cellStyle name="Comma 8 3 2 2" xfId="626" xr:uid="{2041AC75-EC14-4C0A-A557-43C386916AE7}"/>
    <cellStyle name="Comma 8 3 2 3" xfId="1016" xr:uid="{C02D246B-2F8E-4DB8-8AB9-8872B0ADF9CB}"/>
    <cellStyle name="Comma 8 3 3" xfId="470" xr:uid="{715CEE64-ADCB-41B1-8C94-A3493D856247}"/>
    <cellStyle name="Comma 8 3 4" xfId="861" xr:uid="{C107F181-5111-4320-9404-0260ED87A698}"/>
    <cellStyle name="Comma 8 4" xfId="197" xr:uid="{80304B8B-714D-4F39-A789-104D7527C7A5}"/>
    <cellStyle name="Comma 8 4 2" xfId="510" xr:uid="{C28BE91B-02BC-4C29-A7FF-4165076DA02D}"/>
    <cellStyle name="Comma 8 4 3" xfId="900" xr:uid="{E18FE1A1-812C-4D3B-AE03-F1079B1C81A5}"/>
    <cellStyle name="Comma 8 5" xfId="354" xr:uid="{ED67CE2D-B4E8-4BEA-883C-B63249DAA11D}"/>
    <cellStyle name="Comma 8 6" xfId="706" xr:uid="{C051CA1B-702F-4990-A7CF-931F0E2FE911}"/>
    <cellStyle name="Comma 8 7" xfId="745" xr:uid="{03BE624A-920B-449D-B5D8-3C12FDA913D2}"/>
    <cellStyle name="Comma 80" xfId="666" xr:uid="{B1A0CF01-7065-4326-AAA1-53E200431570}"/>
    <cellStyle name="Comma 81" xfId="658" xr:uid="{B9A5F2D5-8D61-4808-A138-9C2808A154A9}"/>
    <cellStyle name="Comma 82" xfId="655" xr:uid="{F9EEF8B3-B68E-48A1-A0AA-3766C2E02E40}"/>
    <cellStyle name="Comma 83" xfId="646" xr:uid="{1545AD17-BD85-4456-B4E4-12B47DF338EF}"/>
    <cellStyle name="Comma 84" xfId="659" xr:uid="{14724E95-AAED-494A-8503-30F709587566}"/>
    <cellStyle name="Comma 85" xfId="641" xr:uid="{6FF725D7-CEF3-4C72-9991-9DF9376E78B5}"/>
    <cellStyle name="Comma 86" xfId="639" xr:uid="{927C7BF2-2578-4629-AB8C-1809E2759E8F}"/>
    <cellStyle name="Comma 87" xfId="669" xr:uid="{2FAA9DA3-EE09-4D5A-9173-13D24F6663F8}"/>
    <cellStyle name="Comma 88" xfId="635" xr:uid="{F654C73A-E165-4A28-8856-83A3BCBE3DFC}"/>
    <cellStyle name="Comma 89" xfId="665" xr:uid="{112CEF21-2098-4A42-8473-67CD27A632D4}"/>
    <cellStyle name="Comma 9" xfId="39" xr:uid="{70349455-FF69-4615-BC4B-7AA2A4DA06E8}"/>
    <cellStyle name="Comma 9 2" xfId="82" xr:uid="{747045E1-E6F7-416D-A9EC-9DAAF88737A4}"/>
    <cellStyle name="Comma 9 2 2" xfId="238" xr:uid="{75B759A2-0DFE-4934-A4E3-569DA76C0D23}"/>
    <cellStyle name="Comma 9 2 2 2" xfId="551" xr:uid="{FF202D09-09F8-4DE6-A127-6978C2C508DA}"/>
    <cellStyle name="Comma 9 2 2 3" xfId="941" xr:uid="{CD89ACE0-1BD0-4354-8218-87D690FCFB10}"/>
    <cellStyle name="Comma 9 2 3" xfId="395" xr:uid="{CFCA511D-6933-42FA-9EEE-E0FEF8765DCC}"/>
    <cellStyle name="Comma 9 2 4" xfId="786" xr:uid="{5B932068-3EAB-4731-BED7-0654CBA73ED0}"/>
    <cellStyle name="Comma 9 3" xfId="155" xr:uid="{3950AAD8-3E07-4BE2-B076-F81E988E3D3C}"/>
    <cellStyle name="Comma 9 3 2" xfId="311" xr:uid="{8B8776A7-90AB-4F53-BF92-C47F8090F19E}"/>
    <cellStyle name="Comma 9 3 2 2" xfId="624" xr:uid="{381E821C-12F0-4F2B-B5D4-6A52FE3B96B3}"/>
    <cellStyle name="Comma 9 3 2 3" xfId="1014" xr:uid="{AB58B521-F3EC-481C-BD66-F1A36C834929}"/>
    <cellStyle name="Comma 9 3 3" xfId="468" xr:uid="{05595538-716B-4820-BE4F-CDEF52D9F1F7}"/>
    <cellStyle name="Comma 9 3 4" xfId="859" xr:uid="{263B961A-BC5D-40BA-B92A-17D522BB867E}"/>
    <cellStyle name="Comma 9 4" xfId="195" xr:uid="{19A0CEE6-6539-43D1-AFE3-9BE112946870}"/>
    <cellStyle name="Comma 9 4 2" xfId="508" xr:uid="{09F98753-61BA-4297-A492-9578B13C5A7E}"/>
    <cellStyle name="Comma 9 4 3" xfId="898" xr:uid="{6C7B7E32-606B-40BF-B250-5F6BFB839C83}"/>
    <cellStyle name="Comma 9 5" xfId="352" xr:uid="{A666EAC8-1A97-4768-BB62-529A12F3C4F1}"/>
    <cellStyle name="Comma 9 6" xfId="704" xr:uid="{D0D12AE0-6547-4360-8BE6-7DCAEB80A9B9}"/>
    <cellStyle name="Comma 9 7" xfId="743" xr:uid="{6617AF93-3CD7-42C1-8B46-AB376F9B240E}"/>
    <cellStyle name="Comma 90" xfId="653" xr:uid="{E27F6EDF-1C4E-4AF4-9479-9B25485DB150}"/>
    <cellStyle name="Comma 91" xfId="642" xr:uid="{F8FCDD26-D249-45D7-B761-61D7B5E64220}"/>
    <cellStyle name="Comma 92" xfId="633" xr:uid="{171836CF-37B8-46EA-8DBD-555B4AEE88EA}"/>
    <cellStyle name="Comma 93" xfId="656" xr:uid="{48008E3E-F01C-41AD-8641-11022A7534DD}"/>
    <cellStyle name="Comma 94" xfId="640" xr:uid="{58C40AE4-1B75-4462-88C5-B04D50843310}"/>
    <cellStyle name="Comma 95" xfId="636" xr:uid="{F86A250E-1D46-400F-990C-98B51736D742}"/>
    <cellStyle name="Comma 96" xfId="671" xr:uid="{E560EB6D-DC04-4C6B-B610-D7D6324E86B2}"/>
    <cellStyle name="Comma 97" xfId="672" xr:uid="{D737170C-DAF5-48CD-AB96-DBA8146851D5}"/>
    <cellStyle name="Comma 98" xfId="648" xr:uid="{8D16B32A-CE1C-4DF0-B30D-74A81C697590}"/>
    <cellStyle name="Comma 99" xfId="660" xr:uid="{3D143A87-ED06-4BD4-8494-9A18BAD8A595}"/>
    <cellStyle name="Currency [0]" xfId="12" builtinId="7"/>
    <cellStyle name="Currency [0] 2" xfId="28" xr:uid="{1E34CB2C-DEF2-4AC7-B154-6F98A940E49F}"/>
    <cellStyle name="Currency [0] 2 2" xfId="71" xr:uid="{FB5D63F2-A347-4A70-A925-27F759536236}"/>
    <cellStyle name="Currency [0] 2 2 2" xfId="227" xr:uid="{57F527FF-5D07-4890-8249-505DC0187FE0}"/>
    <cellStyle name="Currency [0] 2 2 2 2" xfId="540" xr:uid="{2268EE36-7FC2-4802-9B9F-9662B2E322A2}"/>
    <cellStyle name="Currency [0] 2 2 2 3" xfId="930" xr:uid="{556765E8-C917-4272-A05C-610DB480A30D}"/>
    <cellStyle name="Currency [0] 2 2 3" xfId="384" xr:uid="{3A1966BD-7D0A-4C71-BFE8-2BBA669ABB17}"/>
    <cellStyle name="Currency [0] 2 2 4" xfId="775" xr:uid="{B5F44A94-3B3A-43AE-839D-2BC437C1C216}"/>
    <cellStyle name="Currency [0] 2 3" xfId="144" xr:uid="{79A8F033-A8B3-4FE0-8D99-3322226EF405}"/>
    <cellStyle name="Currency [0] 2 3 2" xfId="300" xr:uid="{2705D639-0000-4EF5-A427-0816FACC2319}"/>
    <cellStyle name="Currency [0] 2 3 2 2" xfId="613" xr:uid="{32020D38-C8A5-40A5-BDDA-48E758A0E2DC}"/>
    <cellStyle name="Currency [0] 2 3 2 3" xfId="1003" xr:uid="{754322E2-71F0-4916-8FD1-4AFECD880837}"/>
    <cellStyle name="Currency [0] 2 3 3" xfId="457" xr:uid="{D5967C79-E8A6-4A0D-9EBF-0798735A3C5E}"/>
    <cellStyle name="Currency [0] 2 3 4" xfId="848" xr:uid="{DD2873A9-DB97-4892-8313-FA8226DDC53D}"/>
    <cellStyle name="Currency [0] 2 4" xfId="184" xr:uid="{44CEE05A-AA43-4147-9A15-78EB0654B5BA}"/>
    <cellStyle name="Currency [0] 2 4 2" xfId="497" xr:uid="{39C95D56-B854-4C16-999A-7662F160071C}"/>
    <cellStyle name="Currency [0] 2 4 3" xfId="887" xr:uid="{005432C9-8DC8-4639-9257-6D5CDFAD6CA0}"/>
    <cellStyle name="Currency [0] 2 5" xfId="341" xr:uid="{981C0390-7B59-4AF7-8A5C-372EC40B7E9D}"/>
    <cellStyle name="Currency [0] 2 6" xfId="693" xr:uid="{52791D6E-3C28-4C98-8BC4-5E431F461E46}"/>
    <cellStyle name="Currency [0] 2 7" xfId="732" xr:uid="{B9896712-4127-46A8-A1EB-E34817507D9B}"/>
    <cellStyle name="Currency [0] 3" xfId="56" xr:uid="{C556F545-DF01-4FEB-8A29-E052242CC290}"/>
    <cellStyle name="Currency [0] 3 2" xfId="212" xr:uid="{E77A66C7-0CDB-4227-A611-7D9D75F64246}"/>
    <cellStyle name="Currency [0] 3 2 2" xfId="525" xr:uid="{EA8C6951-A7F3-4ECD-9A5D-212E98467377}"/>
    <cellStyle name="Currency [0] 3 2 3" xfId="915" xr:uid="{4F75869F-49B7-446E-900F-CE3E65351ACA}"/>
    <cellStyle name="Currency [0] 3 3" xfId="369" xr:uid="{DC145776-01BD-45EC-8252-38B4D6F5E11C}"/>
    <cellStyle name="Currency [0] 3 4" xfId="760" xr:uid="{1C7EE2E4-2E5B-42EC-B492-5EA54FCFE4C4}"/>
    <cellStyle name="Currency [0] 4" xfId="131" xr:uid="{D12BDB8B-077D-4739-8F99-EB1865065A85}"/>
    <cellStyle name="Currency [0] 4 2" xfId="287" xr:uid="{E0C38AA7-034A-4C99-A1EA-706B5DCDEF0B}"/>
    <cellStyle name="Currency [0] 4 2 2" xfId="600" xr:uid="{00D2D0B8-2F1B-4CD9-A1B2-9D85A1F03541}"/>
    <cellStyle name="Currency [0] 4 2 3" xfId="990" xr:uid="{A09A9EE0-E2DA-4291-867B-E2FE761DB94E}"/>
    <cellStyle name="Currency [0] 4 3" xfId="444" xr:uid="{41857E91-5247-4BDF-9993-4337E1CED273}"/>
    <cellStyle name="Currency [0] 4 4" xfId="835" xr:uid="{20317A5C-91CF-4B84-ACA1-46F1E71F52A6}"/>
    <cellStyle name="Currency [0] 5" xfId="170" xr:uid="{F9D980F7-BBC2-489E-B558-184207C45BA2}"/>
    <cellStyle name="Currency [0] 5 2" xfId="483" xr:uid="{3CDA7E53-8AD6-4F55-A718-9E7D535F6AFA}"/>
    <cellStyle name="Currency [0] 5 3" xfId="874" xr:uid="{24F244F7-5E55-4530-A868-676F50FA7D8A}"/>
    <cellStyle name="Currency [0] 6" xfId="327" xr:uid="{8A7BEA96-A561-4FE7-A959-926E80092EF6}"/>
    <cellStyle name="Currency [0] 7" xfId="680" xr:uid="{A8DC9A1B-1F07-4586-8E06-05D5C7255698}"/>
    <cellStyle name="Currency [0] 8" xfId="719" xr:uid="{9F98C50A-A8E2-4DFA-8D0E-8C69F686ABF3}"/>
    <cellStyle name="Hyperlink" xfId="3" builtinId="8"/>
    <cellStyle name="Hyperlink 2" xfId="7" xr:uid="{43849EB0-1C68-4929-B67E-CDADD18F42C5}"/>
    <cellStyle name="Hyperlink 3" xfId="9" xr:uid="{AACAC4E0-D70D-490C-9558-2916B7E29B73}"/>
    <cellStyle name="Normal" xfId="0" builtinId="0"/>
    <cellStyle name="Normal 11" xfId="1028" xr:uid="{042C8FCC-13AA-457C-8CA3-7D1991551EE3}"/>
    <cellStyle name="Normal 2" xfId="4" xr:uid="{1F3BF7EC-4112-474E-BAAD-C88F3A91EBED}"/>
    <cellStyle name="Normal 2 2" xfId="17" xr:uid="{BA00CD43-952E-45F7-9485-ADCA021DA8EB}"/>
    <cellStyle name="Normal 2 2 2" xfId="30" xr:uid="{A24E1EBB-D243-432C-B46D-6C2A51D08F74}"/>
    <cellStyle name="Normal 2 2 2 2" xfId="73" xr:uid="{26DE347D-BA92-4CDB-B612-E3AC4D75DEFD}"/>
    <cellStyle name="Normal 2 2 2 2 2" xfId="229" xr:uid="{30610F82-D554-419C-929F-A73754971A79}"/>
    <cellStyle name="Normal 2 2 2 2 2 2" xfId="542" xr:uid="{67DE87DE-2E1D-42A1-BF1B-1036815DCEE7}"/>
    <cellStyle name="Normal 2 2 2 2 2 3" xfId="932" xr:uid="{D3678F8E-3D00-4BB8-87CC-2C0E9EBE709B}"/>
    <cellStyle name="Normal 2 2 2 2 3" xfId="386" xr:uid="{FB64E2EE-3A77-4BBB-A930-070196D2DB06}"/>
    <cellStyle name="Normal 2 2 2 2 4" xfId="777" xr:uid="{3DDDDF5B-97E1-4870-B0B2-F84D12D48A39}"/>
    <cellStyle name="Normal 2 2 2 3" xfId="146" xr:uid="{B052C0DC-D5E4-4844-9AA4-BF8934C7CDF5}"/>
    <cellStyle name="Normal 2 2 2 3 2" xfId="302" xr:uid="{658D095C-B60B-4989-903F-D4149FF4E770}"/>
    <cellStyle name="Normal 2 2 2 3 2 2" xfId="615" xr:uid="{1D0C0DF1-D906-479F-B148-42D1A28457C7}"/>
    <cellStyle name="Normal 2 2 2 3 2 3" xfId="1005" xr:uid="{362786C8-9D27-414D-9A1C-C3652632821C}"/>
    <cellStyle name="Normal 2 2 2 3 3" xfId="459" xr:uid="{61CC5EF9-1980-4E33-B900-483AEC611120}"/>
    <cellStyle name="Normal 2 2 2 3 4" xfId="850" xr:uid="{C93D2863-0D6E-45EE-9427-DE9FEFC2E1D3}"/>
    <cellStyle name="Normal 2 2 2 4" xfId="186" xr:uid="{6A1A107F-676F-4BDE-95EA-85A4AAB8CFCB}"/>
    <cellStyle name="Normal 2 2 2 4 2" xfId="499" xr:uid="{B0FD5514-2F08-40D2-A6BC-8AFB1328FBD0}"/>
    <cellStyle name="Normal 2 2 2 4 3" xfId="889" xr:uid="{6737E8F3-8711-498E-8CAC-FE971EC6215B}"/>
    <cellStyle name="Normal 2 2 2 5" xfId="343" xr:uid="{9B7AF837-379B-4A6B-B6CE-6BC2E5D9BB41}"/>
    <cellStyle name="Normal 2 2 2 6" xfId="695" xr:uid="{5D88C762-E3FB-45D8-866C-37E573758D02}"/>
    <cellStyle name="Normal 2 2 2 7" xfId="734" xr:uid="{B8110005-4516-4A8C-837B-DFF37038B587}"/>
    <cellStyle name="Normal 2 2 3" xfId="60" xr:uid="{3BB63719-EA0C-432B-81C0-C52D75710BFA}"/>
    <cellStyle name="Normal 2 2 3 2" xfId="216" xr:uid="{9B8C4069-1EFB-4508-A19F-B82532648564}"/>
    <cellStyle name="Normal 2 2 3 2 2" xfId="529" xr:uid="{DB99F454-610E-431B-8CF4-8ECAD7CE5E45}"/>
    <cellStyle name="Normal 2 2 3 2 3" xfId="919" xr:uid="{53DCA6D2-55D5-4153-A648-87E54996433C}"/>
    <cellStyle name="Normal 2 2 3 3" xfId="373" xr:uid="{A127A90B-B795-4998-9236-CE43D08C8944}"/>
    <cellStyle name="Normal 2 2 3 4" xfId="764" xr:uid="{44736E8D-2F8F-4CA0-B260-FF162DF8DA8D}"/>
    <cellStyle name="Normal 2 2 3 5" xfId="1029" xr:uid="{561DB0A1-3047-4285-B571-AD4A517EBEC7}"/>
    <cellStyle name="Normal 2 2 4" xfId="133" xr:uid="{B2B2BB44-8AA3-491B-A5D7-A9DD7C533F80}"/>
    <cellStyle name="Normal 2 2 4 2" xfId="289" xr:uid="{5863D2F6-3F5A-493E-A705-8935BBADDBE7}"/>
    <cellStyle name="Normal 2 2 4 2 2" xfId="602" xr:uid="{77AFC845-7839-42F4-9B89-29A09AE38425}"/>
    <cellStyle name="Normal 2 2 4 2 3" xfId="992" xr:uid="{B7398000-33EB-4ABA-A92A-8756EE742AAD}"/>
    <cellStyle name="Normal 2 2 4 3" xfId="446" xr:uid="{181CB4EF-5FF6-452F-A612-E1DB009EE752}"/>
    <cellStyle name="Normal 2 2 4 4" xfId="837" xr:uid="{2E9613B7-1BEA-47A4-AAD8-5990689F40FF}"/>
    <cellStyle name="Normal 2 2 5" xfId="173" xr:uid="{1BD99399-C95F-485E-9CB0-A25AC3287781}"/>
    <cellStyle name="Normal 2 2 5 2" xfId="486" xr:uid="{A33FFC0A-F325-485F-B28B-C1BFF601F5DD}"/>
    <cellStyle name="Normal 2 2 5 3" xfId="876" xr:uid="{A3B46C60-FB6B-413A-9BFE-9503F56063C1}"/>
    <cellStyle name="Normal 2 2 6" xfId="330" xr:uid="{9EDBB085-2CF5-486D-950F-B09353403923}"/>
    <cellStyle name="Normal 2 2 7" xfId="682" xr:uid="{D07BAABB-0AF2-406F-8492-9986A39F3FA2}"/>
    <cellStyle name="Normal 2 2 8" xfId="721" xr:uid="{394D363D-922A-43B2-B1D3-76DCAC898149}"/>
    <cellStyle name="Normal 2 2 9" xfId="1022" xr:uid="{3D093278-A91A-4267-BD0D-8D5A65041325}"/>
    <cellStyle name="Normal 2 3" xfId="23" xr:uid="{325F6BA1-2CA2-4BDE-BEE7-4F87BC530AA7}"/>
    <cellStyle name="Normal 2 3 2" xfId="66" xr:uid="{2F95C09F-21D5-4F82-AD47-2543DCB1ACBB}"/>
    <cellStyle name="Normal 2 3 2 2" xfId="222" xr:uid="{22C06896-A248-494B-9A0E-89FE45CD239B}"/>
    <cellStyle name="Normal 2 3 2 2 2" xfId="535" xr:uid="{E27CCA7B-816F-4168-A258-62AFEDEB24D8}"/>
    <cellStyle name="Normal 2 3 2 2 3" xfId="925" xr:uid="{297F43E0-AA68-47DA-9283-32A41DB9E550}"/>
    <cellStyle name="Normal 2 3 2 3" xfId="379" xr:uid="{56C34444-FE1B-41E4-9452-73E3B71AC8C8}"/>
    <cellStyle name="Normal 2 3 2 4" xfId="770" xr:uid="{172E0CB6-E237-4E44-B9E1-4F672D9DACFC}"/>
    <cellStyle name="Normal 2 3 3" xfId="139" xr:uid="{FCD7B120-A11B-45DC-A7A0-2F712EA270CA}"/>
    <cellStyle name="Normal 2 3 3 2" xfId="295" xr:uid="{3693046C-6828-41A5-8E14-6E25214B10E7}"/>
    <cellStyle name="Normal 2 3 3 2 2" xfId="608" xr:uid="{5F8231F3-E301-42C4-8FCD-392A016DC0B9}"/>
    <cellStyle name="Normal 2 3 3 2 3" xfId="998" xr:uid="{0F2ED11B-905F-4131-90B9-767D94E88C17}"/>
    <cellStyle name="Normal 2 3 3 3" xfId="452" xr:uid="{7446C59E-6060-4B42-8B2B-4D31022F0B8F}"/>
    <cellStyle name="Normal 2 3 3 4" xfId="843" xr:uid="{75FA24AA-1F52-4589-98E3-9D279B6E94A8}"/>
    <cellStyle name="Normal 2 3 4" xfId="179" xr:uid="{5EAD8E3A-9502-4C3C-8FDE-346ADFD46A62}"/>
    <cellStyle name="Normal 2 3 4 2" xfId="492" xr:uid="{75510953-B72F-4029-8D4D-67623C5A1833}"/>
    <cellStyle name="Normal 2 3 4 3" xfId="882" xr:uid="{2EACF863-063E-4324-9227-EFF690A8393F}"/>
    <cellStyle name="Normal 2 3 5" xfId="336" xr:uid="{32D5E132-1F0D-4AC2-815B-E6726DA7E24F}"/>
    <cellStyle name="Normal 2 3 6" xfId="688" xr:uid="{0C25133A-A46F-4267-BCF6-951DBDBBC43F}"/>
    <cellStyle name="Normal 2 3 7" xfId="727" xr:uid="{D841CFFE-4775-4EFA-B2A2-9218EAE1B97B}"/>
    <cellStyle name="Normal 2 4" xfId="50" xr:uid="{27DD83D0-522D-4634-A99C-6B4604D66DB2}"/>
    <cellStyle name="Normal 2 4 2" xfId="206" xr:uid="{F9B3E753-0061-4C09-AD03-628AE8AEBC04}"/>
    <cellStyle name="Normal 2 4 2 2" xfId="519" xr:uid="{1BC0E0DA-99B7-4A73-AC5C-7A401DD2EE0D}"/>
    <cellStyle name="Normal 2 4 2 3" xfId="909" xr:uid="{E7846D3E-41D1-41B5-9D14-31054E8B625E}"/>
    <cellStyle name="Normal 2 4 3" xfId="363" xr:uid="{809EDA00-737D-4F34-883E-60545586126A}"/>
    <cellStyle name="Normal 2 4 4" xfId="754" xr:uid="{30302B64-7FD1-4AF3-A714-A152B0DB626F}"/>
    <cellStyle name="Normal 2 5" xfId="126" xr:uid="{95D0E138-2FCA-4C9F-A824-666D490FB319}"/>
    <cellStyle name="Normal 2 5 2" xfId="282" xr:uid="{811912BF-0915-4073-B0C8-66270308CFE8}"/>
    <cellStyle name="Normal 2 5 2 2" xfId="595" xr:uid="{99E30128-EE86-48D8-B0DD-02E738EFB921}"/>
    <cellStyle name="Normal 2 5 2 3" xfId="985" xr:uid="{EBAC7741-81DE-4532-8AFD-AA358AEA5B15}"/>
    <cellStyle name="Normal 2 5 3" xfId="439" xr:uid="{802C57C1-8973-4385-A5A8-D1481EA3D88C}"/>
    <cellStyle name="Normal 2 5 4" xfId="830" xr:uid="{1998AC0A-3F27-45A3-8894-DF285F280D4E}"/>
    <cellStyle name="Normal 2 6" xfId="165" xr:uid="{ADE0CE89-421D-4928-A9BF-BCD1CC0D0800}"/>
    <cellStyle name="Normal 2 6 2" xfId="478" xr:uid="{205ABE0A-CAB2-483D-AD88-799D0FF4A8DC}"/>
    <cellStyle name="Normal 2 6 3" xfId="869" xr:uid="{275F3169-52B9-4E6C-8F73-DB85D1CC205D}"/>
    <cellStyle name="Normal 2 7" xfId="322" xr:uid="{3660D24C-46F4-4E84-BA78-5985BD55F9C1}"/>
    <cellStyle name="Normal 2 8" xfId="675" xr:uid="{2E90F146-F887-48D8-ABE4-2188E8380338}"/>
    <cellStyle name="Normal 2 9" xfId="714" xr:uid="{D9B55DDA-31E3-4312-B20C-3292235BC68F}"/>
    <cellStyle name="Normal 3" xfId="8" xr:uid="{0876BC18-8845-47D8-A4BA-AACD9EC96B44}"/>
    <cellStyle name="Normal 4" xfId="10" xr:uid="{3C258EEF-6BE5-4C61-9D8C-7636AFA934C9}"/>
    <cellStyle name="Normal 4 2" xfId="26" xr:uid="{6524EA7C-FE8C-4709-AA06-3451B4BADA94}"/>
    <cellStyle name="Normal 4 2 2" xfId="69" xr:uid="{C13FD521-3C32-44D0-B71B-A90A1B7AD75B}"/>
    <cellStyle name="Normal 4 2 2 2" xfId="225" xr:uid="{1D3D1703-99F9-4922-974C-AF3500E40613}"/>
    <cellStyle name="Normal 4 2 2 2 2" xfId="538" xr:uid="{F346A002-2261-4319-9606-E85F0857ED90}"/>
    <cellStyle name="Normal 4 2 2 2 3" xfId="928" xr:uid="{E287BA52-AD8B-4D5D-83F5-B1069136008B}"/>
    <cellStyle name="Normal 4 2 2 3" xfId="382" xr:uid="{AF227792-6D07-4BD3-BD1F-E3341C6AA19B}"/>
    <cellStyle name="Normal 4 2 2 4" xfId="773" xr:uid="{93B5EB6E-CBB9-48A2-91FA-DE514C046893}"/>
    <cellStyle name="Normal 4 2 3" xfId="142" xr:uid="{4B0F4DEB-AE1C-4F44-BCCE-0230A8FF18E6}"/>
    <cellStyle name="Normal 4 2 3 2" xfId="298" xr:uid="{8371008F-03F5-4379-9A4D-0A1DC2BA9209}"/>
    <cellStyle name="Normal 4 2 3 2 2" xfId="611" xr:uid="{FEC0DD44-C1DA-4B0B-889C-EC974D423DB3}"/>
    <cellStyle name="Normal 4 2 3 2 3" xfId="1001" xr:uid="{FED2E235-80A1-4E95-BE43-93B221863BA7}"/>
    <cellStyle name="Normal 4 2 3 3" xfId="455" xr:uid="{8D3BA90F-9AD9-46C1-BE00-C16558E3B6A3}"/>
    <cellStyle name="Normal 4 2 3 4" xfId="846" xr:uid="{557641A2-901F-45AD-862B-92C27A47B1D8}"/>
    <cellStyle name="Normal 4 2 4" xfId="182" xr:uid="{2A01D75E-13E3-4ADC-B743-12FE27365F7A}"/>
    <cellStyle name="Normal 4 2 4 2" xfId="495" xr:uid="{4B6419A6-CE88-4CE8-B261-FF1E03271883}"/>
    <cellStyle name="Normal 4 2 4 3" xfId="885" xr:uid="{B56FA198-392A-42C4-8E8D-FD8B9F26BD2E}"/>
    <cellStyle name="Normal 4 2 5" xfId="339" xr:uid="{3E8BB43F-3331-41AA-BF30-5AF83424E1F9}"/>
    <cellStyle name="Normal 4 2 6" xfId="691" xr:uid="{F43C56D5-1DD7-4B50-8B9B-B68490F52942}"/>
    <cellStyle name="Normal 4 2 7" xfId="730" xr:uid="{5A1641CA-7259-41A2-917B-60956B3FADB8}"/>
    <cellStyle name="Normal 4 3" xfId="54" xr:uid="{7025C14E-5E33-48F4-9C6F-BA240D54F238}"/>
    <cellStyle name="Normal 4 3 2" xfId="210" xr:uid="{BE0A70E0-DB58-411A-A4A7-3A460C833B26}"/>
    <cellStyle name="Normal 4 3 2 2" xfId="523" xr:uid="{B6F6D173-CA53-4604-B052-3CF188A82ADD}"/>
    <cellStyle name="Normal 4 3 2 3" xfId="913" xr:uid="{3BF557A0-45AB-4EB7-9FF4-1F3F695C4428}"/>
    <cellStyle name="Normal 4 3 3" xfId="367" xr:uid="{D9F4DFB5-E588-4249-B933-9A7E1B1546F9}"/>
    <cellStyle name="Normal 4 3 4" xfId="758" xr:uid="{81792BB0-03A3-46D5-960B-1624D4CA06DF}"/>
    <cellStyle name="Normal 4 4" xfId="129" xr:uid="{A4D1F8A3-8CCD-4BA3-A824-38A437E34C09}"/>
    <cellStyle name="Normal 4 4 2" xfId="285" xr:uid="{A73BC887-0BD9-4646-B6D4-A8A28C820381}"/>
    <cellStyle name="Normal 4 4 2 2" xfId="598" xr:uid="{F41274CE-6FE0-41FD-BC04-51F19381E9DC}"/>
    <cellStyle name="Normal 4 4 2 3" xfId="988" xr:uid="{F592F24D-2920-44CD-A615-842E283CDC1E}"/>
    <cellStyle name="Normal 4 4 3" xfId="442" xr:uid="{40B9AC14-13B8-4812-A5C9-D717AA179DD1}"/>
    <cellStyle name="Normal 4 4 4" xfId="833" xr:uid="{94BC4942-961D-4417-9DBD-97694BB74773}"/>
    <cellStyle name="Normal 4 5" xfId="168" xr:uid="{C506D2DB-84A7-4C52-AEAA-DD1B024156A8}"/>
    <cellStyle name="Normal 4 5 2" xfId="481" xr:uid="{292695D3-4ED4-4D36-8336-A80AF0E0FCA9}"/>
    <cellStyle name="Normal 4 5 3" xfId="872" xr:uid="{0CA5FB64-FF79-412A-AED4-7838EA3054D6}"/>
    <cellStyle name="Normal 4 6" xfId="325" xr:uid="{BD37CB69-54A0-44F2-A47C-A65541FE2811}"/>
    <cellStyle name="Normal 4 7" xfId="678" xr:uid="{A76188B7-E1B4-48C9-B8AD-AF0A515C7BAE}"/>
    <cellStyle name="Normal 4 8" xfId="717" xr:uid="{B07DA35E-5DBB-4801-8C2A-14BFD85EC5DC}"/>
    <cellStyle name="Normal 5" xfId="11" xr:uid="{623573C9-4B67-46F7-AE22-F52DDEB3753A}"/>
    <cellStyle name="Normal 5 2" xfId="27" xr:uid="{C39EAF1B-9C3F-4E88-A974-B50097D2E552}"/>
    <cellStyle name="Normal 5 2 2" xfId="70" xr:uid="{AD776E87-ACC0-4D2B-85DE-7DCA2A32227C}"/>
    <cellStyle name="Normal 5 2 2 2" xfId="226" xr:uid="{5718822A-D5E6-4AF5-8B69-27CE0C09BBA3}"/>
    <cellStyle name="Normal 5 2 2 2 2" xfId="539" xr:uid="{DF1679F1-89D5-40F1-819C-2EB9F1DE6DF5}"/>
    <cellStyle name="Normal 5 2 2 2 3" xfId="929" xr:uid="{D22EBBC3-160A-436E-BB2F-B859F2A7A67A}"/>
    <cellStyle name="Normal 5 2 2 3" xfId="383" xr:uid="{9792F437-8BDB-4562-BFD3-9CD97FC508AA}"/>
    <cellStyle name="Normal 5 2 2 4" xfId="774" xr:uid="{9FA49C7D-9FDD-4F39-B77F-B033E9CBEAC5}"/>
    <cellStyle name="Normal 5 2 3" xfId="143" xr:uid="{C4F26248-B329-4C47-868A-EB08300061F0}"/>
    <cellStyle name="Normal 5 2 3 2" xfId="299" xr:uid="{3490D0A9-BF44-4F22-9FC7-BDA800C932B5}"/>
    <cellStyle name="Normal 5 2 3 2 2" xfId="612" xr:uid="{0588D356-1933-4598-996B-861319CBE690}"/>
    <cellStyle name="Normal 5 2 3 2 3" xfId="1002" xr:uid="{9521D785-7C16-42D4-B942-2897EC950A64}"/>
    <cellStyle name="Normal 5 2 3 3" xfId="456" xr:uid="{BC6C1584-C065-4D10-8C92-26B96A33046C}"/>
    <cellStyle name="Normal 5 2 3 4" xfId="847" xr:uid="{F7CCD010-7CB8-4C56-8C77-81ACB12F097F}"/>
    <cellStyle name="Normal 5 2 4" xfId="183" xr:uid="{45FA7FFB-8A94-4CAA-B208-A355A57B8D10}"/>
    <cellStyle name="Normal 5 2 4 2" xfId="496" xr:uid="{5BFDE0FF-1F55-4051-AF84-65072228486E}"/>
    <cellStyle name="Normal 5 2 4 3" xfId="886" xr:uid="{06877887-BC78-4236-8C47-8FB8E10FE924}"/>
    <cellStyle name="Normal 5 2 5" xfId="340" xr:uid="{491ED811-3970-49E9-9784-587F75ACADE5}"/>
    <cellStyle name="Normal 5 2 6" xfId="692" xr:uid="{47B60788-FDB5-458A-89D8-EBCF08E09B3E}"/>
    <cellStyle name="Normal 5 2 7" xfId="731" xr:uid="{C558FDC3-6EBC-4062-8E34-10B04DF6E46B}"/>
    <cellStyle name="Normal 5 3" xfId="55" xr:uid="{4D9F677B-8640-454C-A8E7-D636CCA55FB5}"/>
    <cellStyle name="Normal 5 3 2" xfId="211" xr:uid="{66D9AEA3-F318-4E3A-BFE2-4088A1591461}"/>
    <cellStyle name="Normal 5 3 2 2" xfId="524" xr:uid="{7177BC20-EDFE-43C9-B822-41D96FFFCCAD}"/>
    <cellStyle name="Normal 5 3 2 3" xfId="914" xr:uid="{B21B3249-54A7-48C0-96CC-D598A176FE7E}"/>
    <cellStyle name="Normal 5 3 3" xfId="368" xr:uid="{D00AD671-3B55-4473-9359-E68EC8E895CA}"/>
    <cellStyle name="Normal 5 3 4" xfId="759" xr:uid="{0A600454-54C4-48E0-9F6B-B650F36855C0}"/>
    <cellStyle name="Normal 5 4" xfId="130" xr:uid="{3D17BE3E-E4D1-4F99-B41D-17A4078CBF85}"/>
    <cellStyle name="Normal 5 4 2" xfId="286" xr:uid="{87C4AA75-0BBB-4619-88E3-773F856F77CD}"/>
    <cellStyle name="Normal 5 4 2 2" xfId="599" xr:uid="{1181BAB3-EB51-4045-A6AD-B34CFACF4A71}"/>
    <cellStyle name="Normal 5 4 2 3" xfId="989" xr:uid="{0016CD0F-9749-42E2-B29E-E639E297A4F4}"/>
    <cellStyle name="Normal 5 4 3" xfId="443" xr:uid="{F6D6A2A2-85E0-403F-8E1B-7FF9E207B894}"/>
    <cellStyle name="Normal 5 4 4" xfId="834" xr:uid="{BB3CF524-2097-496B-9837-94AC705552BB}"/>
    <cellStyle name="Normal 5 5" xfId="169" xr:uid="{99283975-57E8-4D4E-83B7-FDA2EDE15CB4}"/>
    <cellStyle name="Normal 5 5 2" xfId="482" xr:uid="{3342C468-2B92-48C1-B764-29F6203D5E72}"/>
    <cellStyle name="Normal 5 5 3" xfId="873" xr:uid="{4219A2AA-D997-405C-A364-4AE2F5F1BF83}"/>
    <cellStyle name="Normal 5 6" xfId="326" xr:uid="{0AE43C87-061A-462E-9D97-9E375EAC3919}"/>
    <cellStyle name="Normal 5 7" xfId="679" xr:uid="{8D874958-BA96-49D0-B021-3778CAF5DF55}"/>
    <cellStyle name="Normal 5 8" xfId="718" xr:uid="{2821A4A2-37ED-4D7E-A9B9-30348C8407A8}"/>
    <cellStyle name="Normal 6" xfId="14" xr:uid="{C9D7DA12-2819-4D98-BD18-AA376E3A6DF7}"/>
    <cellStyle name="Normal 7" xfId="122" xr:uid="{461F988D-5B21-46AA-BF5C-57A366A8102C}"/>
    <cellStyle name="Normal 7 2" xfId="278" xr:uid="{E2F41683-08F3-4367-BD6B-A02140BDFE22}"/>
    <cellStyle name="Normal 7 2 2" xfId="591" xr:uid="{EFA03D37-EB6F-42EC-9508-A8D5454AC66E}"/>
    <cellStyle name="Normal 7 2 3" xfId="981" xr:uid="{FADB8298-0626-441C-9643-908D1E862314}"/>
    <cellStyle name="Normal 7 3" xfId="435" xr:uid="{59C2623F-7EE9-49FA-BCC0-4DDAD68DD15A}"/>
    <cellStyle name="Normal 7 4" xfId="826" xr:uid="{058FC276-7A56-4F16-BAE1-DBA86A10DF7E}"/>
    <cellStyle name="Percent" xfId="13" builtinId="5"/>
    <cellStyle name="Percent 2" xfId="5" xr:uid="{11020DE0-3609-40C1-861C-31E97301939C}"/>
    <cellStyle name="Percent 2 10" xfId="1024" xr:uid="{E78E2E11-8D35-43AA-AEB9-B0019A5BB654}"/>
    <cellStyle name="Percent 2 2" xfId="18" xr:uid="{A7476508-2C4E-4756-B4CB-622FA93125A9}"/>
    <cellStyle name="Percent 2 2 2" xfId="31" xr:uid="{947AA355-170B-4BBA-9D7F-5CA5252ECFCF}"/>
    <cellStyle name="Percent 2 2 2 2" xfId="74" xr:uid="{666B4809-90FA-4945-87FC-795C77B17225}"/>
    <cellStyle name="Percent 2 2 2 2 2" xfId="230" xr:uid="{494ED921-0E8B-4B23-9BF7-C2FC1BB23739}"/>
    <cellStyle name="Percent 2 2 2 2 2 2" xfId="543" xr:uid="{D644DD74-6AC4-4A09-8BA9-4C7BD39F4FC5}"/>
    <cellStyle name="Percent 2 2 2 2 2 3" xfId="933" xr:uid="{49D610E9-941D-45CE-B56F-3A95586A0845}"/>
    <cellStyle name="Percent 2 2 2 2 3" xfId="387" xr:uid="{25BDA83B-2383-4D21-906D-E211C6FC7680}"/>
    <cellStyle name="Percent 2 2 2 2 4" xfId="778" xr:uid="{B9161E42-568F-4160-9616-BE3AAF341137}"/>
    <cellStyle name="Percent 2 2 2 3" xfId="147" xr:uid="{2505A520-0CBC-4DD0-801B-FF2DF9E1C28F}"/>
    <cellStyle name="Percent 2 2 2 3 2" xfId="303" xr:uid="{88E8A92B-5D5A-4316-A100-8FCD5D169127}"/>
    <cellStyle name="Percent 2 2 2 3 2 2" xfId="616" xr:uid="{A5C82108-1BAF-4548-99C7-0BB03570194E}"/>
    <cellStyle name="Percent 2 2 2 3 2 3" xfId="1006" xr:uid="{74A29D27-99F6-428E-80E1-A5A0EB0F455C}"/>
    <cellStyle name="Percent 2 2 2 3 3" xfId="460" xr:uid="{340C9052-D917-457C-9C65-DFB324DB885F}"/>
    <cellStyle name="Percent 2 2 2 3 4" xfId="851" xr:uid="{8BA10802-DBC5-4A36-9F07-45C76A44FB9B}"/>
    <cellStyle name="Percent 2 2 2 4" xfId="187" xr:uid="{7C0D17BD-8BB2-4539-A787-48DA48C6AE0F}"/>
    <cellStyle name="Percent 2 2 2 4 2" xfId="500" xr:uid="{3FA4D970-5D41-4015-AA9B-058326645DB8}"/>
    <cellStyle name="Percent 2 2 2 4 3" xfId="890" xr:uid="{90D70975-340B-4404-A548-B69DB9E2CAAC}"/>
    <cellStyle name="Percent 2 2 2 5" xfId="344" xr:uid="{3757EA7B-718A-45D3-9083-275F2DA3A4D5}"/>
    <cellStyle name="Percent 2 2 2 6" xfId="696" xr:uid="{98A42433-BD2F-4594-87A7-5BCB642360B3}"/>
    <cellStyle name="Percent 2 2 2 7" xfId="735" xr:uid="{A029DDC6-D058-46A2-B492-64A8BFF1C03E}"/>
    <cellStyle name="Percent 2 2 3" xfId="61" xr:uid="{D4AD526C-9048-4D7D-96B5-8281E665132D}"/>
    <cellStyle name="Percent 2 2 3 2" xfId="217" xr:uid="{7E565AC0-2587-44B2-B7A6-82B27CC44845}"/>
    <cellStyle name="Percent 2 2 3 2 2" xfId="530" xr:uid="{7F7E09AA-B4ED-46E5-A316-B60F4452A4C3}"/>
    <cellStyle name="Percent 2 2 3 2 3" xfId="920" xr:uid="{94D52E3A-24F2-4569-B63C-70456F82A04F}"/>
    <cellStyle name="Percent 2 2 3 3" xfId="374" xr:uid="{0BE1121C-B407-46C5-BE8C-30A757DBB832}"/>
    <cellStyle name="Percent 2 2 3 4" xfId="765" xr:uid="{1F273084-F4E8-4F1C-B847-A6006896378C}"/>
    <cellStyle name="Percent 2 2 4" xfId="134" xr:uid="{3CF0A3E0-A338-4520-8ABC-F3DAFF4CC0A4}"/>
    <cellStyle name="Percent 2 2 4 2" xfId="290" xr:uid="{E3EA1563-5F0F-4763-A4F9-296A012A502E}"/>
    <cellStyle name="Percent 2 2 4 2 2" xfId="603" xr:uid="{DFDEAD43-B0EF-46FC-A1D7-D47A83073903}"/>
    <cellStyle name="Percent 2 2 4 2 3" xfId="993" xr:uid="{BE8FE1EF-2BA9-4754-B60A-E7B93F5F4315}"/>
    <cellStyle name="Percent 2 2 4 3" xfId="447" xr:uid="{8DCF7CA6-058C-4D51-AC85-6FC05535ECB3}"/>
    <cellStyle name="Percent 2 2 4 4" xfId="838" xr:uid="{EA055D2C-6E4E-4359-A317-23DA0C9D5B15}"/>
    <cellStyle name="Percent 2 2 5" xfId="174" xr:uid="{79309ECE-4812-48F2-ABEF-E3BB61C355D8}"/>
    <cellStyle name="Percent 2 2 5 2" xfId="487" xr:uid="{A5A1B4AA-1BCB-4695-8346-E475FC4B7390}"/>
    <cellStyle name="Percent 2 2 5 3" xfId="877" xr:uid="{3EDB95D6-E353-4263-8F20-905ABD0AD16D}"/>
    <cellStyle name="Percent 2 2 6" xfId="331" xr:uid="{9835700E-6CB7-431E-A241-A713603923A1}"/>
    <cellStyle name="Percent 2 2 7" xfId="683" xr:uid="{7638E300-2D78-41D3-B00B-5C51CB707711}"/>
    <cellStyle name="Percent 2 2 8" xfId="722" xr:uid="{28478A0D-C791-44EF-B218-826CC83A6BE9}"/>
    <cellStyle name="Percent 2 3" xfId="24" xr:uid="{253E4AEB-6215-407A-AF48-07271FCBCA24}"/>
    <cellStyle name="Percent 2 3 2" xfId="67" xr:uid="{7B8D5686-6753-4CC9-9E26-E3C728C74605}"/>
    <cellStyle name="Percent 2 3 2 2" xfId="223" xr:uid="{4EDC0246-1C99-4394-B470-99F14E8BF495}"/>
    <cellStyle name="Percent 2 3 2 2 2" xfId="536" xr:uid="{9D59400D-B550-4717-A59B-AED6CBBFF0DB}"/>
    <cellStyle name="Percent 2 3 2 2 3" xfId="926" xr:uid="{CC0BB886-71F5-4ED8-8E2C-40117EEB10BA}"/>
    <cellStyle name="Percent 2 3 2 3" xfId="380" xr:uid="{8A7E9912-D3A1-43C6-96DE-0915A45E27AE}"/>
    <cellStyle name="Percent 2 3 2 4" xfId="771" xr:uid="{BBD3B667-FA9B-4705-A6B3-6A1C52BD1B8B}"/>
    <cellStyle name="Percent 2 3 3" xfId="140" xr:uid="{A4DD32E0-7EC5-4F3B-A26A-DCCDBFE507E9}"/>
    <cellStyle name="Percent 2 3 3 2" xfId="296" xr:uid="{C0A0F281-CF38-4086-8124-FA4E1333EC12}"/>
    <cellStyle name="Percent 2 3 3 2 2" xfId="609" xr:uid="{C406D8F0-F8F5-4C1C-94C8-A6FB6CB30848}"/>
    <cellStyle name="Percent 2 3 3 2 3" xfId="999" xr:uid="{E37172F5-A04D-4321-8C8B-FBB5DD77B8E4}"/>
    <cellStyle name="Percent 2 3 3 3" xfId="453" xr:uid="{4FC0A849-02C5-4DB3-98C8-D0C76E60C6E1}"/>
    <cellStyle name="Percent 2 3 3 4" xfId="844" xr:uid="{E98788CE-6307-427D-949B-C4BD25BC6FBB}"/>
    <cellStyle name="Percent 2 3 4" xfId="180" xr:uid="{3B8BD0E3-2805-44E9-8CD8-014AF120E04B}"/>
    <cellStyle name="Percent 2 3 4 2" xfId="493" xr:uid="{0C1A6040-214B-429C-BEFD-F3CD546E58FF}"/>
    <cellStyle name="Percent 2 3 4 3" xfId="883" xr:uid="{E3DD17BB-F107-44C0-A9BD-3F822957988C}"/>
    <cellStyle name="Percent 2 3 5" xfId="337" xr:uid="{0D685899-AE0B-4135-8FB8-E6792FDA2DA8}"/>
    <cellStyle name="Percent 2 3 6" xfId="689" xr:uid="{F63AB21C-F8E7-46FB-9DC2-5AC832CB2735}"/>
    <cellStyle name="Percent 2 3 7" xfId="728" xr:uid="{4DC48F54-A6FE-460B-AB35-C277B3142B8A}"/>
    <cellStyle name="Percent 2 4" xfId="51" xr:uid="{B0AD5296-9D72-4A23-9AB5-FE09544E861B}"/>
    <cellStyle name="Percent 2 4 2" xfId="207" xr:uid="{F09F29E5-3244-4E0E-BE99-2E3CEBECDF9C}"/>
    <cellStyle name="Percent 2 4 2 2" xfId="520" xr:uid="{F6B890B5-3805-4F77-B5E1-D1ABE0D7CEBE}"/>
    <cellStyle name="Percent 2 4 2 3" xfId="910" xr:uid="{5C3870FD-5A70-4D8C-BB66-0C9E9CD31BDC}"/>
    <cellStyle name="Percent 2 4 3" xfId="364" xr:uid="{EE0C0071-9944-48E8-9814-658428171655}"/>
    <cellStyle name="Percent 2 4 4" xfId="755" xr:uid="{1554E984-5370-4101-BC08-B994B356F404}"/>
    <cellStyle name="Percent 2 5" xfId="127" xr:uid="{F05D498E-632C-475B-95DC-D21D70656849}"/>
    <cellStyle name="Percent 2 5 2" xfId="283" xr:uid="{7AB71AD6-7386-472B-B186-699474E33C47}"/>
    <cellStyle name="Percent 2 5 2 2" xfId="596" xr:uid="{D96ACDB7-B4B5-45E0-9989-43AC41C0A58F}"/>
    <cellStyle name="Percent 2 5 2 3" xfId="986" xr:uid="{BD6C6D2E-D661-4678-B9A7-FC698DD10A32}"/>
    <cellStyle name="Percent 2 5 3" xfId="440" xr:uid="{A13A97CE-F908-4B30-849A-8AF5C246AA6B}"/>
    <cellStyle name="Percent 2 5 4" xfId="831" xr:uid="{649206AB-83D9-4A0E-8FC5-D95C39FCBBF2}"/>
    <cellStyle name="Percent 2 6" xfId="166" xr:uid="{98FC3682-BFE5-4581-B460-3B2606BA73F8}"/>
    <cellStyle name="Percent 2 6 2" xfId="479" xr:uid="{8F696E47-698E-48F4-B2BB-5E24001BEE3D}"/>
    <cellStyle name="Percent 2 6 3" xfId="870" xr:uid="{3FF3518C-CAF6-4D75-85A3-0054E931D1DF}"/>
    <cellStyle name="Percent 2 7" xfId="323" xr:uid="{1A23797F-D759-45A7-9DF0-69FB55312DE9}"/>
    <cellStyle name="Percent 2 8" xfId="676" xr:uid="{13B7C931-FA1A-431C-9907-94967F462237}"/>
    <cellStyle name="Percent 2 9" xfId="715" xr:uid="{E505B251-8471-4F2E-A480-71339D3DA13B}"/>
    <cellStyle name="Percent 3" xfId="16" xr:uid="{EF3467F2-533A-4B29-B1F8-DCCBC3615AD8}"/>
    <cellStyle name="Percent 3 2" xfId="1027" xr:uid="{554DFB3A-A02C-400E-AD6B-1633F2AE4F0A}"/>
    <cellStyle name="Percent 4" xfId="123" xr:uid="{D0A7E0CC-D8FB-4151-87B5-DCE24E091147}"/>
    <cellStyle name="Percent 4 2" xfId="279" xr:uid="{A3100EB5-C8F1-4408-A81C-E3C40DC5B970}"/>
    <cellStyle name="Percent 4 2 2" xfId="592" xr:uid="{B5A6EEF0-7AFD-4387-AC03-7F7D6C8907A3}"/>
    <cellStyle name="Percent 4 2 3" xfId="982" xr:uid="{8A28C392-BEF6-4DF8-AE75-FDE7A14510A5}"/>
    <cellStyle name="Percent 4 3" xfId="436" xr:uid="{C9CCE412-43A9-46E3-8B66-0072DA89F047}"/>
    <cellStyle name="Percent 4 4" xfId="827" xr:uid="{5E87A03D-4203-4643-92A3-9CFC9A06450D}"/>
    <cellStyle name="Percent 5" xfId="1030" xr:uid="{567D276C-755E-43E5-A45D-511258084B62}"/>
  </cellStyles>
  <dxfs count="403">
    <dxf>
      <fill>
        <patternFill>
          <bgColor rgb="FFFFC7CE"/>
        </patternFill>
      </fill>
    </dxf>
    <dxf>
      <font>
        <color rgb="FF006100"/>
      </font>
      <fill>
        <patternFill>
          <bgColor rgb="FFC6EFCE"/>
        </patternFill>
      </fill>
    </dxf>
    <dxf>
      <font>
        <color rgb="FF9C0006"/>
      </font>
      <fill>
        <patternFill>
          <bgColor rgb="FFFFC7CE"/>
        </patternFill>
      </fill>
    </dxf>
    <dxf>
      <fill>
        <patternFill>
          <bgColor theme="9" tint="0.79998168889431442"/>
        </patternFill>
      </fill>
    </dxf>
    <dxf>
      <fill>
        <patternFill>
          <bgColor theme="2"/>
        </patternFill>
      </fill>
    </dxf>
    <dxf>
      <fill>
        <patternFill>
          <bgColor theme="9" tint="0.79998168889431442"/>
        </patternFill>
      </fill>
    </dxf>
    <dxf>
      <fill>
        <patternFill>
          <bgColor theme="9" tint="0.79998168889431442"/>
        </patternFill>
      </fill>
    </dxf>
    <dxf>
      <fill>
        <patternFill>
          <bgColor theme="2"/>
        </patternFill>
      </fill>
    </dxf>
    <dxf>
      <font>
        <color theme="0"/>
      </font>
      <fill>
        <patternFill>
          <bgColor rgb="FF0070C0"/>
        </patternFill>
      </fill>
    </dxf>
    <dxf>
      <fill>
        <patternFill>
          <bgColor rgb="FF2A9D8F"/>
        </patternFill>
      </fill>
    </dxf>
    <dxf>
      <fill>
        <patternFill>
          <bgColor theme="2"/>
        </patternFill>
      </fill>
    </dxf>
    <dxf>
      <font>
        <color theme="0"/>
      </font>
      <fill>
        <patternFill>
          <bgColor rgb="FF0070C0"/>
        </patternFill>
      </fill>
    </dxf>
    <dxf>
      <fill>
        <patternFill>
          <bgColor rgb="FF2A9D8F"/>
        </patternFill>
      </fill>
    </dxf>
    <dxf>
      <fill>
        <patternFill>
          <bgColor rgb="FF2A9D8F"/>
        </patternFill>
      </fill>
    </dxf>
    <dxf>
      <font>
        <color theme="0"/>
      </font>
      <fill>
        <patternFill>
          <bgColor rgb="FF7030A0"/>
        </patternFill>
      </fill>
    </dxf>
    <dxf>
      <font>
        <color auto="1"/>
      </font>
      <fill>
        <patternFill>
          <bgColor rgb="FF92D050"/>
        </patternFill>
      </fill>
    </dxf>
    <dxf>
      <font>
        <color theme="0"/>
      </font>
      <fill>
        <patternFill>
          <bgColor rgb="FF0070C0"/>
        </patternFill>
      </fill>
    </dxf>
    <dxf>
      <fill>
        <patternFill>
          <bgColor rgb="FF2A9D8F"/>
        </patternFill>
      </fill>
    </dxf>
    <dxf>
      <fill>
        <patternFill>
          <bgColor theme="2"/>
        </patternFill>
      </fill>
    </dxf>
    <dxf>
      <font>
        <color theme="0"/>
      </font>
      <fill>
        <patternFill>
          <bgColor rgb="FF0070C0"/>
        </patternFill>
      </fill>
    </dxf>
    <dxf>
      <fill>
        <patternFill>
          <bgColor rgb="FF2A9D8F"/>
        </patternFill>
      </fill>
    </dxf>
    <dxf>
      <font>
        <color theme="0"/>
      </font>
      <fill>
        <patternFill>
          <bgColor rgb="FF7030A0"/>
        </patternFill>
      </fill>
    </dxf>
    <dxf>
      <font>
        <color auto="1"/>
      </font>
      <fill>
        <patternFill>
          <bgColor rgb="FF92D050"/>
        </patternFill>
      </fill>
    </dxf>
    <dxf>
      <fill>
        <patternFill>
          <bgColor rgb="FF2A9D8F"/>
        </patternFill>
      </fill>
    </dxf>
    <dxf>
      <font>
        <color theme="0"/>
      </font>
      <fill>
        <patternFill>
          <bgColor rgb="FF0070C0"/>
        </patternFill>
      </fill>
    </dxf>
    <dxf>
      <fill>
        <patternFill>
          <bgColor rgb="FF2A9D8F"/>
        </patternFill>
      </fill>
    </dxf>
    <dxf>
      <fill>
        <patternFill>
          <bgColor theme="2"/>
        </patternFill>
      </fill>
    </dxf>
    <dxf>
      <font>
        <color theme="0"/>
      </font>
      <fill>
        <patternFill>
          <bgColor rgb="FF0070C0"/>
        </patternFill>
      </fill>
    </dxf>
    <dxf>
      <fill>
        <patternFill>
          <bgColor rgb="FF2A9D8F"/>
        </patternFill>
      </fill>
    </dxf>
    <dxf>
      <font>
        <color auto="1"/>
      </font>
      <fill>
        <patternFill>
          <bgColor rgb="FFFFC000"/>
        </patternFill>
      </fill>
    </dxf>
    <dxf>
      <fill>
        <patternFill>
          <bgColor rgb="FF2A9D8F"/>
        </patternFill>
      </fill>
    </dxf>
    <dxf>
      <font>
        <color theme="0"/>
      </font>
      <fill>
        <patternFill>
          <bgColor rgb="FF0070C0"/>
        </patternFill>
      </fill>
    </dxf>
    <dxf>
      <fill>
        <patternFill>
          <bgColor rgb="FF2A9D8F"/>
        </patternFill>
      </fill>
    </dxf>
    <dxf>
      <fill>
        <patternFill>
          <bgColor theme="2"/>
        </patternFill>
      </fill>
    </dxf>
    <dxf>
      <font>
        <color theme="0"/>
      </font>
      <fill>
        <patternFill>
          <bgColor rgb="FF0070C0"/>
        </patternFill>
      </fill>
    </dxf>
    <dxf>
      <fill>
        <patternFill>
          <bgColor rgb="FF2A9D8F"/>
        </patternFill>
      </fill>
    </dxf>
    <dxf>
      <font>
        <color theme="0"/>
      </font>
      <fill>
        <patternFill>
          <bgColor rgb="FF7030A0"/>
        </patternFill>
      </fill>
    </dxf>
    <dxf>
      <font>
        <color auto="1"/>
      </font>
      <fill>
        <patternFill>
          <bgColor rgb="FF92D050"/>
        </patternFill>
      </fill>
    </dxf>
    <dxf>
      <fill>
        <patternFill>
          <bgColor rgb="FF00B0F0"/>
        </patternFill>
      </fill>
    </dxf>
    <dxf>
      <fill>
        <patternFill>
          <bgColor rgb="FF2A9D8F"/>
        </patternFill>
      </fill>
    </dxf>
    <dxf>
      <font>
        <color theme="0"/>
      </font>
      <fill>
        <patternFill>
          <bgColor rgb="FF0070C0"/>
        </patternFill>
      </fill>
    </dxf>
    <dxf>
      <fill>
        <patternFill>
          <bgColor rgb="FF2A9D8F"/>
        </patternFill>
      </fill>
    </dxf>
    <dxf>
      <font>
        <color rgb="FF9C6500"/>
      </font>
      <fill>
        <patternFill>
          <bgColor rgb="FFFFEB9C"/>
        </patternFill>
      </fill>
    </dxf>
    <dxf>
      <fill>
        <patternFill>
          <bgColor theme="2"/>
        </patternFill>
      </fill>
    </dxf>
    <dxf>
      <font>
        <color theme="0"/>
      </font>
      <fill>
        <patternFill>
          <bgColor rgb="FF0070C0"/>
        </patternFill>
      </fill>
    </dxf>
    <dxf>
      <fill>
        <patternFill>
          <bgColor rgb="FF2A9D8F"/>
        </patternFill>
      </fill>
    </dxf>
    <dxf>
      <fill>
        <patternFill>
          <bgColor rgb="FFFFFF00"/>
        </patternFill>
      </fill>
    </dxf>
    <dxf>
      <font>
        <color auto="1"/>
      </font>
      <fill>
        <patternFill>
          <bgColor rgb="FFFFFF00"/>
        </patternFill>
      </fill>
    </dxf>
    <dxf>
      <fill>
        <patternFill>
          <bgColor rgb="FF2A9D8F"/>
        </patternFill>
      </fill>
    </dxf>
    <dxf>
      <font>
        <color theme="0"/>
      </font>
      <fill>
        <patternFill>
          <bgColor rgb="FF0070C0"/>
        </patternFill>
      </fill>
    </dxf>
    <dxf>
      <fill>
        <patternFill>
          <bgColor rgb="FF2A9D8F"/>
        </patternFill>
      </fill>
    </dxf>
    <dxf>
      <fill>
        <patternFill>
          <bgColor theme="2"/>
        </patternFill>
      </fill>
    </dxf>
    <dxf>
      <font>
        <color theme="0"/>
      </font>
      <fill>
        <patternFill>
          <bgColor rgb="FF0070C0"/>
        </patternFill>
      </fill>
    </dxf>
    <dxf>
      <fill>
        <patternFill>
          <bgColor rgb="FF2A9D8F"/>
        </patternFill>
      </fill>
    </dxf>
    <dxf>
      <font>
        <color theme="0"/>
      </font>
      <fill>
        <patternFill>
          <bgColor rgb="FF7030A0"/>
        </patternFill>
      </fill>
    </dxf>
    <dxf>
      <fill>
        <patternFill>
          <bgColor rgb="FF2A9D8F"/>
        </patternFill>
      </fill>
    </dxf>
    <dxf>
      <font>
        <color theme="0"/>
      </font>
      <fill>
        <patternFill>
          <bgColor rgb="FF0070C0"/>
        </patternFill>
      </fill>
    </dxf>
    <dxf>
      <fill>
        <patternFill>
          <bgColor rgb="FF2A9D8F"/>
        </patternFill>
      </fill>
    </dxf>
    <dxf>
      <fill>
        <patternFill>
          <bgColor rgb="FF2A9D8F"/>
        </patternFill>
      </fill>
    </dxf>
    <dxf>
      <font>
        <color theme="0"/>
      </font>
      <fill>
        <patternFill>
          <bgColor rgb="FF0070C0"/>
        </patternFill>
      </fill>
    </dxf>
    <dxf>
      <fill>
        <patternFill>
          <bgColor rgb="FF2A9D8F"/>
        </patternFill>
      </fill>
    </dxf>
    <dxf>
      <fill>
        <patternFill>
          <bgColor theme="2"/>
        </patternFill>
      </fill>
    </dxf>
    <dxf>
      <font>
        <color theme="0"/>
      </font>
      <fill>
        <patternFill>
          <bgColor rgb="FFC00000"/>
        </patternFill>
      </fill>
    </dxf>
    <dxf>
      <font>
        <color theme="0"/>
      </font>
      <fill>
        <patternFill>
          <bgColor rgb="FF0070C0"/>
        </patternFill>
      </fill>
    </dxf>
    <dxf>
      <fill>
        <patternFill>
          <bgColor rgb="FF2A9D8F"/>
        </patternFill>
      </fill>
    </dxf>
    <dxf>
      <fill>
        <patternFill>
          <bgColor rgb="FF2A9D8F"/>
        </patternFill>
      </fill>
    </dxf>
    <dxf>
      <font>
        <color theme="0"/>
      </font>
      <fill>
        <patternFill>
          <bgColor rgb="FF0070C0"/>
        </patternFill>
      </fill>
    </dxf>
    <dxf>
      <fill>
        <patternFill>
          <bgColor rgb="FF2A9D8F"/>
        </patternFill>
      </fill>
    </dxf>
    <dxf>
      <fill>
        <patternFill>
          <bgColor theme="2"/>
        </patternFill>
      </fill>
    </dxf>
    <dxf>
      <font>
        <color theme="0"/>
      </font>
      <fill>
        <patternFill>
          <bgColor theme="9" tint="-0.499984740745262"/>
        </patternFill>
      </fill>
    </dxf>
    <dxf>
      <fill>
        <patternFill>
          <bgColor rgb="FF2A9D8F"/>
        </patternFill>
      </fill>
    </dxf>
    <dxf>
      <font>
        <color theme="0"/>
      </font>
      <fill>
        <patternFill>
          <bgColor rgb="FF0070C0"/>
        </patternFill>
      </fill>
    </dxf>
    <dxf>
      <fill>
        <patternFill>
          <bgColor rgb="FF2A9D8F"/>
        </patternFill>
      </fill>
    </dxf>
    <dxf>
      <font>
        <color theme="0"/>
      </font>
      <fill>
        <patternFill>
          <bgColor rgb="FF0070C0"/>
        </patternFill>
      </fill>
    </dxf>
    <dxf>
      <fill>
        <patternFill>
          <bgColor rgb="FF2A9D8F"/>
        </patternFill>
      </fill>
    </dxf>
    <dxf>
      <fill>
        <patternFill>
          <bgColor theme="2"/>
        </patternFill>
      </fill>
    </dxf>
    <dxf>
      <font>
        <color theme="0"/>
      </font>
      <fill>
        <patternFill>
          <bgColor theme="7" tint="-0.24994659260841701"/>
        </patternFill>
      </fill>
    </dxf>
    <dxf>
      <fill>
        <patternFill>
          <bgColor rgb="FF2A9D8F"/>
        </patternFill>
      </fill>
    </dxf>
    <dxf>
      <font>
        <color theme="0"/>
      </font>
      <fill>
        <patternFill>
          <bgColor rgb="FF0070C0"/>
        </patternFill>
      </fill>
    </dxf>
    <dxf>
      <fill>
        <patternFill>
          <bgColor rgb="FF2A9D8F"/>
        </patternFill>
      </fill>
    </dxf>
    <dxf>
      <fill>
        <patternFill>
          <bgColor rgb="FF2A9D8F"/>
        </patternFill>
      </fill>
    </dxf>
    <dxf>
      <fill>
        <patternFill>
          <bgColor theme="2"/>
        </patternFill>
      </fill>
    </dxf>
    <dxf>
      <font>
        <color theme="0"/>
      </font>
      <fill>
        <patternFill>
          <bgColor rgb="FF0070C0"/>
        </patternFill>
      </fill>
    </dxf>
    <dxf>
      <fill>
        <patternFill>
          <bgColor rgb="FF2A9D8F"/>
        </patternFill>
      </fill>
    </dxf>
    <dxf>
      <fill>
        <patternFill>
          <bgColor rgb="FF00B0F0"/>
        </patternFill>
      </fill>
    </dxf>
    <dxf>
      <font>
        <color theme="0"/>
      </font>
      <fill>
        <patternFill>
          <bgColor rgb="FFFF0000"/>
        </patternFill>
      </fill>
    </dxf>
    <dxf>
      <font>
        <color theme="0"/>
      </font>
      <fill>
        <patternFill>
          <bgColor rgb="FF7030A0"/>
        </patternFill>
      </fill>
    </dxf>
    <dxf>
      <font>
        <color auto="1"/>
      </font>
      <fill>
        <patternFill>
          <bgColor rgb="FF92D050"/>
        </patternFill>
      </fill>
    </dxf>
    <dxf>
      <font>
        <color rgb="FF006100"/>
      </font>
      <fill>
        <patternFill>
          <bgColor rgb="FFC6EFCE"/>
        </patternFill>
      </fill>
    </dxf>
    <dxf>
      <font>
        <color rgb="FF9C0006"/>
      </font>
      <fill>
        <patternFill>
          <bgColor rgb="FFFFC7CE"/>
        </patternFill>
      </fill>
    </dxf>
    <dxf>
      <font>
        <color theme="0"/>
      </font>
      <fill>
        <patternFill>
          <bgColor rgb="FF0070C0"/>
        </patternFill>
      </fill>
    </dxf>
    <dxf>
      <fill>
        <patternFill>
          <bgColor rgb="FF2A9D8F"/>
        </patternFill>
      </fill>
    </dxf>
    <dxf>
      <font>
        <color theme="0"/>
      </font>
      <fill>
        <patternFill>
          <bgColor rgb="FF0070C0"/>
        </patternFill>
      </fill>
    </dxf>
    <dxf>
      <fill>
        <patternFill>
          <bgColor rgb="FF2A9D8F"/>
        </patternFill>
      </fill>
    </dxf>
    <dxf>
      <font>
        <color rgb="FF006100"/>
      </font>
      <fill>
        <patternFill>
          <bgColor rgb="FFC6EFCE"/>
        </patternFill>
      </fill>
    </dxf>
    <dxf>
      <font>
        <color rgb="FF9C0006"/>
      </font>
      <fill>
        <patternFill>
          <bgColor rgb="FFFFC7CE"/>
        </patternFill>
      </fill>
    </dxf>
    <dxf>
      <font>
        <color theme="0"/>
      </font>
      <fill>
        <patternFill>
          <bgColor rgb="FF0070C0"/>
        </patternFill>
      </fill>
    </dxf>
    <dxf>
      <fill>
        <patternFill>
          <bgColor rgb="FF2A9D8F"/>
        </patternFill>
      </fill>
    </dxf>
    <dxf>
      <font>
        <color theme="0"/>
      </font>
      <fill>
        <patternFill>
          <bgColor rgb="FF0070C0"/>
        </patternFill>
      </fill>
    </dxf>
    <dxf>
      <fill>
        <patternFill>
          <bgColor rgb="FF2A9D8F"/>
        </patternFill>
      </fill>
    </dxf>
    <dxf>
      <fill>
        <patternFill>
          <bgColor rgb="FF00B0F0"/>
        </patternFill>
      </fill>
    </dxf>
    <dxf>
      <font>
        <color theme="0"/>
      </font>
      <fill>
        <patternFill>
          <bgColor rgb="FF7030A0"/>
        </patternFill>
      </fill>
    </dxf>
    <dxf>
      <font>
        <color auto="1"/>
      </font>
      <fill>
        <patternFill>
          <bgColor rgb="FF92D050"/>
        </patternFill>
      </fill>
    </dxf>
    <dxf>
      <font>
        <color theme="0"/>
      </font>
      <fill>
        <patternFill>
          <bgColor rgb="FFFF0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theme="0"/>
      </font>
      <fill>
        <patternFill>
          <bgColor rgb="FF0070C0"/>
        </patternFill>
      </fill>
    </dxf>
    <dxf>
      <fill>
        <patternFill>
          <bgColor rgb="FF2A9D8F"/>
        </patternFill>
      </fill>
    </dxf>
    <dxf>
      <font>
        <color theme="0"/>
      </font>
      <fill>
        <patternFill>
          <bgColor rgb="FF0070C0"/>
        </patternFill>
      </fill>
    </dxf>
    <dxf>
      <fill>
        <patternFill>
          <bgColor rgb="FF2A9D8F"/>
        </patternFill>
      </fill>
    </dxf>
    <dxf>
      <fill>
        <patternFill>
          <bgColor rgb="FF00B0F0"/>
        </patternFill>
      </fill>
    </dxf>
    <dxf>
      <font>
        <color theme="0"/>
      </font>
      <fill>
        <patternFill>
          <bgColor rgb="FF7030A0"/>
        </patternFill>
      </fill>
    </dxf>
    <dxf>
      <font>
        <color auto="1"/>
      </font>
      <fill>
        <patternFill>
          <bgColor rgb="FF92D050"/>
        </patternFill>
      </fill>
    </dxf>
    <dxf>
      <font>
        <color theme="0"/>
      </font>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2"/>
        </patternFill>
      </fill>
    </dxf>
    <dxf>
      <fill>
        <patternFill>
          <bgColor theme="2"/>
        </patternFill>
      </fill>
    </dxf>
    <dxf>
      <font>
        <color rgb="FF9C0006"/>
      </font>
      <fill>
        <patternFill>
          <bgColor rgb="FFFFC7CE"/>
        </patternFill>
      </fill>
    </dxf>
    <dxf>
      <font>
        <color rgb="FF006100"/>
      </font>
      <fill>
        <patternFill>
          <bgColor rgb="FFC6EFCE"/>
        </patternFill>
      </fill>
    </dxf>
    <dxf>
      <fill>
        <patternFill>
          <bgColor theme="2"/>
        </patternFill>
      </fill>
    </dxf>
    <dxf>
      <fill>
        <patternFill>
          <bgColor theme="2"/>
        </patternFill>
      </fill>
    </dxf>
    <dxf>
      <fill>
        <patternFill>
          <bgColor theme="2"/>
        </patternFill>
      </fill>
    </dxf>
    <dxf>
      <font>
        <color rgb="FF9C0006"/>
      </font>
      <fill>
        <patternFill>
          <bgColor rgb="FFFFC7CE"/>
        </patternFill>
      </fill>
    </dxf>
    <dxf>
      <font>
        <color rgb="FF006100"/>
      </font>
      <fill>
        <patternFill>
          <bgColor rgb="FFC6EFCE"/>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ont>
        <color rgb="FF9C0006"/>
      </font>
      <fill>
        <patternFill>
          <bgColor rgb="FFFFC7CE"/>
        </patternFill>
      </fill>
    </dxf>
    <dxf>
      <font>
        <color rgb="FF006100"/>
      </font>
      <fill>
        <patternFill>
          <bgColor rgb="FFC6EFCE"/>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ont>
        <color rgb="FF9C0006"/>
      </font>
      <fill>
        <patternFill>
          <bgColor rgb="FFFFC7CE"/>
        </patternFill>
      </fill>
    </dxf>
    <dxf>
      <font>
        <color rgb="FF006100"/>
      </font>
      <fill>
        <patternFill>
          <bgColor rgb="FFC6EFCE"/>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ont>
        <color rgb="FF9C0006"/>
      </font>
      <fill>
        <patternFill>
          <bgColor rgb="FFFFC7CE"/>
        </patternFill>
      </fill>
    </dxf>
    <dxf>
      <font>
        <strike val="0"/>
      </font>
      <border>
        <vertical/>
        <horizontal/>
      </border>
    </dxf>
    <dxf>
      <font>
        <color rgb="FF9C0006"/>
      </font>
      <fill>
        <patternFill>
          <bgColor rgb="FFFFC7CE"/>
        </patternFill>
      </fill>
    </dxf>
    <dxf>
      <font>
        <strike val="0"/>
      </font>
      <border>
        <vertical/>
        <horizontal/>
      </border>
    </dxf>
    <dxf>
      <font>
        <color rgb="FF9C0006"/>
      </font>
      <fill>
        <patternFill>
          <bgColor rgb="FFFFC7CE"/>
        </patternFill>
      </fill>
    </dxf>
    <dxf>
      <font>
        <color rgb="FF006100"/>
      </font>
      <fill>
        <patternFill>
          <bgColor rgb="FFC6EFCE"/>
        </patternFill>
      </fill>
    </dxf>
    <dxf>
      <fill>
        <patternFill>
          <bgColor them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2"/>
        </patternFill>
      </fill>
    </dxf>
    <dxf>
      <fill>
        <patternFill>
          <bgColor them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2"/>
        </patternFill>
      </fill>
    </dxf>
    <dxf>
      <fill>
        <patternFill>
          <bgColor theme="2"/>
        </patternFill>
      </fill>
    </dxf>
    <dxf>
      <fill>
        <patternFill>
          <bgColor theme="2"/>
        </patternFill>
      </fill>
    </dxf>
    <dxf>
      <fill>
        <patternFill>
          <bgColor theme="2"/>
        </patternFill>
      </fill>
    </dxf>
    <dxf>
      <font>
        <color rgb="FF9C0006"/>
      </font>
      <fill>
        <patternFill>
          <bgColor rgb="FFFFC7CE"/>
        </patternFill>
      </fill>
    </dxf>
    <dxf>
      <fill>
        <patternFill>
          <bgColor theme="2"/>
        </patternFill>
      </fill>
    </dxf>
    <dxf>
      <fill>
        <patternFill>
          <bgColor them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2"/>
        </patternFill>
      </fill>
    </dxf>
    <dxf>
      <fill>
        <patternFill>
          <bgColor theme="2"/>
        </patternFill>
      </fill>
    </dxf>
    <dxf>
      <font>
        <color rgb="FF9C0006"/>
      </font>
      <fill>
        <patternFill>
          <bgColor rgb="FFFFC7CE"/>
        </patternFill>
      </fill>
    </dxf>
    <dxf>
      <fill>
        <patternFill>
          <bgColor theme="2"/>
        </patternFill>
      </fill>
    </dxf>
    <dxf>
      <fill>
        <patternFill>
          <bgColor them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2"/>
        </patternFill>
      </fill>
    </dxf>
    <dxf>
      <fill>
        <patternFill>
          <bgColor theme="2"/>
        </patternFill>
      </fill>
    </dxf>
    <dxf>
      <font>
        <color rgb="FF9C0006"/>
      </font>
      <fill>
        <patternFill>
          <bgColor rgb="FFFFC7CE"/>
        </patternFill>
      </fill>
    </dxf>
    <dxf>
      <fill>
        <patternFill>
          <bgColor theme="2"/>
        </patternFill>
      </fill>
    </dxf>
    <dxf>
      <fill>
        <patternFill>
          <bgColor them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2"/>
        </patternFill>
      </fill>
    </dxf>
    <dxf>
      <fill>
        <patternFill>
          <bgColor theme="2"/>
        </patternFill>
      </fill>
    </dxf>
    <dxf>
      <fill>
        <patternFill>
          <bgColor theme="2"/>
        </patternFill>
      </fill>
    </dxf>
    <dxf>
      <fill>
        <patternFill>
          <bgColor them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2"/>
        </patternFill>
      </fill>
    </dxf>
    <dxf>
      <fill>
        <patternFill>
          <bgColor theme="2"/>
        </patternFill>
      </fill>
    </dxf>
    <dxf>
      <fill>
        <patternFill>
          <bgColor theme="2"/>
        </patternFill>
      </fill>
    </dxf>
    <dxf>
      <fill>
        <patternFill>
          <bgColor them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fgColor indexed="64"/>
          <bgColor theme="2"/>
        </patternFill>
      </fill>
    </dxf>
    <dxf>
      <fill>
        <patternFill>
          <fgColor indexed="64"/>
          <bgColor theme="2"/>
        </patternFill>
      </fill>
    </dxf>
    <dxf>
      <fill>
        <patternFill>
          <fgColor indexed="64"/>
          <bgColor theme="2"/>
        </patternFill>
      </fill>
    </dxf>
    <dxf>
      <fill>
        <patternFill>
          <bgColor theme="2"/>
        </patternFill>
      </fill>
    </dxf>
    <dxf>
      <fill>
        <patternFill>
          <fgColor indexed="64"/>
          <bgColor theme="2"/>
        </patternFill>
      </fill>
    </dxf>
    <dxf>
      <fill>
        <patternFill>
          <fgColor indexed="64"/>
          <bgColor theme="2"/>
        </patternFill>
      </fill>
    </dxf>
    <dxf>
      <fill>
        <patternFill>
          <bgColor theme="2"/>
        </patternFill>
      </fill>
    </dxf>
    <dxf>
      <fill>
        <patternFill>
          <fgColor indexed="64"/>
          <bgColor theme="2"/>
        </patternFill>
      </fill>
    </dxf>
    <dxf>
      <fill>
        <patternFill>
          <bgColor theme="2"/>
        </patternFill>
      </fill>
    </dxf>
    <dxf>
      <fill>
        <patternFill>
          <fgColor indexed="64"/>
          <bgColor theme="2"/>
        </patternFill>
      </fill>
    </dxf>
    <dxf>
      <fill>
        <patternFill>
          <fgColor indexed="64"/>
          <bgColor theme="2"/>
        </patternFill>
      </fill>
    </dxf>
    <dxf>
      <fill>
        <patternFill>
          <bgColor theme="2"/>
        </patternFill>
      </fill>
    </dxf>
    <dxf>
      <fill>
        <patternFill>
          <bgColor theme="2"/>
        </patternFill>
      </fill>
    </dxf>
    <dxf>
      <fill>
        <patternFill>
          <bgColor them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ont>
        <color rgb="FF006100"/>
      </font>
      <fill>
        <patternFill>
          <bgColor rgb="FFC6EFCE"/>
        </patternFill>
      </fill>
    </dxf>
    <dxf>
      <font>
        <color rgb="FF9C0006"/>
      </font>
      <fill>
        <patternFill>
          <bgColor rgb="FFFFC7CE"/>
        </patternFill>
      </fill>
    </dxf>
  </dxfs>
  <tableStyles count="0" defaultTableStyle="TableStyleMedium9" defaultPivotStyle="PivotStyleLight16"/>
  <colors>
    <mruColors>
      <color rgb="FFEF3D6C"/>
      <color rgb="FFD31145"/>
      <color rgb="FF33383E"/>
      <color rgb="FF0000C1"/>
      <color rgb="FFEC645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worksheet" Target="worksheets/sheet63.xml"/><Relationship Id="rId68" Type="http://schemas.openxmlformats.org/officeDocument/2006/relationships/worksheet" Target="worksheets/sheet68.xml"/><Relationship Id="rId76" Type="http://schemas.openxmlformats.org/officeDocument/2006/relationships/worksheet" Target="worksheets/sheet76.xml"/><Relationship Id="rId84" Type="http://schemas.openxmlformats.org/officeDocument/2006/relationships/theme" Target="theme/theme1.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worksheet" Target="worksheets/sheet74.xml"/><Relationship Id="rId79" Type="http://schemas.openxmlformats.org/officeDocument/2006/relationships/worksheet" Target="worksheets/sheet79.xml"/><Relationship Id="rId87" Type="http://schemas.openxmlformats.org/officeDocument/2006/relationships/calcChain" Target="calcChain.xml"/><Relationship Id="rId5" Type="http://schemas.openxmlformats.org/officeDocument/2006/relationships/worksheet" Target="worksheets/sheet5.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worksheet" Target="worksheets/sheet77.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worksheet" Target="worksheets/sheet80.xml"/><Relationship Id="rId85"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smoothMarker"/>
        <c:varyColors val="0"/>
        <c:ser>
          <c:idx val="0"/>
          <c:order val="0"/>
          <c:tx>
            <c:strRef>
              <c:f>Hoavon!$E$2</c:f>
              <c:strCache>
                <c:ptCount val="1"/>
                <c:pt idx="0">
                  <c:v>Giá trị hoàn lại LS cam kết</c:v>
                </c:pt>
              </c:strCache>
            </c:strRef>
          </c:tx>
          <c:spPr>
            <a:ln w="19050" cap="rnd">
              <a:solidFill>
                <a:srgbClr val="0000C1"/>
              </a:solidFill>
              <a:round/>
            </a:ln>
            <a:effectLst/>
          </c:spPr>
          <c:marker>
            <c:symbol val="none"/>
          </c:marker>
          <c:xVal>
            <c:multiLvlStrRef>
              <c:f>Hoavon!$A$2:$D$22</c:f>
              <c:multiLvlStrCache>
                <c:ptCount val="21"/>
                <c:lvl>
                  <c:pt idx="0">
                    <c:v>Số phí sản phẩm chính lũy kế</c:v>
                  </c:pt>
                  <c:pt idx="1">
                    <c:v> 10,000 </c:v>
                  </c:pt>
                  <c:pt idx="2">
                    <c:v> 20,000 </c:v>
                  </c:pt>
                  <c:pt idx="3">
                    <c:v> 30,000 </c:v>
                  </c:pt>
                  <c:pt idx="4">
                    <c:v> 40,000 </c:v>
                  </c:pt>
                  <c:pt idx="5">
                    <c:v> 50,000 </c:v>
                  </c:pt>
                  <c:pt idx="6">
                    <c:v> 60,000 </c:v>
                  </c:pt>
                  <c:pt idx="7">
                    <c:v> 70,000 </c:v>
                  </c:pt>
                  <c:pt idx="8">
                    <c:v> 80,000 </c:v>
                  </c:pt>
                  <c:pt idx="9">
                    <c:v> 90,000 </c:v>
                  </c:pt>
                  <c:pt idx="10">
                    <c:v> 100,000 </c:v>
                  </c:pt>
                  <c:pt idx="11">
                    <c:v> 110,000 </c:v>
                  </c:pt>
                  <c:pt idx="12">
                    <c:v> 120,000 </c:v>
                  </c:pt>
                  <c:pt idx="13">
                    <c:v> 130,000 </c:v>
                  </c:pt>
                  <c:pt idx="14">
                    <c:v> 140,000 </c:v>
                  </c:pt>
                  <c:pt idx="15">
                    <c:v> 150,000 </c:v>
                  </c:pt>
                  <c:pt idx="16">
                    <c:v> 150,000 </c:v>
                  </c:pt>
                  <c:pt idx="17">
                    <c:v> 150,000 </c:v>
                  </c:pt>
                  <c:pt idx="18">
                    <c:v> 150,000 </c:v>
                  </c:pt>
                  <c:pt idx="19">
                    <c:v> 150,000 </c:v>
                  </c:pt>
                  <c:pt idx="20">
                    <c:v> 150,000 </c:v>
                  </c:pt>
                </c:lvl>
                <c:lvl>
                  <c:pt idx="0">
                    <c:v>Năm đóng phí dự kiến</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lvl>
                <c:lvl>
                  <c:pt idx="0">
                    <c:v>Năm HĐ</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lvl>
              </c:multiLvlStrCache>
            </c:multiLvlStrRef>
          </c:xVal>
          <c:yVal>
            <c:numRef>
              <c:f>Hoavon!$E$3:$E$22</c:f>
              <c:numCache>
                <c:formatCode>_-* #,##0_-;\-* #,##0_-;_-* "-"??_-;_-@_-</c:formatCode>
                <c:ptCount val="20"/>
                <c:pt idx="0">
                  <c:v>0</c:v>
                </c:pt>
                <c:pt idx="1">
                  <c:v>0</c:v>
                </c:pt>
                <c:pt idx="2">
                  <c:v>10424.153925772907</c:v>
                </c:pt>
                <c:pt idx="3">
                  <c:v>18058.562034943792</c:v>
                </c:pt>
                <c:pt idx="4">
                  <c:v>25390.684160707406</c:v>
                </c:pt>
                <c:pt idx="5">
                  <c:v>35319.444093877682</c:v>
                </c:pt>
                <c:pt idx="6">
                  <c:v>43141.49064393634</c:v>
                </c:pt>
                <c:pt idx="7">
                  <c:v>50823.850962158285</c:v>
                </c:pt>
                <c:pt idx="8">
                  <c:v>58270.601403891946</c:v>
                </c:pt>
                <c:pt idx="9">
                  <c:v>65430.624150168114</c:v>
                </c:pt>
                <c:pt idx="10">
                  <c:v>72147.561701864208</c:v>
                </c:pt>
                <c:pt idx="11">
                  <c:v>78640.137628816097</c:v>
                </c:pt>
                <c:pt idx="12">
                  <c:v>84885.55086458796</c:v>
                </c:pt>
                <c:pt idx="13">
                  <c:v>90849.507648408777</c:v>
                </c:pt>
                <c:pt idx="14">
                  <c:v>96508.778926331695</c:v>
                </c:pt>
                <c:pt idx="15">
                  <c:v>101322.61655893427</c:v>
                </c:pt>
                <c:pt idx="16">
                  <c:v>105742.82515604857</c:v>
                </c:pt>
                <c:pt idx="17">
                  <c:v>109746.29541721228</c:v>
                </c:pt>
                <c:pt idx="18">
                  <c:v>113298.37497677418</c:v>
                </c:pt>
                <c:pt idx="19">
                  <c:v>116341.68169764412</c:v>
                </c:pt>
              </c:numCache>
            </c:numRef>
          </c:yVal>
          <c:smooth val="1"/>
          <c:extLst>
            <c:ext xmlns:c16="http://schemas.microsoft.com/office/drawing/2014/chart" uri="{C3380CC4-5D6E-409C-BE32-E72D297353CC}">
              <c16:uniqueId val="{00000000-C46E-4762-BFCA-71111AFC760A}"/>
            </c:ext>
          </c:extLst>
        </c:ser>
        <c:ser>
          <c:idx val="1"/>
          <c:order val="1"/>
          <c:tx>
            <c:strRef>
              <c:f>Hoavon!$F$2</c:f>
              <c:strCache>
                <c:ptCount val="1"/>
                <c:pt idx="0">
                  <c:v>Giá trị hoàn lại LS minh họa</c:v>
                </c:pt>
              </c:strCache>
            </c:strRef>
          </c:tx>
          <c:spPr>
            <a:ln w="19050" cap="rnd">
              <a:solidFill>
                <a:srgbClr val="D31145"/>
              </a:solidFill>
              <a:round/>
            </a:ln>
            <a:effectLst/>
          </c:spPr>
          <c:marker>
            <c:symbol val="none"/>
          </c:marker>
          <c:xVal>
            <c:multiLvlStrRef>
              <c:f>Hoavon!$C$3:$D$22</c:f>
              <c:multiLvlStrCache>
                <c:ptCount val="20"/>
                <c:lvl>
                  <c:pt idx="0">
                    <c:v> 10,000 </c:v>
                  </c:pt>
                  <c:pt idx="1">
                    <c:v> 20,000 </c:v>
                  </c:pt>
                  <c:pt idx="2">
                    <c:v> 30,000 </c:v>
                  </c:pt>
                  <c:pt idx="3">
                    <c:v> 40,000 </c:v>
                  </c:pt>
                  <c:pt idx="4">
                    <c:v> 50,000 </c:v>
                  </c:pt>
                  <c:pt idx="5">
                    <c:v> 60,000 </c:v>
                  </c:pt>
                  <c:pt idx="6">
                    <c:v> 70,000 </c:v>
                  </c:pt>
                  <c:pt idx="7">
                    <c:v> 80,000 </c:v>
                  </c:pt>
                  <c:pt idx="8">
                    <c:v> 90,000 </c:v>
                  </c:pt>
                  <c:pt idx="9">
                    <c:v> 100,000 </c:v>
                  </c:pt>
                  <c:pt idx="10">
                    <c:v> 110,000 </c:v>
                  </c:pt>
                  <c:pt idx="11">
                    <c:v> 120,000 </c:v>
                  </c:pt>
                  <c:pt idx="12">
                    <c:v> 130,000 </c:v>
                  </c:pt>
                  <c:pt idx="13">
                    <c:v> 140,000 </c:v>
                  </c:pt>
                  <c:pt idx="14">
                    <c:v> 150,000 </c:v>
                  </c:pt>
                  <c:pt idx="15">
                    <c:v> 150,000 </c:v>
                  </c:pt>
                  <c:pt idx="16">
                    <c:v> 150,000 </c:v>
                  </c:pt>
                  <c:pt idx="17">
                    <c:v> 150,000 </c:v>
                  </c:pt>
                  <c:pt idx="18">
                    <c:v> 150,000 </c:v>
                  </c:pt>
                  <c:pt idx="19">
                    <c:v> 150,000 </c:v>
                  </c:pt>
                </c:lvl>
                <c:lvl>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lvl>
              </c:multiLvlStrCache>
            </c:multiLvlStrRef>
          </c:xVal>
          <c:yVal>
            <c:numRef>
              <c:f>Hoavon!$F$3:$F$22</c:f>
              <c:numCache>
                <c:formatCode>_-* #,##0_-;\-* #,##0_-;_-* "-"??_-;_-@_-</c:formatCode>
                <c:ptCount val="20"/>
                <c:pt idx="0">
                  <c:v>0</c:v>
                </c:pt>
                <c:pt idx="1">
                  <c:v>0</c:v>
                </c:pt>
                <c:pt idx="2">
                  <c:v>10874.0267946655</c:v>
                </c:pt>
                <c:pt idx="3">
                  <c:v>19094.63519360873</c:v>
                </c:pt>
                <c:pt idx="4">
                  <c:v>27197.111385214012</c:v>
                </c:pt>
                <c:pt idx="5">
                  <c:v>38321.025084131237</c:v>
                </c:pt>
                <c:pt idx="6">
                  <c:v>47638.090590096042</c:v>
                </c:pt>
                <c:pt idx="7">
                  <c:v>57126.335059917219</c:v>
                </c:pt>
                <c:pt idx="8">
                  <c:v>66699.982233514587</c:v>
                </c:pt>
                <c:pt idx="9">
                  <c:v>76315.273322140041</c:v>
                </c:pt>
                <c:pt idx="10">
                  <c:v>86196.831259256389</c:v>
                </c:pt>
                <c:pt idx="11">
                  <c:v>96247.906215466035</c:v>
                </c:pt>
                <c:pt idx="12">
                  <c:v>106458.35068988416</c:v>
                </c:pt>
                <c:pt idx="13">
                  <c:v>116806.77377206816</c:v>
                </c:pt>
                <c:pt idx="14">
                  <c:v>127282.87420914335</c:v>
                </c:pt>
                <c:pt idx="15">
                  <c:v>137876.4604744596</c:v>
                </c:pt>
                <c:pt idx="16">
                  <c:v>148566.35244853562</c:v>
                </c:pt>
                <c:pt idx="17">
                  <c:v>159342.20531930175</c:v>
                </c:pt>
                <c:pt idx="18">
                  <c:v>170182.83744926125</c:v>
                </c:pt>
                <c:pt idx="19">
                  <c:v>181045.17337995843</c:v>
                </c:pt>
              </c:numCache>
            </c:numRef>
          </c:yVal>
          <c:smooth val="1"/>
          <c:extLst>
            <c:ext xmlns:c16="http://schemas.microsoft.com/office/drawing/2014/chart" uri="{C3380CC4-5D6E-409C-BE32-E72D297353CC}">
              <c16:uniqueId val="{00000001-C46E-4762-BFCA-71111AFC760A}"/>
            </c:ext>
          </c:extLst>
        </c:ser>
        <c:ser>
          <c:idx val="2"/>
          <c:order val="2"/>
          <c:tx>
            <c:strRef>
              <c:f>Hoavon!$B$2</c:f>
              <c:strCache>
                <c:ptCount val="1"/>
                <c:pt idx="0">
                  <c:v>Năm HĐ</c:v>
                </c:pt>
              </c:strCache>
            </c:strRef>
          </c:tx>
          <c:spPr>
            <a:ln w="19050" cap="rnd">
              <a:solidFill>
                <a:schemeClr val="tx1"/>
              </a:solidFill>
              <a:round/>
            </a:ln>
            <a:effectLst/>
          </c:spPr>
          <c:marker>
            <c:symbol val="none"/>
          </c:marker>
          <c:xVal>
            <c:numRef>
              <c:f>Hoavon!$B$3:$B$22</c:f>
              <c:numCache>
                <c:formatCode>General</c:formatCod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numCache>
            </c:numRef>
          </c:xVal>
          <c:yVal>
            <c:numRef>
              <c:f>Hoavon!$D$3:$D$22</c:f>
              <c:numCache>
                <c:formatCode>_-* #,##0_-;\-* #,##0_-;_-* "-"??_-;_-@_-</c:formatCode>
                <c:ptCount val="20"/>
                <c:pt idx="0">
                  <c:v>10000</c:v>
                </c:pt>
                <c:pt idx="1">
                  <c:v>20000</c:v>
                </c:pt>
                <c:pt idx="2">
                  <c:v>30000</c:v>
                </c:pt>
                <c:pt idx="3">
                  <c:v>40000</c:v>
                </c:pt>
                <c:pt idx="4">
                  <c:v>50000</c:v>
                </c:pt>
                <c:pt idx="5">
                  <c:v>60000</c:v>
                </c:pt>
                <c:pt idx="6">
                  <c:v>70000</c:v>
                </c:pt>
                <c:pt idx="7">
                  <c:v>80000</c:v>
                </c:pt>
                <c:pt idx="8">
                  <c:v>90000</c:v>
                </c:pt>
                <c:pt idx="9">
                  <c:v>100000</c:v>
                </c:pt>
                <c:pt idx="10">
                  <c:v>110000</c:v>
                </c:pt>
                <c:pt idx="11">
                  <c:v>120000</c:v>
                </c:pt>
                <c:pt idx="12">
                  <c:v>130000</c:v>
                </c:pt>
                <c:pt idx="13">
                  <c:v>140000</c:v>
                </c:pt>
                <c:pt idx="14">
                  <c:v>150000</c:v>
                </c:pt>
                <c:pt idx="15">
                  <c:v>150000</c:v>
                </c:pt>
                <c:pt idx="16">
                  <c:v>150000</c:v>
                </c:pt>
                <c:pt idx="17">
                  <c:v>150000</c:v>
                </c:pt>
                <c:pt idx="18">
                  <c:v>150000</c:v>
                </c:pt>
                <c:pt idx="19">
                  <c:v>150000</c:v>
                </c:pt>
              </c:numCache>
            </c:numRef>
          </c:yVal>
          <c:smooth val="1"/>
          <c:extLst>
            <c:ext xmlns:c16="http://schemas.microsoft.com/office/drawing/2014/chart" uri="{C3380CC4-5D6E-409C-BE32-E72D297353CC}">
              <c16:uniqueId val="{00000002-C46E-4762-BFCA-71111AFC760A}"/>
            </c:ext>
          </c:extLst>
        </c:ser>
        <c:dLbls>
          <c:showLegendKey val="0"/>
          <c:showVal val="0"/>
          <c:showCatName val="0"/>
          <c:showSerName val="0"/>
          <c:showPercent val="0"/>
          <c:showBubbleSize val="0"/>
        </c:dLbls>
        <c:axId val="593911032"/>
        <c:axId val="593909232"/>
      </c:scatterChart>
      <c:valAx>
        <c:axId val="593911032"/>
        <c:scaling>
          <c:orientation val="minMax"/>
          <c:max val="20"/>
        </c:scaling>
        <c:delete val="0"/>
        <c:axPos val="b"/>
        <c:majorGridlines>
          <c:spPr>
            <a:ln w="9525" cap="flat" cmpd="sng" algn="ctr">
              <a:noFill/>
              <a:round/>
            </a:ln>
            <a:effectLst/>
          </c:spPr>
        </c:majorGridlines>
        <c:numFmt formatCode="_-* #,##0_-;\-* #,##0_-;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3909232"/>
        <c:crosses val="autoZero"/>
        <c:crossBetween val="midCat"/>
        <c:majorUnit val="1"/>
      </c:valAx>
      <c:valAx>
        <c:axId val="593909232"/>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391103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lockText="1" noThreeD="1"/>
</file>

<file path=xl/ctrlProps/ctrlProp29.xml><?xml version="1.0" encoding="utf-8"?>
<formControlPr xmlns="http://schemas.microsoft.com/office/spreadsheetml/2009/9/main" objectType="CheckBox" lockText="1" noThreeD="1"/>
</file>

<file path=xl/ctrlProps/ctrlProp30.xml><?xml version="1.0" encoding="utf-8"?>
<formControlPr xmlns="http://schemas.microsoft.com/office/spreadsheetml/2009/9/main" objectType="CheckBox" lockText="1" noThreeD="1"/>
</file>

<file path=xl/ctrlProps/ctrlProp31.xml><?xml version="1.0" encoding="utf-8"?>
<formControlPr xmlns="http://schemas.microsoft.com/office/spreadsheetml/2009/9/main" objectType="CheckBox" lockText="1" noThreeD="1"/>
</file>

<file path=xl/ctrlProps/ctrlProp32.xml><?xml version="1.0" encoding="utf-8"?>
<formControlPr xmlns="http://schemas.microsoft.com/office/spreadsheetml/2009/9/main" objectType="CheckBox" lockText="1" noThreeD="1"/>
</file>

<file path=xl/ctrlProps/ctrlProp33.xml><?xml version="1.0" encoding="utf-8"?>
<formControlPr xmlns="http://schemas.microsoft.com/office/spreadsheetml/2009/9/main" objectType="CheckBox" lockText="1" noThreeD="1"/>
</file>

<file path=xl/ctrlProps/ctrlProp34.xml><?xml version="1.0" encoding="utf-8"?>
<formControlPr xmlns="http://schemas.microsoft.com/office/spreadsheetml/2009/9/main" objectType="CheckBox" lockText="1" noThreeD="1"/>
</file>

<file path=xl/ctrlProps/ctrlProp35.xml><?xml version="1.0" encoding="utf-8"?>
<formControlPr xmlns="http://schemas.microsoft.com/office/spreadsheetml/2009/9/main" objectType="CheckBox" lockText="1" noThreeD="1"/>
</file>

<file path=xl/ctrlProps/ctrlProp36.xml><?xml version="1.0" encoding="utf-8"?>
<formControlPr xmlns="http://schemas.microsoft.com/office/spreadsheetml/2009/9/main" objectType="CheckBox" lockText="1" noThreeD="1"/>
</file>

<file path=xl/ctrlProps/ctrlProp37.xml><?xml version="1.0" encoding="utf-8"?>
<formControlPr xmlns="http://schemas.microsoft.com/office/spreadsheetml/2009/9/main" objectType="CheckBox" lockText="1" noThreeD="1"/>
</file>

<file path=xl/ctrlProps/ctrlProp38.xml><?xml version="1.0" encoding="utf-8"?>
<formControlPr xmlns="http://schemas.microsoft.com/office/spreadsheetml/2009/9/main" objectType="CheckBox" lockText="1" noThreeD="1"/>
</file>

<file path=xl/diagrams/_rels/data1.xml.rels><?xml version="1.0" encoding="UTF-8" standalone="yes"?>
<Relationships xmlns="http://schemas.openxmlformats.org/package/2006/relationships"><Relationship Id="rId8" Type="http://schemas.openxmlformats.org/officeDocument/2006/relationships/hyperlink" Target="#Result!A1"/><Relationship Id="rId3" Type="http://schemas.openxmlformats.org/officeDocument/2006/relationships/hyperlink" Target="#'Than so hoc'!A1"/><Relationship Id="rId7" Type="http://schemas.openxmlformats.org/officeDocument/2006/relationships/hyperlink" Target="#'4 cach tinh STBH'!A1"/><Relationship Id="rId2" Type="http://schemas.openxmlformats.org/officeDocument/2006/relationships/hyperlink" Target="#'Tinh phi QL'!A1"/><Relationship Id="rId1" Type="http://schemas.openxmlformats.org/officeDocument/2006/relationships/hyperlink" Target="#'Hoach dinh tai chinh'!A1"/><Relationship Id="rId6" Type="http://schemas.openxmlformats.org/officeDocument/2006/relationships/hyperlink" Target="#'Chi phi phong giuong'!A1"/><Relationship Id="rId11" Type="http://schemas.openxmlformats.org/officeDocument/2006/relationships/hyperlink" Target="#Gioithieubanthan!A1"/><Relationship Id="rId5" Type="http://schemas.openxmlformats.org/officeDocument/2006/relationships/hyperlink" Target="#'Chi phi BHN'!A1"/><Relationship Id="rId10" Type="http://schemas.openxmlformats.org/officeDocument/2006/relationships/hyperlink" Target="#KST!A1"/><Relationship Id="rId4" Type="http://schemas.openxmlformats.org/officeDocument/2006/relationships/hyperlink" Target="#'Gi&#225; Qu&#7929;'!A1"/><Relationship Id="rId9" Type="http://schemas.openxmlformats.org/officeDocument/2006/relationships/hyperlink" Target="#'Van hanh Quy &amp; so sanh'!A1"/></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B779848D-043E-479E-B265-78EAFB089F3E}" type="doc">
      <dgm:prSet loTypeId="urn:microsoft.com/office/officeart/2005/8/layout/hierarchy2" loCatId="hierarchy" qsTypeId="urn:microsoft.com/office/officeart/2005/8/quickstyle/simple5" qsCatId="simple" csTypeId="urn:microsoft.com/office/officeart/2005/8/colors/accent1_2" csCatId="accent1" phldr="1"/>
      <dgm:spPr/>
      <dgm:t>
        <a:bodyPr/>
        <a:lstStyle/>
        <a:p>
          <a:endParaRPr lang="en-US"/>
        </a:p>
      </dgm:t>
    </dgm:pt>
    <dgm:pt modelId="{7033D679-1090-4871-8963-D3723822FF0F}">
      <dgm:prSet phldrT="[Text]" custT="1"/>
      <dgm:spPr>
        <a:solidFill>
          <a:srgbClr val="33383E"/>
        </a:solidFill>
      </dgm:spPr>
      <dgm:t>
        <a:bodyPr/>
        <a:lstStyle/>
        <a:p>
          <a:r>
            <a:rPr lang="en-US" sz="1800" b="1"/>
            <a:t>Trust Tools</a:t>
          </a:r>
        </a:p>
      </dgm:t>
    </dgm:pt>
    <dgm:pt modelId="{7738D9C3-7EEF-445A-8213-68E6A8E6CD3D}" type="parTrans" cxnId="{17B756CA-5DF4-4B5D-8C62-3D0122CF7F2A}">
      <dgm:prSet/>
      <dgm:spPr/>
      <dgm:t>
        <a:bodyPr/>
        <a:lstStyle/>
        <a:p>
          <a:endParaRPr lang="en-US" sz="2000" b="1"/>
        </a:p>
      </dgm:t>
    </dgm:pt>
    <dgm:pt modelId="{C96A9CD6-6BCB-4C6A-A361-7097405E4125}" type="sibTrans" cxnId="{17B756CA-5DF4-4B5D-8C62-3D0122CF7F2A}">
      <dgm:prSet/>
      <dgm:spPr/>
      <dgm:t>
        <a:bodyPr/>
        <a:lstStyle/>
        <a:p>
          <a:endParaRPr lang="en-US" sz="2000" b="1"/>
        </a:p>
      </dgm:t>
    </dgm:pt>
    <dgm:pt modelId="{0EB39537-CDF9-4073-9144-1180174D0BCF}">
      <dgm:prSet phldrT="[Text]" custT="1"/>
      <dgm:spPr>
        <a:solidFill>
          <a:srgbClr val="D31145"/>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dgm:spPr>
      <dgm:t>
        <a:bodyPr spcFirstLastPara="0" vert="horz" wrap="square" lIns="11430" tIns="11430" rIns="11430" bIns="11430" numCol="1" spcCol="1270" anchor="ctr" anchorCtr="0"/>
        <a:lstStyle/>
        <a:p>
          <a:pPr algn="ctr"/>
          <a:r>
            <a:rPr lang="en-US" sz="1400" b="1" kern="1200"/>
            <a:t>Nhập TT NĐBH chính/ Hoạch định nhu cầu</a:t>
          </a:r>
        </a:p>
      </dgm:t>
      <dgm:extLst>
        <a:ext uri="{E40237B7-FDA0-4F09-8148-C483321AD2D9}">
          <dgm14:cNvPr xmlns:dgm14="http://schemas.microsoft.com/office/drawing/2010/diagram" id="0" name="">
            <a:hlinkClick xmlns:r="http://schemas.openxmlformats.org/officeDocument/2006/relationships" r:id="rId1"/>
          </dgm14:cNvPr>
        </a:ext>
      </dgm:extLst>
    </dgm:pt>
    <dgm:pt modelId="{A663A69C-8E4C-4877-BC92-40ECBCB0CC0D}" type="parTrans" cxnId="{9C7A1E82-D70A-4993-ADD7-8E4A80AD2A4C}">
      <dgm:prSet custT="1"/>
      <dgm:spPr/>
      <dgm:t>
        <a:bodyPr/>
        <a:lstStyle/>
        <a:p>
          <a:endParaRPr lang="en-US" sz="1800" b="1"/>
        </a:p>
      </dgm:t>
    </dgm:pt>
    <dgm:pt modelId="{5EEDAF8B-7D3A-4FDF-8E43-E9C1C575278D}" type="sibTrans" cxnId="{9C7A1E82-D70A-4993-ADD7-8E4A80AD2A4C}">
      <dgm:prSet/>
      <dgm:spPr/>
      <dgm:t>
        <a:bodyPr/>
        <a:lstStyle/>
        <a:p>
          <a:endParaRPr lang="en-US" sz="2000" b="1"/>
        </a:p>
      </dgm:t>
    </dgm:pt>
    <dgm:pt modelId="{DC954FAA-FEDE-4AB1-898B-FEE5D1DE951E}">
      <dgm:prSet custT="1"/>
      <dgm:spPr>
        <a:solidFill>
          <a:srgbClr val="D31145"/>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dgm:spPr>
      <dgm:t>
        <a:bodyPr spcFirstLastPara="0" vert="horz" wrap="square" lIns="11430" tIns="11430" rIns="11430" bIns="11430" numCol="1" spcCol="1270" anchor="ctr" anchorCtr="0"/>
        <a:lstStyle/>
        <a:p>
          <a:pPr marL="0" lvl="0" indent="0" algn="ctr" defTabSz="711200">
            <a:lnSpc>
              <a:spcPct val="90000"/>
            </a:lnSpc>
            <a:spcBef>
              <a:spcPct val="0"/>
            </a:spcBef>
            <a:spcAft>
              <a:spcPct val="35000"/>
            </a:spcAft>
            <a:buNone/>
          </a:pPr>
          <a:r>
            <a:rPr lang="en-US" sz="1400" b="1" kern="1200">
              <a:solidFill>
                <a:sysClr val="window" lastClr="FFFFFF"/>
              </a:solidFill>
              <a:latin typeface="Calibri"/>
              <a:ea typeface="+mn-ea"/>
              <a:cs typeface="+mn-cs"/>
            </a:rPr>
            <a:t>Tính phí nhanh quyền lợi</a:t>
          </a:r>
        </a:p>
      </dgm:t>
      <dgm:extLst>
        <a:ext uri="{E40237B7-FDA0-4F09-8148-C483321AD2D9}">
          <dgm14:cNvPr xmlns:dgm14="http://schemas.microsoft.com/office/drawing/2010/diagram" id="0" name="">
            <a:hlinkClick xmlns:r="http://schemas.openxmlformats.org/officeDocument/2006/relationships" r:id="rId2"/>
          </dgm14:cNvPr>
        </a:ext>
      </dgm:extLst>
    </dgm:pt>
    <dgm:pt modelId="{1F5C0616-2BA5-4032-A5AA-200692F984BB}" type="parTrans" cxnId="{41E52F50-9819-41D2-803B-E1F8F883E74D}">
      <dgm:prSet custT="1"/>
      <dgm:spPr/>
      <dgm:t>
        <a:bodyPr/>
        <a:lstStyle/>
        <a:p>
          <a:endParaRPr lang="en-US" sz="1800" b="1"/>
        </a:p>
      </dgm:t>
    </dgm:pt>
    <dgm:pt modelId="{90D9A55F-643D-481C-BFA4-4EEA3D0D32C1}" type="sibTrans" cxnId="{41E52F50-9819-41D2-803B-E1F8F883E74D}">
      <dgm:prSet/>
      <dgm:spPr/>
      <dgm:t>
        <a:bodyPr/>
        <a:lstStyle/>
        <a:p>
          <a:endParaRPr lang="en-US" sz="2000" b="1"/>
        </a:p>
      </dgm:t>
    </dgm:pt>
    <dgm:pt modelId="{9A5A79A9-A475-4123-80D0-30F47FF3CDAD}">
      <dgm:prSet custT="1"/>
      <dgm:spPr>
        <a:solidFill>
          <a:srgbClr val="D31145"/>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dgm:spPr>
      <dgm:t>
        <a:bodyPr spcFirstLastPara="0" vert="horz" wrap="square" lIns="11430" tIns="11430" rIns="11430" bIns="11430" numCol="1" spcCol="1270" anchor="ctr" anchorCtr="0"/>
        <a:lstStyle/>
        <a:p>
          <a:pPr marL="0" lvl="0" indent="0" algn="ctr" defTabSz="711200">
            <a:lnSpc>
              <a:spcPct val="90000"/>
            </a:lnSpc>
            <a:spcBef>
              <a:spcPct val="0"/>
            </a:spcBef>
            <a:spcAft>
              <a:spcPct val="35000"/>
            </a:spcAft>
            <a:buNone/>
          </a:pPr>
          <a:r>
            <a:rPr lang="en-US" sz="1400" b="1" kern="1200">
              <a:solidFill>
                <a:sysClr val="window" lastClr="FFFFFF"/>
              </a:solidFill>
              <a:latin typeface="Calibri"/>
              <a:ea typeface="+mn-ea"/>
              <a:cs typeface="+mn-cs"/>
            </a:rPr>
            <a:t>Quà tặng thần số học</a:t>
          </a:r>
        </a:p>
      </dgm:t>
      <dgm:extLst>
        <a:ext uri="{E40237B7-FDA0-4F09-8148-C483321AD2D9}">
          <dgm14:cNvPr xmlns:dgm14="http://schemas.microsoft.com/office/drawing/2010/diagram" id="0" name="">
            <a:hlinkClick xmlns:r="http://schemas.openxmlformats.org/officeDocument/2006/relationships" r:id="rId3"/>
          </dgm14:cNvPr>
        </a:ext>
      </dgm:extLst>
    </dgm:pt>
    <dgm:pt modelId="{6BEB6B80-CEE2-47E2-8344-6D5D6BC42BD0}" type="parTrans" cxnId="{D16FA7C4-881D-4812-8B7B-BA6D1FB9C961}">
      <dgm:prSet custT="1"/>
      <dgm:spPr/>
      <dgm:t>
        <a:bodyPr/>
        <a:lstStyle/>
        <a:p>
          <a:endParaRPr lang="en-US" sz="1800" b="1"/>
        </a:p>
      </dgm:t>
    </dgm:pt>
    <dgm:pt modelId="{16A481A3-83BB-4714-83DE-8E13CF5F902A}" type="sibTrans" cxnId="{D16FA7C4-881D-4812-8B7B-BA6D1FB9C961}">
      <dgm:prSet/>
      <dgm:spPr/>
      <dgm:t>
        <a:bodyPr/>
        <a:lstStyle/>
        <a:p>
          <a:endParaRPr lang="en-US" sz="2000" b="1"/>
        </a:p>
      </dgm:t>
    </dgm:pt>
    <dgm:pt modelId="{0071E100-4739-4C31-A0C3-3F991208DEB7}">
      <dgm:prSet custT="1"/>
      <dgm:spPr>
        <a:solidFill>
          <a:srgbClr val="33383E"/>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dgm:spPr>
      <dgm:t>
        <a:bodyPr spcFirstLastPara="0" vert="horz" wrap="square" lIns="11430" tIns="11430" rIns="11430" bIns="11430" numCol="1" spcCol="1270" anchor="ctr" anchorCtr="0"/>
        <a:lstStyle/>
        <a:p>
          <a:r>
            <a:rPr lang="en-US" sz="1800" b="1"/>
            <a:t>Nguồn tham khảo</a:t>
          </a:r>
        </a:p>
      </dgm:t>
    </dgm:pt>
    <dgm:pt modelId="{EB8EB587-8592-4AEC-AA38-8AE4C798EFC3}" type="parTrans" cxnId="{8C0E1C9C-3F88-4D11-BE73-57DB5289C676}">
      <dgm:prSet custT="1"/>
      <dgm:spPr/>
      <dgm:t>
        <a:bodyPr/>
        <a:lstStyle/>
        <a:p>
          <a:endParaRPr lang="en-US" sz="1800" b="1"/>
        </a:p>
      </dgm:t>
    </dgm:pt>
    <dgm:pt modelId="{DBFD17FF-3D28-4AE0-9552-9E61BBF9BC9E}" type="sibTrans" cxnId="{8C0E1C9C-3F88-4D11-BE73-57DB5289C676}">
      <dgm:prSet/>
      <dgm:spPr/>
      <dgm:t>
        <a:bodyPr/>
        <a:lstStyle/>
        <a:p>
          <a:endParaRPr lang="en-US" sz="2000" b="1"/>
        </a:p>
      </dgm:t>
    </dgm:pt>
    <dgm:pt modelId="{B837012C-C738-4643-87A7-A548A72BB15E}">
      <dgm:prSet custT="1"/>
      <dgm:spPr>
        <a:solidFill>
          <a:srgbClr val="D31145"/>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dgm:spPr>
      <dgm:t>
        <a:bodyPr spcFirstLastPara="0" vert="horz" wrap="square" lIns="11430" tIns="11430" rIns="11430" bIns="11430" numCol="1" spcCol="1270" anchor="ctr" anchorCtr="0"/>
        <a:lstStyle/>
        <a:p>
          <a:pPr marL="0" lvl="0" indent="0" algn="ctr" defTabSz="622300">
            <a:lnSpc>
              <a:spcPct val="90000"/>
            </a:lnSpc>
            <a:spcBef>
              <a:spcPct val="0"/>
            </a:spcBef>
            <a:spcAft>
              <a:spcPct val="35000"/>
            </a:spcAft>
            <a:buNone/>
          </a:pPr>
          <a:r>
            <a:rPr lang="en-US" sz="1400" b="1" kern="1200">
              <a:solidFill>
                <a:sysClr val="window" lastClr="FFFFFF"/>
              </a:solidFill>
              <a:latin typeface="Calibri"/>
              <a:ea typeface="+mn-ea"/>
              <a:cs typeface="+mn-cs"/>
            </a:rPr>
            <a:t>Tỷ suất Quỹ ILP</a:t>
          </a:r>
        </a:p>
      </dgm:t>
      <dgm:extLst>
        <a:ext uri="{E40237B7-FDA0-4F09-8148-C483321AD2D9}">
          <dgm14:cNvPr xmlns:dgm14="http://schemas.microsoft.com/office/drawing/2010/diagram" id="0" name="">
            <a:hlinkClick xmlns:r="http://schemas.openxmlformats.org/officeDocument/2006/relationships" r:id="rId4"/>
          </dgm14:cNvPr>
        </a:ext>
      </dgm:extLst>
    </dgm:pt>
    <dgm:pt modelId="{CE6DE737-D6A3-4DA6-ACF9-06BB0FCCC003}" type="parTrans" cxnId="{14C2159A-1239-4BD5-8915-1A12CF20D217}">
      <dgm:prSet/>
      <dgm:spPr/>
      <dgm:t>
        <a:bodyPr/>
        <a:lstStyle/>
        <a:p>
          <a:endParaRPr lang="en-US" b="1"/>
        </a:p>
      </dgm:t>
    </dgm:pt>
    <dgm:pt modelId="{462077E1-0AB1-4B99-869B-445C1F7ECA99}" type="sibTrans" cxnId="{14C2159A-1239-4BD5-8915-1A12CF20D217}">
      <dgm:prSet/>
      <dgm:spPr/>
      <dgm:t>
        <a:bodyPr/>
        <a:lstStyle/>
        <a:p>
          <a:endParaRPr lang="en-US" b="1"/>
        </a:p>
      </dgm:t>
    </dgm:pt>
    <dgm:pt modelId="{1CB0B535-0357-462B-A762-D027730BACB4}">
      <dgm:prSet custT="1"/>
      <dgm:spPr>
        <a:solidFill>
          <a:srgbClr val="D31145"/>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dgm:spPr>
      <dgm:t>
        <a:bodyPr spcFirstLastPara="0" vert="horz" wrap="square" lIns="11430" tIns="11430" rIns="11430" bIns="11430" numCol="1" spcCol="1270" anchor="ctr" anchorCtr="0"/>
        <a:lstStyle/>
        <a:p>
          <a:pPr marL="0" lvl="0" indent="0" algn="ctr" defTabSz="622300">
            <a:lnSpc>
              <a:spcPct val="90000"/>
            </a:lnSpc>
            <a:spcBef>
              <a:spcPct val="0"/>
            </a:spcBef>
            <a:spcAft>
              <a:spcPct val="35000"/>
            </a:spcAft>
            <a:buNone/>
          </a:pPr>
          <a:r>
            <a:rPr lang="en-US" sz="1400" b="1" kern="1200">
              <a:solidFill>
                <a:sysClr val="window" lastClr="FFFFFF"/>
              </a:solidFill>
              <a:latin typeface="Calibri"/>
              <a:ea typeface="+mn-ea"/>
              <a:cs typeface="+mn-cs"/>
            </a:rPr>
            <a:t>Chi phí bệnh hiểm nghèo</a:t>
          </a:r>
        </a:p>
      </dgm:t>
      <dgm:extLst>
        <a:ext uri="{E40237B7-FDA0-4F09-8148-C483321AD2D9}">
          <dgm14:cNvPr xmlns:dgm14="http://schemas.microsoft.com/office/drawing/2010/diagram" id="0" name="">
            <a:hlinkClick xmlns:r="http://schemas.openxmlformats.org/officeDocument/2006/relationships" r:id="rId5"/>
          </dgm14:cNvPr>
        </a:ext>
      </dgm:extLst>
    </dgm:pt>
    <dgm:pt modelId="{27A36CF1-89FD-4625-B1AB-26D1D9AB176C}" type="parTrans" cxnId="{39778CAA-1B30-4C95-99CE-ED2BC23D1476}">
      <dgm:prSet/>
      <dgm:spPr/>
      <dgm:t>
        <a:bodyPr/>
        <a:lstStyle/>
        <a:p>
          <a:endParaRPr lang="en-US" b="1"/>
        </a:p>
      </dgm:t>
    </dgm:pt>
    <dgm:pt modelId="{E31C625B-81AC-4FBE-BBAB-702D0A38557D}" type="sibTrans" cxnId="{39778CAA-1B30-4C95-99CE-ED2BC23D1476}">
      <dgm:prSet/>
      <dgm:spPr/>
      <dgm:t>
        <a:bodyPr/>
        <a:lstStyle/>
        <a:p>
          <a:endParaRPr lang="en-US" b="1"/>
        </a:p>
      </dgm:t>
    </dgm:pt>
    <dgm:pt modelId="{A089AF18-5219-4B66-A4BC-37D5220AE3F7}">
      <dgm:prSet custT="1"/>
      <dgm:spPr>
        <a:solidFill>
          <a:srgbClr val="D31145"/>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dgm:spPr>
      <dgm:t>
        <a:bodyPr spcFirstLastPara="0" vert="horz" wrap="square" lIns="11430" tIns="11430" rIns="11430" bIns="11430" numCol="1" spcCol="1270" anchor="ctr" anchorCtr="0"/>
        <a:lstStyle/>
        <a:p>
          <a:pPr marL="0" lvl="0" indent="0" algn="ctr" defTabSz="622300">
            <a:lnSpc>
              <a:spcPct val="90000"/>
            </a:lnSpc>
            <a:spcBef>
              <a:spcPct val="0"/>
            </a:spcBef>
            <a:spcAft>
              <a:spcPct val="35000"/>
            </a:spcAft>
            <a:buNone/>
          </a:pPr>
          <a:r>
            <a:rPr lang="en-US" sz="1400" b="1" kern="1200">
              <a:solidFill>
                <a:sysClr val="window" lastClr="FFFFFF"/>
              </a:solidFill>
              <a:latin typeface="Calibri"/>
              <a:ea typeface="+mn-ea"/>
              <a:cs typeface="+mn-cs"/>
            </a:rPr>
            <a:t>Chi phí phòng giường</a:t>
          </a:r>
        </a:p>
      </dgm:t>
      <dgm:extLst>
        <a:ext uri="{E40237B7-FDA0-4F09-8148-C483321AD2D9}">
          <dgm14:cNvPr xmlns:dgm14="http://schemas.microsoft.com/office/drawing/2010/diagram" id="0" name="">
            <a:hlinkClick xmlns:r="http://schemas.openxmlformats.org/officeDocument/2006/relationships" r:id="rId6"/>
          </dgm14:cNvPr>
        </a:ext>
      </dgm:extLst>
    </dgm:pt>
    <dgm:pt modelId="{6255660A-E28F-4C14-8003-A744A8568455}" type="parTrans" cxnId="{D251F3F2-86C9-42DB-9A5D-64B578F87957}">
      <dgm:prSet/>
      <dgm:spPr/>
      <dgm:t>
        <a:bodyPr/>
        <a:lstStyle/>
        <a:p>
          <a:endParaRPr lang="en-US" b="1"/>
        </a:p>
      </dgm:t>
    </dgm:pt>
    <dgm:pt modelId="{0E538980-B5C6-4BE3-990E-D0105F3772D2}" type="sibTrans" cxnId="{D251F3F2-86C9-42DB-9A5D-64B578F87957}">
      <dgm:prSet/>
      <dgm:spPr/>
      <dgm:t>
        <a:bodyPr/>
        <a:lstStyle/>
        <a:p>
          <a:endParaRPr lang="en-US" b="1"/>
        </a:p>
      </dgm:t>
    </dgm:pt>
    <dgm:pt modelId="{35C57665-4333-45FD-9500-C21D265F5A9A}">
      <dgm:prSet custT="1"/>
      <dgm:spPr>
        <a:solidFill>
          <a:srgbClr val="D31145"/>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dgm:spPr>
      <dgm:t>
        <a:bodyPr spcFirstLastPara="0" vert="horz" wrap="square" lIns="11430" tIns="11430" rIns="11430" bIns="11430" numCol="1" spcCol="1270" anchor="ctr" anchorCtr="0"/>
        <a:lstStyle/>
        <a:p>
          <a:r>
            <a:rPr lang="en-US" sz="1400" b="1"/>
            <a:t>4 cách tính nhanh số tiền bảo hiểm</a:t>
          </a:r>
        </a:p>
      </dgm:t>
      <dgm:extLst>
        <a:ext uri="{E40237B7-FDA0-4F09-8148-C483321AD2D9}">
          <dgm14:cNvPr xmlns:dgm14="http://schemas.microsoft.com/office/drawing/2010/diagram" id="0" name="">
            <a:hlinkClick xmlns:r="http://schemas.openxmlformats.org/officeDocument/2006/relationships" r:id="rId7"/>
          </dgm14:cNvPr>
        </a:ext>
      </dgm:extLst>
    </dgm:pt>
    <dgm:pt modelId="{3AFC7791-14B3-40C4-BD82-5E30160858E2}" type="parTrans" cxnId="{95B6FD71-5C10-4684-A31D-93870AE45609}">
      <dgm:prSet/>
      <dgm:spPr/>
      <dgm:t>
        <a:bodyPr/>
        <a:lstStyle/>
        <a:p>
          <a:endParaRPr lang="en-US" b="1"/>
        </a:p>
      </dgm:t>
    </dgm:pt>
    <dgm:pt modelId="{CE393B0F-D020-4BE1-A210-0249CF7AC5D5}" type="sibTrans" cxnId="{95B6FD71-5C10-4684-A31D-93870AE45609}">
      <dgm:prSet/>
      <dgm:spPr/>
      <dgm:t>
        <a:bodyPr/>
        <a:lstStyle/>
        <a:p>
          <a:endParaRPr lang="en-US" b="1"/>
        </a:p>
      </dgm:t>
    </dgm:pt>
    <dgm:pt modelId="{F9E995F8-7F9C-4FDD-8422-07BFFBBBC16A}">
      <dgm:prSet custT="1"/>
      <dgm:spPr>
        <a:solidFill>
          <a:srgbClr val="D31145"/>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dgm:spPr>
      <dgm:t>
        <a:bodyPr spcFirstLastPara="0" vert="horz" wrap="square" lIns="11430" tIns="11430" rIns="11430" bIns="11430" numCol="1" spcCol="1270" anchor="ctr" anchorCtr="0"/>
        <a:lstStyle/>
        <a:p>
          <a:pPr marL="0" lvl="0" indent="0" algn="ctr" defTabSz="711200">
            <a:lnSpc>
              <a:spcPct val="90000"/>
            </a:lnSpc>
            <a:spcBef>
              <a:spcPct val="0"/>
            </a:spcBef>
            <a:spcAft>
              <a:spcPct val="35000"/>
            </a:spcAft>
            <a:buNone/>
          </a:pPr>
          <a:r>
            <a:rPr lang="en-US" sz="1400" b="1" kern="1200">
              <a:solidFill>
                <a:sysClr val="window" lastClr="FFFFFF"/>
              </a:solidFill>
              <a:latin typeface="Calibri"/>
              <a:ea typeface="+mn-ea"/>
              <a:cs typeface="+mn-cs"/>
            </a:rPr>
            <a:t>Phiếu đánh giá chấp nhận rủi ro</a:t>
          </a:r>
        </a:p>
      </dgm:t>
      <dgm:extLst>
        <a:ext uri="{E40237B7-FDA0-4F09-8148-C483321AD2D9}">
          <dgm14:cNvPr xmlns:dgm14="http://schemas.microsoft.com/office/drawing/2010/diagram" id="0" name="">
            <a:hlinkClick xmlns:r="http://schemas.openxmlformats.org/officeDocument/2006/relationships" r:id="rId8"/>
          </dgm14:cNvPr>
        </a:ext>
      </dgm:extLst>
    </dgm:pt>
    <dgm:pt modelId="{FF9EA913-B693-4D4A-80B6-CFEE79734A7D}" type="parTrans" cxnId="{B7B25137-450D-40A2-836C-C56C655B0242}">
      <dgm:prSet/>
      <dgm:spPr/>
      <dgm:t>
        <a:bodyPr/>
        <a:lstStyle/>
        <a:p>
          <a:endParaRPr lang="en-US"/>
        </a:p>
      </dgm:t>
    </dgm:pt>
    <dgm:pt modelId="{493BFFAA-D9B0-4C95-BF71-F0E7A79C6831}" type="sibTrans" cxnId="{B7B25137-450D-40A2-836C-C56C655B0242}">
      <dgm:prSet/>
      <dgm:spPr/>
      <dgm:t>
        <a:bodyPr/>
        <a:lstStyle/>
        <a:p>
          <a:endParaRPr lang="en-US"/>
        </a:p>
      </dgm:t>
    </dgm:pt>
    <dgm:pt modelId="{9AB9FE23-738A-4603-8FE5-55B341221348}">
      <dgm:prSet custT="1"/>
      <dgm:spPr>
        <a:solidFill>
          <a:srgbClr val="D31145"/>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dgm:spPr>
      <dgm:t>
        <a:bodyPr spcFirstLastPara="0" vert="horz" wrap="square" lIns="11430" tIns="11430" rIns="11430" bIns="11430" numCol="1" spcCol="1270" anchor="ctr" anchorCtr="0"/>
        <a:lstStyle/>
        <a:p>
          <a:pPr marL="0" lvl="0" indent="0" algn="ctr" defTabSz="711200">
            <a:lnSpc>
              <a:spcPct val="90000"/>
            </a:lnSpc>
            <a:spcBef>
              <a:spcPct val="0"/>
            </a:spcBef>
            <a:spcAft>
              <a:spcPct val="35000"/>
            </a:spcAft>
            <a:buNone/>
          </a:pPr>
          <a:r>
            <a:rPr lang="en-US" sz="1400" b="1" kern="1200">
              <a:solidFill>
                <a:sysClr val="window" lastClr="FFFFFF"/>
              </a:solidFill>
              <a:latin typeface="Calibri"/>
              <a:ea typeface="+mn-ea"/>
              <a:cs typeface="+mn-cs"/>
            </a:rPr>
            <a:t>Cơ chế vận hành ILP</a:t>
          </a:r>
        </a:p>
      </dgm:t>
      <dgm:extLst>
        <a:ext uri="{E40237B7-FDA0-4F09-8148-C483321AD2D9}">
          <dgm14:cNvPr xmlns:dgm14="http://schemas.microsoft.com/office/drawing/2010/diagram" id="0" name="">
            <a:hlinkClick xmlns:r="http://schemas.openxmlformats.org/officeDocument/2006/relationships" r:id="rId9"/>
          </dgm14:cNvPr>
        </a:ext>
      </dgm:extLst>
    </dgm:pt>
    <dgm:pt modelId="{E39FD1DF-2EA7-418B-ABE3-45867DA7B5FD}" type="parTrans" cxnId="{EEA020DC-097F-4ABE-AA95-32A856B1D793}">
      <dgm:prSet/>
      <dgm:spPr/>
      <dgm:t>
        <a:bodyPr/>
        <a:lstStyle/>
        <a:p>
          <a:endParaRPr lang="en-US"/>
        </a:p>
      </dgm:t>
    </dgm:pt>
    <dgm:pt modelId="{C91FE286-254F-436C-B271-85A0FF8B17EA}" type="sibTrans" cxnId="{EEA020DC-097F-4ABE-AA95-32A856B1D793}">
      <dgm:prSet/>
      <dgm:spPr/>
      <dgm:t>
        <a:bodyPr/>
        <a:lstStyle/>
        <a:p>
          <a:endParaRPr lang="en-US"/>
        </a:p>
      </dgm:t>
    </dgm:pt>
    <dgm:pt modelId="{C6DE71BD-EC0A-43F4-8AE8-A359D43F99B7}">
      <dgm:prSet custT="1"/>
      <dgm:spPr>
        <a:solidFill>
          <a:srgbClr val="D31145"/>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dgm:spPr>
      <dgm:t>
        <a:bodyPr spcFirstLastPara="0" vert="horz" wrap="square" lIns="11430" tIns="11430" rIns="11430" bIns="11430" numCol="1" spcCol="1270" anchor="ctr" anchorCtr="0"/>
        <a:lstStyle/>
        <a:p>
          <a:pPr marL="0" lvl="0" indent="0" algn="ctr" defTabSz="711200">
            <a:lnSpc>
              <a:spcPct val="90000"/>
            </a:lnSpc>
            <a:spcBef>
              <a:spcPct val="0"/>
            </a:spcBef>
            <a:spcAft>
              <a:spcPct val="35000"/>
            </a:spcAft>
            <a:buNone/>
          </a:pPr>
          <a:r>
            <a:rPr lang="en-US" sz="1400" b="1" kern="1200">
              <a:solidFill>
                <a:sysClr val="window" lastClr="FFFFFF"/>
              </a:solidFill>
              <a:latin typeface="Calibri"/>
              <a:ea typeface="+mn-ea"/>
              <a:cs typeface="+mn-cs"/>
            </a:rPr>
            <a:t>Khảo sát chăm sóc sức khỏe</a:t>
          </a:r>
        </a:p>
      </dgm:t>
      <dgm:extLst>
        <a:ext uri="{E40237B7-FDA0-4F09-8148-C483321AD2D9}">
          <dgm14:cNvPr xmlns:dgm14="http://schemas.microsoft.com/office/drawing/2010/diagram" id="0" name="">
            <a:hlinkClick xmlns:r="http://schemas.openxmlformats.org/officeDocument/2006/relationships" r:id="rId10"/>
          </dgm14:cNvPr>
        </a:ext>
      </dgm:extLst>
    </dgm:pt>
    <dgm:pt modelId="{04940E65-1127-4E69-953D-F2AA9AA14FAA}" type="parTrans" cxnId="{FB73A1BE-A6C2-4A91-8438-F35406D5ACB2}">
      <dgm:prSet/>
      <dgm:spPr/>
      <dgm:t>
        <a:bodyPr/>
        <a:lstStyle/>
        <a:p>
          <a:endParaRPr lang="en-US"/>
        </a:p>
      </dgm:t>
    </dgm:pt>
    <dgm:pt modelId="{2433EF4D-31BC-4602-90A4-B476264AD297}" type="sibTrans" cxnId="{FB73A1BE-A6C2-4A91-8438-F35406D5ACB2}">
      <dgm:prSet/>
      <dgm:spPr/>
      <dgm:t>
        <a:bodyPr/>
        <a:lstStyle/>
        <a:p>
          <a:endParaRPr lang="en-US"/>
        </a:p>
      </dgm:t>
    </dgm:pt>
    <dgm:pt modelId="{4ED56A1C-4DE1-4A1A-8AD0-B12A30F448AD}">
      <dgm:prSet custT="1"/>
      <dgm:spPr>
        <a:solidFill>
          <a:srgbClr val="D31145"/>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dgm:spPr>
      <dgm:t>
        <a:bodyPr spcFirstLastPara="0" vert="horz" wrap="square" lIns="11430" tIns="11430" rIns="11430" bIns="11430" numCol="1" spcCol="1270" anchor="ctr" anchorCtr="0"/>
        <a:lstStyle/>
        <a:p>
          <a:pPr marL="0" lvl="0" indent="0" algn="ctr" defTabSz="800100">
            <a:lnSpc>
              <a:spcPct val="90000"/>
            </a:lnSpc>
            <a:spcBef>
              <a:spcPct val="0"/>
            </a:spcBef>
            <a:spcAft>
              <a:spcPct val="35000"/>
            </a:spcAft>
            <a:buNone/>
          </a:pPr>
          <a:r>
            <a:rPr lang="en-US" sz="1400" b="1" kern="1200">
              <a:solidFill>
                <a:sysClr val="window" lastClr="FFFFFF"/>
              </a:solidFill>
              <a:latin typeface="Calibri"/>
              <a:ea typeface="+mn-ea"/>
              <a:cs typeface="+mn-cs"/>
            </a:rPr>
            <a:t>Giới thiệu bản thân</a:t>
          </a:r>
        </a:p>
      </dgm:t>
      <dgm:extLst>
        <a:ext uri="{E40237B7-FDA0-4F09-8148-C483321AD2D9}">
          <dgm14:cNvPr xmlns:dgm14="http://schemas.microsoft.com/office/drawing/2010/diagram" id="0" name="">
            <a:hlinkClick xmlns:r="http://schemas.openxmlformats.org/officeDocument/2006/relationships" r:id="rId11"/>
          </dgm14:cNvPr>
        </a:ext>
      </dgm:extLst>
    </dgm:pt>
    <dgm:pt modelId="{7E75A6DB-A3CA-417B-B299-B0DDD3D901A1}" type="parTrans" cxnId="{F8EE86AF-CF50-4CE2-B470-57724D3E80AE}">
      <dgm:prSet/>
      <dgm:spPr/>
      <dgm:t>
        <a:bodyPr/>
        <a:lstStyle/>
        <a:p>
          <a:endParaRPr lang="en-US"/>
        </a:p>
      </dgm:t>
    </dgm:pt>
    <dgm:pt modelId="{BA32F619-AE27-4705-8920-24F6CCB81467}" type="sibTrans" cxnId="{F8EE86AF-CF50-4CE2-B470-57724D3E80AE}">
      <dgm:prSet/>
      <dgm:spPr/>
      <dgm:t>
        <a:bodyPr/>
        <a:lstStyle/>
        <a:p>
          <a:endParaRPr lang="en-US"/>
        </a:p>
      </dgm:t>
    </dgm:pt>
    <dgm:pt modelId="{1FDFF218-E12F-47DB-A3A6-5C73D8560244}" type="pres">
      <dgm:prSet presAssocID="{B779848D-043E-479E-B265-78EAFB089F3E}" presName="diagram" presStyleCnt="0">
        <dgm:presLayoutVars>
          <dgm:chPref val="1"/>
          <dgm:dir/>
          <dgm:animOne val="branch"/>
          <dgm:animLvl val="lvl"/>
          <dgm:resizeHandles val="exact"/>
        </dgm:presLayoutVars>
      </dgm:prSet>
      <dgm:spPr/>
    </dgm:pt>
    <dgm:pt modelId="{C2F59C5D-7E1E-4145-8C25-D5EAAB0AEA09}" type="pres">
      <dgm:prSet presAssocID="{7033D679-1090-4871-8963-D3723822FF0F}" presName="root1" presStyleCnt="0"/>
      <dgm:spPr/>
    </dgm:pt>
    <dgm:pt modelId="{635547D5-D4CD-452C-AE2D-8DF94A41306F}" type="pres">
      <dgm:prSet presAssocID="{7033D679-1090-4871-8963-D3723822FF0F}" presName="LevelOneTextNode" presStyleLbl="node0" presStyleIdx="0" presStyleCnt="1" custScaleX="139082" custScaleY="229090">
        <dgm:presLayoutVars>
          <dgm:chPref val="3"/>
        </dgm:presLayoutVars>
      </dgm:prSet>
      <dgm:spPr/>
    </dgm:pt>
    <dgm:pt modelId="{F1BB3AF0-6D17-45DB-BEA0-B85BCC1E6F80}" type="pres">
      <dgm:prSet presAssocID="{7033D679-1090-4871-8963-D3723822FF0F}" presName="level2hierChild" presStyleCnt="0"/>
      <dgm:spPr/>
    </dgm:pt>
    <dgm:pt modelId="{5A27C08D-41AE-40AB-8FD5-1FE597B91D06}" type="pres">
      <dgm:prSet presAssocID="{7E75A6DB-A3CA-417B-B299-B0DDD3D901A1}" presName="conn2-1" presStyleLbl="parChTrans1D2" presStyleIdx="0" presStyleCnt="6"/>
      <dgm:spPr/>
    </dgm:pt>
    <dgm:pt modelId="{A24C9108-AC8E-4521-8065-A053BFBA7A2E}" type="pres">
      <dgm:prSet presAssocID="{7E75A6DB-A3CA-417B-B299-B0DDD3D901A1}" presName="connTx" presStyleLbl="parChTrans1D2" presStyleIdx="0" presStyleCnt="6"/>
      <dgm:spPr/>
    </dgm:pt>
    <dgm:pt modelId="{74DE562A-5FE3-43A7-93DE-C1DEF95AC69D}" type="pres">
      <dgm:prSet presAssocID="{4ED56A1C-4DE1-4A1A-8AD0-B12A30F448AD}" presName="root2" presStyleCnt="0"/>
      <dgm:spPr/>
    </dgm:pt>
    <dgm:pt modelId="{50350F26-C562-4BA4-B342-CA7B38409A3F}" type="pres">
      <dgm:prSet presAssocID="{4ED56A1C-4DE1-4A1A-8AD0-B12A30F448AD}" presName="LevelTwoTextNode" presStyleLbl="node2" presStyleIdx="0" presStyleCnt="6" custScaleX="595987">
        <dgm:presLayoutVars>
          <dgm:chPref val="3"/>
        </dgm:presLayoutVars>
      </dgm:prSet>
      <dgm:spPr>
        <a:xfrm>
          <a:off x="2215211" y="3058"/>
          <a:ext cx="521648" cy="260824"/>
        </a:xfrm>
        <a:prstGeom prst="roundRect">
          <a:avLst>
            <a:gd name="adj" fmla="val 10000"/>
          </a:avLst>
        </a:prstGeom>
      </dgm:spPr>
    </dgm:pt>
    <dgm:pt modelId="{F97FB0E8-90CE-489C-BA1E-1B9E68743CE0}" type="pres">
      <dgm:prSet presAssocID="{4ED56A1C-4DE1-4A1A-8AD0-B12A30F448AD}" presName="level3hierChild" presStyleCnt="0"/>
      <dgm:spPr/>
    </dgm:pt>
    <dgm:pt modelId="{D663AFE1-7B0A-4BE1-8EB8-607D980453A2}" type="pres">
      <dgm:prSet presAssocID="{A663A69C-8E4C-4877-BC92-40ECBCB0CC0D}" presName="conn2-1" presStyleLbl="parChTrans1D2" presStyleIdx="1" presStyleCnt="6"/>
      <dgm:spPr/>
    </dgm:pt>
    <dgm:pt modelId="{12FDC00A-AECB-4326-98CB-81ADA6B2D819}" type="pres">
      <dgm:prSet presAssocID="{A663A69C-8E4C-4877-BC92-40ECBCB0CC0D}" presName="connTx" presStyleLbl="parChTrans1D2" presStyleIdx="1" presStyleCnt="6"/>
      <dgm:spPr/>
    </dgm:pt>
    <dgm:pt modelId="{362533F7-3B3D-4EF2-8508-5A4BCF53FFE3}" type="pres">
      <dgm:prSet presAssocID="{0EB39537-CDF9-4073-9144-1180174D0BCF}" presName="root2" presStyleCnt="0"/>
      <dgm:spPr/>
    </dgm:pt>
    <dgm:pt modelId="{ED225970-CE69-4610-9E9F-E2665CE46098}" type="pres">
      <dgm:prSet presAssocID="{0EB39537-CDF9-4073-9144-1180174D0BCF}" presName="LevelTwoTextNode" presStyleLbl="node2" presStyleIdx="1" presStyleCnt="6" custScaleX="595987" custScaleY="112420">
        <dgm:presLayoutVars>
          <dgm:chPref val="3"/>
        </dgm:presLayoutVars>
      </dgm:prSet>
      <dgm:spPr>
        <a:xfrm>
          <a:off x="2066916" y="303006"/>
          <a:ext cx="3108959" cy="293218"/>
        </a:xfrm>
        <a:prstGeom prst="roundRect">
          <a:avLst>
            <a:gd name="adj" fmla="val 10000"/>
          </a:avLst>
        </a:prstGeom>
      </dgm:spPr>
    </dgm:pt>
    <dgm:pt modelId="{4C68F711-75A6-4FBC-987B-FF58B82BA20F}" type="pres">
      <dgm:prSet presAssocID="{0EB39537-CDF9-4073-9144-1180174D0BCF}" presName="level3hierChild" presStyleCnt="0"/>
      <dgm:spPr/>
    </dgm:pt>
    <dgm:pt modelId="{821B4277-8C41-4E63-B0FB-E9A6659B0F25}" type="pres">
      <dgm:prSet presAssocID="{1F5C0616-2BA5-4032-A5AA-200692F984BB}" presName="conn2-1" presStyleLbl="parChTrans1D2" presStyleIdx="2" presStyleCnt="6"/>
      <dgm:spPr/>
    </dgm:pt>
    <dgm:pt modelId="{BAC56031-A4C2-417E-B940-D382901D4F16}" type="pres">
      <dgm:prSet presAssocID="{1F5C0616-2BA5-4032-A5AA-200692F984BB}" presName="connTx" presStyleLbl="parChTrans1D2" presStyleIdx="2" presStyleCnt="6"/>
      <dgm:spPr/>
    </dgm:pt>
    <dgm:pt modelId="{8748154B-075C-4BC2-B7D0-AB4B7C9C32D7}" type="pres">
      <dgm:prSet presAssocID="{DC954FAA-FEDE-4AB1-898B-FEE5D1DE951E}" presName="root2" presStyleCnt="0"/>
      <dgm:spPr/>
    </dgm:pt>
    <dgm:pt modelId="{9CD27FBF-29B6-4F09-AFDC-28DF2AF8A5F6}" type="pres">
      <dgm:prSet presAssocID="{DC954FAA-FEDE-4AB1-898B-FEE5D1DE951E}" presName="LevelTwoTextNode" presStyleLbl="node2" presStyleIdx="2" presStyleCnt="6" custScaleX="595987" custScaleY="112420">
        <dgm:presLayoutVars>
          <dgm:chPref val="3"/>
        </dgm:presLayoutVars>
      </dgm:prSet>
      <dgm:spPr>
        <a:xfrm>
          <a:off x="2066916" y="967691"/>
          <a:ext cx="3108959" cy="293218"/>
        </a:xfrm>
        <a:prstGeom prst="roundRect">
          <a:avLst>
            <a:gd name="adj" fmla="val 10000"/>
          </a:avLst>
        </a:prstGeom>
      </dgm:spPr>
    </dgm:pt>
    <dgm:pt modelId="{D7A92F9B-9BBC-4AF9-B30C-C4BB7139C76C}" type="pres">
      <dgm:prSet presAssocID="{DC954FAA-FEDE-4AB1-898B-FEE5D1DE951E}" presName="level3hierChild" presStyleCnt="0"/>
      <dgm:spPr/>
    </dgm:pt>
    <dgm:pt modelId="{B0B3D3B6-1FCD-4D50-98D7-1E5E45F8E209}" type="pres">
      <dgm:prSet presAssocID="{6BEB6B80-CEE2-47E2-8344-6D5D6BC42BD0}" presName="conn2-1" presStyleLbl="parChTrans1D2" presStyleIdx="3" presStyleCnt="6"/>
      <dgm:spPr/>
    </dgm:pt>
    <dgm:pt modelId="{2C753C2C-3C89-4557-9A21-F7D8909D53F0}" type="pres">
      <dgm:prSet presAssocID="{6BEB6B80-CEE2-47E2-8344-6D5D6BC42BD0}" presName="connTx" presStyleLbl="parChTrans1D2" presStyleIdx="3" presStyleCnt="6"/>
      <dgm:spPr/>
    </dgm:pt>
    <dgm:pt modelId="{208D1780-067E-402B-95D1-4CD5393A3EB5}" type="pres">
      <dgm:prSet presAssocID="{9A5A79A9-A475-4123-80D0-30F47FF3CDAD}" presName="root2" presStyleCnt="0"/>
      <dgm:spPr/>
    </dgm:pt>
    <dgm:pt modelId="{0F34CC97-B87C-4486-B676-B8923F36E2DD}" type="pres">
      <dgm:prSet presAssocID="{9A5A79A9-A475-4123-80D0-30F47FF3CDAD}" presName="LevelTwoTextNode" presStyleLbl="node2" presStyleIdx="3" presStyleCnt="6" custScaleX="595987" custScaleY="112420">
        <dgm:presLayoutVars>
          <dgm:chPref val="3"/>
        </dgm:presLayoutVars>
      </dgm:prSet>
      <dgm:spPr>
        <a:xfrm>
          <a:off x="1157279" y="1300034"/>
          <a:ext cx="3108959" cy="293218"/>
        </a:xfrm>
        <a:prstGeom prst="roundRect">
          <a:avLst>
            <a:gd name="adj" fmla="val 10000"/>
          </a:avLst>
        </a:prstGeom>
      </dgm:spPr>
    </dgm:pt>
    <dgm:pt modelId="{E2CE87F1-9AF4-40B7-BA55-D58C2D82F413}" type="pres">
      <dgm:prSet presAssocID="{9A5A79A9-A475-4123-80D0-30F47FF3CDAD}" presName="level3hierChild" presStyleCnt="0"/>
      <dgm:spPr/>
    </dgm:pt>
    <dgm:pt modelId="{0979042B-F52A-4EF1-B3C5-36D7E508F7E8}" type="pres">
      <dgm:prSet presAssocID="{04940E65-1127-4E69-953D-F2AA9AA14FAA}" presName="conn2-1" presStyleLbl="parChTrans1D2" presStyleIdx="4" presStyleCnt="6"/>
      <dgm:spPr/>
    </dgm:pt>
    <dgm:pt modelId="{2AF4DA5A-D67D-4909-99BF-A6CF771C9A7F}" type="pres">
      <dgm:prSet presAssocID="{04940E65-1127-4E69-953D-F2AA9AA14FAA}" presName="connTx" presStyleLbl="parChTrans1D2" presStyleIdx="4" presStyleCnt="6"/>
      <dgm:spPr/>
    </dgm:pt>
    <dgm:pt modelId="{39BEE504-1D15-4B69-9808-26DC0DB0BE27}" type="pres">
      <dgm:prSet presAssocID="{C6DE71BD-EC0A-43F4-8AE8-A359D43F99B7}" presName="root2" presStyleCnt="0"/>
      <dgm:spPr/>
    </dgm:pt>
    <dgm:pt modelId="{879F555A-7862-475E-B9A0-35E0CD7F3673}" type="pres">
      <dgm:prSet presAssocID="{C6DE71BD-EC0A-43F4-8AE8-A359D43F99B7}" presName="LevelTwoTextNode" presStyleLbl="node2" presStyleIdx="4" presStyleCnt="6" custScaleX="595987">
        <dgm:presLayoutVars>
          <dgm:chPref val="3"/>
        </dgm:presLayoutVars>
      </dgm:prSet>
      <dgm:spPr>
        <a:xfrm>
          <a:off x="1157279" y="1632376"/>
          <a:ext cx="3108959" cy="260824"/>
        </a:xfrm>
        <a:prstGeom prst="roundRect">
          <a:avLst>
            <a:gd name="adj" fmla="val 10000"/>
          </a:avLst>
        </a:prstGeom>
      </dgm:spPr>
    </dgm:pt>
    <dgm:pt modelId="{A7F48069-41B8-4924-9EB5-908D5EF5E2C0}" type="pres">
      <dgm:prSet presAssocID="{C6DE71BD-EC0A-43F4-8AE8-A359D43F99B7}" presName="level3hierChild" presStyleCnt="0"/>
      <dgm:spPr/>
    </dgm:pt>
    <dgm:pt modelId="{3A1C2215-E745-40AB-95C0-CFFB929BD592}" type="pres">
      <dgm:prSet presAssocID="{EB8EB587-8592-4AEC-AA38-8AE4C798EFC3}" presName="conn2-1" presStyleLbl="parChTrans1D2" presStyleIdx="5" presStyleCnt="6"/>
      <dgm:spPr/>
    </dgm:pt>
    <dgm:pt modelId="{BE257FEC-6CF7-40CB-9C9E-3DB02FF8E5FD}" type="pres">
      <dgm:prSet presAssocID="{EB8EB587-8592-4AEC-AA38-8AE4C798EFC3}" presName="connTx" presStyleLbl="parChTrans1D2" presStyleIdx="5" presStyleCnt="6"/>
      <dgm:spPr/>
    </dgm:pt>
    <dgm:pt modelId="{4613BF9A-94E0-4D02-86D4-643F7F920146}" type="pres">
      <dgm:prSet presAssocID="{0071E100-4739-4C31-A0C3-3F991208DEB7}" presName="root2" presStyleCnt="0"/>
      <dgm:spPr/>
    </dgm:pt>
    <dgm:pt modelId="{286C6FC2-395C-48B0-9EA4-9076C63E964E}" type="pres">
      <dgm:prSet presAssocID="{0071E100-4739-4C31-A0C3-3F991208DEB7}" presName="LevelTwoTextNode" presStyleLbl="node2" presStyleIdx="5" presStyleCnt="6" custScaleX="657653" custScaleY="112420">
        <dgm:presLayoutVars>
          <dgm:chPref val="3"/>
        </dgm:presLayoutVars>
      </dgm:prSet>
      <dgm:spPr>
        <a:xfrm>
          <a:off x="995549" y="1512315"/>
          <a:ext cx="3638303" cy="276612"/>
        </a:xfrm>
        <a:prstGeom prst="roundRect">
          <a:avLst>
            <a:gd name="adj" fmla="val 10000"/>
          </a:avLst>
        </a:prstGeom>
      </dgm:spPr>
    </dgm:pt>
    <dgm:pt modelId="{3D2737F3-D62C-4AEA-9401-7EA70A106DC7}" type="pres">
      <dgm:prSet presAssocID="{0071E100-4739-4C31-A0C3-3F991208DEB7}" presName="level3hierChild" presStyleCnt="0"/>
      <dgm:spPr/>
    </dgm:pt>
    <dgm:pt modelId="{B6FADF9B-0DC9-4877-94D2-1108817D0B6C}" type="pres">
      <dgm:prSet presAssocID="{FF9EA913-B693-4D4A-80B6-CFEE79734A7D}" presName="conn2-1" presStyleLbl="parChTrans1D3" presStyleIdx="0" presStyleCnt="6"/>
      <dgm:spPr/>
    </dgm:pt>
    <dgm:pt modelId="{E2F929FF-067B-4064-BCAA-FA0B55F35D31}" type="pres">
      <dgm:prSet presAssocID="{FF9EA913-B693-4D4A-80B6-CFEE79734A7D}" presName="connTx" presStyleLbl="parChTrans1D3" presStyleIdx="0" presStyleCnt="6"/>
      <dgm:spPr/>
    </dgm:pt>
    <dgm:pt modelId="{F3973A9C-CE95-4CA1-B678-77B0D2626841}" type="pres">
      <dgm:prSet presAssocID="{F9E995F8-7F9C-4FDD-8422-07BFFBBBC16A}" presName="root2" presStyleCnt="0"/>
      <dgm:spPr/>
    </dgm:pt>
    <dgm:pt modelId="{A08C4559-BBEB-4942-BA50-377F12D200BD}" type="pres">
      <dgm:prSet presAssocID="{F9E995F8-7F9C-4FDD-8422-07BFFBBBC16A}" presName="LevelTwoTextNode" presStyleLbl="node3" presStyleIdx="0" presStyleCnt="6" custScaleX="525871" custLinFactNeighborX="713">
        <dgm:presLayoutVars>
          <dgm:chPref val="3"/>
        </dgm:presLayoutVars>
      </dgm:prSet>
      <dgm:spPr>
        <a:xfrm>
          <a:off x="4800297" y="1198651"/>
          <a:ext cx="2743200" cy="260824"/>
        </a:xfrm>
        <a:prstGeom prst="roundRect">
          <a:avLst>
            <a:gd name="adj" fmla="val 10000"/>
          </a:avLst>
        </a:prstGeom>
      </dgm:spPr>
    </dgm:pt>
    <dgm:pt modelId="{054D4235-23BA-4D61-B1AA-FB93FABFD3EE}" type="pres">
      <dgm:prSet presAssocID="{F9E995F8-7F9C-4FDD-8422-07BFFBBBC16A}" presName="level3hierChild" presStyleCnt="0"/>
      <dgm:spPr/>
    </dgm:pt>
    <dgm:pt modelId="{E86AB9B0-C7CD-4552-93F1-CC2CBED8B173}" type="pres">
      <dgm:prSet presAssocID="{E39FD1DF-2EA7-418B-ABE3-45867DA7B5FD}" presName="conn2-1" presStyleLbl="parChTrans1D3" presStyleIdx="1" presStyleCnt="6"/>
      <dgm:spPr/>
    </dgm:pt>
    <dgm:pt modelId="{467EB013-B4DE-44AC-B804-DB608D84DDE0}" type="pres">
      <dgm:prSet presAssocID="{E39FD1DF-2EA7-418B-ABE3-45867DA7B5FD}" presName="connTx" presStyleLbl="parChTrans1D3" presStyleIdx="1" presStyleCnt="6"/>
      <dgm:spPr/>
    </dgm:pt>
    <dgm:pt modelId="{DCA517B2-FA7D-4D6A-B2B3-5B90626F04EE}" type="pres">
      <dgm:prSet presAssocID="{9AB9FE23-738A-4603-8FE5-55B341221348}" presName="root2" presStyleCnt="0"/>
      <dgm:spPr/>
    </dgm:pt>
    <dgm:pt modelId="{E78C94AF-145B-47C8-AAC7-FAB0802C899C}" type="pres">
      <dgm:prSet presAssocID="{9AB9FE23-738A-4603-8FE5-55B341221348}" presName="LevelTwoTextNode" presStyleLbl="node3" presStyleIdx="1" presStyleCnt="6" custScaleX="525871">
        <dgm:presLayoutVars>
          <dgm:chPref val="3"/>
        </dgm:presLayoutVars>
      </dgm:prSet>
      <dgm:spPr>
        <a:xfrm>
          <a:off x="4796578" y="1498599"/>
          <a:ext cx="2743200" cy="260824"/>
        </a:xfrm>
        <a:prstGeom prst="roundRect">
          <a:avLst>
            <a:gd name="adj" fmla="val 10000"/>
          </a:avLst>
        </a:prstGeom>
      </dgm:spPr>
    </dgm:pt>
    <dgm:pt modelId="{2849D1F0-BD11-4F32-9BC8-4D0BED82749E}" type="pres">
      <dgm:prSet presAssocID="{9AB9FE23-738A-4603-8FE5-55B341221348}" presName="level3hierChild" presStyleCnt="0"/>
      <dgm:spPr/>
    </dgm:pt>
    <dgm:pt modelId="{AA6EFBC9-7AEE-415D-B9FD-748CCC070F41}" type="pres">
      <dgm:prSet presAssocID="{CE6DE737-D6A3-4DA6-ACF9-06BB0FCCC003}" presName="conn2-1" presStyleLbl="parChTrans1D3" presStyleIdx="2" presStyleCnt="6"/>
      <dgm:spPr/>
    </dgm:pt>
    <dgm:pt modelId="{0FBACEB2-C9A0-4300-B5FF-4D3025B141C2}" type="pres">
      <dgm:prSet presAssocID="{CE6DE737-D6A3-4DA6-ACF9-06BB0FCCC003}" presName="connTx" presStyleLbl="parChTrans1D3" presStyleIdx="2" presStyleCnt="6"/>
      <dgm:spPr/>
    </dgm:pt>
    <dgm:pt modelId="{9989C31E-9FEC-4FA2-870F-13283EF3974A}" type="pres">
      <dgm:prSet presAssocID="{B837012C-C738-4643-87A7-A548A72BB15E}" presName="root2" presStyleCnt="0"/>
      <dgm:spPr/>
    </dgm:pt>
    <dgm:pt modelId="{9F87CB4A-0D57-418A-8A3C-20CE8A77339F}" type="pres">
      <dgm:prSet presAssocID="{B837012C-C738-4643-87A7-A548A72BB15E}" presName="LevelTwoTextNode" presStyleLbl="node3" presStyleIdx="2" presStyleCnt="6" custScaleX="525871">
        <dgm:presLayoutVars>
          <dgm:chPref val="3"/>
        </dgm:presLayoutVars>
      </dgm:prSet>
      <dgm:spPr>
        <a:xfrm>
          <a:off x="5706216" y="1798547"/>
          <a:ext cx="2743200" cy="260824"/>
        </a:xfrm>
        <a:prstGeom prst="roundRect">
          <a:avLst>
            <a:gd name="adj" fmla="val 10000"/>
          </a:avLst>
        </a:prstGeom>
      </dgm:spPr>
    </dgm:pt>
    <dgm:pt modelId="{B4FD0701-A61A-45E8-BA09-FE6E670258F1}" type="pres">
      <dgm:prSet presAssocID="{B837012C-C738-4643-87A7-A548A72BB15E}" presName="level3hierChild" presStyleCnt="0"/>
      <dgm:spPr/>
    </dgm:pt>
    <dgm:pt modelId="{1414E3BE-9D03-4C45-AEC7-0426B7FEFFE6}" type="pres">
      <dgm:prSet presAssocID="{27A36CF1-89FD-4625-B1AB-26D1D9AB176C}" presName="conn2-1" presStyleLbl="parChTrans1D3" presStyleIdx="3" presStyleCnt="6"/>
      <dgm:spPr/>
    </dgm:pt>
    <dgm:pt modelId="{8D5D83E3-8E78-4F31-9091-27DA75298B16}" type="pres">
      <dgm:prSet presAssocID="{27A36CF1-89FD-4625-B1AB-26D1D9AB176C}" presName="connTx" presStyleLbl="parChTrans1D3" presStyleIdx="3" presStyleCnt="6"/>
      <dgm:spPr/>
    </dgm:pt>
    <dgm:pt modelId="{D301DCD0-6261-4E92-A120-AF78ACF598B4}" type="pres">
      <dgm:prSet presAssocID="{1CB0B535-0357-462B-A762-D027730BACB4}" presName="root2" presStyleCnt="0"/>
      <dgm:spPr/>
    </dgm:pt>
    <dgm:pt modelId="{3CA46F53-F019-4FF1-90CB-3B7629CA49D5}" type="pres">
      <dgm:prSet presAssocID="{1CB0B535-0357-462B-A762-D027730BACB4}" presName="LevelTwoTextNode" presStyleLbl="node3" presStyleIdx="3" presStyleCnt="6" custScaleX="525871">
        <dgm:presLayoutVars>
          <dgm:chPref val="3"/>
        </dgm:presLayoutVars>
      </dgm:prSet>
      <dgm:spPr>
        <a:xfrm>
          <a:off x="5706216" y="2098495"/>
          <a:ext cx="2743200" cy="260824"/>
        </a:xfrm>
        <a:prstGeom prst="roundRect">
          <a:avLst>
            <a:gd name="adj" fmla="val 10000"/>
          </a:avLst>
        </a:prstGeom>
      </dgm:spPr>
    </dgm:pt>
    <dgm:pt modelId="{472E5F7C-157D-4694-9EE5-4BC76141E086}" type="pres">
      <dgm:prSet presAssocID="{1CB0B535-0357-462B-A762-D027730BACB4}" presName="level3hierChild" presStyleCnt="0"/>
      <dgm:spPr/>
    </dgm:pt>
    <dgm:pt modelId="{04F38CC6-3C7C-4567-83F2-773E9767A98B}" type="pres">
      <dgm:prSet presAssocID="{6255660A-E28F-4C14-8003-A744A8568455}" presName="conn2-1" presStyleLbl="parChTrans1D3" presStyleIdx="4" presStyleCnt="6"/>
      <dgm:spPr/>
    </dgm:pt>
    <dgm:pt modelId="{98E76D74-9200-4021-B96B-4C6A9E82A211}" type="pres">
      <dgm:prSet presAssocID="{6255660A-E28F-4C14-8003-A744A8568455}" presName="connTx" presStyleLbl="parChTrans1D3" presStyleIdx="4" presStyleCnt="6"/>
      <dgm:spPr/>
    </dgm:pt>
    <dgm:pt modelId="{0FAD990E-29FE-416D-AA00-37BD1AF8B6B6}" type="pres">
      <dgm:prSet presAssocID="{A089AF18-5219-4B66-A4BC-37D5220AE3F7}" presName="root2" presStyleCnt="0"/>
      <dgm:spPr/>
    </dgm:pt>
    <dgm:pt modelId="{53F61070-AA3C-4F23-BB26-30A0D15F82FB}" type="pres">
      <dgm:prSet presAssocID="{A089AF18-5219-4B66-A4BC-37D5220AE3F7}" presName="LevelTwoTextNode" presStyleLbl="node3" presStyleIdx="4" presStyleCnt="6" custScaleX="525871">
        <dgm:presLayoutVars>
          <dgm:chPref val="3"/>
        </dgm:presLayoutVars>
      </dgm:prSet>
      <dgm:spPr>
        <a:xfrm>
          <a:off x="5706216" y="2398444"/>
          <a:ext cx="2743200" cy="260824"/>
        </a:xfrm>
        <a:prstGeom prst="roundRect">
          <a:avLst>
            <a:gd name="adj" fmla="val 10000"/>
          </a:avLst>
        </a:prstGeom>
      </dgm:spPr>
    </dgm:pt>
    <dgm:pt modelId="{AC7082EF-1AA8-4935-AE0F-7FDB10C74A9F}" type="pres">
      <dgm:prSet presAssocID="{A089AF18-5219-4B66-A4BC-37D5220AE3F7}" presName="level3hierChild" presStyleCnt="0"/>
      <dgm:spPr/>
    </dgm:pt>
    <dgm:pt modelId="{AFB7DCE8-E39A-4536-8399-9287141BCF6B}" type="pres">
      <dgm:prSet presAssocID="{3AFC7791-14B3-40C4-BD82-5E30160858E2}" presName="conn2-1" presStyleLbl="parChTrans1D3" presStyleIdx="5" presStyleCnt="6"/>
      <dgm:spPr/>
    </dgm:pt>
    <dgm:pt modelId="{7C3DD07C-3897-4DA3-B000-3C0C74FFA3FF}" type="pres">
      <dgm:prSet presAssocID="{3AFC7791-14B3-40C4-BD82-5E30160858E2}" presName="connTx" presStyleLbl="parChTrans1D3" presStyleIdx="5" presStyleCnt="6"/>
      <dgm:spPr/>
    </dgm:pt>
    <dgm:pt modelId="{FFD25425-CC84-4CF2-8CBA-49592593D2D2}" type="pres">
      <dgm:prSet presAssocID="{35C57665-4333-45FD-9500-C21D265F5A9A}" presName="root2" presStyleCnt="0"/>
      <dgm:spPr/>
    </dgm:pt>
    <dgm:pt modelId="{6985511D-ADB8-4E1E-91AC-9D14F4C0ED96}" type="pres">
      <dgm:prSet presAssocID="{35C57665-4333-45FD-9500-C21D265F5A9A}" presName="LevelTwoTextNode" presStyleLbl="node3" presStyleIdx="5" presStyleCnt="6" custScaleX="525871">
        <dgm:presLayoutVars>
          <dgm:chPref val="3"/>
        </dgm:presLayoutVars>
      </dgm:prSet>
      <dgm:spPr>
        <a:xfrm>
          <a:off x="5706216" y="2698392"/>
          <a:ext cx="2743200" cy="260824"/>
        </a:xfrm>
        <a:prstGeom prst="roundRect">
          <a:avLst>
            <a:gd name="adj" fmla="val 10000"/>
          </a:avLst>
        </a:prstGeom>
      </dgm:spPr>
    </dgm:pt>
    <dgm:pt modelId="{09AD2B1B-CB3B-45DE-A393-A087F5A19F79}" type="pres">
      <dgm:prSet presAssocID="{35C57665-4333-45FD-9500-C21D265F5A9A}" presName="level3hierChild" presStyleCnt="0"/>
      <dgm:spPr/>
    </dgm:pt>
  </dgm:ptLst>
  <dgm:cxnLst>
    <dgm:cxn modelId="{F1402A03-C7DE-4839-AFCE-2494DF0BE18A}" type="presOf" srcId="{1F5C0616-2BA5-4032-A5AA-200692F984BB}" destId="{821B4277-8C41-4E63-B0FB-E9A6659B0F25}" srcOrd="0" destOrd="0" presId="urn:microsoft.com/office/officeart/2005/8/layout/hierarchy2"/>
    <dgm:cxn modelId="{69E11206-0E3D-4B5E-9B36-1BB160945759}" type="presOf" srcId="{35C57665-4333-45FD-9500-C21D265F5A9A}" destId="{6985511D-ADB8-4E1E-91AC-9D14F4C0ED96}" srcOrd="0" destOrd="0" presId="urn:microsoft.com/office/officeart/2005/8/layout/hierarchy2"/>
    <dgm:cxn modelId="{78E27E19-4AB5-42F2-860F-85B57F946222}" type="presOf" srcId="{7E75A6DB-A3CA-417B-B299-B0DDD3D901A1}" destId="{A24C9108-AC8E-4521-8065-A053BFBA7A2E}" srcOrd="1" destOrd="0" presId="urn:microsoft.com/office/officeart/2005/8/layout/hierarchy2"/>
    <dgm:cxn modelId="{EEC7B71F-2A1C-4040-B569-0CF10F3BEA69}" type="presOf" srcId="{E39FD1DF-2EA7-418B-ABE3-45867DA7B5FD}" destId="{467EB013-B4DE-44AC-B804-DB608D84DDE0}" srcOrd="1" destOrd="0" presId="urn:microsoft.com/office/officeart/2005/8/layout/hierarchy2"/>
    <dgm:cxn modelId="{4FEF0B20-A7D7-483A-8210-21E2DB7172F8}" type="presOf" srcId="{3AFC7791-14B3-40C4-BD82-5E30160858E2}" destId="{AFB7DCE8-E39A-4536-8399-9287141BCF6B}" srcOrd="0" destOrd="0" presId="urn:microsoft.com/office/officeart/2005/8/layout/hierarchy2"/>
    <dgm:cxn modelId="{0826B22C-B5FD-4CD4-8939-4D177FDCB8DA}" type="presOf" srcId="{7E75A6DB-A3CA-417B-B299-B0DDD3D901A1}" destId="{5A27C08D-41AE-40AB-8FD5-1FE597B91D06}" srcOrd="0" destOrd="0" presId="urn:microsoft.com/office/officeart/2005/8/layout/hierarchy2"/>
    <dgm:cxn modelId="{A0CB992E-D61C-43E8-B87F-9A64D1C14995}" type="presOf" srcId="{A663A69C-8E4C-4877-BC92-40ECBCB0CC0D}" destId="{12FDC00A-AECB-4326-98CB-81ADA6B2D819}" srcOrd="1" destOrd="0" presId="urn:microsoft.com/office/officeart/2005/8/layout/hierarchy2"/>
    <dgm:cxn modelId="{B7B25137-450D-40A2-836C-C56C655B0242}" srcId="{0071E100-4739-4C31-A0C3-3F991208DEB7}" destId="{F9E995F8-7F9C-4FDD-8422-07BFFBBBC16A}" srcOrd="0" destOrd="0" parTransId="{FF9EA913-B693-4D4A-80B6-CFEE79734A7D}" sibTransId="{493BFFAA-D9B0-4C95-BF71-F0E7A79C6831}"/>
    <dgm:cxn modelId="{EB29C662-64F2-45C5-84A8-ED928AED81B1}" type="presOf" srcId="{CE6DE737-D6A3-4DA6-ACF9-06BB0FCCC003}" destId="{AA6EFBC9-7AEE-415D-B9FD-748CCC070F41}" srcOrd="0" destOrd="0" presId="urn:microsoft.com/office/officeart/2005/8/layout/hierarchy2"/>
    <dgm:cxn modelId="{16C36946-42AC-4577-BCE3-768F4E90952A}" type="presOf" srcId="{9AB9FE23-738A-4603-8FE5-55B341221348}" destId="{E78C94AF-145B-47C8-AAC7-FAB0802C899C}" srcOrd="0" destOrd="0" presId="urn:microsoft.com/office/officeart/2005/8/layout/hierarchy2"/>
    <dgm:cxn modelId="{9A5DEC66-C913-450D-9DE5-24425AA3FC2F}" type="presOf" srcId="{CE6DE737-D6A3-4DA6-ACF9-06BB0FCCC003}" destId="{0FBACEB2-C9A0-4300-B5FF-4D3025B141C2}" srcOrd="1" destOrd="0" presId="urn:microsoft.com/office/officeart/2005/8/layout/hierarchy2"/>
    <dgm:cxn modelId="{16206F6B-F231-4AAB-89FF-FD2A1CF3EAAE}" type="presOf" srcId="{6255660A-E28F-4C14-8003-A744A8568455}" destId="{04F38CC6-3C7C-4567-83F2-773E9767A98B}" srcOrd="0" destOrd="0" presId="urn:microsoft.com/office/officeart/2005/8/layout/hierarchy2"/>
    <dgm:cxn modelId="{41E52F50-9819-41D2-803B-E1F8F883E74D}" srcId="{7033D679-1090-4871-8963-D3723822FF0F}" destId="{DC954FAA-FEDE-4AB1-898B-FEE5D1DE951E}" srcOrd="2" destOrd="0" parTransId="{1F5C0616-2BA5-4032-A5AA-200692F984BB}" sibTransId="{90D9A55F-643D-481C-BFA4-4EEA3D0D32C1}"/>
    <dgm:cxn modelId="{95B6FD71-5C10-4684-A31D-93870AE45609}" srcId="{0071E100-4739-4C31-A0C3-3F991208DEB7}" destId="{35C57665-4333-45FD-9500-C21D265F5A9A}" srcOrd="5" destOrd="0" parTransId="{3AFC7791-14B3-40C4-BD82-5E30160858E2}" sibTransId="{CE393B0F-D020-4BE1-A210-0249CF7AC5D5}"/>
    <dgm:cxn modelId="{F17C9255-E1A6-4FBC-85F8-9CFEE547C6E5}" type="presOf" srcId="{A663A69C-8E4C-4877-BC92-40ECBCB0CC0D}" destId="{D663AFE1-7B0A-4BE1-8EB8-607D980453A2}" srcOrd="0" destOrd="0" presId="urn:microsoft.com/office/officeart/2005/8/layout/hierarchy2"/>
    <dgm:cxn modelId="{1E1EC359-A0CF-445C-AE9F-81DE6BC288F3}" type="presOf" srcId="{7033D679-1090-4871-8963-D3723822FF0F}" destId="{635547D5-D4CD-452C-AE2D-8DF94A41306F}" srcOrd="0" destOrd="0" presId="urn:microsoft.com/office/officeart/2005/8/layout/hierarchy2"/>
    <dgm:cxn modelId="{EDD0BC7E-62EA-4739-980B-2D1693D91BA4}" type="presOf" srcId="{6255660A-E28F-4C14-8003-A744A8568455}" destId="{98E76D74-9200-4021-B96B-4C6A9E82A211}" srcOrd="1" destOrd="0" presId="urn:microsoft.com/office/officeart/2005/8/layout/hierarchy2"/>
    <dgm:cxn modelId="{FCEB7580-B5B8-4205-9D6F-1352CF18420E}" type="presOf" srcId="{6BEB6B80-CEE2-47E2-8344-6D5D6BC42BD0}" destId="{2C753C2C-3C89-4557-9A21-F7D8909D53F0}" srcOrd="1" destOrd="0" presId="urn:microsoft.com/office/officeart/2005/8/layout/hierarchy2"/>
    <dgm:cxn modelId="{9C7A1E82-D70A-4993-ADD7-8E4A80AD2A4C}" srcId="{7033D679-1090-4871-8963-D3723822FF0F}" destId="{0EB39537-CDF9-4073-9144-1180174D0BCF}" srcOrd="1" destOrd="0" parTransId="{A663A69C-8E4C-4877-BC92-40ECBCB0CC0D}" sibTransId="{5EEDAF8B-7D3A-4FDF-8E43-E9C1C575278D}"/>
    <dgm:cxn modelId="{C0FC3D8D-2C64-4A6A-9FA5-2C0DE1F0E3DE}" type="presOf" srcId="{1CB0B535-0357-462B-A762-D027730BACB4}" destId="{3CA46F53-F019-4FF1-90CB-3B7629CA49D5}" srcOrd="0" destOrd="0" presId="urn:microsoft.com/office/officeart/2005/8/layout/hierarchy2"/>
    <dgm:cxn modelId="{080F2C90-9922-44A3-8E2C-DA75675FF36E}" type="presOf" srcId="{3AFC7791-14B3-40C4-BD82-5E30160858E2}" destId="{7C3DD07C-3897-4DA3-B000-3C0C74FFA3FF}" srcOrd="1" destOrd="0" presId="urn:microsoft.com/office/officeart/2005/8/layout/hierarchy2"/>
    <dgm:cxn modelId="{E24E8299-3EC6-4449-9DBD-102DE1779243}" type="presOf" srcId="{4ED56A1C-4DE1-4A1A-8AD0-B12A30F448AD}" destId="{50350F26-C562-4BA4-B342-CA7B38409A3F}" srcOrd="0" destOrd="0" presId="urn:microsoft.com/office/officeart/2005/8/layout/hierarchy2"/>
    <dgm:cxn modelId="{14C2159A-1239-4BD5-8915-1A12CF20D217}" srcId="{0071E100-4739-4C31-A0C3-3F991208DEB7}" destId="{B837012C-C738-4643-87A7-A548A72BB15E}" srcOrd="2" destOrd="0" parTransId="{CE6DE737-D6A3-4DA6-ACF9-06BB0FCCC003}" sibTransId="{462077E1-0AB1-4B99-869B-445C1F7ECA99}"/>
    <dgm:cxn modelId="{2750A29A-2088-47AB-A6A9-737B256B545B}" type="presOf" srcId="{F9E995F8-7F9C-4FDD-8422-07BFFBBBC16A}" destId="{A08C4559-BBEB-4942-BA50-377F12D200BD}" srcOrd="0" destOrd="0" presId="urn:microsoft.com/office/officeart/2005/8/layout/hierarchy2"/>
    <dgm:cxn modelId="{8C0E1C9C-3F88-4D11-BE73-57DB5289C676}" srcId="{7033D679-1090-4871-8963-D3723822FF0F}" destId="{0071E100-4739-4C31-A0C3-3F991208DEB7}" srcOrd="5" destOrd="0" parTransId="{EB8EB587-8592-4AEC-AA38-8AE4C798EFC3}" sibTransId="{DBFD17FF-3D28-4AE0-9552-9E61BBF9BC9E}"/>
    <dgm:cxn modelId="{F0775F9E-D83F-43F8-BD99-430B1A8AC1F7}" type="presOf" srcId="{B779848D-043E-479E-B265-78EAFB089F3E}" destId="{1FDFF218-E12F-47DB-A3A6-5C73D8560244}" srcOrd="0" destOrd="0" presId="urn:microsoft.com/office/officeart/2005/8/layout/hierarchy2"/>
    <dgm:cxn modelId="{A78B1EA7-5E33-4BDB-B4B4-975B47163FF6}" type="presOf" srcId="{0071E100-4739-4C31-A0C3-3F991208DEB7}" destId="{286C6FC2-395C-48B0-9EA4-9076C63E964E}" srcOrd="0" destOrd="0" presId="urn:microsoft.com/office/officeart/2005/8/layout/hierarchy2"/>
    <dgm:cxn modelId="{DA9E37A9-59FF-4AC9-B1C6-FCE698225ADE}" type="presOf" srcId="{FF9EA913-B693-4D4A-80B6-CFEE79734A7D}" destId="{B6FADF9B-0DC9-4877-94D2-1108817D0B6C}" srcOrd="0" destOrd="0" presId="urn:microsoft.com/office/officeart/2005/8/layout/hierarchy2"/>
    <dgm:cxn modelId="{39778CAA-1B30-4C95-99CE-ED2BC23D1476}" srcId="{0071E100-4739-4C31-A0C3-3F991208DEB7}" destId="{1CB0B535-0357-462B-A762-D027730BACB4}" srcOrd="3" destOrd="0" parTransId="{27A36CF1-89FD-4625-B1AB-26D1D9AB176C}" sibTransId="{E31C625B-81AC-4FBE-BBAB-702D0A38557D}"/>
    <dgm:cxn modelId="{3CBDF3AA-4797-42FC-A082-3B034D53381F}" type="presOf" srcId="{9A5A79A9-A475-4123-80D0-30F47FF3CDAD}" destId="{0F34CC97-B87C-4486-B676-B8923F36E2DD}" srcOrd="0" destOrd="0" presId="urn:microsoft.com/office/officeart/2005/8/layout/hierarchy2"/>
    <dgm:cxn modelId="{50D413AE-B422-44B0-AFE6-648AD83C4D70}" type="presOf" srcId="{04940E65-1127-4E69-953D-F2AA9AA14FAA}" destId="{0979042B-F52A-4EF1-B3C5-36D7E508F7E8}" srcOrd="0" destOrd="0" presId="urn:microsoft.com/office/officeart/2005/8/layout/hierarchy2"/>
    <dgm:cxn modelId="{F8EE86AF-CF50-4CE2-B470-57724D3E80AE}" srcId="{7033D679-1090-4871-8963-D3723822FF0F}" destId="{4ED56A1C-4DE1-4A1A-8AD0-B12A30F448AD}" srcOrd="0" destOrd="0" parTransId="{7E75A6DB-A3CA-417B-B299-B0DDD3D901A1}" sibTransId="{BA32F619-AE27-4705-8920-24F6CCB81467}"/>
    <dgm:cxn modelId="{E34622B1-2B2B-4EF1-9DE2-8FE7080CB58D}" type="presOf" srcId="{B837012C-C738-4643-87A7-A548A72BB15E}" destId="{9F87CB4A-0D57-418A-8A3C-20CE8A77339F}" srcOrd="0" destOrd="0" presId="urn:microsoft.com/office/officeart/2005/8/layout/hierarchy2"/>
    <dgm:cxn modelId="{8A2755B2-3A43-479D-98BB-536D3A03B110}" type="presOf" srcId="{27A36CF1-89FD-4625-B1AB-26D1D9AB176C}" destId="{8D5D83E3-8E78-4F31-9091-27DA75298B16}" srcOrd="1" destOrd="0" presId="urn:microsoft.com/office/officeart/2005/8/layout/hierarchy2"/>
    <dgm:cxn modelId="{5682BBB6-A07B-42DD-A59C-C1445E6D7C0D}" type="presOf" srcId="{EB8EB587-8592-4AEC-AA38-8AE4C798EFC3}" destId="{BE257FEC-6CF7-40CB-9C9E-3DB02FF8E5FD}" srcOrd="1" destOrd="0" presId="urn:microsoft.com/office/officeart/2005/8/layout/hierarchy2"/>
    <dgm:cxn modelId="{498307BB-BE60-44A0-9682-EDD172E0568E}" type="presOf" srcId="{A089AF18-5219-4B66-A4BC-37D5220AE3F7}" destId="{53F61070-AA3C-4F23-BB26-30A0D15F82FB}" srcOrd="0" destOrd="0" presId="urn:microsoft.com/office/officeart/2005/8/layout/hierarchy2"/>
    <dgm:cxn modelId="{FB73A1BE-A6C2-4A91-8438-F35406D5ACB2}" srcId="{7033D679-1090-4871-8963-D3723822FF0F}" destId="{C6DE71BD-EC0A-43F4-8AE8-A359D43F99B7}" srcOrd="4" destOrd="0" parTransId="{04940E65-1127-4E69-953D-F2AA9AA14FAA}" sibTransId="{2433EF4D-31BC-4602-90A4-B476264AD297}"/>
    <dgm:cxn modelId="{D16FA7C4-881D-4812-8B7B-BA6D1FB9C961}" srcId="{7033D679-1090-4871-8963-D3723822FF0F}" destId="{9A5A79A9-A475-4123-80D0-30F47FF3CDAD}" srcOrd="3" destOrd="0" parTransId="{6BEB6B80-CEE2-47E2-8344-6D5D6BC42BD0}" sibTransId="{16A481A3-83BB-4714-83DE-8E13CF5F902A}"/>
    <dgm:cxn modelId="{FBD491C6-7432-446D-B06E-6D52ED1249D9}" type="presOf" srcId="{FF9EA913-B693-4D4A-80B6-CFEE79734A7D}" destId="{E2F929FF-067B-4064-BCAA-FA0B55F35D31}" srcOrd="1" destOrd="0" presId="urn:microsoft.com/office/officeart/2005/8/layout/hierarchy2"/>
    <dgm:cxn modelId="{17B756CA-5DF4-4B5D-8C62-3D0122CF7F2A}" srcId="{B779848D-043E-479E-B265-78EAFB089F3E}" destId="{7033D679-1090-4871-8963-D3723822FF0F}" srcOrd="0" destOrd="0" parTransId="{7738D9C3-7EEF-445A-8213-68E6A8E6CD3D}" sibTransId="{C96A9CD6-6BCB-4C6A-A361-7097405E4125}"/>
    <dgm:cxn modelId="{12F16CCB-E572-45E3-A613-0111CC855198}" type="presOf" srcId="{EB8EB587-8592-4AEC-AA38-8AE4C798EFC3}" destId="{3A1C2215-E745-40AB-95C0-CFFB929BD592}" srcOrd="0" destOrd="0" presId="urn:microsoft.com/office/officeart/2005/8/layout/hierarchy2"/>
    <dgm:cxn modelId="{EEA020DC-097F-4ABE-AA95-32A856B1D793}" srcId="{0071E100-4739-4C31-A0C3-3F991208DEB7}" destId="{9AB9FE23-738A-4603-8FE5-55B341221348}" srcOrd="1" destOrd="0" parTransId="{E39FD1DF-2EA7-418B-ABE3-45867DA7B5FD}" sibTransId="{C91FE286-254F-436C-B271-85A0FF8B17EA}"/>
    <dgm:cxn modelId="{1C1224DD-CAEF-4E74-88FE-0DF3C610E3D6}" type="presOf" srcId="{1F5C0616-2BA5-4032-A5AA-200692F984BB}" destId="{BAC56031-A4C2-417E-B940-D382901D4F16}" srcOrd="1" destOrd="0" presId="urn:microsoft.com/office/officeart/2005/8/layout/hierarchy2"/>
    <dgm:cxn modelId="{E9796EE5-382A-454C-ADFE-5B7E15F46291}" type="presOf" srcId="{04940E65-1127-4E69-953D-F2AA9AA14FAA}" destId="{2AF4DA5A-D67D-4909-99BF-A6CF771C9A7F}" srcOrd="1" destOrd="0" presId="urn:microsoft.com/office/officeart/2005/8/layout/hierarchy2"/>
    <dgm:cxn modelId="{EED1EEE9-BBD2-4272-ACFC-4820CC968250}" type="presOf" srcId="{6BEB6B80-CEE2-47E2-8344-6D5D6BC42BD0}" destId="{B0B3D3B6-1FCD-4D50-98D7-1E5E45F8E209}" srcOrd="0" destOrd="0" presId="urn:microsoft.com/office/officeart/2005/8/layout/hierarchy2"/>
    <dgm:cxn modelId="{55C075ED-6184-4CF6-89C4-A411F029BDC4}" type="presOf" srcId="{27A36CF1-89FD-4625-B1AB-26D1D9AB176C}" destId="{1414E3BE-9D03-4C45-AEC7-0426B7FEFFE6}" srcOrd="0" destOrd="0" presId="urn:microsoft.com/office/officeart/2005/8/layout/hierarchy2"/>
    <dgm:cxn modelId="{05DDFBED-BF58-4821-9C19-31A2CA014C56}" type="presOf" srcId="{E39FD1DF-2EA7-418B-ABE3-45867DA7B5FD}" destId="{E86AB9B0-C7CD-4552-93F1-CC2CBED8B173}" srcOrd="0" destOrd="0" presId="urn:microsoft.com/office/officeart/2005/8/layout/hierarchy2"/>
    <dgm:cxn modelId="{ACBB61EE-21EA-4594-9536-6AAF03484E94}" type="presOf" srcId="{DC954FAA-FEDE-4AB1-898B-FEE5D1DE951E}" destId="{9CD27FBF-29B6-4F09-AFDC-28DF2AF8A5F6}" srcOrd="0" destOrd="0" presId="urn:microsoft.com/office/officeart/2005/8/layout/hierarchy2"/>
    <dgm:cxn modelId="{B550FAEE-D9C4-4352-A380-4634F24367DB}" type="presOf" srcId="{0EB39537-CDF9-4073-9144-1180174D0BCF}" destId="{ED225970-CE69-4610-9E9F-E2665CE46098}" srcOrd="0" destOrd="0" presId="urn:microsoft.com/office/officeart/2005/8/layout/hierarchy2"/>
    <dgm:cxn modelId="{A38D42F1-2AEF-4D1A-BBB7-AEA124821197}" type="presOf" srcId="{C6DE71BD-EC0A-43F4-8AE8-A359D43F99B7}" destId="{879F555A-7862-475E-B9A0-35E0CD7F3673}" srcOrd="0" destOrd="0" presId="urn:microsoft.com/office/officeart/2005/8/layout/hierarchy2"/>
    <dgm:cxn modelId="{D251F3F2-86C9-42DB-9A5D-64B578F87957}" srcId="{0071E100-4739-4C31-A0C3-3F991208DEB7}" destId="{A089AF18-5219-4B66-A4BC-37D5220AE3F7}" srcOrd="4" destOrd="0" parTransId="{6255660A-E28F-4C14-8003-A744A8568455}" sibTransId="{0E538980-B5C6-4BE3-990E-D0105F3772D2}"/>
    <dgm:cxn modelId="{A316E4A8-A071-4598-A4A3-5488AA8E73F7}" type="presParOf" srcId="{1FDFF218-E12F-47DB-A3A6-5C73D8560244}" destId="{C2F59C5D-7E1E-4145-8C25-D5EAAB0AEA09}" srcOrd="0" destOrd="0" presId="urn:microsoft.com/office/officeart/2005/8/layout/hierarchy2"/>
    <dgm:cxn modelId="{90C1F1C9-EEF9-42FB-A18F-D8713DCEBA08}" type="presParOf" srcId="{C2F59C5D-7E1E-4145-8C25-D5EAAB0AEA09}" destId="{635547D5-D4CD-452C-AE2D-8DF94A41306F}" srcOrd="0" destOrd="0" presId="urn:microsoft.com/office/officeart/2005/8/layout/hierarchy2"/>
    <dgm:cxn modelId="{24E19F5B-9CB6-4722-A8FC-474B88116CA7}" type="presParOf" srcId="{C2F59C5D-7E1E-4145-8C25-D5EAAB0AEA09}" destId="{F1BB3AF0-6D17-45DB-BEA0-B85BCC1E6F80}" srcOrd="1" destOrd="0" presId="urn:microsoft.com/office/officeart/2005/8/layout/hierarchy2"/>
    <dgm:cxn modelId="{D8DE3906-7D5B-42B0-9D40-5B27B2F7E09D}" type="presParOf" srcId="{F1BB3AF0-6D17-45DB-BEA0-B85BCC1E6F80}" destId="{5A27C08D-41AE-40AB-8FD5-1FE597B91D06}" srcOrd="0" destOrd="0" presId="urn:microsoft.com/office/officeart/2005/8/layout/hierarchy2"/>
    <dgm:cxn modelId="{2438D0AA-E80B-4B70-B969-489D8E286E43}" type="presParOf" srcId="{5A27C08D-41AE-40AB-8FD5-1FE597B91D06}" destId="{A24C9108-AC8E-4521-8065-A053BFBA7A2E}" srcOrd="0" destOrd="0" presId="urn:microsoft.com/office/officeart/2005/8/layout/hierarchy2"/>
    <dgm:cxn modelId="{495774C2-5EAA-4E07-91BA-8707340FDD7F}" type="presParOf" srcId="{F1BB3AF0-6D17-45DB-BEA0-B85BCC1E6F80}" destId="{74DE562A-5FE3-43A7-93DE-C1DEF95AC69D}" srcOrd="1" destOrd="0" presId="urn:microsoft.com/office/officeart/2005/8/layout/hierarchy2"/>
    <dgm:cxn modelId="{7D3A03EE-A945-4582-830B-7A9D548898D7}" type="presParOf" srcId="{74DE562A-5FE3-43A7-93DE-C1DEF95AC69D}" destId="{50350F26-C562-4BA4-B342-CA7B38409A3F}" srcOrd="0" destOrd="0" presId="urn:microsoft.com/office/officeart/2005/8/layout/hierarchy2"/>
    <dgm:cxn modelId="{42BFB96F-91B7-42EA-9CAB-3CC99D027ABA}" type="presParOf" srcId="{74DE562A-5FE3-43A7-93DE-C1DEF95AC69D}" destId="{F97FB0E8-90CE-489C-BA1E-1B9E68743CE0}" srcOrd="1" destOrd="0" presId="urn:microsoft.com/office/officeart/2005/8/layout/hierarchy2"/>
    <dgm:cxn modelId="{C50F8AB7-62E6-43E3-A05D-C96E87137F10}" type="presParOf" srcId="{F1BB3AF0-6D17-45DB-BEA0-B85BCC1E6F80}" destId="{D663AFE1-7B0A-4BE1-8EB8-607D980453A2}" srcOrd="2" destOrd="0" presId="urn:microsoft.com/office/officeart/2005/8/layout/hierarchy2"/>
    <dgm:cxn modelId="{06800FAE-50FE-4E51-8BB4-D00BB1284D55}" type="presParOf" srcId="{D663AFE1-7B0A-4BE1-8EB8-607D980453A2}" destId="{12FDC00A-AECB-4326-98CB-81ADA6B2D819}" srcOrd="0" destOrd="0" presId="urn:microsoft.com/office/officeart/2005/8/layout/hierarchy2"/>
    <dgm:cxn modelId="{A040E6EC-2297-4F73-904E-536B7C095A0C}" type="presParOf" srcId="{F1BB3AF0-6D17-45DB-BEA0-B85BCC1E6F80}" destId="{362533F7-3B3D-4EF2-8508-5A4BCF53FFE3}" srcOrd="3" destOrd="0" presId="urn:microsoft.com/office/officeart/2005/8/layout/hierarchy2"/>
    <dgm:cxn modelId="{1A052C5B-F799-45CF-857B-9C029444ED10}" type="presParOf" srcId="{362533F7-3B3D-4EF2-8508-5A4BCF53FFE3}" destId="{ED225970-CE69-4610-9E9F-E2665CE46098}" srcOrd="0" destOrd="0" presId="urn:microsoft.com/office/officeart/2005/8/layout/hierarchy2"/>
    <dgm:cxn modelId="{25FAD1C3-11DC-4E78-AB76-C50527A39C79}" type="presParOf" srcId="{362533F7-3B3D-4EF2-8508-5A4BCF53FFE3}" destId="{4C68F711-75A6-4FBC-987B-FF58B82BA20F}" srcOrd="1" destOrd="0" presId="urn:microsoft.com/office/officeart/2005/8/layout/hierarchy2"/>
    <dgm:cxn modelId="{28BC516F-FE07-4C1B-B0F9-AEB7180E725B}" type="presParOf" srcId="{F1BB3AF0-6D17-45DB-BEA0-B85BCC1E6F80}" destId="{821B4277-8C41-4E63-B0FB-E9A6659B0F25}" srcOrd="4" destOrd="0" presId="urn:microsoft.com/office/officeart/2005/8/layout/hierarchy2"/>
    <dgm:cxn modelId="{5E540C86-23EA-4E93-8D0A-1FD936BE3B63}" type="presParOf" srcId="{821B4277-8C41-4E63-B0FB-E9A6659B0F25}" destId="{BAC56031-A4C2-417E-B940-D382901D4F16}" srcOrd="0" destOrd="0" presId="urn:microsoft.com/office/officeart/2005/8/layout/hierarchy2"/>
    <dgm:cxn modelId="{6A1FE795-FFB7-481E-AB94-BADFCE5EC37E}" type="presParOf" srcId="{F1BB3AF0-6D17-45DB-BEA0-B85BCC1E6F80}" destId="{8748154B-075C-4BC2-B7D0-AB4B7C9C32D7}" srcOrd="5" destOrd="0" presId="urn:microsoft.com/office/officeart/2005/8/layout/hierarchy2"/>
    <dgm:cxn modelId="{6E77C79F-C50B-4A5A-8C70-2C9BE341FEE7}" type="presParOf" srcId="{8748154B-075C-4BC2-B7D0-AB4B7C9C32D7}" destId="{9CD27FBF-29B6-4F09-AFDC-28DF2AF8A5F6}" srcOrd="0" destOrd="0" presId="urn:microsoft.com/office/officeart/2005/8/layout/hierarchy2"/>
    <dgm:cxn modelId="{AD62B6E3-FFA7-40FD-ACC0-CE325D801E87}" type="presParOf" srcId="{8748154B-075C-4BC2-B7D0-AB4B7C9C32D7}" destId="{D7A92F9B-9BBC-4AF9-B30C-C4BB7139C76C}" srcOrd="1" destOrd="0" presId="urn:microsoft.com/office/officeart/2005/8/layout/hierarchy2"/>
    <dgm:cxn modelId="{3D8F9FE3-4175-468F-B551-18E022E37AE6}" type="presParOf" srcId="{F1BB3AF0-6D17-45DB-BEA0-B85BCC1E6F80}" destId="{B0B3D3B6-1FCD-4D50-98D7-1E5E45F8E209}" srcOrd="6" destOrd="0" presId="urn:microsoft.com/office/officeart/2005/8/layout/hierarchy2"/>
    <dgm:cxn modelId="{BEF384AC-F110-4D28-95FC-582B91E7BA46}" type="presParOf" srcId="{B0B3D3B6-1FCD-4D50-98D7-1E5E45F8E209}" destId="{2C753C2C-3C89-4557-9A21-F7D8909D53F0}" srcOrd="0" destOrd="0" presId="urn:microsoft.com/office/officeart/2005/8/layout/hierarchy2"/>
    <dgm:cxn modelId="{11FE707B-F05B-415F-8111-DEDE7BD98D6C}" type="presParOf" srcId="{F1BB3AF0-6D17-45DB-BEA0-B85BCC1E6F80}" destId="{208D1780-067E-402B-95D1-4CD5393A3EB5}" srcOrd="7" destOrd="0" presId="urn:microsoft.com/office/officeart/2005/8/layout/hierarchy2"/>
    <dgm:cxn modelId="{6DC4D6EC-8A13-4398-B473-A6A341DC7638}" type="presParOf" srcId="{208D1780-067E-402B-95D1-4CD5393A3EB5}" destId="{0F34CC97-B87C-4486-B676-B8923F36E2DD}" srcOrd="0" destOrd="0" presId="urn:microsoft.com/office/officeart/2005/8/layout/hierarchy2"/>
    <dgm:cxn modelId="{0AB11EA3-FE35-41A4-8F60-DB8E05F8E628}" type="presParOf" srcId="{208D1780-067E-402B-95D1-4CD5393A3EB5}" destId="{E2CE87F1-9AF4-40B7-BA55-D58C2D82F413}" srcOrd="1" destOrd="0" presId="urn:microsoft.com/office/officeart/2005/8/layout/hierarchy2"/>
    <dgm:cxn modelId="{06638C2A-5490-40FF-A5F6-61D6665F5462}" type="presParOf" srcId="{F1BB3AF0-6D17-45DB-BEA0-B85BCC1E6F80}" destId="{0979042B-F52A-4EF1-B3C5-36D7E508F7E8}" srcOrd="8" destOrd="0" presId="urn:microsoft.com/office/officeart/2005/8/layout/hierarchy2"/>
    <dgm:cxn modelId="{1981A676-C6FB-4EA0-91A2-5123D6297FCF}" type="presParOf" srcId="{0979042B-F52A-4EF1-B3C5-36D7E508F7E8}" destId="{2AF4DA5A-D67D-4909-99BF-A6CF771C9A7F}" srcOrd="0" destOrd="0" presId="urn:microsoft.com/office/officeart/2005/8/layout/hierarchy2"/>
    <dgm:cxn modelId="{AB09CCB6-E415-49AF-AAC8-65F92CDDD849}" type="presParOf" srcId="{F1BB3AF0-6D17-45DB-BEA0-B85BCC1E6F80}" destId="{39BEE504-1D15-4B69-9808-26DC0DB0BE27}" srcOrd="9" destOrd="0" presId="urn:microsoft.com/office/officeart/2005/8/layout/hierarchy2"/>
    <dgm:cxn modelId="{2FA12E11-2512-4715-A5DC-AB9167F6AF6D}" type="presParOf" srcId="{39BEE504-1D15-4B69-9808-26DC0DB0BE27}" destId="{879F555A-7862-475E-B9A0-35E0CD7F3673}" srcOrd="0" destOrd="0" presId="urn:microsoft.com/office/officeart/2005/8/layout/hierarchy2"/>
    <dgm:cxn modelId="{A2F59F29-991D-407D-B830-E8E67ED6533E}" type="presParOf" srcId="{39BEE504-1D15-4B69-9808-26DC0DB0BE27}" destId="{A7F48069-41B8-4924-9EB5-908D5EF5E2C0}" srcOrd="1" destOrd="0" presId="urn:microsoft.com/office/officeart/2005/8/layout/hierarchy2"/>
    <dgm:cxn modelId="{E8B67AB0-0067-4300-B046-0DE37868CD4A}" type="presParOf" srcId="{F1BB3AF0-6D17-45DB-BEA0-B85BCC1E6F80}" destId="{3A1C2215-E745-40AB-95C0-CFFB929BD592}" srcOrd="10" destOrd="0" presId="urn:microsoft.com/office/officeart/2005/8/layout/hierarchy2"/>
    <dgm:cxn modelId="{8FA54EA2-DB6A-4216-9F80-E48491FF1475}" type="presParOf" srcId="{3A1C2215-E745-40AB-95C0-CFFB929BD592}" destId="{BE257FEC-6CF7-40CB-9C9E-3DB02FF8E5FD}" srcOrd="0" destOrd="0" presId="urn:microsoft.com/office/officeart/2005/8/layout/hierarchy2"/>
    <dgm:cxn modelId="{9506DF40-DC52-4D9B-BCE0-D28B8BB2B68B}" type="presParOf" srcId="{F1BB3AF0-6D17-45DB-BEA0-B85BCC1E6F80}" destId="{4613BF9A-94E0-4D02-86D4-643F7F920146}" srcOrd="11" destOrd="0" presId="urn:microsoft.com/office/officeart/2005/8/layout/hierarchy2"/>
    <dgm:cxn modelId="{4EBB94CF-E40A-4CD0-8D1A-9CCCAF9C2694}" type="presParOf" srcId="{4613BF9A-94E0-4D02-86D4-643F7F920146}" destId="{286C6FC2-395C-48B0-9EA4-9076C63E964E}" srcOrd="0" destOrd="0" presId="urn:microsoft.com/office/officeart/2005/8/layout/hierarchy2"/>
    <dgm:cxn modelId="{283637ED-F8CA-423F-A16A-C8C42677BB1F}" type="presParOf" srcId="{4613BF9A-94E0-4D02-86D4-643F7F920146}" destId="{3D2737F3-D62C-4AEA-9401-7EA70A106DC7}" srcOrd="1" destOrd="0" presId="urn:microsoft.com/office/officeart/2005/8/layout/hierarchy2"/>
    <dgm:cxn modelId="{C917D1CF-FC1A-4B3B-A89A-113111E14BF5}" type="presParOf" srcId="{3D2737F3-D62C-4AEA-9401-7EA70A106DC7}" destId="{B6FADF9B-0DC9-4877-94D2-1108817D0B6C}" srcOrd="0" destOrd="0" presId="urn:microsoft.com/office/officeart/2005/8/layout/hierarchy2"/>
    <dgm:cxn modelId="{4E297FFA-8E3C-4A1D-8188-045FCABEFAE7}" type="presParOf" srcId="{B6FADF9B-0DC9-4877-94D2-1108817D0B6C}" destId="{E2F929FF-067B-4064-BCAA-FA0B55F35D31}" srcOrd="0" destOrd="0" presId="urn:microsoft.com/office/officeart/2005/8/layout/hierarchy2"/>
    <dgm:cxn modelId="{EAEEAD0D-1D59-4036-BA94-9E8081E2BE0D}" type="presParOf" srcId="{3D2737F3-D62C-4AEA-9401-7EA70A106DC7}" destId="{F3973A9C-CE95-4CA1-B678-77B0D2626841}" srcOrd="1" destOrd="0" presId="urn:microsoft.com/office/officeart/2005/8/layout/hierarchy2"/>
    <dgm:cxn modelId="{CE088AE4-D4D9-466D-9653-00A60272ED68}" type="presParOf" srcId="{F3973A9C-CE95-4CA1-B678-77B0D2626841}" destId="{A08C4559-BBEB-4942-BA50-377F12D200BD}" srcOrd="0" destOrd="0" presId="urn:microsoft.com/office/officeart/2005/8/layout/hierarchy2"/>
    <dgm:cxn modelId="{7E8B8542-5552-4064-A5B3-0559DABAB3D6}" type="presParOf" srcId="{F3973A9C-CE95-4CA1-B678-77B0D2626841}" destId="{054D4235-23BA-4D61-B1AA-FB93FABFD3EE}" srcOrd="1" destOrd="0" presId="urn:microsoft.com/office/officeart/2005/8/layout/hierarchy2"/>
    <dgm:cxn modelId="{3E38CE82-1B78-4466-9460-F01192C4C2D6}" type="presParOf" srcId="{3D2737F3-D62C-4AEA-9401-7EA70A106DC7}" destId="{E86AB9B0-C7CD-4552-93F1-CC2CBED8B173}" srcOrd="2" destOrd="0" presId="urn:microsoft.com/office/officeart/2005/8/layout/hierarchy2"/>
    <dgm:cxn modelId="{96A26F71-A4C0-406B-B2A0-454C25F32597}" type="presParOf" srcId="{E86AB9B0-C7CD-4552-93F1-CC2CBED8B173}" destId="{467EB013-B4DE-44AC-B804-DB608D84DDE0}" srcOrd="0" destOrd="0" presId="urn:microsoft.com/office/officeart/2005/8/layout/hierarchy2"/>
    <dgm:cxn modelId="{B0640820-CBC8-44C5-A563-EF38F858DC3A}" type="presParOf" srcId="{3D2737F3-D62C-4AEA-9401-7EA70A106DC7}" destId="{DCA517B2-FA7D-4D6A-B2B3-5B90626F04EE}" srcOrd="3" destOrd="0" presId="urn:microsoft.com/office/officeart/2005/8/layout/hierarchy2"/>
    <dgm:cxn modelId="{9EEEFF19-A00A-407F-A1BA-B679052748D1}" type="presParOf" srcId="{DCA517B2-FA7D-4D6A-B2B3-5B90626F04EE}" destId="{E78C94AF-145B-47C8-AAC7-FAB0802C899C}" srcOrd="0" destOrd="0" presId="urn:microsoft.com/office/officeart/2005/8/layout/hierarchy2"/>
    <dgm:cxn modelId="{0423B4AC-F9E3-494A-AA19-37B363232890}" type="presParOf" srcId="{DCA517B2-FA7D-4D6A-B2B3-5B90626F04EE}" destId="{2849D1F0-BD11-4F32-9BC8-4D0BED82749E}" srcOrd="1" destOrd="0" presId="urn:microsoft.com/office/officeart/2005/8/layout/hierarchy2"/>
    <dgm:cxn modelId="{4C0A5269-C0AF-4DFA-89FD-EEDC9673567E}" type="presParOf" srcId="{3D2737F3-D62C-4AEA-9401-7EA70A106DC7}" destId="{AA6EFBC9-7AEE-415D-B9FD-748CCC070F41}" srcOrd="4" destOrd="0" presId="urn:microsoft.com/office/officeart/2005/8/layout/hierarchy2"/>
    <dgm:cxn modelId="{1A0AB156-AA5F-49D6-AE2B-4D48CAEE5E95}" type="presParOf" srcId="{AA6EFBC9-7AEE-415D-B9FD-748CCC070F41}" destId="{0FBACEB2-C9A0-4300-B5FF-4D3025B141C2}" srcOrd="0" destOrd="0" presId="urn:microsoft.com/office/officeart/2005/8/layout/hierarchy2"/>
    <dgm:cxn modelId="{7A92D3C6-F3A0-4CCA-9004-A336FD2BF1D8}" type="presParOf" srcId="{3D2737F3-D62C-4AEA-9401-7EA70A106DC7}" destId="{9989C31E-9FEC-4FA2-870F-13283EF3974A}" srcOrd="5" destOrd="0" presId="urn:microsoft.com/office/officeart/2005/8/layout/hierarchy2"/>
    <dgm:cxn modelId="{FD4DD710-7334-4285-8E39-701028FC64BE}" type="presParOf" srcId="{9989C31E-9FEC-4FA2-870F-13283EF3974A}" destId="{9F87CB4A-0D57-418A-8A3C-20CE8A77339F}" srcOrd="0" destOrd="0" presId="urn:microsoft.com/office/officeart/2005/8/layout/hierarchy2"/>
    <dgm:cxn modelId="{6FA5C709-40A8-4992-91DD-96AA6E8E81EE}" type="presParOf" srcId="{9989C31E-9FEC-4FA2-870F-13283EF3974A}" destId="{B4FD0701-A61A-45E8-BA09-FE6E670258F1}" srcOrd="1" destOrd="0" presId="urn:microsoft.com/office/officeart/2005/8/layout/hierarchy2"/>
    <dgm:cxn modelId="{B404CC0D-B9A1-43DC-AEBD-1EE852E5AA10}" type="presParOf" srcId="{3D2737F3-D62C-4AEA-9401-7EA70A106DC7}" destId="{1414E3BE-9D03-4C45-AEC7-0426B7FEFFE6}" srcOrd="6" destOrd="0" presId="urn:microsoft.com/office/officeart/2005/8/layout/hierarchy2"/>
    <dgm:cxn modelId="{B5DE1EFD-858B-49F7-A6C6-7386BBEB77C6}" type="presParOf" srcId="{1414E3BE-9D03-4C45-AEC7-0426B7FEFFE6}" destId="{8D5D83E3-8E78-4F31-9091-27DA75298B16}" srcOrd="0" destOrd="0" presId="urn:microsoft.com/office/officeart/2005/8/layout/hierarchy2"/>
    <dgm:cxn modelId="{4F49CA2A-122E-4468-ABE6-9D1C434DB13E}" type="presParOf" srcId="{3D2737F3-D62C-4AEA-9401-7EA70A106DC7}" destId="{D301DCD0-6261-4E92-A120-AF78ACF598B4}" srcOrd="7" destOrd="0" presId="urn:microsoft.com/office/officeart/2005/8/layout/hierarchy2"/>
    <dgm:cxn modelId="{EB99D25E-2248-4E41-8409-6F407503830B}" type="presParOf" srcId="{D301DCD0-6261-4E92-A120-AF78ACF598B4}" destId="{3CA46F53-F019-4FF1-90CB-3B7629CA49D5}" srcOrd="0" destOrd="0" presId="urn:microsoft.com/office/officeart/2005/8/layout/hierarchy2"/>
    <dgm:cxn modelId="{20C6424F-8328-4DD5-A628-8475F99B4C61}" type="presParOf" srcId="{D301DCD0-6261-4E92-A120-AF78ACF598B4}" destId="{472E5F7C-157D-4694-9EE5-4BC76141E086}" srcOrd="1" destOrd="0" presId="urn:microsoft.com/office/officeart/2005/8/layout/hierarchy2"/>
    <dgm:cxn modelId="{44CD96B9-37EA-40BE-803E-B929C6E344A0}" type="presParOf" srcId="{3D2737F3-D62C-4AEA-9401-7EA70A106DC7}" destId="{04F38CC6-3C7C-4567-83F2-773E9767A98B}" srcOrd="8" destOrd="0" presId="urn:microsoft.com/office/officeart/2005/8/layout/hierarchy2"/>
    <dgm:cxn modelId="{38B4EB19-C4AE-45BB-B0B8-5219501EB8B6}" type="presParOf" srcId="{04F38CC6-3C7C-4567-83F2-773E9767A98B}" destId="{98E76D74-9200-4021-B96B-4C6A9E82A211}" srcOrd="0" destOrd="0" presId="urn:microsoft.com/office/officeart/2005/8/layout/hierarchy2"/>
    <dgm:cxn modelId="{E627A977-4C27-42BB-8045-9F070130BB00}" type="presParOf" srcId="{3D2737F3-D62C-4AEA-9401-7EA70A106DC7}" destId="{0FAD990E-29FE-416D-AA00-37BD1AF8B6B6}" srcOrd="9" destOrd="0" presId="urn:microsoft.com/office/officeart/2005/8/layout/hierarchy2"/>
    <dgm:cxn modelId="{A266A3D7-58C6-41D4-847D-0BB3F45A79FE}" type="presParOf" srcId="{0FAD990E-29FE-416D-AA00-37BD1AF8B6B6}" destId="{53F61070-AA3C-4F23-BB26-30A0D15F82FB}" srcOrd="0" destOrd="0" presId="urn:microsoft.com/office/officeart/2005/8/layout/hierarchy2"/>
    <dgm:cxn modelId="{2767412D-F31A-459B-ADA1-7B741FC05451}" type="presParOf" srcId="{0FAD990E-29FE-416D-AA00-37BD1AF8B6B6}" destId="{AC7082EF-1AA8-4935-AE0F-7FDB10C74A9F}" srcOrd="1" destOrd="0" presId="urn:microsoft.com/office/officeart/2005/8/layout/hierarchy2"/>
    <dgm:cxn modelId="{7F548BD9-CD43-4AA4-851B-B94B16B2D1E0}" type="presParOf" srcId="{3D2737F3-D62C-4AEA-9401-7EA70A106DC7}" destId="{AFB7DCE8-E39A-4536-8399-9287141BCF6B}" srcOrd="10" destOrd="0" presId="urn:microsoft.com/office/officeart/2005/8/layout/hierarchy2"/>
    <dgm:cxn modelId="{2C5CCA86-8480-45CE-B5B0-A60812F19DA5}" type="presParOf" srcId="{AFB7DCE8-E39A-4536-8399-9287141BCF6B}" destId="{7C3DD07C-3897-4DA3-B000-3C0C74FFA3FF}" srcOrd="0" destOrd="0" presId="urn:microsoft.com/office/officeart/2005/8/layout/hierarchy2"/>
    <dgm:cxn modelId="{E83F8239-FFEC-411C-AA46-634B28C117E2}" type="presParOf" srcId="{3D2737F3-D62C-4AEA-9401-7EA70A106DC7}" destId="{FFD25425-CC84-4CF2-8CBA-49592593D2D2}" srcOrd="11" destOrd="0" presId="urn:microsoft.com/office/officeart/2005/8/layout/hierarchy2"/>
    <dgm:cxn modelId="{A470A6F8-9417-4AFA-9AF1-EEB7283BB336}" type="presParOf" srcId="{FFD25425-CC84-4CF2-8CBA-49592593D2D2}" destId="{6985511D-ADB8-4E1E-91AC-9D14F4C0ED96}" srcOrd="0" destOrd="0" presId="urn:microsoft.com/office/officeart/2005/8/layout/hierarchy2"/>
    <dgm:cxn modelId="{39B29455-3653-48EC-BEE2-6E73C7B0FC37}" type="presParOf" srcId="{FFD25425-CC84-4CF2-8CBA-49592593D2D2}" destId="{09AD2B1B-CB3B-45DE-A393-A087F5A19F79}" srcOrd="1" destOrd="0" presId="urn:microsoft.com/office/officeart/2005/8/layout/hierarchy2"/>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635547D5-D4CD-452C-AE2D-8DF94A41306F}">
      <dsp:nvSpPr>
        <dsp:cNvPr id="0" name=""/>
        <dsp:cNvSpPr/>
      </dsp:nvSpPr>
      <dsp:spPr>
        <a:xfrm>
          <a:off x="122430" y="742474"/>
          <a:ext cx="831118" cy="684491"/>
        </a:xfrm>
        <a:prstGeom prst="roundRect">
          <a:avLst>
            <a:gd name="adj" fmla="val 10000"/>
          </a:avLst>
        </a:prstGeom>
        <a:solidFill>
          <a:srgbClr val="33383E"/>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dsp:spPr>
      <dsp:style>
        <a:lnRef idx="0">
          <a:scrgbClr r="0" g="0" b="0"/>
        </a:lnRef>
        <a:fillRef idx="3">
          <a:scrgbClr r="0" g="0" b="0"/>
        </a:fillRef>
        <a:effectRef idx="3">
          <a:scrgbClr r="0" g="0" b="0"/>
        </a:effectRef>
        <a:fontRef idx="minor">
          <a:schemeClr val="lt1"/>
        </a:fontRef>
      </dsp:style>
      <dsp:txBody>
        <a:bodyPr spcFirstLastPara="0" vert="horz" wrap="square" lIns="11430" tIns="11430" rIns="11430" bIns="11430" numCol="1" spcCol="1270" anchor="ctr" anchorCtr="0">
          <a:noAutofit/>
        </a:bodyPr>
        <a:lstStyle/>
        <a:p>
          <a:pPr marL="0" lvl="0" indent="0" algn="ctr" defTabSz="800100">
            <a:lnSpc>
              <a:spcPct val="90000"/>
            </a:lnSpc>
            <a:spcBef>
              <a:spcPct val="0"/>
            </a:spcBef>
            <a:spcAft>
              <a:spcPct val="35000"/>
            </a:spcAft>
            <a:buNone/>
          </a:pPr>
          <a:r>
            <a:rPr lang="en-US" sz="1800" b="1" kern="1200"/>
            <a:t>Trust Tools</a:t>
          </a:r>
        </a:p>
      </dsp:txBody>
      <dsp:txXfrm>
        <a:off x="142478" y="762522"/>
        <a:ext cx="791022" cy="644395"/>
      </dsp:txXfrm>
    </dsp:sp>
    <dsp:sp modelId="{5A27C08D-41AE-40AB-8FD5-1FE597B91D06}">
      <dsp:nvSpPr>
        <dsp:cNvPr id="0" name=""/>
        <dsp:cNvSpPr/>
      </dsp:nvSpPr>
      <dsp:spPr>
        <a:xfrm rot="17061983">
          <a:off x="591385" y="609170"/>
          <a:ext cx="963357" cy="17868"/>
        </a:xfrm>
        <a:custGeom>
          <a:avLst/>
          <a:gdLst/>
          <a:ahLst/>
          <a:cxnLst/>
          <a:rect l="0" t="0" r="0" b="0"/>
          <a:pathLst>
            <a:path>
              <a:moveTo>
                <a:pt x="0" y="8934"/>
              </a:moveTo>
              <a:lnTo>
                <a:pt x="963357" y="8934"/>
              </a:lnTo>
            </a:path>
          </a:pathLst>
        </a:custGeom>
        <a:noFill/>
        <a:ln w="25400" cap="flat" cmpd="sng" algn="ctr">
          <a:solidFill>
            <a:schemeClr val="accent1">
              <a:shade val="6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222250">
            <a:lnSpc>
              <a:spcPct val="90000"/>
            </a:lnSpc>
            <a:spcBef>
              <a:spcPct val="0"/>
            </a:spcBef>
            <a:spcAft>
              <a:spcPct val="35000"/>
            </a:spcAft>
            <a:buNone/>
          </a:pPr>
          <a:endParaRPr lang="en-US" sz="500" kern="1200"/>
        </a:p>
      </dsp:txBody>
      <dsp:txXfrm>
        <a:off x="1048980" y="594020"/>
        <a:ext cx="48167" cy="48167"/>
      </dsp:txXfrm>
    </dsp:sp>
    <dsp:sp modelId="{50350F26-C562-4BA4-B342-CA7B38409A3F}">
      <dsp:nvSpPr>
        <dsp:cNvPr id="0" name=""/>
        <dsp:cNvSpPr/>
      </dsp:nvSpPr>
      <dsp:spPr>
        <a:xfrm>
          <a:off x="1192578" y="2094"/>
          <a:ext cx="3561467" cy="298787"/>
        </a:xfrm>
        <a:prstGeom prst="roundRect">
          <a:avLst>
            <a:gd name="adj" fmla="val 10000"/>
          </a:avLst>
        </a:prstGeom>
        <a:solidFill>
          <a:srgbClr val="D31145"/>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dsp:spPr>
      <dsp:style>
        <a:lnRef idx="0">
          <a:scrgbClr r="0" g="0" b="0"/>
        </a:lnRef>
        <a:fillRef idx="3">
          <a:scrgbClr r="0" g="0" b="0"/>
        </a:fillRef>
        <a:effectRef idx="3">
          <a:scrgbClr r="0" g="0" b="0"/>
        </a:effectRef>
        <a:fontRef idx="minor">
          <a:schemeClr val="lt1"/>
        </a:fontRef>
      </dsp:style>
      <dsp:txBody>
        <a:bodyPr spcFirstLastPara="0" vert="horz" wrap="square" lIns="11430" tIns="11430" rIns="11430" bIns="11430" numCol="1" spcCol="1270" anchor="ctr" anchorCtr="0">
          <a:noAutofit/>
        </a:bodyPr>
        <a:lstStyle/>
        <a:p>
          <a:pPr marL="0" lvl="0" indent="0" algn="ctr" defTabSz="800100">
            <a:lnSpc>
              <a:spcPct val="90000"/>
            </a:lnSpc>
            <a:spcBef>
              <a:spcPct val="0"/>
            </a:spcBef>
            <a:spcAft>
              <a:spcPct val="35000"/>
            </a:spcAft>
            <a:buNone/>
          </a:pPr>
          <a:r>
            <a:rPr lang="en-US" sz="1400" b="1" kern="1200">
              <a:solidFill>
                <a:sysClr val="window" lastClr="FFFFFF"/>
              </a:solidFill>
              <a:latin typeface="Calibri"/>
              <a:ea typeface="+mn-ea"/>
              <a:cs typeface="+mn-cs"/>
            </a:rPr>
            <a:t>Giới thiệu bản thân</a:t>
          </a:r>
        </a:p>
      </dsp:txBody>
      <dsp:txXfrm>
        <a:off x="1201329" y="10845"/>
        <a:ext cx="3543965" cy="281285"/>
      </dsp:txXfrm>
    </dsp:sp>
    <dsp:sp modelId="{D663AFE1-7B0A-4BE1-8EB8-607D980453A2}">
      <dsp:nvSpPr>
        <dsp:cNvPr id="0" name=""/>
        <dsp:cNvSpPr/>
      </dsp:nvSpPr>
      <dsp:spPr>
        <a:xfrm rot="17562744">
          <a:off x="763524" y="790250"/>
          <a:ext cx="619079" cy="17868"/>
        </a:xfrm>
        <a:custGeom>
          <a:avLst/>
          <a:gdLst/>
          <a:ahLst/>
          <a:cxnLst/>
          <a:rect l="0" t="0" r="0" b="0"/>
          <a:pathLst>
            <a:path>
              <a:moveTo>
                <a:pt x="0" y="8934"/>
              </a:moveTo>
              <a:lnTo>
                <a:pt x="619079" y="8934"/>
              </a:lnTo>
            </a:path>
          </a:pathLst>
        </a:custGeom>
        <a:noFill/>
        <a:ln w="25400" cap="flat" cmpd="sng" algn="ctr">
          <a:solidFill>
            <a:schemeClr val="accent1">
              <a:shade val="6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800100">
            <a:lnSpc>
              <a:spcPct val="90000"/>
            </a:lnSpc>
            <a:spcBef>
              <a:spcPct val="0"/>
            </a:spcBef>
            <a:spcAft>
              <a:spcPct val="35000"/>
            </a:spcAft>
            <a:buNone/>
          </a:pPr>
          <a:endParaRPr lang="en-US" sz="1800" b="1" kern="1200"/>
        </a:p>
      </dsp:txBody>
      <dsp:txXfrm>
        <a:off x="1057587" y="783707"/>
        <a:ext cx="30953" cy="30953"/>
      </dsp:txXfrm>
    </dsp:sp>
    <dsp:sp modelId="{ED225970-CE69-4610-9E9F-E2665CE46098}">
      <dsp:nvSpPr>
        <dsp:cNvPr id="0" name=""/>
        <dsp:cNvSpPr/>
      </dsp:nvSpPr>
      <dsp:spPr>
        <a:xfrm>
          <a:off x="1192578" y="345699"/>
          <a:ext cx="3561467" cy="335896"/>
        </a:xfrm>
        <a:prstGeom prst="roundRect">
          <a:avLst>
            <a:gd name="adj" fmla="val 10000"/>
          </a:avLst>
        </a:prstGeom>
        <a:solidFill>
          <a:srgbClr val="D31145"/>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dsp:spPr>
      <dsp:style>
        <a:lnRef idx="0">
          <a:scrgbClr r="0" g="0" b="0"/>
        </a:lnRef>
        <a:fillRef idx="3">
          <a:scrgbClr r="0" g="0" b="0"/>
        </a:fillRef>
        <a:effectRef idx="3">
          <a:scrgbClr r="0" g="0" b="0"/>
        </a:effectRef>
        <a:fontRef idx="minor">
          <a:schemeClr val="lt1"/>
        </a:fontRef>
      </dsp:style>
      <dsp:txBody>
        <a:bodyPr spcFirstLastPara="0" vert="horz" wrap="square" lIns="11430" tIns="11430" rIns="11430" bIns="11430" numCol="1" spcCol="1270" anchor="ctr" anchorCtr="0">
          <a:noAutofit/>
        </a:bodyPr>
        <a:lstStyle/>
        <a:p>
          <a:pPr marL="0" lvl="0" indent="0" algn="ctr" defTabSz="622300">
            <a:lnSpc>
              <a:spcPct val="90000"/>
            </a:lnSpc>
            <a:spcBef>
              <a:spcPct val="0"/>
            </a:spcBef>
            <a:spcAft>
              <a:spcPct val="35000"/>
            </a:spcAft>
            <a:buNone/>
          </a:pPr>
          <a:r>
            <a:rPr lang="en-US" sz="1400" b="1" kern="1200"/>
            <a:t>Nhập TT NĐBH chính/ Hoạch định nhu cầu</a:t>
          </a:r>
        </a:p>
      </dsp:txBody>
      <dsp:txXfrm>
        <a:off x="1202416" y="355537"/>
        <a:ext cx="3541791" cy="316220"/>
      </dsp:txXfrm>
    </dsp:sp>
    <dsp:sp modelId="{821B4277-8C41-4E63-B0FB-E9A6659B0F25}">
      <dsp:nvSpPr>
        <dsp:cNvPr id="0" name=""/>
        <dsp:cNvSpPr/>
      </dsp:nvSpPr>
      <dsp:spPr>
        <a:xfrm rot="19288024">
          <a:off x="920280" y="980607"/>
          <a:ext cx="305567" cy="17868"/>
        </a:xfrm>
        <a:custGeom>
          <a:avLst/>
          <a:gdLst/>
          <a:ahLst/>
          <a:cxnLst/>
          <a:rect l="0" t="0" r="0" b="0"/>
          <a:pathLst>
            <a:path>
              <a:moveTo>
                <a:pt x="0" y="8934"/>
              </a:moveTo>
              <a:lnTo>
                <a:pt x="305567" y="8934"/>
              </a:lnTo>
            </a:path>
          </a:pathLst>
        </a:custGeom>
        <a:noFill/>
        <a:ln w="25400" cap="flat" cmpd="sng" algn="ctr">
          <a:solidFill>
            <a:schemeClr val="accent1">
              <a:shade val="6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800100">
            <a:lnSpc>
              <a:spcPct val="90000"/>
            </a:lnSpc>
            <a:spcBef>
              <a:spcPct val="0"/>
            </a:spcBef>
            <a:spcAft>
              <a:spcPct val="35000"/>
            </a:spcAft>
            <a:buNone/>
          </a:pPr>
          <a:endParaRPr lang="en-US" sz="1800" b="1" kern="1200"/>
        </a:p>
      </dsp:txBody>
      <dsp:txXfrm>
        <a:off x="1065424" y="981902"/>
        <a:ext cx="15278" cy="15278"/>
      </dsp:txXfrm>
    </dsp:sp>
    <dsp:sp modelId="{9CD27FBF-29B6-4F09-AFDC-28DF2AF8A5F6}">
      <dsp:nvSpPr>
        <dsp:cNvPr id="0" name=""/>
        <dsp:cNvSpPr/>
      </dsp:nvSpPr>
      <dsp:spPr>
        <a:xfrm>
          <a:off x="1192578" y="726414"/>
          <a:ext cx="3561467" cy="335896"/>
        </a:xfrm>
        <a:prstGeom prst="roundRect">
          <a:avLst>
            <a:gd name="adj" fmla="val 10000"/>
          </a:avLst>
        </a:prstGeom>
        <a:solidFill>
          <a:srgbClr val="D31145"/>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dsp:spPr>
      <dsp:style>
        <a:lnRef idx="0">
          <a:scrgbClr r="0" g="0" b="0"/>
        </a:lnRef>
        <a:fillRef idx="3">
          <a:scrgbClr r="0" g="0" b="0"/>
        </a:fillRef>
        <a:effectRef idx="3">
          <a:scrgbClr r="0" g="0" b="0"/>
        </a:effectRef>
        <a:fontRef idx="minor">
          <a:schemeClr val="lt1"/>
        </a:fontRef>
      </dsp:style>
      <dsp:txBody>
        <a:bodyPr spcFirstLastPara="0" vert="horz" wrap="square" lIns="11430" tIns="11430" rIns="11430" bIns="11430" numCol="1" spcCol="1270" anchor="ctr" anchorCtr="0">
          <a:noAutofit/>
        </a:bodyPr>
        <a:lstStyle/>
        <a:p>
          <a:pPr marL="0" lvl="0" indent="0" algn="ctr" defTabSz="711200">
            <a:lnSpc>
              <a:spcPct val="90000"/>
            </a:lnSpc>
            <a:spcBef>
              <a:spcPct val="0"/>
            </a:spcBef>
            <a:spcAft>
              <a:spcPct val="35000"/>
            </a:spcAft>
            <a:buNone/>
          </a:pPr>
          <a:r>
            <a:rPr lang="en-US" sz="1400" b="1" kern="1200">
              <a:solidFill>
                <a:sysClr val="window" lastClr="FFFFFF"/>
              </a:solidFill>
              <a:latin typeface="Calibri"/>
              <a:ea typeface="+mn-ea"/>
              <a:cs typeface="+mn-cs"/>
            </a:rPr>
            <a:t>Tính phí nhanh quyền lợi</a:t>
          </a:r>
        </a:p>
      </dsp:txBody>
      <dsp:txXfrm>
        <a:off x="1202416" y="736252"/>
        <a:ext cx="3541791" cy="316220"/>
      </dsp:txXfrm>
    </dsp:sp>
    <dsp:sp modelId="{B0B3D3B6-1FCD-4D50-98D7-1E5E45F8E209}">
      <dsp:nvSpPr>
        <dsp:cNvPr id="0" name=""/>
        <dsp:cNvSpPr/>
      </dsp:nvSpPr>
      <dsp:spPr>
        <a:xfrm rot="2311976">
          <a:off x="920280" y="1170965"/>
          <a:ext cx="305567" cy="17868"/>
        </a:xfrm>
        <a:custGeom>
          <a:avLst/>
          <a:gdLst/>
          <a:ahLst/>
          <a:cxnLst/>
          <a:rect l="0" t="0" r="0" b="0"/>
          <a:pathLst>
            <a:path>
              <a:moveTo>
                <a:pt x="0" y="8934"/>
              </a:moveTo>
              <a:lnTo>
                <a:pt x="305567" y="8934"/>
              </a:lnTo>
            </a:path>
          </a:pathLst>
        </a:custGeom>
        <a:noFill/>
        <a:ln w="25400" cap="flat" cmpd="sng" algn="ctr">
          <a:solidFill>
            <a:schemeClr val="accent1">
              <a:shade val="6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800100">
            <a:lnSpc>
              <a:spcPct val="90000"/>
            </a:lnSpc>
            <a:spcBef>
              <a:spcPct val="0"/>
            </a:spcBef>
            <a:spcAft>
              <a:spcPct val="35000"/>
            </a:spcAft>
            <a:buNone/>
          </a:pPr>
          <a:endParaRPr lang="en-US" sz="1800" b="1" kern="1200"/>
        </a:p>
      </dsp:txBody>
      <dsp:txXfrm>
        <a:off x="1065424" y="1172260"/>
        <a:ext cx="15278" cy="15278"/>
      </dsp:txXfrm>
    </dsp:sp>
    <dsp:sp modelId="{0F34CC97-B87C-4486-B676-B8923F36E2DD}">
      <dsp:nvSpPr>
        <dsp:cNvPr id="0" name=""/>
        <dsp:cNvSpPr/>
      </dsp:nvSpPr>
      <dsp:spPr>
        <a:xfrm>
          <a:off x="1192578" y="1107129"/>
          <a:ext cx="3561467" cy="335896"/>
        </a:xfrm>
        <a:prstGeom prst="roundRect">
          <a:avLst>
            <a:gd name="adj" fmla="val 10000"/>
          </a:avLst>
        </a:prstGeom>
        <a:solidFill>
          <a:srgbClr val="D31145"/>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dsp:spPr>
      <dsp:style>
        <a:lnRef idx="0">
          <a:scrgbClr r="0" g="0" b="0"/>
        </a:lnRef>
        <a:fillRef idx="3">
          <a:scrgbClr r="0" g="0" b="0"/>
        </a:fillRef>
        <a:effectRef idx="3">
          <a:scrgbClr r="0" g="0" b="0"/>
        </a:effectRef>
        <a:fontRef idx="minor">
          <a:schemeClr val="lt1"/>
        </a:fontRef>
      </dsp:style>
      <dsp:txBody>
        <a:bodyPr spcFirstLastPara="0" vert="horz" wrap="square" lIns="11430" tIns="11430" rIns="11430" bIns="11430" numCol="1" spcCol="1270" anchor="ctr" anchorCtr="0">
          <a:noAutofit/>
        </a:bodyPr>
        <a:lstStyle/>
        <a:p>
          <a:pPr marL="0" lvl="0" indent="0" algn="ctr" defTabSz="711200">
            <a:lnSpc>
              <a:spcPct val="90000"/>
            </a:lnSpc>
            <a:spcBef>
              <a:spcPct val="0"/>
            </a:spcBef>
            <a:spcAft>
              <a:spcPct val="35000"/>
            </a:spcAft>
            <a:buNone/>
          </a:pPr>
          <a:r>
            <a:rPr lang="en-US" sz="1400" b="1" kern="1200">
              <a:solidFill>
                <a:sysClr val="window" lastClr="FFFFFF"/>
              </a:solidFill>
              <a:latin typeface="Calibri"/>
              <a:ea typeface="+mn-ea"/>
              <a:cs typeface="+mn-cs"/>
            </a:rPr>
            <a:t>Quà tặng thần số học</a:t>
          </a:r>
        </a:p>
      </dsp:txBody>
      <dsp:txXfrm>
        <a:off x="1202416" y="1116967"/>
        <a:ext cx="3541791" cy="316220"/>
      </dsp:txXfrm>
    </dsp:sp>
    <dsp:sp modelId="{0979042B-F52A-4EF1-B3C5-36D7E508F7E8}">
      <dsp:nvSpPr>
        <dsp:cNvPr id="0" name=""/>
        <dsp:cNvSpPr/>
      </dsp:nvSpPr>
      <dsp:spPr>
        <a:xfrm rot="3996345">
          <a:off x="772061" y="1352045"/>
          <a:ext cx="602005" cy="17868"/>
        </a:xfrm>
        <a:custGeom>
          <a:avLst/>
          <a:gdLst/>
          <a:ahLst/>
          <a:cxnLst/>
          <a:rect l="0" t="0" r="0" b="0"/>
          <a:pathLst>
            <a:path>
              <a:moveTo>
                <a:pt x="0" y="8934"/>
              </a:moveTo>
              <a:lnTo>
                <a:pt x="602005" y="8934"/>
              </a:lnTo>
            </a:path>
          </a:pathLst>
        </a:custGeom>
        <a:noFill/>
        <a:ln w="25400" cap="flat" cmpd="sng" algn="ctr">
          <a:solidFill>
            <a:schemeClr val="accent1">
              <a:shade val="6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222250">
            <a:lnSpc>
              <a:spcPct val="90000"/>
            </a:lnSpc>
            <a:spcBef>
              <a:spcPct val="0"/>
            </a:spcBef>
            <a:spcAft>
              <a:spcPct val="35000"/>
            </a:spcAft>
            <a:buNone/>
          </a:pPr>
          <a:endParaRPr lang="en-US" sz="500" kern="1200"/>
        </a:p>
      </dsp:txBody>
      <dsp:txXfrm>
        <a:off x="1058013" y="1345929"/>
        <a:ext cx="30100" cy="30100"/>
      </dsp:txXfrm>
    </dsp:sp>
    <dsp:sp modelId="{879F555A-7862-475E-B9A0-35E0CD7F3673}">
      <dsp:nvSpPr>
        <dsp:cNvPr id="0" name=""/>
        <dsp:cNvSpPr/>
      </dsp:nvSpPr>
      <dsp:spPr>
        <a:xfrm>
          <a:off x="1192578" y="1487844"/>
          <a:ext cx="3561467" cy="298787"/>
        </a:xfrm>
        <a:prstGeom prst="roundRect">
          <a:avLst>
            <a:gd name="adj" fmla="val 10000"/>
          </a:avLst>
        </a:prstGeom>
        <a:solidFill>
          <a:srgbClr val="D31145"/>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dsp:spPr>
      <dsp:style>
        <a:lnRef idx="0">
          <a:scrgbClr r="0" g="0" b="0"/>
        </a:lnRef>
        <a:fillRef idx="3">
          <a:scrgbClr r="0" g="0" b="0"/>
        </a:fillRef>
        <a:effectRef idx="3">
          <a:scrgbClr r="0" g="0" b="0"/>
        </a:effectRef>
        <a:fontRef idx="minor">
          <a:schemeClr val="lt1"/>
        </a:fontRef>
      </dsp:style>
      <dsp:txBody>
        <a:bodyPr spcFirstLastPara="0" vert="horz" wrap="square" lIns="11430" tIns="11430" rIns="11430" bIns="11430" numCol="1" spcCol="1270" anchor="ctr" anchorCtr="0">
          <a:noAutofit/>
        </a:bodyPr>
        <a:lstStyle/>
        <a:p>
          <a:pPr marL="0" lvl="0" indent="0" algn="ctr" defTabSz="711200">
            <a:lnSpc>
              <a:spcPct val="90000"/>
            </a:lnSpc>
            <a:spcBef>
              <a:spcPct val="0"/>
            </a:spcBef>
            <a:spcAft>
              <a:spcPct val="35000"/>
            </a:spcAft>
            <a:buNone/>
          </a:pPr>
          <a:r>
            <a:rPr lang="en-US" sz="1400" b="1" kern="1200">
              <a:solidFill>
                <a:sysClr val="window" lastClr="FFFFFF"/>
              </a:solidFill>
              <a:latin typeface="Calibri"/>
              <a:ea typeface="+mn-ea"/>
              <a:cs typeface="+mn-cs"/>
            </a:rPr>
            <a:t>Khảo sát chăm sóc sức khỏe</a:t>
          </a:r>
        </a:p>
      </dsp:txBody>
      <dsp:txXfrm>
        <a:off x="1201329" y="1496595"/>
        <a:ext cx="3543965" cy="281285"/>
      </dsp:txXfrm>
    </dsp:sp>
    <dsp:sp modelId="{3A1C2215-E745-40AB-95C0-CFFB929BD592}">
      <dsp:nvSpPr>
        <dsp:cNvPr id="0" name=""/>
        <dsp:cNvSpPr/>
      </dsp:nvSpPr>
      <dsp:spPr>
        <a:xfrm rot="4521276">
          <a:off x="600366" y="1533125"/>
          <a:ext cx="945394" cy="17868"/>
        </a:xfrm>
        <a:custGeom>
          <a:avLst/>
          <a:gdLst/>
          <a:ahLst/>
          <a:cxnLst/>
          <a:rect l="0" t="0" r="0" b="0"/>
          <a:pathLst>
            <a:path>
              <a:moveTo>
                <a:pt x="0" y="8934"/>
              </a:moveTo>
              <a:lnTo>
                <a:pt x="945394" y="8934"/>
              </a:lnTo>
            </a:path>
          </a:pathLst>
        </a:custGeom>
        <a:noFill/>
        <a:ln w="25400" cap="flat" cmpd="sng" algn="ctr">
          <a:solidFill>
            <a:schemeClr val="accent1">
              <a:shade val="6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800100">
            <a:lnSpc>
              <a:spcPct val="90000"/>
            </a:lnSpc>
            <a:spcBef>
              <a:spcPct val="0"/>
            </a:spcBef>
            <a:spcAft>
              <a:spcPct val="35000"/>
            </a:spcAft>
            <a:buNone/>
          </a:pPr>
          <a:endParaRPr lang="en-US" sz="1800" b="1" kern="1200"/>
        </a:p>
      </dsp:txBody>
      <dsp:txXfrm>
        <a:off x="1049429" y="1518424"/>
        <a:ext cx="47269" cy="47269"/>
      </dsp:txXfrm>
    </dsp:sp>
    <dsp:sp modelId="{286C6FC2-395C-48B0-9EA4-9076C63E964E}">
      <dsp:nvSpPr>
        <dsp:cNvPr id="0" name=""/>
        <dsp:cNvSpPr/>
      </dsp:nvSpPr>
      <dsp:spPr>
        <a:xfrm>
          <a:off x="1192578" y="1831449"/>
          <a:ext cx="3929967" cy="335896"/>
        </a:xfrm>
        <a:prstGeom prst="roundRect">
          <a:avLst>
            <a:gd name="adj" fmla="val 10000"/>
          </a:avLst>
        </a:prstGeom>
        <a:solidFill>
          <a:srgbClr val="33383E"/>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dsp:spPr>
      <dsp:style>
        <a:lnRef idx="0">
          <a:scrgbClr r="0" g="0" b="0"/>
        </a:lnRef>
        <a:fillRef idx="3">
          <a:scrgbClr r="0" g="0" b="0"/>
        </a:fillRef>
        <a:effectRef idx="3">
          <a:scrgbClr r="0" g="0" b="0"/>
        </a:effectRef>
        <a:fontRef idx="minor">
          <a:schemeClr val="lt1"/>
        </a:fontRef>
      </dsp:style>
      <dsp:txBody>
        <a:bodyPr spcFirstLastPara="0" vert="horz" wrap="square" lIns="11430" tIns="11430" rIns="11430" bIns="11430" numCol="1" spcCol="1270" anchor="ctr" anchorCtr="0">
          <a:noAutofit/>
        </a:bodyPr>
        <a:lstStyle/>
        <a:p>
          <a:pPr marL="0" lvl="0" indent="0" algn="ctr" defTabSz="800100">
            <a:lnSpc>
              <a:spcPct val="90000"/>
            </a:lnSpc>
            <a:spcBef>
              <a:spcPct val="0"/>
            </a:spcBef>
            <a:spcAft>
              <a:spcPct val="35000"/>
            </a:spcAft>
            <a:buNone/>
          </a:pPr>
          <a:r>
            <a:rPr lang="en-US" sz="1800" b="1" kern="1200"/>
            <a:t>Nguồn tham khảo</a:t>
          </a:r>
        </a:p>
      </dsp:txBody>
      <dsp:txXfrm>
        <a:off x="1202416" y="1841287"/>
        <a:ext cx="3910291" cy="316220"/>
      </dsp:txXfrm>
    </dsp:sp>
    <dsp:sp modelId="{B6FADF9B-0DC9-4877-94D2-1108817D0B6C}">
      <dsp:nvSpPr>
        <dsp:cNvPr id="0" name=""/>
        <dsp:cNvSpPr/>
      </dsp:nvSpPr>
      <dsp:spPr>
        <a:xfrm rot="17148794">
          <a:off x="4797791" y="1560957"/>
          <a:ext cx="892801" cy="17868"/>
        </a:xfrm>
        <a:custGeom>
          <a:avLst/>
          <a:gdLst/>
          <a:ahLst/>
          <a:cxnLst/>
          <a:rect l="0" t="0" r="0" b="0"/>
          <a:pathLst>
            <a:path>
              <a:moveTo>
                <a:pt x="0" y="8934"/>
              </a:moveTo>
              <a:lnTo>
                <a:pt x="892801" y="8934"/>
              </a:lnTo>
            </a:path>
          </a:pathLst>
        </a:custGeom>
        <a:noFill/>
        <a:ln w="25400" cap="flat" cmpd="sng" algn="ctr">
          <a:solidFill>
            <a:schemeClr val="accent1">
              <a:shade val="8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222250">
            <a:lnSpc>
              <a:spcPct val="90000"/>
            </a:lnSpc>
            <a:spcBef>
              <a:spcPct val="0"/>
            </a:spcBef>
            <a:spcAft>
              <a:spcPct val="35000"/>
            </a:spcAft>
            <a:buNone/>
          </a:pPr>
          <a:endParaRPr lang="en-US" sz="500" kern="1200"/>
        </a:p>
      </dsp:txBody>
      <dsp:txXfrm>
        <a:off x="5221872" y="1547571"/>
        <a:ext cx="44640" cy="44640"/>
      </dsp:txXfrm>
    </dsp:sp>
    <dsp:sp modelId="{A08C4559-BBEB-4942-BA50-377F12D200BD}">
      <dsp:nvSpPr>
        <dsp:cNvPr id="0" name=""/>
        <dsp:cNvSpPr/>
      </dsp:nvSpPr>
      <dsp:spPr>
        <a:xfrm>
          <a:off x="5365837" y="990990"/>
          <a:ext cx="3142472" cy="298787"/>
        </a:xfrm>
        <a:prstGeom prst="roundRect">
          <a:avLst>
            <a:gd name="adj" fmla="val 10000"/>
          </a:avLst>
        </a:prstGeom>
        <a:solidFill>
          <a:srgbClr val="D31145"/>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dsp:spPr>
      <dsp:style>
        <a:lnRef idx="0">
          <a:scrgbClr r="0" g="0" b="0"/>
        </a:lnRef>
        <a:fillRef idx="3">
          <a:scrgbClr r="0" g="0" b="0"/>
        </a:fillRef>
        <a:effectRef idx="3">
          <a:scrgbClr r="0" g="0" b="0"/>
        </a:effectRef>
        <a:fontRef idx="minor">
          <a:schemeClr val="lt1"/>
        </a:fontRef>
      </dsp:style>
      <dsp:txBody>
        <a:bodyPr spcFirstLastPara="0" vert="horz" wrap="square" lIns="11430" tIns="11430" rIns="11430" bIns="11430" numCol="1" spcCol="1270" anchor="ctr" anchorCtr="0">
          <a:noAutofit/>
        </a:bodyPr>
        <a:lstStyle/>
        <a:p>
          <a:pPr marL="0" lvl="0" indent="0" algn="ctr" defTabSz="711200">
            <a:lnSpc>
              <a:spcPct val="90000"/>
            </a:lnSpc>
            <a:spcBef>
              <a:spcPct val="0"/>
            </a:spcBef>
            <a:spcAft>
              <a:spcPct val="35000"/>
            </a:spcAft>
            <a:buNone/>
          </a:pPr>
          <a:r>
            <a:rPr lang="en-US" sz="1400" b="1" kern="1200">
              <a:solidFill>
                <a:sysClr val="window" lastClr="FFFFFF"/>
              </a:solidFill>
              <a:latin typeface="Calibri"/>
              <a:ea typeface="+mn-ea"/>
              <a:cs typeface="+mn-cs"/>
            </a:rPr>
            <a:t>Phiếu đánh giá chấp nhận rủi ro</a:t>
          </a:r>
        </a:p>
      </dsp:txBody>
      <dsp:txXfrm>
        <a:off x="5374588" y="999741"/>
        <a:ext cx="3124970" cy="281285"/>
      </dsp:txXfrm>
    </dsp:sp>
    <dsp:sp modelId="{E86AB9B0-C7CD-4552-93F1-CC2CBED8B173}">
      <dsp:nvSpPr>
        <dsp:cNvPr id="0" name=""/>
        <dsp:cNvSpPr/>
      </dsp:nvSpPr>
      <dsp:spPr>
        <a:xfrm rot="17692822">
          <a:off x="4957992" y="1732760"/>
          <a:ext cx="568138" cy="17868"/>
        </a:xfrm>
        <a:custGeom>
          <a:avLst/>
          <a:gdLst/>
          <a:ahLst/>
          <a:cxnLst/>
          <a:rect l="0" t="0" r="0" b="0"/>
          <a:pathLst>
            <a:path>
              <a:moveTo>
                <a:pt x="0" y="8934"/>
              </a:moveTo>
              <a:lnTo>
                <a:pt x="568138" y="8934"/>
              </a:lnTo>
            </a:path>
          </a:pathLst>
        </a:custGeom>
        <a:noFill/>
        <a:ln w="25400" cap="flat" cmpd="sng" algn="ctr">
          <a:solidFill>
            <a:schemeClr val="accent1">
              <a:shade val="8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222250">
            <a:lnSpc>
              <a:spcPct val="90000"/>
            </a:lnSpc>
            <a:spcBef>
              <a:spcPct val="0"/>
            </a:spcBef>
            <a:spcAft>
              <a:spcPct val="35000"/>
            </a:spcAft>
            <a:buNone/>
          </a:pPr>
          <a:endParaRPr lang="en-US" sz="500" kern="1200"/>
        </a:p>
      </dsp:txBody>
      <dsp:txXfrm>
        <a:off x="5227858" y="1727490"/>
        <a:ext cx="28406" cy="28406"/>
      </dsp:txXfrm>
    </dsp:sp>
    <dsp:sp modelId="{E78C94AF-145B-47C8-AAC7-FAB0802C899C}">
      <dsp:nvSpPr>
        <dsp:cNvPr id="0" name=""/>
        <dsp:cNvSpPr/>
      </dsp:nvSpPr>
      <dsp:spPr>
        <a:xfrm>
          <a:off x="5361576" y="1334596"/>
          <a:ext cx="3142472" cy="298787"/>
        </a:xfrm>
        <a:prstGeom prst="roundRect">
          <a:avLst>
            <a:gd name="adj" fmla="val 10000"/>
          </a:avLst>
        </a:prstGeom>
        <a:solidFill>
          <a:srgbClr val="D31145"/>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dsp:spPr>
      <dsp:style>
        <a:lnRef idx="0">
          <a:scrgbClr r="0" g="0" b="0"/>
        </a:lnRef>
        <a:fillRef idx="3">
          <a:scrgbClr r="0" g="0" b="0"/>
        </a:fillRef>
        <a:effectRef idx="3">
          <a:scrgbClr r="0" g="0" b="0"/>
        </a:effectRef>
        <a:fontRef idx="minor">
          <a:schemeClr val="lt1"/>
        </a:fontRef>
      </dsp:style>
      <dsp:txBody>
        <a:bodyPr spcFirstLastPara="0" vert="horz" wrap="square" lIns="11430" tIns="11430" rIns="11430" bIns="11430" numCol="1" spcCol="1270" anchor="ctr" anchorCtr="0">
          <a:noAutofit/>
        </a:bodyPr>
        <a:lstStyle/>
        <a:p>
          <a:pPr marL="0" lvl="0" indent="0" algn="ctr" defTabSz="711200">
            <a:lnSpc>
              <a:spcPct val="90000"/>
            </a:lnSpc>
            <a:spcBef>
              <a:spcPct val="0"/>
            </a:spcBef>
            <a:spcAft>
              <a:spcPct val="35000"/>
            </a:spcAft>
            <a:buNone/>
          </a:pPr>
          <a:r>
            <a:rPr lang="en-US" sz="1400" b="1" kern="1200">
              <a:solidFill>
                <a:sysClr val="window" lastClr="FFFFFF"/>
              </a:solidFill>
              <a:latin typeface="Calibri"/>
              <a:ea typeface="+mn-ea"/>
              <a:cs typeface="+mn-cs"/>
            </a:rPr>
            <a:t>Cơ chế vận hành ILP</a:t>
          </a:r>
        </a:p>
      </dsp:txBody>
      <dsp:txXfrm>
        <a:off x="5370327" y="1343347"/>
        <a:ext cx="3124970" cy="281285"/>
      </dsp:txXfrm>
    </dsp:sp>
    <dsp:sp modelId="{AA6EFBC9-7AEE-415D-B9FD-748CCC070F41}">
      <dsp:nvSpPr>
        <dsp:cNvPr id="0" name=""/>
        <dsp:cNvSpPr/>
      </dsp:nvSpPr>
      <dsp:spPr>
        <a:xfrm rot="19457599">
          <a:off x="5094878" y="1904562"/>
          <a:ext cx="294366" cy="17868"/>
        </a:xfrm>
        <a:custGeom>
          <a:avLst/>
          <a:gdLst/>
          <a:ahLst/>
          <a:cxnLst/>
          <a:rect l="0" t="0" r="0" b="0"/>
          <a:pathLst>
            <a:path>
              <a:moveTo>
                <a:pt x="0" y="8934"/>
              </a:moveTo>
              <a:lnTo>
                <a:pt x="294366" y="8934"/>
              </a:lnTo>
            </a:path>
          </a:pathLst>
        </a:custGeom>
        <a:noFill/>
        <a:ln w="25400" cap="flat" cmpd="sng" algn="ctr">
          <a:solidFill>
            <a:schemeClr val="accent1">
              <a:shade val="8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222250">
            <a:lnSpc>
              <a:spcPct val="90000"/>
            </a:lnSpc>
            <a:spcBef>
              <a:spcPct val="0"/>
            </a:spcBef>
            <a:spcAft>
              <a:spcPct val="35000"/>
            </a:spcAft>
            <a:buNone/>
          </a:pPr>
          <a:endParaRPr lang="en-US" sz="500" b="1" kern="1200"/>
        </a:p>
      </dsp:txBody>
      <dsp:txXfrm>
        <a:off x="5234702" y="1906137"/>
        <a:ext cx="14718" cy="14718"/>
      </dsp:txXfrm>
    </dsp:sp>
    <dsp:sp modelId="{9F87CB4A-0D57-418A-8A3C-20CE8A77339F}">
      <dsp:nvSpPr>
        <dsp:cNvPr id="0" name=""/>
        <dsp:cNvSpPr/>
      </dsp:nvSpPr>
      <dsp:spPr>
        <a:xfrm>
          <a:off x="5361576" y="1678201"/>
          <a:ext cx="3142472" cy="298787"/>
        </a:xfrm>
        <a:prstGeom prst="roundRect">
          <a:avLst>
            <a:gd name="adj" fmla="val 10000"/>
          </a:avLst>
        </a:prstGeom>
        <a:solidFill>
          <a:srgbClr val="D31145"/>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dsp:spPr>
      <dsp:style>
        <a:lnRef idx="0">
          <a:scrgbClr r="0" g="0" b="0"/>
        </a:lnRef>
        <a:fillRef idx="3">
          <a:scrgbClr r="0" g="0" b="0"/>
        </a:fillRef>
        <a:effectRef idx="3">
          <a:scrgbClr r="0" g="0" b="0"/>
        </a:effectRef>
        <a:fontRef idx="minor">
          <a:schemeClr val="lt1"/>
        </a:fontRef>
      </dsp:style>
      <dsp:txBody>
        <a:bodyPr spcFirstLastPara="0" vert="horz" wrap="square" lIns="11430" tIns="11430" rIns="11430" bIns="11430" numCol="1" spcCol="1270" anchor="ctr" anchorCtr="0">
          <a:noAutofit/>
        </a:bodyPr>
        <a:lstStyle/>
        <a:p>
          <a:pPr marL="0" lvl="0" indent="0" algn="ctr" defTabSz="622300">
            <a:lnSpc>
              <a:spcPct val="90000"/>
            </a:lnSpc>
            <a:spcBef>
              <a:spcPct val="0"/>
            </a:spcBef>
            <a:spcAft>
              <a:spcPct val="35000"/>
            </a:spcAft>
            <a:buNone/>
          </a:pPr>
          <a:r>
            <a:rPr lang="en-US" sz="1400" b="1" kern="1200">
              <a:solidFill>
                <a:sysClr val="window" lastClr="FFFFFF"/>
              </a:solidFill>
              <a:latin typeface="Calibri"/>
              <a:ea typeface="+mn-ea"/>
              <a:cs typeface="+mn-cs"/>
            </a:rPr>
            <a:t>Tỷ suất Quỹ ILP</a:t>
          </a:r>
        </a:p>
      </dsp:txBody>
      <dsp:txXfrm>
        <a:off x="5370327" y="1686952"/>
        <a:ext cx="3124970" cy="281285"/>
      </dsp:txXfrm>
    </dsp:sp>
    <dsp:sp modelId="{1414E3BE-9D03-4C45-AEC7-0426B7FEFFE6}">
      <dsp:nvSpPr>
        <dsp:cNvPr id="0" name=""/>
        <dsp:cNvSpPr/>
      </dsp:nvSpPr>
      <dsp:spPr>
        <a:xfrm rot="2142401">
          <a:off x="5094878" y="2076365"/>
          <a:ext cx="294366" cy="17868"/>
        </a:xfrm>
        <a:custGeom>
          <a:avLst/>
          <a:gdLst/>
          <a:ahLst/>
          <a:cxnLst/>
          <a:rect l="0" t="0" r="0" b="0"/>
          <a:pathLst>
            <a:path>
              <a:moveTo>
                <a:pt x="0" y="8934"/>
              </a:moveTo>
              <a:lnTo>
                <a:pt x="294366" y="8934"/>
              </a:lnTo>
            </a:path>
          </a:pathLst>
        </a:custGeom>
        <a:noFill/>
        <a:ln w="25400" cap="flat" cmpd="sng" algn="ctr">
          <a:solidFill>
            <a:schemeClr val="accent1">
              <a:shade val="8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222250">
            <a:lnSpc>
              <a:spcPct val="90000"/>
            </a:lnSpc>
            <a:spcBef>
              <a:spcPct val="0"/>
            </a:spcBef>
            <a:spcAft>
              <a:spcPct val="35000"/>
            </a:spcAft>
            <a:buNone/>
          </a:pPr>
          <a:endParaRPr lang="en-US" sz="500" b="1" kern="1200"/>
        </a:p>
      </dsp:txBody>
      <dsp:txXfrm>
        <a:off x="5234702" y="2077940"/>
        <a:ext cx="14718" cy="14718"/>
      </dsp:txXfrm>
    </dsp:sp>
    <dsp:sp modelId="{3CA46F53-F019-4FF1-90CB-3B7629CA49D5}">
      <dsp:nvSpPr>
        <dsp:cNvPr id="0" name=""/>
        <dsp:cNvSpPr/>
      </dsp:nvSpPr>
      <dsp:spPr>
        <a:xfrm>
          <a:off x="5361576" y="2021807"/>
          <a:ext cx="3142472" cy="298787"/>
        </a:xfrm>
        <a:prstGeom prst="roundRect">
          <a:avLst>
            <a:gd name="adj" fmla="val 10000"/>
          </a:avLst>
        </a:prstGeom>
        <a:solidFill>
          <a:srgbClr val="D31145"/>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dsp:spPr>
      <dsp:style>
        <a:lnRef idx="0">
          <a:scrgbClr r="0" g="0" b="0"/>
        </a:lnRef>
        <a:fillRef idx="3">
          <a:scrgbClr r="0" g="0" b="0"/>
        </a:fillRef>
        <a:effectRef idx="3">
          <a:scrgbClr r="0" g="0" b="0"/>
        </a:effectRef>
        <a:fontRef idx="minor">
          <a:schemeClr val="lt1"/>
        </a:fontRef>
      </dsp:style>
      <dsp:txBody>
        <a:bodyPr spcFirstLastPara="0" vert="horz" wrap="square" lIns="11430" tIns="11430" rIns="11430" bIns="11430" numCol="1" spcCol="1270" anchor="ctr" anchorCtr="0">
          <a:noAutofit/>
        </a:bodyPr>
        <a:lstStyle/>
        <a:p>
          <a:pPr marL="0" lvl="0" indent="0" algn="ctr" defTabSz="622300">
            <a:lnSpc>
              <a:spcPct val="90000"/>
            </a:lnSpc>
            <a:spcBef>
              <a:spcPct val="0"/>
            </a:spcBef>
            <a:spcAft>
              <a:spcPct val="35000"/>
            </a:spcAft>
            <a:buNone/>
          </a:pPr>
          <a:r>
            <a:rPr lang="en-US" sz="1400" b="1" kern="1200">
              <a:solidFill>
                <a:sysClr val="window" lastClr="FFFFFF"/>
              </a:solidFill>
              <a:latin typeface="Calibri"/>
              <a:ea typeface="+mn-ea"/>
              <a:cs typeface="+mn-cs"/>
            </a:rPr>
            <a:t>Chi phí bệnh hiểm nghèo</a:t>
          </a:r>
        </a:p>
      </dsp:txBody>
      <dsp:txXfrm>
        <a:off x="5370327" y="2030558"/>
        <a:ext cx="3124970" cy="281285"/>
      </dsp:txXfrm>
    </dsp:sp>
    <dsp:sp modelId="{04F38CC6-3C7C-4567-83F2-773E9767A98B}">
      <dsp:nvSpPr>
        <dsp:cNvPr id="0" name=""/>
        <dsp:cNvSpPr/>
      </dsp:nvSpPr>
      <dsp:spPr>
        <a:xfrm rot="3907178">
          <a:off x="4957992" y="2248168"/>
          <a:ext cx="568138" cy="17868"/>
        </a:xfrm>
        <a:custGeom>
          <a:avLst/>
          <a:gdLst/>
          <a:ahLst/>
          <a:cxnLst/>
          <a:rect l="0" t="0" r="0" b="0"/>
          <a:pathLst>
            <a:path>
              <a:moveTo>
                <a:pt x="0" y="8934"/>
              </a:moveTo>
              <a:lnTo>
                <a:pt x="568138" y="8934"/>
              </a:lnTo>
            </a:path>
          </a:pathLst>
        </a:custGeom>
        <a:noFill/>
        <a:ln w="25400" cap="flat" cmpd="sng" algn="ctr">
          <a:solidFill>
            <a:schemeClr val="accent1">
              <a:shade val="8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222250">
            <a:lnSpc>
              <a:spcPct val="90000"/>
            </a:lnSpc>
            <a:spcBef>
              <a:spcPct val="0"/>
            </a:spcBef>
            <a:spcAft>
              <a:spcPct val="35000"/>
            </a:spcAft>
            <a:buNone/>
          </a:pPr>
          <a:endParaRPr lang="en-US" sz="500" b="1" kern="1200"/>
        </a:p>
      </dsp:txBody>
      <dsp:txXfrm>
        <a:off x="5227858" y="2242898"/>
        <a:ext cx="28406" cy="28406"/>
      </dsp:txXfrm>
    </dsp:sp>
    <dsp:sp modelId="{53F61070-AA3C-4F23-BB26-30A0D15F82FB}">
      <dsp:nvSpPr>
        <dsp:cNvPr id="0" name=""/>
        <dsp:cNvSpPr/>
      </dsp:nvSpPr>
      <dsp:spPr>
        <a:xfrm>
          <a:off x="5361576" y="2365412"/>
          <a:ext cx="3142472" cy="298787"/>
        </a:xfrm>
        <a:prstGeom prst="roundRect">
          <a:avLst>
            <a:gd name="adj" fmla="val 10000"/>
          </a:avLst>
        </a:prstGeom>
        <a:solidFill>
          <a:srgbClr val="D31145"/>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dsp:spPr>
      <dsp:style>
        <a:lnRef idx="0">
          <a:scrgbClr r="0" g="0" b="0"/>
        </a:lnRef>
        <a:fillRef idx="3">
          <a:scrgbClr r="0" g="0" b="0"/>
        </a:fillRef>
        <a:effectRef idx="3">
          <a:scrgbClr r="0" g="0" b="0"/>
        </a:effectRef>
        <a:fontRef idx="minor">
          <a:schemeClr val="lt1"/>
        </a:fontRef>
      </dsp:style>
      <dsp:txBody>
        <a:bodyPr spcFirstLastPara="0" vert="horz" wrap="square" lIns="11430" tIns="11430" rIns="11430" bIns="11430" numCol="1" spcCol="1270" anchor="ctr" anchorCtr="0">
          <a:noAutofit/>
        </a:bodyPr>
        <a:lstStyle/>
        <a:p>
          <a:pPr marL="0" lvl="0" indent="0" algn="ctr" defTabSz="622300">
            <a:lnSpc>
              <a:spcPct val="90000"/>
            </a:lnSpc>
            <a:spcBef>
              <a:spcPct val="0"/>
            </a:spcBef>
            <a:spcAft>
              <a:spcPct val="35000"/>
            </a:spcAft>
            <a:buNone/>
          </a:pPr>
          <a:r>
            <a:rPr lang="en-US" sz="1400" b="1" kern="1200">
              <a:solidFill>
                <a:sysClr val="window" lastClr="FFFFFF"/>
              </a:solidFill>
              <a:latin typeface="Calibri"/>
              <a:ea typeface="+mn-ea"/>
              <a:cs typeface="+mn-cs"/>
            </a:rPr>
            <a:t>Chi phí phòng giường</a:t>
          </a:r>
        </a:p>
      </dsp:txBody>
      <dsp:txXfrm>
        <a:off x="5370327" y="2374163"/>
        <a:ext cx="3124970" cy="281285"/>
      </dsp:txXfrm>
    </dsp:sp>
    <dsp:sp modelId="{AFB7DCE8-E39A-4536-8399-9287141BCF6B}">
      <dsp:nvSpPr>
        <dsp:cNvPr id="0" name=""/>
        <dsp:cNvSpPr/>
      </dsp:nvSpPr>
      <dsp:spPr>
        <a:xfrm rot="4467012">
          <a:off x="4796236" y="2419970"/>
          <a:ext cx="891649" cy="17868"/>
        </a:xfrm>
        <a:custGeom>
          <a:avLst/>
          <a:gdLst/>
          <a:ahLst/>
          <a:cxnLst/>
          <a:rect l="0" t="0" r="0" b="0"/>
          <a:pathLst>
            <a:path>
              <a:moveTo>
                <a:pt x="0" y="8934"/>
              </a:moveTo>
              <a:lnTo>
                <a:pt x="891649" y="8934"/>
              </a:lnTo>
            </a:path>
          </a:pathLst>
        </a:custGeom>
        <a:noFill/>
        <a:ln w="25400" cap="flat" cmpd="sng" algn="ctr">
          <a:solidFill>
            <a:schemeClr val="accent1">
              <a:shade val="8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222250">
            <a:lnSpc>
              <a:spcPct val="90000"/>
            </a:lnSpc>
            <a:spcBef>
              <a:spcPct val="0"/>
            </a:spcBef>
            <a:spcAft>
              <a:spcPct val="35000"/>
            </a:spcAft>
            <a:buNone/>
          </a:pPr>
          <a:endParaRPr lang="en-US" sz="500" b="1" kern="1200"/>
        </a:p>
      </dsp:txBody>
      <dsp:txXfrm>
        <a:off x="5219770" y="2406613"/>
        <a:ext cx="44582" cy="44582"/>
      </dsp:txXfrm>
    </dsp:sp>
    <dsp:sp modelId="{6985511D-ADB8-4E1E-91AC-9D14F4C0ED96}">
      <dsp:nvSpPr>
        <dsp:cNvPr id="0" name=""/>
        <dsp:cNvSpPr/>
      </dsp:nvSpPr>
      <dsp:spPr>
        <a:xfrm>
          <a:off x="5361576" y="2709018"/>
          <a:ext cx="3142472" cy="298787"/>
        </a:xfrm>
        <a:prstGeom prst="roundRect">
          <a:avLst>
            <a:gd name="adj" fmla="val 10000"/>
          </a:avLst>
        </a:prstGeom>
        <a:solidFill>
          <a:srgbClr val="D31145"/>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dsp:spPr>
      <dsp:style>
        <a:lnRef idx="0">
          <a:scrgbClr r="0" g="0" b="0"/>
        </a:lnRef>
        <a:fillRef idx="3">
          <a:scrgbClr r="0" g="0" b="0"/>
        </a:fillRef>
        <a:effectRef idx="3">
          <a:scrgbClr r="0" g="0" b="0"/>
        </a:effectRef>
        <a:fontRef idx="minor">
          <a:schemeClr val="lt1"/>
        </a:fontRef>
      </dsp:style>
      <dsp:txBody>
        <a:bodyPr spcFirstLastPara="0" vert="horz" wrap="square" lIns="11430" tIns="11430" rIns="11430" bIns="11430" numCol="1" spcCol="1270" anchor="ctr" anchorCtr="0">
          <a:noAutofit/>
        </a:bodyPr>
        <a:lstStyle/>
        <a:p>
          <a:pPr marL="0" lvl="0" indent="0" algn="ctr" defTabSz="622300">
            <a:lnSpc>
              <a:spcPct val="90000"/>
            </a:lnSpc>
            <a:spcBef>
              <a:spcPct val="0"/>
            </a:spcBef>
            <a:spcAft>
              <a:spcPct val="35000"/>
            </a:spcAft>
            <a:buNone/>
          </a:pPr>
          <a:r>
            <a:rPr lang="en-US" sz="1400" b="1" kern="1200"/>
            <a:t>4 cách tính nhanh số tiền bảo hiểm</a:t>
          </a:r>
        </a:p>
      </dsp:txBody>
      <dsp:txXfrm>
        <a:off x="5370327" y="2717769"/>
        <a:ext cx="3124970" cy="281285"/>
      </dsp:txXfrm>
    </dsp:sp>
  </dsp:spTree>
</dsp:drawing>
</file>

<file path=xl/diagrams/layout1.xml><?xml version="1.0" encoding="utf-8"?>
<dgm:layoutDef xmlns:dgm="http://schemas.openxmlformats.org/drawingml/2006/diagram" xmlns:a="http://schemas.openxmlformats.org/drawingml/2006/main" uniqueId="urn:microsoft.com/office/officeart/2005/8/layout/hierarchy2">
  <dgm:title val=""/>
  <dgm:desc val=""/>
  <dgm:catLst>
    <dgm:cat type="hierarchy" pri="5000"/>
  </dgm:catLst>
  <dgm:sampData>
    <dgm:dataModel>
      <dgm:ptLst>
        <dgm:pt modelId="0" type="doc"/>
        <dgm:pt modelId="1">
          <dgm:prSet phldr="1"/>
        </dgm:pt>
        <dgm:pt modelId="2">
          <dgm:prSet phldr="1"/>
        </dgm:pt>
        <dgm:pt modelId="21">
          <dgm:prSet phldr="1"/>
        </dgm:pt>
        <dgm:pt modelId="22">
          <dgm:prSet phldr="1"/>
        </dgm:pt>
        <dgm:pt modelId="3">
          <dgm:prSet phldr="1"/>
        </dgm:pt>
        <dgm:pt modelId="31">
          <dgm:prSet phldr="1"/>
        </dgm:pt>
      </dgm:ptLst>
      <dgm:cxnLst>
        <dgm:cxn modelId="4" srcId="0" destId="1" srcOrd="0" destOrd="0"/>
        <dgm:cxn modelId="5" srcId="1" destId="2" srcOrd="0" destOrd="0"/>
        <dgm:cxn modelId="6" srcId="1" destId="3" srcOrd="1" destOrd="0"/>
        <dgm:cxn modelId="23" srcId="2" destId="21" srcOrd="0" destOrd="0"/>
        <dgm:cxn modelId="24" srcId="2" destId="22" srcOrd="1" destOrd="0"/>
        <dgm:cxn modelId="33" srcId="3" destId="31" srcOrd="0" destOrd="0"/>
      </dgm:cxnLst>
      <dgm:bg/>
      <dgm:whole/>
    </dgm:dataModel>
  </dgm:sampData>
  <dgm:styleData>
    <dgm:dataModel>
      <dgm:ptLst>
        <dgm:pt modelId="0" type="doc"/>
        <dgm:pt modelId="1"/>
        <dgm:pt modelId="11"/>
        <dgm:pt modelId="12"/>
      </dgm:ptLst>
      <dgm:cxnLst>
        <dgm:cxn modelId="2" srcId="0" destId="1" srcOrd="0" destOrd="0"/>
        <dgm:cxn modelId="13" srcId="1" destId="11" srcOrd="0" destOrd="0"/>
        <dgm:cxn modelId="14" srcId="1" destId="12" srcOrd="1" destOrd="0"/>
      </dgm:cxnLst>
      <dgm:bg/>
      <dgm:whole/>
    </dgm:dataModel>
  </dgm:styleData>
  <dgm:clrData>
    <dgm:dataModel>
      <dgm:ptLst>
        <dgm:pt modelId="0" type="doc"/>
        <dgm:pt modelId="1"/>
        <dgm:pt modelId="2"/>
        <dgm:pt modelId="21"/>
        <dgm:pt modelId="211"/>
        <dgm:pt modelId="3"/>
        <dgm:pt modelId="31"/>
        <dgm:pt modelId="311"/>
      </dgm:ptLst>
      <dgm:cxnLst>
        <dgm:cxn modelId="4" srcId="0" destId="1" srcOrd="0" destOrd="0"/>
        <dgm:cxn modelId="5" srcId="1" destId="2" srcOrd="0" destOrd="0"/>
        <dgm:cxn modelId="6" srcId="1" destId="3" srcOrd="1" destOrd="0"/>
        <dgm:cxn modelId="23" srcId="2" destId="21" srcOrd="0" destOrd="0"/>
        <dgm:cxn modelId="24" srcId="21" destId="211" srcOrd="0" destOrd="0"/>
        <dgm:cxn modelId="33" srcId="3" destId="31" srcOrd="0" destOrd="0"/>
        <dgm:cxn modelId="34" srcId="31" destId="311" srcOrd="0" destOrd="0"/>
      </dgm:cxnLst>
      <dgm:bg/>
      <dgm:whole/>
    </dgm:dataModel>
  </dgm:clrData>
  <dgm:layoutNode name="diagram">
    <dgm:varLst>
      <dgm:chPref val="1"/>
      <dgm:dir/>
      <dgm:animOne val="branch"/>
      <dgm:animLvl val="lvl"/>
      <dgm:resizeHandles val="exact"/>
    </dgm:varLst>
    <dgm:choose name="Name0">
      <dgm:if name="Name1" func="var" arg="dir" op="equ" val="norm">
        <dgm:alg type="hierChild">
          <dgm:param type="linDir" val="fromT"/>
          <dgm:param type="chAlign" val="l"/>
        </dgm:alg>
      </dgm:if>
      <dgm:else name="Name2">
        <dgm:alg type="hierChild">
          <dgm:param type="linDir" val="fromT"/>
          <dgm:param type="chAlign" val="r"/>
        </dgm:alg>
      </dgm:else>
    </dgm:choose>
    <dgm:shape xmlns:r="http://schemas.openxmlformats.org/officeDocument/2006/relationships" r:blip="">
      <dgm:adjLst/>
    </dgm:shape>
    <dgm:presOf/>
    <dgm:constrLst>
      <dgm:constr type="h" for="des" ptType="node" refType="h"/>
      <dgm:constr type="w" for="des" ptType="node" refType="h" refFor="des" refPtType="node" fact="2"/>
      <dgm:constr type="sibSp" refType="h" refFor="des" refPtType="node" op="equ" fact="0.15"/>
      <dgm:constr type="sibSp" for="des" forName="level2hierChild" refType="h" refFor="des" refPtType="node" op="equ" fact="0.15"/>
      <dgm:constr type="sibSp" for="des" forName="level3hierChild" refType="h" refFor="des" refPtType="node" op="equ" fact="0.15"/>
      <dgm:constr type="sp" for="des" forName="root1" refType="w" refFor="des" refPtType="node" fact="0.4"/>
      <dgm:constr type="sp" for="des" forName="root2" refType="sp" refFor="des" refForName="root1" op="equ"/>
      <dgm:constr type="primFontSz" for="des" ptType="node" op="equ" val="65"/>
      <dgm:constr type="primFontSz" for="des" forName="connTx" op="equ" val="55"/>
      <dgm:constr type="primFontSz" for="des" forName="connTx" refType="primFontSz" refFor="des" refPtType="node" op="lte" fact="0.8"/>
    </dgm:constrLst>
    <dgm:ruleLst/>
    <dgm:forEach name="Name3" axis="ch">
      <dgm:forEach name="Name4" axis="self" ptType="node">
        <dgm:layoutNode name="root1">
          <dgm:choose name="Name5">
            <dgm:if name="Name6" func="var" arg="dir" op="equ" val="norm">
              <dgm:alg type="hierRoot">
                <dgm:param type="hierAlign" val="lCtrCh"/>
              </dgm:alg>
            </dgm:if>
            <dgm:else name="Name7">
              <dgm:alg type="hierRoot">
                <dgm:param type="hierAlign" val="rCtrCh"/>
              </dgm:alg>
            </dgm:else>
          </dgm:choose>
          <dgm:shape xmlns:r="http://schemas.openxmlformats.org/officeDocument/2006/relationships" r:blip="">
            <dgm:adjLst/>
          </dgm:shape>
          <dgm:presOf/>
          <dgm:constrLst/>
          <dgm:ruleLst/>
          <dgm:layoutNode name="LevelOneTextNode" styleLbl="node0">
            <dgm:varLst>
              <dgm:chPref val="3"/>
            </dgm:varLst>
            <dgm:alg type="tx"/>
            <dgm:shape xmlns:r="http://schemas.openxmlformats.org/officeDocument/2006/relationships" type="roundRect" r:blip="">
              <dgm:adjLst>
                <dgm:adj idx="1" val="0.1"/>
              </dgm:adjLst>
            </dgm:shape>
            <dgm:presOf axis="self"/>
            <dgm:constrLst>
              <dgm:constr type="tMarg" refType="primFontSz" fact="0.05"/>
              <dgm:constr type="bMarg" refType="primFontSz" fact="0.05"/>
              <dgm:constr type="lMarg" refType="primFontSz" fact="0.05"/>
              <dgm:constr type="rMarg" refType="primFontSz" fact="0.05"/>
            </dgm:constrLst>
            <dgm:ruleLst>
              <dgm:rule type="primFontSz" val="5" fact="NaN" max="NaN"/>
            </dgm:ruleLst>
          </dgm:layoutNode>
          <dgm:layoutNode name="level2hierChild">
            <dgm:choose name="Name8">
              <dgm:if name="Name9" func="var" arg="dir" op="equ" val="norm">
                <dgm:alg type="hierChild">
                  <dgm:param type="linDir" val="fromT"/>
                  <dgm:param type="chAlign" val="l"/>
                </dgm:alg>
              </dgm:if>
              <dgm:else name="Name10">
                <dgm:alg type="hierChild">
                  <dgm:param type="linDir" val="fromT"/>
                  <dgm:param type="chAlign" val="r"/>
                </dgm:alg>
              </dgm:else>
            </dgm:choose>
            <dgm:shape xmlns:r="http://schemas.openxmlformats.org/officeDocument/2006/relationships" r:blip="">
              <dgm:adjLst/>
            </dgm:shape>
            <dgm:presOf/>
            <dgm:constrLst/>
            <dgm:ruleLst/>
            <dgm:forEach name="repeat" axis="ch">
              <dgm:forEach name="Name11" axis="self" ptType="parTrans" cnt="1">
                <dgm:layoutNode name="conn2-1">
                  <dgm:choose name="Name12">
                    <dgm:if name="Name13" func="var" arg="dir" op="equ" val="norm">
                      <dgm:alg type="conn">
                        <dgm:param type="dim" val="1D"/>
                        <dgm:param type="begPts" val="midR"/>
                        <dgm:param type="endPts" val="midL"/>
                        <dgm:param type="endSty" val="noArr"/>
                      </dgm:alg>
                    </dgm:if>
                    <dgm:else name="Name14">
                      <dgm:alg type="conn">
                        <dgm:param type="dim" val="1D"/>
                        <dgm:param type="begPts" val="midL"/>
                        <dgm:param type="endPts" val="midR"/>
                        <dgm:param type="endSty" val="noArr"/>
                      </dgm:alg>
                    </dgm:else>
                  </dgm:choose>
                  <dgm:shape xmlns:r="http://schemas.openxmlformats.org/officeDocument/2006/relationships" type="conn" r:blip="">
                    <dgm:adjLst/>
                  </dgm:shape>
                  <dgm:presOf axis="self"/>
                  <dgm:constrLst>
                    <dgm:constr type="w" val="1"/>
                    <dgm:constr type="h" val="5"/>
                    <dgm:constr type="connDist"/>
                    <dgm:constr type="begPad"/>
                    <dgm:constr type="endPad"/>
                    <dgm:constr type="userA" for="ch" refType="connDist"/>
                  </dgm:constrLst>
                  <dgm:ruleLst/>
                  <dgm:layoutNode name="connTx">
                    <dgm:alg type="tx">
                      <dgm:param type="autoTxRot" val="grav"/>
                    </dgm:alg>
                    <dgm:shape xmlns:r="http://schemas.openxmlformats.org/officeDocument/2006/relationships" type="rect" r:blip="" hideGeom="1">
                      <dgm:adjLst/>
                    </dgm:shape>
                    <dgm:presOf axis="self"/>
                    <dgm:constrLst>
                      <dgm:constr type="userA"/>
                      <dgm:constr type="w" refType="userA" fact="0.05"/>
                      <dgm:constr type="h" refType="userA" fact="0.05"/>
                      <dgm:constr type="lMarg" val="1"/>
                      <dgm:constr type="rMarg" val="1"/>
                      <dgm:constr type="tMarg"/>
                      <dgm:constr type="bMarg"/>
                    </dgm:constrLst>
                    <dgm:ruleLst>
                      <dgm:rule type="h" val="NaN" fact="0.25" max="NaN"/>
                      <dgm:rule type="w" val="NaN" fact="0.8" max="NaN"/>
                      <dgm:rule type="primFontSz" val="5" fact="NaN" max="NaN"/>
                    </dgm:ruleLst>
                  </dgm:layoutNode>
                </dgm:layoutNode>
              </dgm:forEach>
              <dgm:forEach name="Name15" axis="self" ptType="node">
                <dgm:layoutNode name="root2">
                  <dgm:choose name="Name16">
                    <dgm:if name="Name17" func="var" arg="dir" op="equ" val="norm">
                      <dgm:alg type="hierRoot">
                        <dgm:param type="hierAlign" val="lCtrCh"/>
                      </dgm:alg>
                    </dgm:if>
                    <dgm:else name="Name18">
                      <dgm:alg type="hierRoot">
                        <dgm:param type="hierAlign" val="rCtrCh"/>
                      </dgm:alg>
                    </dgm:else>
                  </dgm:choose>
                  <dgm:shape xmlns:r="http://schemas.openxmlformats.org/officeDocument/2006/relationships" r:blip="">
                    <dgm:adjLst/>
                  </dgm:shape>
                  <dgm:presOf/>
                  <dgm:constrLst/>
                  <dgm:ruleLst/>
                  <dgm:layoutNode name="LevelTwoTextNode">
                    <dgm:varLst>
                      <dgm:chPref val="3"/>
                    </dgm:varLst>
                    <dgm:alg type="tx"/>
                    <dgm:shape xmlns:r="http://schemas.openxmlformats.org/officeDocument/2006/relationships" type="roundRect" r:blip="">
                      <dgm:adjLst>
                        <dgm:adj idx="1" val="0.1"/>
                      </dgm:adjLst>
                    </dgm:shape>
                    <dgm:presOf axis="self"/>
                    <dgm:constrLst>
                      <dgm:constr type="tMarg" refType="primFontSz" fact="0.05"/>
                      <dgm:constr type="bMarg" refType="primFontSz" fact="0.05"/>
                      <dgm:constr type="lMarg" refType="primFontSz" fact="0.05"/>
                      <dgm:constr type="rMarg" refType="primFontSz" fact="0.05"/>
                    </dgm:constrLst>
                    <dgm:ruleLst>
                      <dgm:rule type="primFontSz" val="5" fact="NaN" max="NaN"/>
                    </dgm:ruleLst>
                  </dgm:layoutNode>
                  <dgm:layoutNode name="level3hierChild">
                    <dgm:choose name="Name19">
                      <dgm:if name="Name20" func="var" arg="dir" op="equ" val="norm">
                        <dgm:alg type="hierChild">
                          <dgm:param type="linDir" val="fromT"/>
                          <dgm:param type="chAlign" val="l"/>
                        </dgm:alg>
                      </dgm:if>
                      <dgm:else name="Name21">
                        <dgm:alg type="hierChild">
                          <dgm:param type="linDir" val="fromT"/>
                          <dgm:param type="chAlign" val="r"/>
                        </dgm:alg>
                      </dgm:else>
                    </dgm:choose>
                    <dgm:shape xmlns:r="http://schemas.openxmlformats.org/officeDocument/2006/relationships" r:blip="">
                      <dgm:adjLst/>
                    </dgm:shape>
                    <dgm:presOf/>
                    <dgm:constrLst/>
                    <dgm:ruleLst/>
                    <dgm:forEach name="Name22" ref="repeat"/>
                  </dgm:layoutNode>
                </dgm:layoutNode>
              </dgm:forEach>
            </dgm:forEach>
          </dgm:layoutNode>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5">
  <dgm:title val=""/>
  <dgm:desc val=""/>
  <dgm:catLst>
    <dgm:cat type="simple" pri="10500"/>
  </dgm:catLst>
  <dgm:scene3d>
    <a:camera prst="orthographicFront"/>
    <a:lightRig rig="threePt" dir="t"/>
  </dgm:scene3d>
  <dgm:styleLbl name="node0">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lnNode1">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vennNode1">
    <dgm:scene3d>
      <a:camera prst="orthographicFront"/>
      <a:lightRig rig="threePt" dir="t"/>
    </dgm:scene3d>
    <dgm:sp3d/>
    <dgm:txPr/>
    <dgm:style>
      <a:lnRef idx="0">
        <a:scrgbClr r="0" g="0" b="0"/>
      </a:lnRef>
      <a:fillRef idx="3">
        <a:scrgbClr r="0" g="0" b="0"/>
      </a:fillRef>
      <a:effectRef idx="3">
        <a:scrgbClr r="0" g="0" b="0"/>
      </a:effectRef>
      <a:fontRef idx="minor">
        <a:schemeClr val="tx1"/>
      </a:fontRef>
    </dgm:style>
  </dgm:styleLbl>
  <dgm:styleLbl name="alignNode1">
    <dgm:scene3d>
      <a:camera prst="orthographicFront"/>
      <a:lightRig rig="threePt" dir="t"/>
    </dgm:scene3d>
    <dgm:sp3d/>
    <dgm:txPr/>
    <dgm:style>
      <a:lnRef idx="1">
        <a:scrgbClr r="0" g="0" b="0"/>
      </a:lnRef>
      <a:fillRef idx="3">
        <a:scrgbClr r="0" g="0" b="0"/>
      </a:fillRef>
      <a:effectRef idx="3">
        <a:scrgbClr r="0" g="0" b="0"/>
      </a:effectRef>
      <a:fontRef idx="minor">
        <a:schemeClr val="lt1"/>
      </a:fontRef>
    </dgm:style>
  </dgm:styleLbl>
  <dgm:styleLbl name="node1">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node2">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node3">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node4">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fgImgPlace1">
    <dgm:scene3d>
      <a:camera prst="orthographicFront"/>
      <a:lightRig rig="threePt" dir="t"/>
    </dgm:scene3d>
    <dgm:sp3d/>
    <dgm:txPr/>
    <dgm:style>
      <a:lnRef idx="0">
        <a:scrgbClr r="0" g="0" b="0"/>
      </a:lnRef>
      <a:fillRef idx="1">
        <a:scrgbClr r="0" g="0" b="0"/>
      </a:fillRef>
      <a:effectRef idx="3">
        <a:scrgbClr r="0" g="0" b="0"/>
      </a:effectRef>
      <a:fontRef idx="minor"/>
    </dgm:style>
  </dgm:styleLbl>
  <dgm:styleLbl name="alignImgPlace1">
    <dgm:scene3d>
      <a:camera prst="orthographicFront"/>
      <a:lightRig rig="threePt" dir="t"/>
    </dgm:scene3d>
    <dgm:sp3d/>
    <dgm:txPr/>
    <dgm:style>
      <a:lnRef idx="0">
        <a:scrgbClr r="0" g="0" b="0"/>
      </a:lnRef>
      <a:fillRef idx="1">
        <a:scrgbClr r="0" g="0" b="0"/>
      </a:fillRef>
      <a:effectRef idx="3">
        <a:scrgbClr r="0" g="0" b="0"/>
      </a:effectRef>
      <a:fontRef idx="minor"/>
    </dgm:style>
  </dgm:styleLbl>
  <dgm:styleLbl name="bgImgPlace1">
    <dgm:scene3d>
      <a:camera prst="orthographicFront"/>
      <a:lightRig rig="threePt" dir="t"/>
    </dgm:scene3d>
    <dgm:sp3d/>
    <dgm:txPr/>
    <dgm:style>
      <a:lnRef idx="0">
        <a:scrgbClr r="0" g="0" b="0"/>
      </a:lnRef>
      <a:fillRef idx="1">
        <a:scrgbClr r="0" g="0" b="0"/>
      </a:fillRef>
      <a:effectRef idx="3">
        <a:scrgbClr r="0" g="0" b="0"/>
      </a:effectRef>
      <a:fontRef idx="minor"/>
    </dgm:style>
  </dgm:styleLbl>
  <dgm:styleLbl name="sibTrans2D1">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1">
        <a:scrgbClr r="0" g="0" b="0"/>
      </a:lnRef>
      <a:fillRef idx="0">
        <a:scrgbClr r="0" g="0" b="0"/>
      </a:fillRef>
      <a:effectRef idx="1">
        <a:scrgbClr r="0" g="0" b="0"/>
      </a:effectRef>
      <a:fontRef idx="minor"/>
    </dgm:style>
  </dgm:styleLbl>
  <dgm:styleLbl name="asst0">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asst1">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asst2">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asst3">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asst4">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parChTrans2D1">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parChTrans2D2">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parChTrans2D3">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parChTrans2D4">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conFgAcc1">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alignAcc1">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solidFgAcc1">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solidAlignAcc1">
    <dgm:scene3d>
      <a:camera prst="orthographicFront"/>
      <a:lightRig rig="threePt" dir="t"/>
    </dgm:scene3d>
    <dgm:sp3d/>
    <dgm:txPr/>
    <dgm:style>
      <a:lnRef idx="1">
        <a:scrgbClr r="0" g="0" b="0"/>
      </a:lnRef>
      <a:fillRef idx="1">
        <a:scrgbClr r="0" g="0" b="0"/>
      </a:fillRef>
      <a:effectRef idx="3">
        <a:scrgbClr r="0" g="0" b="0"/>
      </a:effectRef>
      <a:fontRef idx="minor"/>
    </dgm:style>
  </dgm:styleLbl>
  <dgm:styleLbl name="solidBgAcc1">
    <dgm:scene3d>
      <a:camera prst="orthographicFront"/>
      <a:lightRig rig="threePt" dir="t"/>
    </dgm:scene3d>
    <dgm:sp3d/>
    <dgm:txPr/>
    <dgm:style>
      <a:lnRef idx="1">
        <a:scrgbClr r="0" g="0" b="0"/>
      </a:lnRef>
      <a:fillRef idx="1">
        <a:scrgbClr r="0" g="0" b="0"/>
      </a:fillRef>
      <a:effectRef idx="3">
        <a:scrgbClr r="0" g="0" b="0"/>
      </a:effectRef>
      <a:fontRef idx="minor"/>
    </dgm:style>
  </dgm:styleLbl>
  <dgm:styleLbl name="fgAccFollowNode1">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alignAccFollowNode1">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bgAccFollowNode1">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fgAcc0">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fgAcc2">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fgAcc3">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fgAcc4">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2">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3">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0">
        <a:scrgbClr r="0" g="0" b="0"/>
      </a:lnRef>
      <a:fillRef idx="3">
        <a:scrgbClr r="0" g="0" b="0"/>
      </a:fillRef>
      <a:effectRef idx="3">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Start!A1"/></Relationships>
</file>

<file path=xl/drawings/_rels/drawing3.xml.rels><?xml version="1.0" encoding="UTF-8" standalone="yes"?>
<Relationships xmlns="http://schemas.openxmlformats.org/package/2006/relationships"><Relationship Id="rId8" Type="http://schemas.openxmlformats.org/officeDocument/2006/relationships/hyperlink" Target="#Chitieu!A1"/><Relationship Id="rId3" Type="http://schemas.openxmlformats.org/officeDocument/2006/relationships/hyperlink" Target="#BVTC!A1"/><Relationship Id="rId7" Type="http://schemas.openxmlformats.org/officeDocument/2006/relationships/hyperlink" Target="#'Cham soc suc khoe'!A1"/><Relationship Id="rId2" Type="http://schemas.openxmlformats.org/officeDocument/2006/relationships/hyperlink" Target="#Start!A1"/><Relationship Id="rId1" Type="http://schemas.openxmlformats.org/officeDocument/2006/relationships/hyperlink" Target="#'Bao cao HDTC'!A1"/><Relationship Id="rId6" Type="http://schemas.openxmlformats.org/officeDocument/2006/relationships/hyperlink" Target="#'Gia tang tai san'!A1"/><Relationship Id="rId5" Type="http://schemas.openxmlformats.org/officeDocument/2006/relationships/hyperlink" Target="#'Huu Tri'!A1"/><Relationship Id="rId4" Type="http://schemas.openxmlformats.org/officeDocument/2006/relationships/hyperlink" Target="#Giaoduc!A1"/></Relationships>
</file>

<file path=xl/drawings/_rels/drawing4.xml.rels><?xml version="1.0" encoding="UTF-8" standalone="yes"?>
<Relationships xmlns="http://schemas.openxmlformats.org/package/2006/relationships"><Relationship Id="rId1" Type="http://schemas.openxmlformats.org/officeDocument/2006/relationships/hyperlink" Target="#'Hoach dinh tai chinh'!A1"/></Relationships>
</file>

<file path=xl/drawings/_rels/drawing5.xml.rels><?xml version="1.0" encoding="UTF-8" standalone="yes"?>
<Relationships xmlns="http://schemas.openxmlformats.org/package/2006/relationships"><Relationship Id="rId8" Type="http://schemas.openxmlformats.org/officeDocument/2006/relationships/hyperlink" Target="#KTVTDGTTKMH!A1"/><Relationship Id="rId13" Type="http://schemas.openxmlformats.org/officeDocument/2006/relationships/hyperlink" Target="#KTVTUGTTKcamket!A1"/><Relationship Id="rId3" Type="http://schemas.openxmlformats.org/officeDocument/2006/relationships/hyperlink" Target="#VTLGTTKcamket!A1"/><Relationship Id="rId7" Type="http://schemas.openxmlformats.org/officeDocument/2006/relationships/hyperlink" Target="#KTVTDGTTKcamket!A1"/><Relationship Id="rId12" Type="http://schemas.openxmlformats.org/officeDocument/2006/relationships/hyperlink" Target="#KTVTRDGTTKMH!A1"/><Relationship Id="rId2" Type="http://schemas.openxmlformats.org/officeDocument/2006/relationships/hyperlink" Target="#Start!A1"/><Relationship Id="rId1" Type="http://schemas.openxmlformats.org/officeDocument/2006/relationships/hyperlink" Target="#'Tom Tat QL'!A1"/><Relationship Id="rId6" Type="http://schemas.openxmlformats.org/officeDocument/2006/relationships/hyperlink" Target="#KBAGTTKMH!A1"/><Relationship Id="rId11" Type="http://schemas.openxmlformats.org/officeDocument/2006/relationships/hyperlink" Target="#KTVTRDGTTKcamket!A1"/><Relationship Id="rId5" Type="http://schemas.openxmlformats.org/officeDocument/2006/relationships/hyperlink" Target="#KBAGTTKcamket!A1"/><Relationship Id="rId10" Type="http://schemas.openxmlformats.org/officeDocument/2006/relationships/hyperlink" Target="#KTVBVGTTKMH!A1"/><Relationship Id="rId4" Type="http://schemas.openxmlformats.org/officeDocument/2006/relationships/hyperlink" Target="#VTLGTTKMH!A1"/><Relationship Id="rId9" Type="http://schemas.openxmlformats.org/officeDocument/2006/relationships/hyperlink" Target="#KTVBVGTTKcamket!A1"/><Relationship Id="rId14" Type="http://schemas.openxmlformats.org/officeDocument/2006/relationships/hyperlink" Target="#KTVTUGTTKMH!A1"/></Relationships>
</file>

<file path=xl/drawings/_rels/drawing6.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hyperlink" Target="#'Tom Tat QL'!A1"/></Relationships>
</file>

<file path=xl/drawings/_rels/drawing7.xml.rels><?xml version="1.0" encoding="UTF-8" standalone="yes"?>
<Relationships xmlns="http://schemas.openxmlformats.org/package/2006/relationships"><Relationship Id="rId8" Type="http://schemas.openxmlformats.org/officeDocument/2006/relationships/hyperlink" Target="#KTVBVPhi!A1"/><Relationship Id="rId3" Type="http://schemas.openxmlformats.org/officeDocument/2006/relationships/hyperlink" Target="#VTLPhi!A1"/><Relationship Id="rId7" Type="http://schemas.openxmlformats.org/officeDocument/2006/relationships/hyperlink" Target="#KTVTDPhi!A1"/><Relationship Id="rId2" Type="http://schemas.openxmlformats.org/officeDocument/2006/relationships/hyperlink" Target="#VTLPhi20nam!A1"/><Relationship Id="rId1" Type="http://schemas.openxmlformats.org/officeDocument/2006/relationships/hyperlink" Target="#'Tinh phi QL'!A1"/><Relationship Id="rId6" Type="http://schemas.openxmlformats.org/officeDocument/2006/relationships/hyperlink" Target="#KTVBVPhi20nam!A1"/><Relationship Id="rId5" Type="http://schemas.openxmlformats.org/officeDocument/2006/relationships/hyperlink" Target="#KTVTDPhi20nam!A1"/><Relationship Id="rId10" Type="http://schemas.openxmlformats.org/officeDocument/2006/relationships/hyperlink" Target="#Hoavon!A1"/><Relationship Id="rId4" Type="http://schemas.openxmlformats.org/officeDocument/2006/relationships/hyperlink" Target="#KBAPhi!A1"/><Relationship Id="rId9" Type="http://schemas.openxmlformats.org/officeDocument/2006/relationships/hyperlink" Target="#KTVTRDPhi!A1"/></Relationships>
</file>

<file path=xl/drawings/_rels/drawing8.xml.rels><?xml version="1.0" encoding="UTF-8" standalone="yes"?>
<Relationships xmlns="http://schemas.openxmlformats.org/package/2006/relationships"><Relationship Id="rId2" Type="http://schemas.openxmlformats.org/officeDocument/2006/relationships/hyperlink" Target="#CHUNG!A1"/><Relationship Id="rId1" Type="http://schemas.openxmlformats.org/officeDocument/2006/relationships/hyperlink" Target="#Start!A1"/></Relationships>
</file>

<file path=xl/drawings/_rels/drawing9.xml.rels><?xml version="1.0" encoding="UTF-8" standalone="yes"?>
<Relationships xmlns="http://schemas.openxmlformats.org/package/2006/relationships"><Relationship Id="rId2" Type="http://schemas.openxmlformats.org/officeDocument/2006/relationships/hyperlink" Target="#VTL20namcamket!A1"/><Relationship Id="rId1" Type="http://schemas.openxmlformats.org/officeDocument/2006/relationships/hyperlink" Target="#'Tinh phi QL'!A1"/></Relationships>
</file>

<file path=xl/drawings/_rels/drawing10.xml.rels><?xml version="1.0" encoding="UTF-8" standalone="yes"?>
<Relationships xmlns="http://schemas.openxmlformats.org/package/2006/relationships"><Relationship Id="rId2" Type="http://schemas.openxmlformats.org/officeDocument/2006/relationships/hyperlink" Target="#VTL20namMH!A1"/><Relationship Id="rId1" Type="http://schemas.openxmlformats.org/officeDocument/2006/relationships/hyperlink" Target="#'Tinh phi QL'!A1"/></Relationships>
</file>

<file path=xl/drawings/_rels/drawing11.xml.rels><?xml version="1.0" encoding="UTF-8" standalone="yes"?>
<Relationships xmlns="http://schemas.openxmlformats.org/package/2006/relationships"><Relationship Id="rId2" Type="http://schemas.openxmlformats.org/officeDocument/2006/relationships/hyperlink" Target="#KBA20namcamket!A1"/><Relationship Id="rId1" Type="http://schemas.openxmlformats.org/officeDocument/2006/relationships/hyperlink" Target="#'Tinh phi QL'!A1"/></Relationships>
</file>

<file path=xl/drawings/_rels/drawing12.xml.rels><?xml version="1.0" encoding="UTF-8" standalone="yes"?>
<Relationships xmlns="http://schemas.openxmlformats.org/package/2006/relationships"><Relationship Id="rId2" Type="http://schemas.openxmlformats.org/officeDocument/2006/relationships/hyperlink" Target="#KBA20namMH!A1"/><Relationship Id="rId1" Type="http://schemas.openxmlformats.org/officeDocument/2006/relationships/hyperlink" Target="#'Tinh phi QL'!A1"/></Relationships>
</file>

<file path=xl/drawings/_rels/drawing13.xml.rels><?xml version="1.0" encoding="UTF-8" standalone="yes"?>
<Relationships xmlns="http://schemas.openxmlformats.org/package/2006/relationships"><Relationship Id="rId2" Type="http://schemas.openxmlformats.org/officeDocument/2006/relationships/hyperlink" Target="#KTVBV20namcamket!A1"/><Relationship Id="rId1" Type="http://schemas.openxmlformats.org/officeDocument/2006/relationships/hyperlink" Target="#'Tinh phi QL'!A1"/></Relationships>
</file>

<file path=xl/drawings/_rels/drawing14.xml.rels><?xml version="1.0" encoding="UTF-8" standalone="yes"?>
<Relationships xmlns="http://schemas.openxmlformats.org/package/2006/relationships"><Relationship Id="rId2" Type="http://schemas.openxmlformats.org/officeDocument/2006/relationships/hyperlink" Target="#KTVBV20namMH!A1"/><Relationship Id="rId1" Type="http://schemas.openxmlformats.org/officeDocument/2006/relationships/hyperlink" Target="#'Tinh phi QL'!A1"/></Relationships>
</file>

<file path=xl/drawings/_rels/drawing15.xml.rels><?xml version="1.0" encoding="UTF-8" standalone="yes"?>
<Relationships xmlns="http://schemas.openxmlformats.org/package/2006/relationships"><Relationship Id="rId2" Type="http://schemas.openxmlformats.org/officeDocument/2006/relationships/hyperlink" Target="#KTVBV20namcamket!A1"/><Relationship Id="rId1" Type="http://schemas.openxmlformats.org/officeDocument/2006/relationships/hyperlink" Target="#'Tinh phi QL'!A1"/></Relationships>
</file>

<file path=xl/drawings/_rels/drawing16.xml.rels><?xml version="1.0" encoding="UTF-8" standalone="yes"?>
<Relationships xmlns="http://schemas.openxmlformats.org/package/2006/relationships"><Relationship Id="rId2" Type="http://schemas.openxmlformats.org/officeDocument/2006/relationships/hyperlink" Target="#KTVTD20namcamket!A1"/><Relationship Id="rId1" Type="http://schemas.openxmlformats.org/officeDocument/2006/relationships/hyperlink" Target="#'Tinh phi QL'!A1"/></Relationships>
</file>

<file path=xl/drawings/_rels/drawing17.xml.rels><?xml version="1.0" encoding="UTF-8" standalone="yes"?>
<Relationships xmlns="http://schemas.openxmlformats.org/package/2006/relationships"><Relationship Id="rId2" Type="http://schemas.openxmlformats.org/officeDocument/2006/relationships/hyperlink" Target="#KTVTD20namMH!A1"/><Relationship Id="rId1" Type="http://schemas.openxmlformats.org/officeDocument/2006/relationships/hyperlink" Target="#'Tinh phi QL'!A1"/></Relationships>
</file>

<file path=xl/drawings/_rels/drawing18.xml.rels><?xml version="1.0" encoding="UTF-8" standalone="yes"?>
<Relationships xmlns="http://schemas.openxmlformats.org/package/2006/relationships"><Relationship Id="rId2" Type="http://schemas.openxmlformats.org/officeDocument/2006/relationships/hyperlink" Target="#KTVBV20namMH!A1"/><Relationship Id="rId1" Type="http://schemas.openxmlformats.org/officeDocument/2006/relationships/hyperlink" Target="#'Tinh phi QL'!A1"/></Relationships>
</file>

<file path=xl/drawings/_rels/drawing19.xml.rels><?xml version="1.0" encoding="UTF-8" standalone="yes"?>
<Relationships xmlns="http://schemas.openxmlformats.org/package/2006/relationships"><Relationship Id="rId1" Type="http://schemas.openxmlformats.org/officeDocument/2006/relationships/hyperlink" Target="#KTVBVGTTKcamket!A1"/></Relationships>
</file>

<file path=xl/drawings/_rels/drawing20.xml.rels><?xml version="1.0" encoding="UTF-8" standalone="yes"?>
<Relationships xmlns="http://schemas.openxmlformats.org/package/2006/relationships"><Relationship Id="rId1" Type="http://schemas.openxmlformats.org/officeDocument/2006/relationships/hyperlink" Target="#'Tom Tat QL'!A1"/></Relationships>
</file>

<file path=xl/drawings/_rels/drawing21.xml.rels><?xml version="1.0" encoding="UTF-8" standalone="yes"?>
<Relationships xmlns="http://schemas.openxmlformats.org/package/2006/relationships"><Relationship Id="rId1" Type="http://schemas.openxmlformats.org/officeDocument/2006/relationships/hyperlink" Target="#KTVBVGTTKcamket!A1"/></Relationships>
</file>

<file path=xl/drawings/_rels/drawing22.xml.rels><?xml version="1.0" encoding="UTF-8" standalone="yes"?>
<Relationships xmlns="http://schemas.openxmlformats.org/package/2006/relationships"><Relationship Id="rId1" Type="http://schemas.openxmlformats.org/officeDocument/2006/relationships/hyperlink" Target="#'Tom Tat QL'!A1"/></Relationships>
</file>

<file path=xl/drawings/_rels/drawing2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5" Type="http://schemas.openxmlformats.org/officeDocument/2006/relationships/hyperlink" Target="#Start!A1"/><Relationship Id="rId4" Type="http://schemas.openxmlformats.org/officeDocument/2006/relationships/image" Target="../media/image5.png"/></Relationships>
</file>

<file path=xl/drawings/_rels/drawing24.xml.rels><?xml version="1.0" encoding="UTF-8" standalone="yes"?>
<Relationships xmlns="http://schemas.openxmlformats.org/package/2006/relationships"><Relationship Id="rId1" Type="http://schemas.openxmlformats.org/officeDocument/2006/relationships/hyperlink" Target="#KTVTDGTTKcamket!A1"/></Relationships>
</file>

<file path=xl/drawings/_rels/drawing25.xml.rels><?xml version="1.0" encoding="UTF-8" standalone="yes"?>
<Relationships xmlns="http://schemas.openxmlformats.org/package/2006/relationships"><Relationship Id="rId2" Type="http://schemas.openxmlformats.org/officeDocument/2006/relationships/hyperlink" Target="#KTVTRD20namcamket!A1"/><Relationship Id="rId1" Type="http://schemas.openxmlformats.org/officeDocument/2006/relationships/hyperlink" Target="#'Tinh phi QL'!A1"/></Relationships>
</file>

<file path=xl/drawings/_rels/drawing26.xml.rels><?xml version="1.0" encoding="UTF-8" standalone="yes"?>
<Relationships xmlns="http://schemas.openxmlformats.org/package/2006/relationships"><Relationship Id="rId2" Type="http://schemas.openxmlformats.org/officeDocument/2006/relationships/hyperlink" Target="#KTVTRD20namMH!A1"/><Relationship Id="rId1" Type="http://schemas.openxmlformats.org/officeDocument/2006/relationships/hyperlink" Target="#'Tinh phi QL'!A1"/></Relationships>
</file>

<file path=xl/drawings/_rels/drawing27.xml.rels><?xml version="1.0" encoding="UTF-8" standalone="yes"?>
<Relationships xmlns="http://schemas.openxmlformats.org/package/2006/relationships"><Relationship Id="rId1" Type="http://schemas.openxmlformats.org/officeDocument/2006/relationships/hyperlink" Target="#'Tom Tat QL'!A1"/></Relationships>
</file>

<file path=xl/drawings/_rels/drawing28.xml.rels><?xml version="1.0" encoding="UTF-8" standalone="yes"?>
<Relationships xmlns="http://schemas.openxmlformats.org/package/2006/relationships"><Relationship Id="rId1" Type="http://schemas.openxmlformats.org/officeDocument/2006/relationships/hyperlink" Target="#KTVTRDGTTKMH!A1"/></Relationships>
</file>

<file path=xl/drawings/_rels/drawing29.xml.rels><?xml version="1.0" encoding="UTF-8" standalone="yes"?>
<Relationships xmlns="http://schemas.openxmlformats.org/package/2006/relationships"><Relationship Id="rId1" Type="http://schemas.openxmlformats.org/officeDocument/2006/relationships/hyperlink" Target="#Start!A1"/></Relationships>
</file>

<file path=xl/drawings/_rels/drawing30.xml.rels><?xml version="1.0" encoding="UTF-8" standalone="yes"?>
<Relationships xmlns="http://schemas.openxmlformats.org/package/2006/relationships"><Relationship Id="rId1" Type="http://schemas.openxmlformats.org/officeDocument/2006/relationships/hyperlink" Target="#KTVTRDGTTKcamket!A1"/></Relationships>
</file>

<file path=xl/drawings/_rels/drawing31.xml.rels><?xml version="1.0" encoding="UTF-8" standalone="yes"?>
<Relationships xmlns="http://schemas.openxmlformats.org/package/2006/relationships"><Relationship Id="rId1" Type="http://schemas.openxmlformats.org/officeDocument/2006/relationships/hyperlink" Target="#Start!A1"/></Relationships>
</file>

<file path=xl/drawings/_rels/drawing32.xml.rels><?xml version="1.0" encoding="UTF-8" standalone="yes"?>
<Relationships xmlns="http://schemas.openxmlformats.org/package/2006/relationships"><Relationship Id="rId1" Type="http://schemas.openxmlformats.org/officeDocument/2006/relationships/hyperlink" Target="#'Tom Tat QL'!A1"/></Relationships>
</file>

<file path=xl/drawings/_rels/drawing33.xml.rels><?xml version="1.0" encoding="UTF-8" standalone="yes"?>
<Relationships xmlns="http://schemas.openxmlformats.org/package/2006/relationships"><Relationship Id="rId1" Type="http://schemas.openxmlformats.org/officeDocument/2006/relationships/hyperlink" Target="#'Tom Tat QL'!A1"/></Relationships>
</file>

<file path=xl/drawings/_rels/drawing34.xml.rels><?xml version="1.0" encoding="UTF-8" standalone="yes"?>
<Relationships xmlns="http://schemas.openxmlformats.org/package/2006/relationships"><Relationship Id="rId1" Type="http://schemas.openxmlformats.org/officeDocument/2006/relationships/hyperlink" Target="#KTVBVGTTKMH!A1"/></Relationships>
</file>

<file path=xl/drawings/_rels/drawing35.xml.rels><?xml version="1.0" encoding="UTF-8" standalone="yes"?>
<Relationships xmlns="http://schemas.openxmlformats.org/package/2006/relationships"><Relationship Id="rId1" Type="http://schemas.openxmlformats.org/officeDocument/2006/relationships/hyperlink" Target="#'Tom Tat QL'!A1"/></Relationships>
</file>

<file path=xl/drawings/_rels/drawing36.xml.rels><?xml version="1.0" encoding="UTF-8" standalone="yes"?>
<Relationships xmlns="http://schemas.openxmlformats.org/package/2006/relationships"><Relationship Id="rId1" Type="http://schemas.openxmlformats.org/officeDocument/2006/relationships/hyperlink" Target="#KTVBVGTTKcamket!A1"/></Relationships>
</file>

<file path=xl/drawings/_rels/drawing37.xml.rels><?xml version="1.0" encoding="UTF-8" standalone="yes"?>
<Relationships xmlns="http://schemas.openxmlformats.org/package/2006/relationships"><Relationship Id="rId1" Type="http://schemas.openxmlformats.org/officeDocument/2006/relationships/hyperlink" Target="#KTVTDGTTKcamket!A1"/></Relationships>
</file>

<file path=xl/drawings/_rels/drawing38.xml.rels><?xml version="1.0" encoding="UTF-8" standalone="yes"?>
<Relationships xmlns="http://schemas.openxmlformats.org/package/2006/relationships"><Relationship Id="rId1" Type="http://schemas.openxmlformats.org/officeDocument/2006/relationships/hyperlink" Target="#'Tom Tat QL'!A1"/></Relationships>
</file>

<file path=xl/drawings/_rels/drawing39.xml.rels><?xml version="1.0" encoding="UTF-8" standalone="yes"?>
<Relationships xmlns="http://schemas.openxmlformats.org/package/2006/relationships"><Relationship Id="rId1" Type="http://schemas.openxmlformats.org/officeDocument/2006/relationships/hyperlink" Target="#'Hoach dinh tai chinh'!A1"/></Relationships>
</file>

<file path=xl/drawings/_rels/drawing40.xml.rels><?xml version="1.0" encoding="UTF-8" standalone="yes"?>
<Relationships xmlns="http://schemas.openxmlformats.org/package/2006/relationships"><Relationship Id="rId1" Type="http://schemas.openxmlformats.org/officeDocument/2006/relationships/hyperlink" Target="#'Hoach dinh tai chinh'!A1"/></Relationships>
</file>

<file path=xl/drawings/_rels/drawing41.xml.rels><?xml version="1.0" encoding="UTF-8" standalone="yes"?>
<Relationships xmlns="http://schemas.openxmlformats.org/package/2006/relationships"><Relationship Id="rId1" Type="http://schemas.openxmlformats.org/officeDocument/2006/relationships/hyperlink" Target="#'Hoach dinh tai chinh'!A1"/></Relationships>
</file>

<file path=xl/drawings/_rels/drawing42.xml.rels><?xml version="1.0" encoding="UTF-8" standalone="yes"?>
<Relationships xmlns="http://schemas.openxmlformats.org/package/2006/relationships"><Relationship Id="rId1" Type="http://schemas.openxmlformats.org/officeDocument/2006/relationships/hyperlink" Target="#'Hoach dinh tai chinh'!A1"/></Relationships>
</file>

<file path=xl/drawings/_rels/drawing43.xml.rels><?xml version="1.0" encoding="UTF-8" standalone="yes"?>
<Relationships xmlns="http://schemas.openxmlformats.org/package/2006/relationships"><Relationship Id="rId1" Type="http://schemas.openxmlformats.org/officeDocument/2006/relationships/hyperlink" Target="#'Hoach dinh tai chinh'!A1"/></Relationships>
</file>

<file path=xl/drawings/_rels/drawing45.xml.rels><?xml version="1.0" encoding="UTF-8" standalone="yes"?>
<Relationships xmlns="http://schemas.openxmlformats.org/package/2006/relationships"><Relationship Id="rId1" Type="http://schemas.openxmlformats.org/officeDocument/2006/relationships/hyperlink" Target="#'Tom Tat QL'!A1"/></Relationships>
</file>

<file path=xl/drawings/_rels/drawing46.xml.rels><?xml version="1.0" encoding="UTF-8" standalone="yes"?>
<Relationships xmlns="http://schemas.openxmlformats.org/package/2006/relationships"><Relationship Id="rId1" Type="http://schemas.openxmlformats.org/officeDocument/2006/relationships/hyperlink" Target="#KBAGTTKMH!A1"/></Relationships>
</file>

<file path=xl/drawings/_rels/drawing47.xml.rels><?xml version="1.0" encoding="UTF-8" standalone="yes"?>
<Relationships xmlns="http://schemas.openxmlformats.org/package/2006/relationships"><Relationship Id="rId1" Type="http://schemas.openxmlformats.org/officeDocument/2006/relationships/hyperlink" Target="#KBAGTTKcamket!A1"/></Relationships>
</file>

<file path=xl/drawings/_rels/drawing48.xml.rels><?xml version="1.0" encoding="UTF-8" standalone="yes"?>
<Relationships xmlns="http://schemas.openxmlformats.org/package/2006/relationships"><Relationship Id="rId1" Type="http://schemas.openxmlformats.org/officeDocument/2006/relationships/hyperlink" Target="#VTLGTTKMH!A1"/></Relationships>
</file>

<file path=xl/drawings/_rels/drawing49.xml.rels><?xml version="1.0" encoding="UTF-8" standalone="yes"?>
<Relationships xmlns="http://schemas.openxmlformats.org/package/2006/relationships"><Relationship Id="rId1" Type="http://schemas.openxmlformats.org/officeDocument/2006/relationships/hyperlink" Target="#VTLGTTKcamket!A1"/></Relationships>
</file>

<file path=xl/drawings/_rels/drawing50.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hyperlink" Target="#Start!A1"/></Relationships>
</file>

<file path=xl/drawings/_rels/drawing51.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png"/><Relationship Id="rId1" Type="http://schemas.openxmlformats.org/officeDocument/2006/relationships/image" Target="../media/image7.png"/><Relationship Id="rId4" Type="http://schemas.openxmlformats.org/officeDocument/2006/relationships/hyperlink" Target="#Start!A1"/></Relationships>
</file>

<file path=xl/drawings/_rels/drawing52.xml.rels><?xml version="1.0" encoding="UTF-8" standalone="yes"?>
<Relationships xmlns="http://schemas.openxmlformats.org/package/2006/relationships"><Relationship Id="rId2" Type="http://schemas.openxmlformats.org/officeDocument/2006/relationships/hyperlink" Target="#Start!A1"/><Relationship Id="rId1" Type="http://schemas.openxmlformats.org/officeDocument/2006/relationships/image" Target="../media/image10.jpeg"/></Relationships>
</file>

<file path=xl/drawings/_rels/drawing53.xml.rels><?xml version="1.0" encoding="UTF-8" standalone="yes"?>
<Relationships xmlns="http://schemas.openxmlformats.org/package/2006/relationships"><Relationship Id="rId8" Type="http://schemas.openxmlformats.org/officeDocument/2006/relationships/hyperlink" Target="#'N&#258;M C&#193; NH&#194;N'!A1"/><Relationship Id="rId13" Type="http://schemas.openxmlformats.org/officeDocument/2006/relationships/hyperlink" Target="#'BI&#7874;U &#272;&#7890; T&#202;N'!A1"/><Relationship Id="rId3" Type="http://schemas.openxmlformats.org/officeDocument/2006/relationships/hyperlink" Target="#'LINH H&#7890;N'!A1"/><Relationship Id="rId7" Type="http://schemas.openxmlformats.org/officeDocument/2006/relationships/hyperlink" Target="#'TH&#193;I &#272;&#7896;'!A1"/><Relationship Id="rId12" Type="http://schemas.openxmlformats.org/officeDocument/2006/relationships/hyperlink" Target="#'C&#258;NG TH&#7858;NG T&#194;M H&#7890;N'!A1"/><Relationship Id="rId2" Type="http://schemas.openxmlformats.org/officeDocument/2006/relationships/hyperlink" Target="#'V&#7852;N M&#7878;NH'!A1"/><Relationship Id="rId1" Type="http://schemas.openxmlformats.org/officeDocument/2006/relationships/hyperlink" Target="#'&#272;&#431;&#7900;NG &#272;&#7900;I'!A1"/><Relationship Id="rId6" Type="http://schemas.openxmlformats.org/officeDocument/2006/relationships/hyperlink" Target="#'TR&#431;&#7902;NG TH&#192;NH'!A1"/><Relationship Id="rId11" Type="http://schemas.openxmlformats.org/officeDocument/2006/relationships/hyperlink" Target="#'B&#192;I H&#7884;C NGHI&#7878;P'!A1"/><Relationship Id="rId5" Type="http://schemas.openxmlformats.org/officeDocument/2006/relationships/hyperlink" Target="#'NG&#192;Y SINH'!A1"/><Relationship Id="rId10" Type="http://schemas.openxmlformats.org/officeDocument/2006/relationships/hyperlink" Target="#'BI&#7874;U &#272;&#7890;'!A1"/><Relationship Id="rId4" Type="http://schemas.openxmlformats.org/officeDocument/2006/relationships/hyperlink" Target="#'T&#205;NH C&#193;CH'!A1"/><Relationship Id="rId9" Type="http://schemas.openxmlformats.org/officeDocument/2006/relationships/hyperlink" Target="#'TH&#193;NG C&#193; NH&#194;N'!A1"/><Relationship Id="rId14" Type="http://schemas.openxmlformats.org/officeDocument/2006/relationships/hyperlink" Target="#'Than so hoc'!A1"/></Relationships>
</file>

<file path=xl/drawings/_rels/drawing54.xml.rels><?xml version="1.0" encoding="UTF-8" standalone="yes"?>
<Relationships xmlns="http://schemas.openxmlformats.org/package/2006/relationships"><Relationship Id="rId1" Type="http://schemas.openxmlformats.org/officeDocument/2006/relationships/hyperlink" Target="#CHUNG!A1"/></Relationships>
</file>

<file path=xl/drawings/_rels/drawing55.xml.rels><?xml version="1.0" encoding="UTF-8" standalone="yes"?>
<Relationships xmlns="http://schemas.openxmlformats.org/package/2006/relationships"><Relationship Id="rId1" Type="http://schemas.openxmlformats.org/officeDocument/2006/relationships/hyperlink" Target="#Start!A1"/></Relationships>
</file>

<file path=xl/drawings/_rels/drawing56.xml.rels><?xml version="1.0" encoding="UTF-8" standalone="yes"?>
<Relationships xmlns="http://schemas.openxmlformats.org/package/2006/relationships"><Relationship Id="rId1" Type="http://schemas.openxmlformats.org/officeDocument/2006/relationships/hyperlink" Target="#CHUNG!A1"/></Relationships>
</file>

<file path=xl/drawings/_rels/drawing57.xml.rels><?xml version="1.0" encoding="UTF-8" standalone="yes"?>
<Relationships xmlns="http://schemas.openxmlformats.org/package/2006/relationships"><Relationship Id="rId1" Type="http://schemas.openxmlformats.org/officeDocument/2006/relationships/hyperlink" Target="#Start!A1"/></Relationships>
</file>

<file path=xl/drawings/_rels/drawing58.xml.rels><?xml version="1.0" encoding="UTF-8" standalone="yes"?>
<Relationships xmlns="http://schemas.openxmlformats.org/package/2006/relationships"><Relationship Id="rId1" Type="http://schemas.openxmlformats.org/officeDocument/2006/relationships/hyperlink" Target="#Start!A1"/></Relationships>
</file>

<file path=xl/drawings/_rels/drawing59.xml.rels><?xml version="1.0" encoding="UTF-8" standalone="yes"?>
<Relationships xmlns="http://schemas.openxmlformats.org/package/2006/relationships"><Relationship Id="rId1" Type="http://schemas.openxmlformats.org/officeDocument/2006/relationships/hyperlink" Target="#Start!A1"/></Relationships>
</file>

<file path=xl/drawings/_rels/drawing60.xml.rels><?xml version="1.0" encoding="UTF-8" standalone="yes"?>
<Relationships xmlns="http://schemas.openxmlformats.org/package/2006/relationships"><Relationship Id="rId1" Type="http://schemas.openxmlformats.org/officeDocument/2006/relationships/hyperlink" Target="#Start!A1"/></Relationships>
</file>

<file path=xl/drawings/_rels/drawing61.xml.rels><?xml version="1.0" encoding="UTF-8" standalone="yes"?>
<Relationships xmlns="http://schemas.openxmlformats.org/package/2006/relationships"><Relationship Id="rId1" Type="http://schemas.openxmlformats.org/officeDocument/2006/relationships/hyperlink" Target="#Start!A1"/></Relationships>
</file>

<file path=xl/drawings/_rels/drawing62.xml.rels><?xml version="1.0" encoding="UTF-8" standalone="yes"?>
<Relationships xmlns="http://schemas.openxmlformats.org/package/2006/relationships"><Relationship Id="rId1" Type="http://schemas.openxmlformats.org/officeDocument/2006/relationships/hyperlink" Target="#Start!A1"/></Relationships>
</file>

<file path=xl/drawings/_rels/drawing63.xml.rels><?xml version="1.0" encoding="UTF-8" standalone="yes"?>
<Relationships xmlns="http://schemas.openxmlformats.org/package/2006/relationships"><Relationship Id="rId1" Type="http://schemas.openxmlformats.org/officeDocument/2006/relationships/hyperlink" Target="#Start!A1"/></Relationships>
</file>

<file path=xl/drawings/_rels/drawing64.xml.rels><?xml version="1.0" encoding="UTF-8" standalone="yes"?>
<Relationships xmlns="http://schemas.openxmlformats.org/package/2006/relationships"><Relationship Id="rId1" Type="http://schemas.openxmlformats.org/officeDocument/2006/relationships/hyperlink" Target="#Start!A1"/></Relationships>
</file>

<file path=xl/drawings/_rels/drawing65.xml.rels><?xml version="1.0" encoding="UTF-8" standalone="yes"?>
<Relationships xmlns="http://schemas.openxmlformats.org/package/2006/relationships"><Relationship Id="rId1" Type="http://schemas.openxmlformats.org/officeDocument/2006/relationships/hyperlink" Target="#Start!A1"/></Relationships>
</file>

<file path=xl/drawings/_rels/drawing66.xml.rels><?xml version="1.0" encoding="UTF-8" standalone="yes"?>
<Relationships xmlns="http://schemas.openxmlformats.org/package/2006/relationships"><Relationship Id="rId1" Type="http://schemas.openxmlformats.org/officeDocument/2006/relationships/hyperlink" Target="#Start!A1"/></Relationships>
</file>

<file path=xl/drawings/_rels/drawing67.xml.rels><?xml version="1.0" encoding="UTF-8" standalone="yes"?>
<Relationships xmlns="http://schemas.openxmlformats.org/package/2006/relationships"><Relationship Id="rId1" Type="http://schemas.openxmlformats.org/officeDocument/2006/relationships/hyperlink" Target="#Start!A1"/></Relationships>
</file>

<file path=xl/drawings/_rels/drawing68.xml.rels><?xml version="1.0" encoding="UTF-8" standalone="yes"?>
<Relationships xmlns="http://schemas.openxmlformats.org/package/2006/relationships"><Relationship Id="rId3" Type="http://schemas.openxmlformats.org/officeDocument/2006/relationships/customXml" Target="../ink/ink2.xml"/><Relationship Id="rId2" Type="http://schemas.openxmlformats.org/officeDocument/2006/relationships/image" Target="../media/image11.png"/><Relationship Id="rId1" Type="http://schemas.openxmlformats.org/officeDocument/2006/relationships/customXml" Target="../ink/ink1.xml"/><Relationship Id="rId6" Type="http://schemas.openxmlformats.org/officeDocument/2006/relationships/hyperlink" Target="#Start!A1"/><Relationship Id="rId5" Type="http://schemas.openxmlformats.org/officeDocument/2006/relationships/customXml" Target="../ink/ink3.xml"/><Relationship Id="rId4" Type="http://schemas.openxmlformats.org/officeDocument/2006/relationships/image" Target="../media/image20.png"/></Relationships>
</file>

<file path=xl/drawings/_rels/drawing69.xml.rels><?xml version="1.0" encoding="UTF-8" standalone="yes"?>
<Relationships xmlns="http://schemas.openxmlformats.org/package/2006/relationships"><Relationship Id="rId2" Type="http://schemas.openxmlformats.org/officeDocument/2006/relationships/image" Target="../media/image11.png"/><Relationship Id="rId1" Type="http://schemas.openxmlformats.org/officeDocument/2006/relationships/customXml" Target="../ink/ink4.xml"/></Relationships>
</file>

<file path=xl/drawings/drawing1.xml><?xml version="1.0" encoding="utf-8"?>
<xdr:wsDr xmlns:xdr="http://schemas.openxmlformats.org/drawingml/2006/spreadsheetDrawing" xmlns:a="http://schemas.openxmlformats.org/drawingml/2006/main">
  <xdr:twoCellAnchor>
    <xdr:from>
      <xdr:col>0</xdr:col>
      <xdr:colOff>161921</xdr:colOff>
      <xdr:row>6</xdr:row>
      <xdr:rowOff>0</xdr:rowOff>
    </xdr:from>
    <xdr:to>
      <xdr:col>4</xdr:col>
      <xdr:colOff>190500</xdr:colOff>
      <xdr:row>23</xdr:row>
      <xdr:rowOff>19050</xdr:rowOff>
    </xdr:to>
    <xdr:graphicFrame macro="">
      <xdr:nvGraphicFramePr>
        <xdr:cNvPr id="2" name="Diagram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15</xdr:col>
      <xdr:colOff>400050</xdr:colOff>
      <xdr:row>0</xdr:row>
      <xdr:rowOff>57150</xdr:rowOff>
    </xdr:from>
    <xdr:to>
      <xdr:col>16</xdr:col>
      <xdr:colOff>466725</xdr:colOff>
      <xdr:row>1</xdr:row>
      <xdr:rowOff>142875</xdr:rowOff>
    </xdr:to>
    <xdr:sp macro="" textlink="">
      <xdr:nvSpPr>
        <xdr:cNvPr id="2" name="Arrow: Left 1">
          <a:hlinkClick xmlns:r="http://schemas.openxmlformats.org/officeDocument/2006/relationships" r:id="rId1"/>
          <a:extLst>
            <a:ext uri="{FF2B5EF4-FFF2-40B4-BE49-F238E27FC236}">
              <a16:creationId xmlns:a16="http://schemas.microsoft.com/office/drawing/2014/main" id="{471E5E51-B34F-480F-AD9E-AAA90536689A}"/>
            </a:ext>
          </a:extLst>
        </xdr:cNvPr>
        <xdr:cNvSpPr/>
      </xdr:nvSpPr>
      <xdr:spPr>
        <a:xfrm>
          <a:off x="8401050" y="57150"/>
          <a:ext cx="600075" cy="247650"/>
        </a:xfrm>
        <a:prstGeom prst="leftArrow">
          <a:avLst>
            <a:gd name="adj1" fmla="val 50000"/>
            <a:gd name="adj2" fmla="val 50000"/>
          </a:avLst>
        </a:prstGeom>
        <a:solidFill>
          <a:srgbClr val="EC645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00">
              <a:solidFill>
                <a:schemeClr val="bg1"/>
              </a:solidFill>
            </a:rPr>
            <a:t>Back</a:t>
          </a:r>
        </a:p>
      </xdr:txBody>
    </xdr:sp>
    <xdr:clientData/>
  </xdr:twoCellAnchor>
  <xdr:twoCellAnchor editAs="oneCell">
    <xdr:from>
      <xdr:col>0</xdr:col>
      <xdr:colOff>40409</xdr:colOff>
      <xdr:row>0</xdr:row>
      <xdr:rowOff>28575</xdr:rowOff>
    </xdr:from>
    <xdr:to>
      <xdr:col>15</xdr:col>
      <xdr:colOff>188023</xdr:colOff>
      <xdr:row>28</xdr:row>
      <xdr:rowOff>9523</xdr:rowOff>
    </xdr:to>
    <xdr:pic>
      <xdr:nvPicPr>
        <xdr:cNvPr id="3" name="Picture 2">
          <a:extLst>
            <a:ext uri="{FF2B5EF4-FFF2-40B4-BE49-F238E27FC236}">
              <a16:creationId xmlns:a16="http://schemas.microsoft.com/office/drawing/2014/main" id="{E3B1D451-AADD-41B1-ABC5-AF0EF4BECFAE}"/>
            </a:ext>
          </a:extLst>
        </xdr:cNvPr>
        <xdr:cNvPicPr>
          <a:picLocks noChangeAspect="1" noChangeArrowheads="1"/>
        </xdr:cNvPicPr>
      </xdr:nvPicPr>
      <xdr:blipFill>
        <a:blip xmlns:r="http://schemas.openxmlformats.org/officeDocument/2006/relationships" r:embed="rId2" cstate="email">
          <a:extLst>
            <a:ext uri="{28A0092B-C50C-407E-A947-70E740481C1C}">
              <a14:useLocalDpi xmlns:a14="http://schemas.microsoft.com/office/drawing/2010/main"/>
            </a:ext>
          </a:extLst>
        </a:blip>
        <a:srcRect/>
        <a:stretch>
          <a:fillRect/>
        </a:stretch>
      </xdr:blipFill>
      <xdr:spPr bwMode="auto">
        <a:xfrm>
          <a:off x="40409" y="28575"/>
          <a:ext cx="8148614" cy="459104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5952</xdr:colOff>
      <xdr:row>14</xdr:row>
      <xdr:rowOff>29764</xdr:rowOff>
    </xdr:from>
    <xdr:to>
      <xdr:col>9</xdr:col>
      <xdr:colOff>2381250</xdr:colOff>
      <xdr:row>15</xdr:row>
      <xdr:rowOff>101203</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00000000-0008-0000-0200-000002000000}"/>
            </a:ext>
          </a:extLst>
        </xdr:cNvPr>
        <xdr:cNvSpPr/>
      </xdr:nvSpPr>
      <xdr:spPr>
        <a:xfrm>
          <a:off x="434577" y="2280045"/>
          <a:ext cx="4905376" cy="261939"/>
        </a:xfrm>
        <a:prstGeom prst="roundRect">
          <a:avLst/>
        </a:prstGeom>
        <a:solidFill>
          <a:srgbClr val="D3114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Báo</a:t>
          </a:r>
          <a:r>
            <a:rPr lang="en-US" sz="1100" b="1" baseline="0"/>
            <a:t> Cáo Tổng Quan Hoạch Định Tài Chính</a:t>
          </a:r>
          <a:endParaRPr lang="en-US" sz="1100" b="1"/>
        </a:p>
      </xdr:txBody>
    </xdr:sp>
    <xdr:clientData/>
  </xdr:twoCellAnchor>
  <xdr:twoCellAnchor>
    <xdr:from>
      <xdr:col>10</xdr:col>
      <xdr:colOff>160735</xdr:colOff>
      <xdr:row>0</xdr:row>
      <xdr:rowOff>35718</xdr:rowOff>
    </xdr:from>
    <xdr:to>
      <xdr:col>11</xdr:col>
      <xdr:colOff>113109</xdr:colOff>
      <xdr:row>2</xdr:row>
      <xdr:rowOff>11906</xdr:rowOff>
    </xdr:to>
    <xdr:sp macro="" textlink="">
      <xdr:nvSpPr>
        <xdr:cNvPr id="3" name="Arrow: Left 2">
          <a:hlinkClick xmlns:r="http://schemas.openxmlformats.org/officeDocument/2006/relationships" r:id="rId2"/>
          <a:extLst>
            <a:ext uri="{FF2B5EF4-FFF2-40B4-BE49-F238E27FC236}">
              <a16:creationId xmlns:a16="http://schemas.microsoft.com/office/drawing/2014/main" id="{00000000-0008-0000-0200-000003000000}"/>
            </a:ext>
          </a:extLst>
        </xdr:cNvPr>
        <xdr:cNvSpPr/>
      </xdr:nvSpPr>
      <xdr:spPr>
        <a:xfrm>
          <a:off x="5512594" y="35718"/>
          <a:ext cx="488156" cy="261938"/>
        </a:xfrm>
        <a:prstGeom prst="leftArrow">
          <a:avLst>
            <a:gd name="adj1" fmla="val 50000"/>
            <a:gd name="adj2" fmla="val 50000"/>
          </a:avLst>
        </a:prstGeom>
        <a:solidFill>
          <a:srgbClr val="D3114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00">
              <a:solidFill>
                <a:schemeClr val="bg1"/>
              </a:solidFill>
            </a:rPr>
            <a:t>Back</a:t>
          </a:r>
        </a:p>
      </xdr:txBody>
    </xdr:sp>
    <xdr:clientData/>
  </xdr:twoCellAnchor>
  <xdr:twoCellAnchor>
    <xdr:from>
      <xdr:col>10</xdr:col>
      <xdr:colOff>71437</xdr:colOff>
      <xdr:row>9</xdr:row>
      <xdr:rowOff>29765</xdr:rowOff>
    </xdr:from>
    <xdr:to>
      <xdr:col>10</xdr:col>
      <xdr:colOff>375046</xdr:colOff>
      <xdr:row>9</xdr:row>
      <xdr:rowOff>196452</xdr:rowOff>
    </xdr:to>
    <xdr:sp macro="" textlink="">
      <xdr:nvSpPr>
        <xdr:cNvPr id="4" name="Arrow: Right 3">
          <a:hlinkClick xmlns:r="http://schemas.openxmlformats.org/officeDocument/2006/relationships" r:id="rId3"/>
          <a:extLst>
            <a:ext uri="{FF2B5EF4-FFF2-40B4-BE49-F238E27FC236}">
              <a16:creationId xmlns:a16="http://schemas.microsoft.com/office/drawing/2014/main" id="{00000000-0008-0000-0200-000004000000}"/>
            </a:ext>
          </a:extLst>
        </xdr:cNvPr>
        <xdr:cNvSpPr/>
      </xdr:nvSpPr>
      <xdr:spPr>
        <a:xfrm>
          <a:off x="5423296" y="1303734"/>
          <a:ext cx="303609" cy="166687"/>
        </a:xfrm>
        <a:prstGeom prst="rightArrow">
          <a:avLst/>
        </a:prstGeom>
        <a:solidFill>
          <a:srgbClr val="D3114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71437</xdr:colOff>
      <xdr:row>10</xdr:row>
      <xdr:rowOff>41671</xdr:rowOff>
    </xdr:from>
    <xdr:to>
      <xdr:col>10</xdr:col>
      <xdr:colOff>375046</xdr:colOff>
      <xdr:row>11</xdr:row>
      <xdr:rowOff>5952</xdr:rowOff>
    </xdr:to>
    <xdr:sp macro="" textlink="">
      <xdr:nvSpPr>
        <xdr:cNvPr id="5" name="Arrow: Right 4">
          <a:hlinkClick xmlns:r="http://schemas.openxmlformats.org/officeDocument/2006/relationships" r:id="rId4"/>
          <a:extLst>
            <a:ext uri="{FF2B5EF4-FFF2-40B4-BE49-F238E27FC236}">
              <a16:creationId xmlns:a16="http://schemas.microsoft.com/office/drawing/2014/main" id="{00000000-0008-0000-0200-000005000000}"/>
            </a:ext>
          </a:extLst>
        </xdr:cNvPr>
        <xdr:cNvSpPr/>
      </xdr:nvSpPr>
      <xdr:spPr>
        <a:xfrm>
          <a:off x="5423296" y="1518046"/>
          <a:ext cx="303609" cy="166687"/>
        </a:xfrm>
        <a:prstGeom prst="rightArrow">
          <a:avLst/>
        </a:prstGeom>
        <a:solidFill>
          <a:srgbClr val="D3114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71437</xdr:colOff>
      <xdr:row>11</xdr:row>
      <xdr:rowOff>47625</xdr:rowOff>
    </xdr:from>
    <xdr:to>
      <xdr:col>10</xdr:col>
      <xdr:colOff>375046</xdr:colOff>
      <xdr:row>12</xdr:row>
      <xdr:rowOff>11905</xdr:rowOff>
    </xdr:to>
    <xdr:sp macro="" textlink="">
      <xdr:nvSpPr>
        <xdr:cNvPr id="6" name="Arrow: Right 5">
          <a:hlinkClick xmlns:r="http://schemas.openxmlformats.org/officeDocument/2006/relationships" r:id="rId5"/>
          <a:extLst>
            <a:ext uri="{FF2B5EF4-FFF2-40B4-BE49-F238E27FC236}">
              <a16:creationId xmlns:a16="http://schemas.microsoft.com/office/drawing/2014/main" id="{00000000-0008-0000-0200-000006000000}"/>
            </a:ext>
          </a:extLst>
        </xdr:cNvPr>
        <xdr:cNvSpPr/>
      </xdr:nvSpPr>
      <xdr:spPr>
        <a:xfrm>
          <a:off x="5423296" y="1726406"/>
          <a:ext cx="303609" cy="166687"/>
        </a:xfrm>
        <a:prstGeom prst="rightArrow">
          <a:avLst/>
        </a:prstGeom>
        <a:solidFill>
          <a:srgbClr val="D3114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71437</xdr:colOff>
      <xdr:row>12</xdr:row>
      <xdr:rowOff>35717</xdr:rowOff>
    </xdr:from>
    <xdr:to>
      <xdr:col>10</xdr:col>
      <xdr:colOff>375046</xdr:colOff>
      <xdr:row>12</xdr:row>
      <xdr:rowOff>202404</xdr:rowOff>
    </xdr:to>
    <xdr:sp macro="" textlink="">
      <xdr:nvSpPr>
        <xdr:cNvPr id="7" name="Arrow: Right 6">
          <a:hlinkClick xmlns:r="http://schemas.openxmlformats.org/officeDocument/2006/relationships" r:id="rId6"/>
          <a:extLst>
            <a:ext uri="{FF2B5EF4-FFF2-40B4-BE49-F238E27FC236}">
              <a16:creationId xmlns:a16="http://schemas.microsoft.com/office/drawing/2014/main" id="{00000000-0008-0000-0200-000007000000}"/>
            </a:ext>
          </a:extLst>
        </xdr:cNvPr>
        <xdr:cNvSpPr/>
      </xdr:nvSpPr>
      <xdr:spPr>
        <a:xfrm>
          <a:off x="5423296" y="1916905"/>
          <a:ext cx="303609" cy="166687"/>
        </a:xfrm>
        <a:prstGeom prst="rightArrow">
          <a:avLst/>
        </a:prstGeom>
        <a:solidFill>
          <a:srgbClr val="D3114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71437</xdr:colOff>
      <xdr:row>13</xdr:row>
      <xdr:rowOff>53577</xdr:rowOff>
    </xdr:from>
    <xdr:to>
      <xdr:col>10</xdr:col>
      <xdr:colOff>375046</xdr:colOff>
      <xdr:row>14</xdr:row>
      <xdr:rowOff>17858</xdr:rowOff>
    </xdr:to>
    <xdr:sp macro="" textlink="">
      <xdr:nvSpPr>
        <xdr:cNvPr id="8" name="Arrow: Right 7">
          <a:hlinkClick xmlns:r="http://schemas.openxmlformats.org/officeDocument/2006/relationships" r:id="rId7"/>
          <a:extLst>
            <a:ext uri="{FF2B5EF4-FFF2-40B4-BE49-F238E27FC236}">
              <a16:creationId xmlns:a16="http://schemas.microsoft.com/office/drawing/2014/main" id="{00000000-0008-0000-0200-000008000000}"/>
            </a:ext>
          </a:extLst>
        </xdr:cNvPr>
        <xdr:cNvSpPr/>
      </xdr:nvSpPr>
      <xdr:spPr>
        <a:xfrm>
          <a:off x="5244703" y="2137171"/>
          <a:ext cx="303609" cy="166687"/>
        </a:xfrm>
        <a:prstGeom prst="rightArrow">
          <a:avLst/>
        </a:prstGeom>
        <a:solidFill>
          <a:srgbClr val="D3114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5952</xdr:colOff>
      <xdr:row>15</xdr:row>
      <xdr:rowOff>174281</xdr:rowOff>
    </xdr:from>
    <xdr:to>
      <xdr:col>10</xdr:col>
      <xdr:colOff>2627</xdr:colOff>
      <xdr:row>17</xdr:row>
      <xdr:rowOff>55220</xdr:rowOff>
    </xdr:to>
    <xdr:sp macro="" textlink="">
      <xdr:nvSpPr>
        <xdr:cNvPr id="9" name="Rectangle: Rounded Corners 8">
          <a:hlinkClick xmlns:r="http://schemas.openxmlformats.org/officeDocument/2006/relationships" r:id="rId8"/>
          <a:extLst>
            <a:ext uri="{FF2B5EF4-FFF2-40B4-BE49-F238E27FC236}">
              <a16:creationId xmlns:a16="http://schemas.microsoft.com/office/drawing/2014/main" id="{CAFBE8DB-599F-2948-C011-92CB0DE03BB0}"/>
            </a:ext>
          </a:extLst>
        </xdr:cNvPr>
        <xdr:cNvSpPr/>
      </xdr:nvSpPr>
      <xdr:spPr>
        <a:xfrm>
          <a:off x="432935" y="2624505"/>
          <a:ext cx="5186158" cy="261939"/>
        </a:xfrm>
        <a:prstGeom prst="roundRect">
          <a:avLst/>
        </a:prstGeom>
        <a:solidFill>
          <a:srgbClr val="0070C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Kiểm</a:t>
          </a:r>
          <a:r>
            <a:rPr lang="en-US" sz="1100" b="1" baseline="0"/>
            <a:t> tra chi tiêu nguyên tắc 50/30/20</a:t>
          </a:r>
          <a:endParaRPr lang="en-US" sz="1100" b="1"/>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12</xdr:col>
      <xdr:colOff>2258786</xdr:colOff>
      <xdr:row>0</xdr:row>
      <xdr:rowOff>108857</xdr:rowOff>
    </xdr:from>
    <xdr:to>
      <xdr:col>12</xdr:col>
      <xdr:colOff>3156858</xdr:colOff>
      <xdr:row>2</xdr:row>
      <xdr:rowOff>149678</xdr:rowOff>
    </xdr:to>
    <xdr:sp macro="" textlink="">
      <xdr:nvSpPr>
        <xdr:cNvPr id="2" name="Arrow: Left 1">
          <a:hlinkClick xmlns:r="http://schemas.openxmlformats.org/officeDocument/2006/relationships" r:id="rId1"/>
          <a:extLst>
            <a:ext uri="{FF2B5EF4-FFF2-40B4-BE49-F238E27FC236}">
              <a16:creationId xmlns:a16="http://schemas.microsoft.com/office/drawing/2014/main" id="{8D54250B-41BA-44B2-BFF1-94F3177C4F95}"/>
            </a:ext>
          </a:extLst>
        </xdr:cNvPr>
        <xdr:cNvSpPr/>
      </xdr:nvSpPr>
      <xdr:spPr>
        <a:xfrm>
          <a:off x="14326961" y="108857"/>
          <a:ext cx="898072" cy="469446"/>
        </a:xfrm>
        <a:prstGeom prst="leftArrow">
          <a:avLst/>
        </a:prstGeom>
        <a:solidFill>
          <a:srgbClr val="EC645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kern="1200"/>
            <a:t>Back</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9</xdr:col>
      <xdr:colOff>11205</xdr:colOff>
      <xdr:row>2</xdr:row>
      <xdr:rowOff>190499</xdr:rowOff>
    </xdr:from>
    <xdr:to>
      <xdr:col>9</xdr:col>
      <xdr:colOff>1620928</xdr:colOff>
      <xdr:row>5</xdr:row>
      <xdr:rowOff>78441</xdr:rowOff>
    </xdr:to>
    <xdr:sp macro="" textlink="">
      <xdr:nvSpPr>
        <xdr:cNvPr id="3" name="Arrow: Left 2">
          <a:hlinkClick xmlns:r="http://schemas.openxmlformats.org/officeDocument/2006/relationships" r:id="rId1"/>
          <a:extLst>
            <a:ext uri="{FF2B5EF4-FFF2-40B4-BE49-F238E27FC236}">
              <a16:creationId xmlns:a16="http://schemas.microsoft.com/office/drawing/2014/main" id="{00000000-0008-0000-0500-000003000000}"/>
            </a:ext>
          </a:extLst>
        </xdr:cNvPr>
        <xdr:cNvSpPr/>
      </xdr:nvSpPr>
      <xdr:spPr>
        <a:xfrm flipH="1">
          <a:off x="9256058" y="773205"/>
          <a:ext cx="1609723" cy="504265"/>
        </a:xfrm>
        <a:prstGeom prst="leftArrow">
          <a:avLst>
            <a:gd name="adj1" fmla="val 50000"/>
            <a:gd name="adj2" fmla="val 50000"/>
          </a:avLst>
        </a:prstGeom>
        <a:solidFill>
          <a:srgbClr val="33383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a:solidFill>
                <a:schemeClr val="bg1"/>
              </a:solidFill>
            </a:rPr>
            <a:t>Tóm</a:t>
          </a:r>
          <a:r>
            <a:rPr lang="en-US" sz="1200" b="1" baseline="0">
              <a:solidFill>
                <a:schemeClr val="bg1"/>
              </a:solidFill>
            </a:rPr>
            <a:t> Tắt Quyền Lợi</a:t>
          </a:r>
          <a:endParaRPr lang="en-US" sz="1200" b="1">
            <a:solidFill>
              <a:schemeClr val="bg1"/>
            </a:solidFill>
          </a:endParaRPr>
        </a:p>
      </xdr:txBody>
    </xdr:sp>
    <xdr:clientData/>
  </xdr:twoCellAnchor>
  <xdr:twoCellAnchor>
    <xdr:from>
      <xdr:col>8</xdr:col>
      <xdr:colOff>619124</xdr:colOff>
      <xdr:row>0</xdr:row>
      <xdr:rowOff>9525</xdr:rowOff>
    </xdr:from>
    <xdr:to>
      <xdr:col>9</xdr:col>
      <xdr:colOff>593911</xdr:colOff>
      <xdr:row>1</xdr:row>
      <xdr:rowOff>56029</xdr:rowOff>
    </xdr:to>
    <xdr:sp macro="" textlink="">
      <xdr:nvSpPr>
        <xdr:cNvPr id="4" name="Arrow: Left 3">
          <a:hlinkClick xmlns:r="http://schemas.openxmlformats.org/officeDocument/2006/relationships" r:id="rId2"/>
          <a:extLst>
            <a:ext uri="{FF2B5EF4-FFF2-40B4-BE49-F238E27FC236}">
              <a16:creationId xmlns:a16="http://schemas.microsoft.com/office/drawing/2014/main" id="{00000000-0008-0000-0500-000004000000}"/>
            </a:ext>
          </a:extLst>
        </xdr:cNvPr>
        <xdr:cNvSpPr/>
      </xdr:nvSpPr>
      <xdr:spPr>
        <a:xfrm>
          <a:off x="9068359" y="9525"/>
          <a:ext cx="770405" cy="371475"/>
        </a:xfrm>
        <a:prstGeom prst="leftArrow">
          <a:avLst>
            <a:gd name="adj1" fmla="val 43967"/>
            <a:gd name="adj2" fmla="val 50000"/>
          </a:avLst>
        </a:prstGeom>
        <a:solidFill>
          <a:srgbClr val="D3114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solidFill>
                <a:schemeClr val="bg1"/>
              </a:solidFill>
            </a:rPr>
            <a:t>Back</a:t>
          </a:r>
        </a:p>
      </xdr:txBody>
    </xdr:sp>
    <xdr:clientData/>
  </xdr:twoCellAnchor>
  <xdr:twoCellAnchor>
    <xdr:from>
      <xdr:col>9</xdr:col>
      <xdr:colOff>11207</xdr:colOff>
      <xdr:row>4</xdr:row>
      <xdr:rowOff>145678</xdr:rowOff>
    </xdr:from>
    <xdr:to>
      <xdr:col>9</xdr:col>
      <xdr:colOff>1352551</xdr:colOff>
      <xdr:row>6</xdr:row>
      <xdr:rowOff>112059</xdr:rowOff>
    </xdr:to>
    <xdr:sp macro="" textlink="">
      <xdr:nvSpPr>
        <xdr:cNvPr id="2" name="Arrow: Right 1">
          <a:hlinkClick xmlns:r="http://schemas.openxmlformats.org/officeDocument/2006/relationships" r:id="rId3"/>
          <a:extLst>
            <a:ext uri="{FF2B5EF4-FFF2-40B4-BE49-F238E27FC236}">
              <a16:creationId xmlns:a16="http://schemas.microsoft.com/office/drawing/2014/main" id="{CB17464B-313F-7F8C-EDB9-9B46E4A897C9}"/>
            </a:ext>
          </a:extLst>
        </xdr:cNvPr>
        <xdr:cNvSpPr/>
      </xdr:nvSpPr>
      <xdr:spPr>
        <a:xfrm>
          <a:off x="9107582" y="1145803"/>
          <a:ext cx="1341344" cy="318806"/>
        </a:xfrm>
        <a:prstGeom prst="rightArrow">
          <a:avLst/>
        </a:prstGeom>
        <a:solidFill>
          <a:srgbClr val="0070C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kern="1200">
              <a:solidFill>
                <a:schemeClr val="bg1"/>
              </a:solidFill>
            </a:rPr>
            <a:t>VTL </a:t>
          </a:r>
          <a:r>
            <a:rPr lang="en-US" sz="1100" kern="1200" baseline="0">
              <a:solidFill>
                <a:schemeClr val="bg1"/>
              </a:solidFill>
            </a:rPr>
            <a:t>- BMH cam kết</a:t>
          </a:r>
          <a:endParaRPr lang="en-US" sz="1100" kern="1200">
            <a:solidFill>
              <a:schemeClr val="bg1"/>
            </a:solidFill>
          </a:endParaRPr>
        </a:p>
      </xdr:txBody>
    </xdr:sp>
    <xdr:clientData/>
  </xdr:twoCellAnchor>
  <xdr:twoCellAnchor>
    <xdr:from>
      <xdr:col>9</xdr:col>
      <xdr:colOff>22412</xdr:colOff>
      <xdr:row>6</xdr:row>
      <xdr:rowOff>56030</xdr:rowOff>
    </xdr:from>
    <xdr:to>
      <xdr:col>9</xdr:col>
      <xdr:colOff>1381126</xdr:colOff>
      <xdr:row>8</xdr:row>
      <xdr:rowOff>11206</xdr:rowOff>
    </xdr:to>
    <xdr:sp macro="" textlink="">
      <xdr:nvSpPr>
        <xdr:cNvPr id="5" name="Arrow: Right 4">
          <a:hlinkClick xmlns:r="http://schemas.openxmlformats.org/officeDocument/2006/relationships" r:id="rId4"/>
          <a:extLst>
            <a:ext uri="{FF2B5EF4-FFF2-40B4-BE49-F238E27FC236}">
              <a16:creationId xmlns:a16="http://schemas.microsoft.com/office/drawing/2014/main" id="{BC9B61B2-495B-977A-4321-C05F8FB8BE25}"/>
            </a:ext>
          </a:extLst>
        </xdr:cNvPr>
        <xdr:cNvSpPr/>
      </xdr:nvSpPr>
      <xdr:spPr>
        <a:xfrm>
          <a:off x="9118787" y="1408580"/>
          <a:ext cx="1358714" cy="317126"/>
        </a:xfrm>
        <a:prstGeom prst="rightArrow">
          <a:avLst/>
        </a:prstGeom>
        <a:solidFill>
          <a:srgbClr val="0070C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kern="1200">
              <a:solidFill>
                <a:schemeClr val="bg1"/>
              </a:solidFill>
            </a:rPr>
            <a:t>VTL</a:t>
          </a:r>
          <a:r>
            <a:rPr lang="en-US" sz="1100" kern="1200" baseline="0">
              <a:solidFill>
                <a:schemeClr val="bg1"/>
              </a:solidFill>
            </a:rPr>
            <a:t> - BMH LSMH</a:t>
          </a:r>
          <a:endParaRPr lang="en-US" sz="1100" kern="1200">
            <a:solidFill>
              <a:schemeClr val="bg1"/>
            </a:solidFill>
          </a:endParaRPr>
        </a:p>
      </xdr:txBody>
    </xdr:sp>
    <xdr:clientData/>
  </xdr:twoCellAnchor>
  <xdr:twoCellAnchor>
    <xdr:from>
      <xdr:col>9</xdr:col>
      <xdr:colOff>22413</xdr:colOff>
      <xdr:row>7</xdr:row>
      <xdr:rowOff>134472</xdr:rowOff>
    </xdr:from>
    <xdr:to>
      <xdr:col>9</xdr:col>
      <xdr:colOff>1428750</xdr:colOff>
      <xdr:row>9</xdr:row>
      <xdr:rowOff>89648</xdr:rowOff>
    </xdr:to>
    <xdr:sp macro="" textlink="">
      <xdr:nvSpPr>
        <xdr:cNvPr id="6" name="Arrow: Right 5">
          <a:hlinkClick xmlns:r="http://schemas.openxmlformats.org/officeDocument/2006/relationships" r:id="rId5"/>
          <a:extLst>
            <a:ext uri="{FF2B5EF4-FFF2-40B4-BE49-F238E27FC236}">
              <a16:creationId xmlns:a16="http://schemas.microsoft.com/office/drawing/2014/main" id="{EA9089F1-2C3A-E373-84BD-DE1CE0364D2F}"/>
            </a:ext>
          </a:extLst>
        </xdr:cNvPr>
        <xdr:cNvSpPr/>
      </xdr:nvSpPr>
      <xdr:spPr>
        <a:xfrm>
          <a:off x="9118788" y="1667997"/>
          <a:ext cx="1406337" cy="317126"/>
        </a:xfrm>
        <a:prstGeom prst="rightArrow">
          <a:avLst/>
        </a:prstGeom>
        <a:solidFill>
          <a:srgbClr val="D3114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kern="1200">
              <a:solidFill>
                <a:schemeClr val="bg1"/>
              </a:solidFill>
            </a:rPr>
            <a:t>KBA </a:t>
          </a:r>
          <a:r>
            <a:rPr lang="en-US" sz="1100" kern="1200" baseline="0">
              <a:solidFill>
                <a:schemeClr val="bg1"/>
              </a:solidFill>
            </a:rPr>
            <a:t>- BMH cam kết</a:t>
          </a:r>
          <a:endParaRPr lang="en-US" sz="1100" kern="1200">
            <a:solidFill>
              <a:schemeClr val="bg1"/>
            </a:solidFill>
          </a:endParaRPr>
        </a:p>
      </xdr:txBody>
    </xdr:sp>
    <xdr:clientData/>
  </xdr:twoCellAnchor>
  <xdr:twoCellAnchor>
    <xdr:from>
      <xdr:col>9</xdr:col>
      <xdr:colOff>33620</xdr:colOff>
      <xdr:row>9</xdr:row>
      <xdr:rowOff>22414</xdr:rowOff>
    </xdr:from>
    <xdr:to>
      <xdr:col>9</xdr:col>
      <xdr:colOff>1438276</xdr:colOff>
      <xdr:row>10</xdr:row>
      <xdr:rowOff>156883</xdr:rowOff>
    </xdr:to>
    <xdr:sp macro="" textlink="">
      <xdr:nvSpPr>
        <xdr:cNvPr id="7" name="Arrow: Right 6">
          <a:hlinkClick xmlns:r="http://schemas.openxmlformats.org/officeDocument/2006/relationships" r:id="rId6"/>
          <a:extLst>
            <a:ext uri="{FF2B5EF4-FFF2-40B4-BE49-F238E27FC236}">
              <a16:creationId xmlns:a16="http://schemas.microsoft.com/office/drawing/2014/main" id="{8E1579C0-CE56-D101-4845-3F1C8C6CD54E}"/>
            </a:ext>
          </a:extLst>
        </xdr:cNvPr>
        <xdr:cNvSpPr/>
      </xdr:nvSpPr>
      <xdr:spPr>
        <a:xfrm>
          <a:off x="9129995" y="1917889"/>
          <a:ext cx="1404656" cy="315444"/>
        </a:xfrm>
        <a:prstGeom prst="rightArrow">
          <a:avLst/>
        </a:prstGeom>
        <a:solidFill>
          <a:srgbClr val="D3114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kern="1200">
              <a:solidFill>
                <a:schemeClr val="bg1"/>
              </a:solidFill>
            </a:rPr>
            <a:t>KBA </a:t>
          </a:r>
          <a:r>
            <a:rPr lang="en-US" sz="1100" kern="1200" baseline="0">
              <a:solidFill>
                <a:schemeClr val="bg1"/>
              </a:solidFill>
            </a:rPr>
            <a:t>- BMH LSMH</a:t>
          </a:r>
          <a:endParaRPr lang="en-US" sz="1100" kern="1200">
            <a:solidFill>
              <a:schemeClr val="bg1"/>
            </a:solidFill>
          </a:endParaRPr>
        </a:p>
      </xdr:txBody>
    </xdr:sp>
    <xdr:clientData/>
  </xdr:twoCellAnchor>
  <xdr:twoCellAnchor>
    <xdr:from>
      <xdr:col>9</xdr:col>
      <xdr:colOff>1512794</xdr:colOff>
      <xdr:row>4</xdr:row>
      <xdr:rowOff>123266</xdr:rowOff>
    </xdr:from>
    <xdr:to>
      <xdr:col>9</xdr:col>
      <xdr:colOff>3507441</xdr:colOff>
      <xdr:row>11</xdr:row>
      <xdr:rowOff>11206</xdr:rowOff>
    </xdr:to>
    <xdr:grpSp>
      <xdr:nvGrpSpPr>
        <xdr:cNvPr id="9" name="Group 8">
          <a:extLst>
            <a:ext uri="{FF2B5EF4-FFF2-40B4-BE49-F238E27FC236}">
              <a16:creationId xmlns:a16="http://schemas.microsoft.com/office/drawing/2014/main" id="{4B6BDFA0-3A1B-91D9-4C7E-302AF6839D50}"/>
            </a:ext>
          </a:extLst>
        </xdr:cNvPr>
        <xdr:cNvGrpSpPr/>
      </xdr:nvGrpSpPr>
      <xdr:grpSpPr>
        <a:xfrm>
          <a:off x="11781651" y="1121123"/>
          <a:ext cx="1994647" cy="1157940"/>
          <a:chOff x="11519647" y="1176619"/>
          <a:chExt cx="1994647" cy="1142999"/>
        </a:xfrm>
      </xdr:grpSpPr>
      <xdr:sp macro="" textlink="">
        <xdr:nvSpPr>
          <xdr:cNvPr id="8" name="Arrow: Right 7">
            <a:hlinkClick xmlns:r="http://schemas.openxmlformats.org/officeDocument/2006/relationships" r:id="rId7"/>
            <a:extLst>
              <a:ext uri="{FF2B5EF4-FFF2-40B4-BE49-F238E27FC236}">
                <a16:creationId xmlns:a16="http://schemas.microsoft.com/office/drawing/2014/main" id="{BC22E87F-F1F2-9840-63FF-4E4C71D3C6DD}"/>
              </a:ext>
            </a:extLst>
          </xdr:cNvPr>
          <xdr:cNvSpPr/>
        </xdr:nvSpPr>
        <xdr:spPr>
          <a:xfrm>
            <a:off x="11530853" y="1176619"/>
            <a:ext cx="1961029" cy="313764"/>
          </a:xfrm>
          <a:prstGeom prst="rightArrow">
            <a:avLst/>
          </a:prstGeom>
          <a:solidFill>
            <a:srgbClr val="0070C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kern="1200">
                <a:solidFill>
                  <a:schemeClr val="bg1"/>
                </a:solidFill>
              </a:rPr>
              <a:t>KTV </a:t>
            </a:r>
            <a:r>
              <a:rPr lang="en-US" sz="1100" kern="1200" baseline="0">
                <a:solidFill>
                  <a:schemeClr val="bg1"/>
                </a:solidFill>
              </a:rPr>
              <a:t>- Toàn diện BMH cam kết</a:t>
            </a:r>
            <a:endParaRPr lang="en-US" sz="1100" kern="1200">
              <a:solidFill>
                <a:schemeClr val="bg1"/>
              </a:solidFill>
            </a:endParaRPr>
          </a:p>
        </xdr:txBody>
      </xdr:sp>
      <xdr:sp macro="" textlink="">
        <xdr:nvSpPr>
          <xdr:cNvPr id="11" name="Arrow: Right 10">
            <a:hlinkClick xmlns:r="http://schemas.openxmlformats.org/officeDocument/2006/relationships" r:id="rId8"/>
            <a:extLst>
              <a:ext uri="{FF2B5EF4-FFF2-40B4-BE49-F238E27FC236}">
                <a16:creationId xmlns:a16="http://schemas.microsoft.com/office/drawing/2014/main" id="{3E888EEC-AA3C-72C3-9E94-2338FFA1D450}"/>
              </a:ext>
            </a:extLst>
          </xdr:cNvPr>
          <xdr:cNvSpPr/>
        </xdr:nvSpPr>
        <xdr:spPr>
          <a:xfrm>
            <a:off x="11530853" y="1434354"/>
            <a:ext cx="1972235" cy="313764"/>
          </a:xfrm>
          <a:prstGeom prst="rightArrow">
            <a:avLst/>
          </a:prstGeom>
          <a:solidFill>
            <a:srgbClr val="0070C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kern="1200">
                <a:solidFill>
                  <a:schemeClr val="bg1"/>
                </a:solidFill>
              </a:rPr>
              <a:t>KTV </a:t>
            </a:r>
            <a:r>
              <a:rPr lang="en-US" sz="1100" kern="1200" baseline="0">
                <a:solidFill>
                  <a:schemeClr val="bg1"/>
                </a:solidFill>
              </a:rPr>
              <a:t>- Toàn diện BMH LSMH</a:t>
            </a:r>
            <a:endParaRPr lang="en-US" sz="1100" kern="1200">
              <a:solidFill>
                <a:schemeClr val="bg1"/>
              </a:solidFill>
            </a:endParaRPr>
          </a:p>
        </xdr:txBody>
      </xdr:sp>
      <xdr:sp macro="" textlink="">
        <xdr:nvSpPr>
          <xdr:cNvPr id="12" name="Arrow: Right 11">
            <a:hlinkClick xmlns:r="http://schemas.openxmlformats.org/officeDocument/2006/relationships" r:id="rId9"/>
            <a:extLst>
              <a:ext uri="{FF2B5EF4-FFF2-40B4-BE49-F238E27FC236}">
                <a16:creationId xmlns:a16="http://schemas.microsoft.com/office/drawing/2014/main" id="{78447DD8-590B-2C38-D8C1-76ED75189D4D}"/>
              </a:ext>
            </a:extLst>
          </xdr:cNvPr>
          <xdr:cNvSpPr/>
        </xdr:nvSpPr>
        <xdr:spPr>
          <a:xfrm>
            <a:off x="11530853" y="1725707"/>
            <a:ext cx="1972235" cy="313764"/>
          </a:xfrm>
          <a:prstGeom prst="rightArrow">
            <a:avLst/>
          </a:prstGeom>
          <a:solidFill>
            <a:srgbClr val="33383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kern="1200">
                <a:solidFill>
                  <a:schemeClr val="bg1"/>
                </a:solidFill>
              </a:rPr>
              <a:t>KTV </a:t>
            </a:r>
            <a:r>
              <a:rPr lang="en-US" sz="1100" kern="1200" baseline="0">
                <a:solidFill>
                  <a:schemeClr val="bg1"/>
                </a:solidFill>
              </a:rPr>
              <a:t>- Bền vững BMH cam kết</a:t>
            </a:r>
            <a:endParaRPr lang="en-US" sz="1100" kern="1200">
              <a:solidFill>
                <a:schemeClr val="bg1"/>
              </a:solidFill>
            </a:endParaRPr>
          </a:p>
        </xdr:txBody>
      </xdr:sp>
      <xdr:sp macro="" textlink="">
        <xdr:nvSpPr>
          <xdr:cNvPr id="13" name="Arrow: Right 12">
            <a:hlinkClick xmlns:r="http://schemas.openxmlformats.org/officeDocument/2006/relationships" r:id="rId10"/>
            <a:extLst>
              <a:ext uri="{FF2B5EF4-FFF2-40B4-BE49-F238E27FC236}">
                <a16:creationId xmlns:a16="http://schemas.microsoft.com/office/drawing/2014/main" id="{73AFA9FB-2D46-4401-51A5-6D89435BEE03}"/>
              </a:ext>
            </a:extLst>
          </xdr:cNvPr>
          <xdr:cNvSpPr/>
        </xdr:nvSpPr>
        <xdr:spPr>
          <a:xfrm>
            <a:off x="11519647" y="2005854"/>
            <a:ext cx="1994647" cy="313764"/>
          </a:xfrm>
          <a:prstGeom prst="rightArrow">
            <a:avLst/>
          </a:prstGeom>
          <a:solidFill>
            <a:srgbClr val="33383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kern="1200">
                <a:solidFill>
                  <a:schemeClr val="bg1"/>
                </a:solidFill>
              </a:rPr>
              <a:t>KTV </a:t>
            </a:r>
            <a:r>
              <a:rPr lang="en-US" sz="1100" kern="1200" baseline="0">
                <a:solidFill>
                  <a:schemeClr val="bg1"/>
                </a:solidFill>
              </a:rPr>
              <a:t>- Bền vững BMH LSMH</a:t>
            </a:r>
            <a:endParaRPr lang="en-US" sz="1100" kern="1200">
              <a:solidFill>
                <a:schemeClr val="bg1"/>
              </a:solidFill>
            </a:endParaRPr>
          </a:p>
        </xdr:txBody>
      </xdr:sp>
    </xdr:grpSp>
    <xdr:clientData/>
  </xdr:twoCellAnchor>
  <xdr:twoCellAnchor>
    <xdr:from>
      <xdr:col>9</xdr:col>
      <xdr:colOff>3563472</xdr:colOff>
      <xdr:row>4</xdr:row>
      <xdr:rowOff>134472</xdr:rowOff>
    </xdr:from>
    <xdr:to>
      <xdr:col>9</xdr:col>
      <xdr:colOff>5468472</xdr:colOff>
      <xdr:row>6</xdr:row>
      <xdr:rowOff>100853</xdr:rowOff>
    </xdr:to>
    <xdr:sp macro="" textlink="">
      <xdr:nvSpPr>
        <xdr:cNvPr id="10" name="Arrow: Right 9">
          <a:hlinkClick xmlns:r="http://schemas.openxmlformats.org/officeDocument/2006/relationships" r:id="rId11"/>
          <a:extLst>
            <a:ext uri="{FF2B5EF4-FFF2-40B4-BE49-F238E27FC236}">
              <a16:creationId xmlns:a16="http://schemas.microsoft.com/office/drawing/2014/main" id="{F4240AAB-2377-AF46-8205-69D3F04D9F4B}"/>
            </a:ext>
          </a:extLst>
        </xdr:cNvPr>
        <xdr:cNvSpPr/>
      </xdr:nvSpPr>
      <xdr:spPr>
        <a:xfrm>
          <a:off x="12808325" y="1143001"/>
          <a:ext cx="1905000" cy="313764"/>
        </a:xfrm>
        <a:prstGeom prst="rightArrow">
          <a:avLst/>
        </a:prstGeom>
        <a:solidFill>
          <a:srgbClr val="D3114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kern="1200">
              <a:solidFill>
                <a:schemeClr val="bg1"/>
              </a:solidFill>
            </a:rPr>
            <a:t>KTV </a:t>
          </a:r>
          <a:r>
            <a:rPr lang="en-US" sz="1100" kern="1200" baseline="0">
              <a:solidFill>
                <a:schemeClr val="bg1"/>
              </a:solidFill>
            </a:rPr>
            <a:t>- Trọn đời  BMH cam kết</a:t>
          </a:r>
          <a:endParaRPr lang="en-US" sz="1100" kern="1200">
            <a:solidFill>
              <a:schemeClr val="bg1"/>
            </a:solidFill>
          </a:endParaRPr>
        </a:p>
      </xdr:txBody>
    </xdr:sp>
    <xdr:clientData/>
  </xdr:twoCellAnchor>
  <xdr:twoCellAnchor>
    <xdr:from>
      <xdr:col>9</xdr:col>
      <xdr:colOff>3563472</xdr:colOff>
      <xdr:row>6</xdr:row>
      <xdr:rowOff>100854</xdr:rowOff>
    </xdr:from>
    <xdr:to>
      <xdr:col>9</xdr:col>
      <xdr:colOff>5468472</xdr:colOff>
      <xdr:row>8</xdr:row>
      <xdr:rowOff>56030</xdr:rowOff>
    </xdr:to>
    <xdr:sp macro="" textlink="">
      <xdr:nvSpPr>
        <xdr:cNvPr id="14" name="Arrow: Right 13">
          <a:hlinkClick xmlns:r="http://schemas.openxmlformats.org/officeDocument/2006/relationships" r:id="rId12"/>
          <a:extLst>
            <a:ext uri="{FF2B5EF4-FFF2-40B4-BE49-F238E27FC236}">
              <a16:creationId xmlns:a16="http://schemas.microsoft.com/office/drawing/2014/main" id="{B4BD0AF9-EE43-D802-A677-4F847016D0AF}"/>
            </a:ext>
          </a:extLst>
        </xdr:cNvPr>
        <xdr:cNvSpPr/>
      </xdr:nvSpPr>
      <xdr:spPr>
        <a:xfrm>
          <a:off x="12808325" y="1456766"/>
          <a:ext cx="1905000" cy="313764"/>
        </a:xfrm>
        <a:prstGeom prst="rightArrow">
          <a:avLst/>
        </a:prstGeom>
        <a:solidFill>
          <a:srgbClr val="D3114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kern="1200">
              <a:solidFill>
                <a:schemeClr val="bg1"/>
              </a:solidFill>
            </a:rPr>
            <a:t>KTV </a:t>
          </a:r>
          <a:r>
            <a:rPr lang="en-US" sz="1100" kern="1200" baseline="0">
              <a:solidFill>
                <a:schemeClr val="bg1"/>
              </a:solidFill>
            </a:rPr>
            <a:t>- Trọn đời  BMH LSMH</a:t>
          </a:r>
        </a:p>
      </xdr:txBody>
    </xdr:sp>
    <xdr:clientData/>
  </xdr:twoCellAnchor>
  <xdr:twoCellAnchor>
    <xdr:from>
      <xdr:col>9</xdr:col>
      <xdr:colOff>3563471</xdr:colOff>
      <xdr:row>7</xdr:row>
      <xdr:rowOff>168090</xdr:rowOff>
    </xdr:from>
    <xdr:to>
      <xdr:col>9</xdr:col>
      <xdr:colOff>5468471</xdr:colOff>
      <xdr:row>9</xdr:row>
      <xdr:rowOff>123266</xdr:rowOff>
    </xdr:to>
    <xdr:sp macro="" textlink="">
      <xdr:nvSpPr>
        <xdr:cNvPr id="15" name="Arrow: Right 14">
          <a:hlinkClick xmlns:r="http://schemas.openxmlformats.org/officeDocument/2006/relationships" r:id="rId13"/>
          <a:extLst>
            <a:ext uri="{FF2B5EF4-FFF2-40B4-BE49-F238E27FC236}">
              <a16:creationId xmlns:a16="http://schemas.microsoft.com/office/drawing/2014/main" id="{A1B8BA8C-EA42-BF63-381A-8EA2D475EF5A}"/>
            </a:ext>
          </a:extLst>
        </xdr:cNvPr>
        <xdr:cNvSpPr/>
      </xdr:nvSpPr>
      <xdr:spPr>
        <a:xfrm>
          <a:off x="12808324" y="1703296"/>
          <a:ext cx="1905000" cy="313764"/>
        </a:xfrm>
        <a:prstGeom prst="rightArrow">
          <a:avLst/>
        </a:prstGeom>
        <a:solidFill>
          <a:srgbClr val="0070C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kern="1200">
              <a:solidFill>
                <a:schemeClr val="bg1"/>
              </a:solidFill>
            </a:rPr>
            <a:t>KTV - Tối</a:t>
          </a:r>
          <a:r>
            <a:rPr lang="en-US" sz="1100" kern="1200" baseline="0">
              <a:solidFill>
                <a:schemeClr val="bg1"/>
              </a:solidFill>
            </a:rPr>
            <a:t> ưu BMH cam kết</a:t>
          </a:r>
          <a:endParaRPr lang="en-US" sz="1100" kern="1200">
            <a:solidFill>
              <a:schemeClr val="bg1"/>
            </a:solidFill>
          </a:endParaRPr>
        </a:p>
      </xdr:txBody>
    </xdr:sp>
    <xdr:clientData/>
  </xdr:twoCellAnchor>
  <xdr:twoCellAnchor>
    <xdr:from>
      <xdr:col>9</xdr:col>
      <xdr:colOff>3574675</xdr:colOff>
      <xdr:row>9</xdr:row>
      <xdr:rowOff>67237</xdr:rowOff>
    </xdr:from>
    <xdr:to>
      <xdr:col>9</xdr:col>
      <xdr:colOff>5446058</xdr:colOff>
      <xdr:row>11</xdr:row>
      <xdr:rowOff>11207</xdr:rowOff>
    </xdr:to>
    <xdr:sp macro="" textlink="">
      <xdr:nvSpPr>
        <xdr:cNvPr id="16" name="Arrow: Right 15">
          <a:hlinkClick xmlns:r="http://schemas.openxmlformats.org/officeDocument/2006/relationships" r:id="rId14"/>
          <a:extLst>
            <a:ext uri="{FF2B5EF4-FFF2-40B4-BE49-F238E27FC236}">
              <a16:creationId xmlns:a16="http://schemas.microsoft.com/office/drawing/2014/main" id="{464310DB-F9BE-A47E-BF14-54168FE78B90}"/>
            </a:ext>
          </a:extLst>
        </xdr:cNvPr>
        <xdr:cNvSpPr/>
      </xdr:nvSpPr>
      <xdr:spPr>
        <a:xfrm>
          <a:off x="12819528" y="1961031"/>
          <a:ext cx="1871383" cy="313764"/>
        </a:xfrm>
        <a:prstGeom prst="rightArrow">
          <a:avLst/>
        </a:prstGeom>
        <a:solidFill>
          <a:srgbClr val="0070C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kern="1200">
              <a:solidFill>
                <a:schemeClr val="bg1"/>
              </a:solidFill>
            </a:rPr>
            <a:t>KTV - Tối</a:t>
          </a:r>
          <a:r>
            <a:rPr lang="en-US" sz="1100" kern="1200" baseline="0">
              <a:solidFill>
                <a:schemeClr val="bg1"/>
              </a:solidFill>
            </a:rPr>
            <a:t> ưu BMH LSMH</a:t>
          </a:r>
          <a:endParaRPr lang="en-US" sz="1100" kern="1200">
            <a:solidFill>
              <a:schemeClr val="bg1"/>
            </a:solidFill>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15</xdr:col>
      <xdr:colOff>314325</xdr:colOff>
      <xdr:row>3</xdr:row>
      <xdr:rowOff>85725</xdr:rowOff>
    </xdr:from>
    <xdr:to>
      <xdr:col>16</xdr:col>
      <xdr:colOff>361950</xdr:colOff>
      <xdr:row>3</xdr:row>
      <xdr:rowOff>85725</xdr:rowOff>
    </xdr:to>
    <xdr:cxnSp macro="">
      <xdr:nvCxnSpPr>
        <xdr:cNvPr id="2" name="Straight Connector 1">
          <a:extLst>
            <a:ext uri="{FF2B5EF4-FFF2-40B4-BE49-F238E27FC236}">
              <a16:creationId xmlns:a16="http://schemas.microsoft.com/office/drawing/2014/main" id="{90DEF799-F2FA-43C6-8922-C30F726AE10A}"/>
            </a:ext>
          </a:extLst>
        </xdr:cNvPr>
        <xdr:cNvCxnSpPr/>
      </xdr:nvCxnSpPr>
      <xdr:spPr>
        <a:xfrm>
          <a:off x="8963025" y="923925"/>
          <a:ext cx="581025" cy="0"/>
        </a:xfrm>
        <a:prstGeom prst="line">
          <a:avLst/>
        </a:prstGeom>
        <a:ln w="285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314325</xdr:colOff>
      <xdr:row>5</xdr:row>
      <xdr:rowOff>57150</xdr:rowOff>
    </xdr:from>
    <xdr:to>
      <xdr:col>16</xdr:col>
      <xdr:colOff>361950</xdr:colOff>
      <xdr:row>5</xdr:row>
      <xdr:rowOff>57150</xdr:rowOff>
    </xdr:to>
    <xdr:cxnSp macro="">
      <xdr:nvCxnSpPr>
        <xdr:cNvPr id="3" name="Straight Connector 2">
          <a:extLst>
            <a:ext uri="{FF2B5EF4-FFF2-40B4-BE49-F238E27FC236}">
              <a16:creationId xmlns:a16="http://schemas.microsoft.com/office/drawing/2014/main" id="{539C996B-8AFC-42E3-AF9E-CA694B4CB042}"/>
            </a:ext>
          </a:extLst>
        </xdr:cNvPr>
        <xdr:cNvCxnSpPr/>
      </xdr:nvCxnSpPr>
      <xdr:spPr>
        <a:xfrm>
          <a:off x="8963025" y="1219200"/>
          <a:ext cx="581025" cy="0"/>
        </a:xfrm>
        <a:prstGeom prst="line">
          <a:avLst/>
        </a:prstGeom>
        <a:ln w="28575">
          <a:solidFill>
            <a:srgbClr val="D31145"/>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180974</xdr:colOff>
      <xdr:row>0</xdr:row>
      <xdr:rowOff>57151</xdr:rowOff>
    </xdr:from>
    <xdr:to>
      <xdr:col>18</xdr:col>
      <xdr:colOff>247649</xdr:colOff>
      <xdr:row>0</xdr:row>
      <xdr:rowOff>361950</xdr:rowOff>
    </xdr:to>
    <xdr:sp macro="" textlink="">
      <xdr:nvSpPr>
        <xdr:cNvPr id="4" name="Arrow: Left 3">
          <a:hlinkClick xmlns:r="http://schemas.openxmlformats.org/officeDocument/2006/relationships" r:id="rId1"/>
          <a:extLst>
            <a:ext uri="{FF2B5EF4-FFF2-40B4-BE49-F238E27FC236}">
              <a16:creationId xmlns:a16="http://schemas.microsoft.com/office/drawing/2014/main" id="{64ADAE17-3A4C-4128-88AD-00BB53980B6B}"/>
            </a:ext>
          </a:extLst>
        </xdr:cNvPr>
        <xdr:cNvSpPr/>
      </xdr:nvSpPr>
      <xdr:spPr>
        <a:xfrm>
          <a:off x="9896474" y="57151"/>
          <a:ext cx="600075" cy="304799"/>
        </a:xfrm>
        <a:prstGeom prst="leftArrow">
          <a:avLst>
            <a:gd name="adj1" fmla="val 50000"/>
            <a:gd name="adj2" fmla="val 50000"/>
          </a:avLst>
        </a:prstGeom>
        <a:solidFill>
          <a:srgbClr val="EC645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b="1">
              <a:solidFill>
                <a:schemeClr val="bg1"/>
              </a:solidFill>
            </a:rPr>
            <a:t>Back</a:t>
          </a:r>
        </a:p>
      </xdr:txBody>
    </xdr:sp>
    <xdr:clientData/>
  </xdr:twoCellAnchor>
  <xdr:twoCellAnchor>
    <xdr:from>
      <xdr:col>15</xdr:col>
      <xdr:colOff>314325</xdr:colOff>
      <xdr:row>4</xdr:row>
      <xdr:rowOff>76200</xdr:rowOff>
    </xdr:from>
    <xdr:to>
      <xdr:col>16</xdr:col>
      <xdr:colOff>361950</xdr:colOff>
      <xdr:row>4</xdr:row>
      <xdr:rowOff>76200</xdr:rowOff>
    </xdr:to>
    <xdr:cxnSp macro="">
      <xdr:nvCxnSpPr>
        <xdr:cNvPr id="5" name="Straight Connector 4">
          <a:extLst>
            <a:ext uri="{FF2B5EF4-FFF2-40B4-BE49-F238E27FC236}">
              <a16:creationId xmlns:a16="http://schemas.microsoft.com/office/drawing/2014/main" id="{73903A34-30DF-4636-B154-B118F6C09416}"/>
            </a:ext>
          </a:extLst>
        </xdr:cNvPr>
        <xdr:cNvCxnSpPr/>
      </xdr:nvCxnSpPr>
      <xdr:spPr>
        <a:xfrm>
          <a:off x="8963025" y="1076325"/>
          <a:ext cx="581025" cy="0"/>
        </a:xfrm>
        <a:prstGeom prst="line">
          <a:avLst/>
        </a:prstGeom>
        <a:ln w="28575">
          <a:solidFill>
            <a:srgbClr val="0000C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157161</xdr:colOff>
      <xdr:row>1</xdr:row>
      <xdr:rowOff>95251</xdr:rowOff>
    </xdr:from>
    <xdr:to>
      <xdr:col>15</xdr:col>
      <xdr:colOff>247650</xdr:colOff>
      <xdr:row>21</xdr:row>
      <xdr:rowOff>104776</xdr:rowOff>
    </xdr:to>
    <xdr:graphicFrame macro="">
      <xdr:nvGraphicFramePr>
        <xdr:cNvPr id="6" name="Chart 5">
          <a:extLst>
            <a:ext uri="{FF2B5EF4-FFF2-40B4-BE49-F238E27FC236}">
              <a16:creationId xmlns:a16="http://schemas.microsoft.com/office/drawing/2014/main" id="{593A1E6D-C268-422A-A280-BE8A2265E5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7</xdr:col>
      <xdr:colOff>123824</xdr:colOff>
      <xdr:row>0</xdr:row>
      <xdr:rowOff>66675</xdr:rowOff>
    </xdr:from>
    <xdr:to>
      <xdr:col>8</xdr:col>
      <xdr:colOff>190499</xdr:colOff>
      <xdr:row>1</xdr:row>
      <xdr:rowOff>238124</xdr:rowOff>
    </xdr:to>
    <xdr:sp macro="" textlink="">
      <xdr:nvSpPr>
        <xdr:cNvPr id="2" name="Arrow: Left 1">
          <a:hlinkClick xmlns:r="http://schemas.openxmlformats.org/officeDocument/2006/relationships" r:id="rId1"/>
          <a:extLst>
            <a:ext uri="{FF2B5EF4-FFF2-40B4-BE49-F238E27FC236}">
              <a16:creationId xmlns:a16="http://schemas.microsoft.com/office/drawing/2014/main" id="{00000000-0008-0000-0600-000002000000}"/>
            </a:ext>
          </a:extLst>
        </xdr:cNvPr>
        <xdr:cNvSpPr/>
      </xdr:nvSpPr>
      <xdr:spPr>
        <a:xfrm>
          <a:off x="10334624" y="66675"/>
          <a:ext cx="600075" cy="333374"/>
        </a:xfrm>
        <a:prstGeom prst="leftArrow">
          <a:avLst>
            <a:gd name="adj1" fmla="val 50000"/>
            <a:gd name="adj2" fmla="val 50000"/>
          </a:avLst>
        </a:prstGeom>
        <a:solidFill>
          <a:schemeClr val="accent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00">
              <a:solidFill>
                <a:schemeClr val="bg1"/>
              </a:solidFill>
            </a:rPr>
            <a:t>Back</a:t>
          </a:r>
        </a:p>
      </xdr:txBody>
    </xdr:sp>
    <xdr:clientData/>
  </xdr:twoCellAnchor>
  <xdr:twoCellAnchor>
    <xdr:from>
      <xdr:col>7</xdr:col>
      <xdr:colOff>105229</xdr:colOff>
      <xdr:row>2</xdr:row>
      <xdr:rowOff>39460</xdr:rowOff>
    </xdr:from>
    <xdr:to>
      <xdr:col>12</xdr:col>
      <xdr:colOff>508001</xdr:colOff>
      <xdr:row>4</xdr:row>
      <xdr:rowOff>149471</xdr:rowOff>
    </xdr:to>
    <xdr:sp macro="" textlink="">
      <xdr:nvSpPr>
        <xdr:cNvPr id="4" name="Arrow: Right 3">
          <a:hlinkClick xmlns:r="http://schemas.openxmlformats.org/officeDocument/2006/relationships" r:id="rId2"/>
          <a:extLst>
            <a:ext uri="{FF2B5EF4-FFF2-40B4-BE49-F238E27FC236}">
              <a16:creationId xmlns:a16="http://schemas.microsoft.com/office/drawing/2014/main" id="{F5C2B041-F325-E8EE-0D78-617D4BE06C27}"/>
            </a:ext>
          </a:extLst>
        </xdr:cNvPr>
        <xdr:cNvSpPr/>
      </xdr:nvSpPr>
      <xdr:spPr>
        <a:xfrm>
          <a:off x="9929586" y="384174"/>
          <a:ext cx="3350986" cy="454726"/>
        </a:xfrm>
        <a:prstGeom prst="rightArrow">
          <a:avLst/>
        </a:prstGeom>
        <a:solidFill>
          <a:srgbClr val="D31145"/>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1" kern="1200"/>
            <a:t>Bảng</a:t>
          </a:r>
          <a:r>
            <a:rPr lang="en-US" sz="1200" b="1" kern="1200" baseline="0"/>
            <a:t> phí 20 năm Vững Tương Lai/ Khỏe Bình An</a:t>
          </a:r>
          <a:endParaRPr lang="en-US" sz="1200" b="1" kern="1200"/>
        </a:p>
      </xdr:txBody>
    </xdr:sp>
    <xdr:clientData/>
  </xdr:twoCellAnchor>
  <xdr:twoCellAnchor>
    <xdr:from>
      <xdr:col>7</xdr:col>
      <xdr:colOff>96158</xdr:colOff>
      <xdr:row>8</xdr:row>
      <xdr:rowOff>0</xdr:rowOff>
    </xdr:from>
    <xdr:to>
      <xdr:col>12</xdr:col>
      <xdr:colOff>169587</xdr:colOff>
      <xdr:row>9</xdr:row>
      <xdr:rowOff>227939</xdr:rowOff>
    </xdr:to>
    <xdr:sp macro="" textlink="">
      <xdr:nvSpPr>
        <xdr:cNvPr id="5" name="Arrow: Right 4">
          <a:hlinkClick xmlns:r="http://schemas.openxmlformats.org/officeDocument/2006/relationships" r:id="rId3"/>
          <a:extLst>
            <a:ext uri="{FF2B5EF4-FFF2-40B4-BE49-F238E27FC236}">
              <a16:creationId xmlns:a16="http://schemas.microsoft.com/office/drawing/2014/main" id="{B58BC09A-7569-FE96-EC2E-2EE88B21810A}"/>
            </a:ext>
          </a:extLst>
        </xdr:cNvPr>
        <xdr:cNvSpPr/>
      </xdr:nvSpPr>
      <xdr:spPr>
        <a:xfrm>
          <a:off x="9920515" y="1469571"/>
          <a:ext cx="3021643" cy="463797"/>
        </a:xfrm>
        <a:prstGeom prst="rightArrow">
          <a:avLst/>
        </a:prstGeom>
        <a:solidFill>
          <a:srgbClr val="0070C0"/>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1" kern="1200"/>
            <a:t>Bảng</a:t>
          </a:r>
          <a:r>
            <a:rPr lang="en-US" sz="1200" b="1" kern="1200" baseline="0"/>
            <a:t> các loại phí Vững Tương Lai</a:t>
          </a:r>
          <a:endParaRPr lang="en-US" sz="1200" b="1" kern="1200"/>
        </a:p>
      </xdr:txBody>
    </xdr:sp>
    <xdr:clientData/>
  </xdr:twoCellAnchor>
  <xdr:twoCellAnchor>
    <xdr:from>
      <xdr:col>7</xdr:col>
      <xdr:colOff>105684</xdr:colOff>
      <xdr:row>9</xdr:row>
      <xdr:rowOff>115205</xdr:rowOff>
    </xdr:from>
    <xdr:to>
      <xdr:col>12</xdr:col>
      <xdr:colOff>179113</xdr:colOff>
      <xdr:row>11</xdr:row>
      <xdr:rowOff>18224</xdr:rowOff>
    </xdr:to>
    <xdr:sp macro="" textlink="">
      <xdr:nvSpPr>
        <xdr:cNvPr id="6" name="Arrow: Right 5">
          <a:hlinkClick xmlns:r="http://schemas.openxmlformats.org/officeDocument/2006/relationships" r:id="rId4"/>
          <a:extLst>
            <a:ext uri="{FF2B5EF4-FFF2-40B4-BE49-F238E27FC236}">
              <a16:creationId xmlns:a16="http://schemas.microsoft.com/office/drawing/2014/main" id="{0DB7EDC3-608F-1A2E-6BA0-8FBDC26C584B}"/>
            </a:ext>
          </a:extLst>
        </xdr:cNvPr>
        <xdr:cNvSpPr/>
      </xdr:nvSpPr>
      <xdr:spPr>
        <a:xfrm>
          <a:off x="9930041" y="1820634"/>
          <a:ext cx="3021643" cy="465447"/>
        </a:xfrm>
        <a:prstGeom prst="rightArrow">
          <a:avLst/>
        </a:prstGeom>
        <a:solidFill>
          <a:srgbClr val="D31145"/>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1" kern="1200"/>
            <a:t>Bảng</a:t>
          </a:r>
          <a:r>
            <a:rPr lang="en-US" sz="1200" b="1" kern="1200" baseline="0"/>
            <a:t> các loại phí Khỏe Bình An</a:t>
          </a:r>
        </a:p>
      </xdr:txBody>
    </xdr:sp>
    <xdr:clientData/>
  </xdr:twoCellAnchor>
  <xdr:twoCellAnchor>
    <xdr:from>
      <xdr:col>7</xdr:col>
      <xdr:colOff>96156</xdr:colOff>
      <xdr:row>4</xdr:row>
      <xdr:rowOff>59417</xdr:rowOff>
    </xdr:from>
    <xdr:to>
      <xdr:col>13</xdr:col>
      <xdr:colOff>163286</xdr:colOff>
      <xdr:row>6</xdr:row>
      <xdr:rowOff>167779</xdr:rowOff>
    </xdr:to>
    <xdr:sp macro="" textlink="">
      <xdr:nvSpPr>
        <xdr:cNvPr id="7" name="Arrow: Right 6">
          <a:hlinkClick xmlns:r="http://schemas.openxmlformats.org/officeDocument/2006/relationships" r:id="rId5"/>
          <a:extLst>
            <a:ext uri="{FF2B5EF4-FFF2-40B4-BE49-F238E27FC236}">
              <a16:creationId xmlns:a16="http://schemas.microsoft.com/office/drawing/2014/main" id="{27334168-78E1-FC37-8D71-11E234AD4055}"/>
            </a:ext>
          </a:extLst>
        </xdr:cNvPr>
        <xdr:cNvSpPr/>
      </xdr:nvSpPr>
      <xdr:spPr>
        <a:xfrm>
          <a:off x="9920513" y="748846"/>
          <a:ext cx="3604987" cy="453076"/>
        </a:xfrm>
        <a:prstGeom prst="rightArrow">
          <a:avLst/>
        </a:prstGeom>
        <a:solidFill>
          <a:srgbClr val="33383E"/>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1" kern="1200"/>
            <a:t>Bảng</a:t>
          </a:r>
          <a:r>
            <a:rPr lang="en-US" sz="1200" b="1" kern="1200" baseline="0"/>
            <a:t> phí 20 năm Khỏe Trọn Vẹn Toàn diện/ Trọn đời</a:t>
          </a:r>
          <a:endParaRPr lang="en-US" sz="1200" b="1" kern="1200"/>
        </a:p>
      </xdr:txBody>
    </xdr:sp>
    <xdr:clientData/>
  </xdr:twoCellAnchor>
  <xdr:twoCellAnchor>
    <xdr:from>
      <xdr:col>7</xdr:col>
      <xdr:colOff>96158</xdr:colOff>
      <xdr:row>6</xdr:row>
      <xdr:rowOff>77560</xdr:rowOff>
    </xdr:from>
    <xdr:to>
      <xdr:col>12</xdr:col>
      <xdr:colOff>169587</xdr:colOff>
      <xdr:row>8</xdr:row>
      <xdr:rowOff>98508</xdr:rowOff>
    </xdr:to>
    <xdr:sp macro="" textlink="">
      <xdr:nvSpPr>
        <xdr:cNvPr id="8" name="Arrow: Right 7">
          <a:hlinkClick xmlns:r="http://schemas.openxmlformats.org/officeDocument/2006/relationships" r:id="rId6"/>
          <a:extLst>
            <a:ext uri="{FF2B5EF4-FFF2-40B4-BE49-F238E27FC236}">
              <a16:creationId xmlns:a16="http://schemas.microsoft.com/office/drawing/2014/main" id="{9BC6E57B-E6FE-9D9D-1ECC-B8930BD0BCB5}"/>
            </a:ext>
          </a:extLst>
        </xdr:cNvPr>
        <xdr:cNvSpPr/>
      </xdr:nvSpPr>
      <xdr:spPr>
        <a:xfrm>
          <a:off x="9920515" y="1111703"/>
          <a:ext cx="3021643" cy="456376"/>
        </a:xfrm>
        <a:prstGeom prst="rightArrow">
          <a:avLst/>
        </a:prstGeom>
        <a:solidFill>
          <a:srgbClr val="33383E"/>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1" kern="1200"/>
            <a:t>Bảng</a:t>
          </a:r>
          <a:r>
            <a:rPr lang="en-US" sz="1200" b="1" kern="1200" baseline="0"/>
            <a:t> phí 20 năm Khỏe Trọn Vẹn Bền Vững</a:t>
          </a:r>
          <a:endParaRPr lang="en-US" sz="1200" b="1" kern="1200"/>
        </a:p>
      </xdr:txBody>
    </xdr:sp>
    <xdr:clientData/>
  </xdr:twoCellAnchor>
  <xdr:twoCellAnchor>
    <xdr:from>
      <xdr:col>7</xdr:col>
      <xdr:colOff>104775</xdr:colOff>
      <xdr:row>10</xdr:row>
      <xdr:rowOff>196396</xdr:rowOff>
    </xdr:from>
    <xdr:to>
      <xdr:col>12</xdr:col>
      <xdr:colOff>178204</xdr:colOff>
      <xdr:row>12</xdr:row>
      <xdr:rowOff>153843</xdr:rowOff>
    </xdr:to>
    <xdr:sp macro="" textlink="">
      <xdr:nvSpPr>
        <xdr:cNvPr id="9" name="Arrow: Right 8">
          <a:hlinkClick xmlns:r="http://schemas.openxmlformats.org/officeDocument/2006/relationships" r:id="rId7"/>
          <a:extLst>
            <a:ext uri="{FF2B5EF4-FFF2-40B4-BE49-F238E27FC236}">
              <a16:creationId xmlns:a16="http://schemas.microsoft.com/office/drawing/2014/main" id="{70D7B4F5-1CF2-EE01-66AA-97BC49D453C9}"/>
            </a:ext>
          </a:extLst>
        </xdr:cNvPr>
        <xdr:cNvSpPr/>
      </xdr:nvSpPr>
      <xdr:spPr>
        <a:xfrm>
          <a:off x="9929132" y="2210253"/>
          <a:ext cx="3021643" cy="465447"/>
        </a:xfrm>
        <a:prstGeom prst="rightArrow">
          <a:avLst/>
        </a:prstGeom>
        <a:solidFill>
          <a:srgbClr val="33383E"/>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1" kern="1200"/>
            <a:t>Bảng</a:t>
          </a:r>
          <a:r>
            <a:rPr lang="en-US" sz="1200" b="1" kern="1200" baseline="0"/>
            <a:t> các loại phí Khỏe Trọn Vẹn Toàn diện</a:t>
          </a:r>
        </a:p>
      </xdr:txBody>
    </xdr:sp>
    <xdr:clientData/>
  </xdr:twoCellAnchor>
  <xdr:twoCellAnchor>
    <xdr:from>
      <xdr:col>7</xdr:col>
      <xdr:colOff>105228</xdr:colOff>
      <xdr:row>12</xdr:row>
      <xdr:rowOff>87993</xdr:rowOff>
    </xdr:from>
    <xdr:to>
      <xdr:col>12</xdr:col>
      <xdr:colOff>178657</xdr:colOff>
      <xdr:row>12</xdr:row>
      <xdr:rowOff>550141</xdr:rowOff>
    </xdr:to>
    <xdr:sp macro="" textlink="">
      <xdr:nvSpPr>
        <xdr:cNvPr id="10" name="Arrow: Right 9">
          <a:hlinkClick xmlns:r="http://schemas.openxmlformats.org/officeDocument/2006/relationships" r:id="rId8"/>
          <a:extLst>
            <a:ext uri="{FF2B5EF4-FFF2-40B4-BE49-F238E27FC236}">
              <a16:creationId xmlns:a16="http://schemas.microsoft.com/office/drawing/2014/main" id="{A087C4F8-9444-5E9A-C41A-1E97ED97C05F}"/>
            </a:ext>
          </a:extLst>
        </xdr:cNvPr>
        <xdr:cNvSpPr/>
      </xdr:nvSpPr>
      <xdr:spPr>
        <a:xfrm>
          <a:off x="9929585" y="2609850"/>
          <a:ext cx="3021643" cy="462148"/>
        </a:xfrm>
        <a:prstGeom prst="rightArrow">
          <a:avLst/>
        </a:prstGeom>
        <a:solidFill>
          <a:srgbClr val="33383E"/>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1" kern="1200"/>
            <a:t>Bảng</a:t>
          </a:r>
          <a:r>
            <a:rPr lang="en-US" sz="1200" b="1" kern="1200" baseline="0"/>
            <a:t> các loại phí Khỏe Trọn Vẹn Bền Vững</a:t>
          </a:r>
        </a:p>
      </xdr:txBody>
    </xdr:sp>
    <xdr:clientData/>
  </xdr:twoCellAnchor>
  <xdr:twoCellAnchor>
    <xdr:from>
      <xdr:col>7</xdr:col>
      <xdr:colOff>105228</xdr:colOff>
      <xdr:row>12</xdr:row>
      <xdr:rowOff>536574</xdr:rowOff>
    </xdr:from>
    <xdr:to>
      <xdr:col>12</xdr:col>
      <xdr:colOff>178657</xdr:colOff>
      <xdr:row>13</xdr:row>
      <xdr:rowOff>245794</xdr:rowOff>
    </xdr:to>
    <xdr:sp macro="" textlink="">
      <xdr:nvSpPr>
        <xdr:cNvPr id="3" name="Arrow: Right 2">
          <a:hlinkClick xmlns:r="http://schemas.openxmlformats.org/officeDocument/2006/relationships" r:id="rId9"/>
          <a:extLst>
            <a:ext uri="{FF2B5EF4-FFF2-40B4-BE49-F238E27FC236}">
              <a16:creationId xmlns:a16="http://schemas.microsoft.com/office/drawing/2014/main" id="{88C4E6E8-3931-A4D2-B654-3FDE616E9829}"/>
            </a:ext>
          </a:extLst>
        </xdr:cNvPr>
        <xdr:cNvSpPr/>
      </xdr:nvSpPr>
      <xdr:spPr>
        <a:xfrm>
          <a:off x="9929585" y="3058431"/>
          <a:ext cx="3021643" cy="453077"/>
        </a:xfrm>
        <a:prstGeom prst="rightArrow">
          <a:avLst/>
        </a:prstGeom>
        <a:solidFill>
          <a:srgbClr val="33383E"/>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1" kern="1200"/>
            <a:t>Bảng</a:t>
          </a:r>
          <a:r>
            <a:rPr lang="en-US" sz="1200" b="1" kern="1200" baseline="0"/>
            <a:t> các loại phí Khỏe Trọn Vẹn Trọn đời</a:t>
          </a:r>
        </a:p>
      </xdr:txBody>
    </xdr:sp>
    <xdr:clientData/>
  </xdr:twoCellAnchor>
  <xdr:twoCellAnchor>
    <xdr:from>
      <xdr:col>7</xdr:col>
      <xdr:colOff>127481</xdr:colOff>
      <xdr:row>13</xdr:row>
      <xdr:rowOff>190288</xdr:rowOff>
    </xdr:from>
    <xdr:to>
      <xdr:col>10</xdr:col>
      <xdr:colOff>41756</xdr:colOff>
      <xdr:row>14</xdr:row>
      <xdr:rowOff>138580</xdr:rowOff>
    </xdr:to>
    <xdr:sp macro="" textlink="">
      <xdr:nvSpPr>
        <xdr:cNvPr id="11" name="Arrow: Right 10">
          <a:hlinkClick xmlns:r="http://schemas.openxmlformats.org/officeDocument/2006/relationships" r:id="rId10"/>
          <a:extLst>
            <a:ext uri="{FF2B5EF4-FFF2-40B4-BE49-F238E27FC236}">
              <a16:creationId xmlns:a16="http://schemas.microsoft.com/office/drawing/2014/main" id="{813C786C-07D6-5F0D-322D-1CCEED93EAB3}"/>
            </a:ext>
          </a:extLst>
        </xdr:cNvPr>
        <xdr:cNvSpPr/>
      </xdr:nvSpPr>
      <xdr:spPr>
        <a:xfrm>
          <a:off x="9966246" y="3454935"/>
          <a:ext cx="1684804" cy="366645"/>
        </a:xfrm>
        <a:prstGeom prst="rightArrow">
          <a:avLst/>
        </a:prstGeom>
        <a:solidFill>
          <a:srgbClr val="D31145"/>
        </a:solidFill>
        <a:ln>
          <a:solidFill>
            <a:srgbClr val="D31145"/>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b="1" kern="1200"/>
            <a:t>Biểu</a:t>
          </a:r>
          <a:r>
            <a:rPr lang="en-US" sz="1100" b="1" kern="1200" baseline="0"/>
            <a:t> đồ năm hòa vốn</a:t>
          </a:r>
          <a:endParaRPr lang="en-US" sz="1100" b="1" kern="1200"/>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9</xdr:col>
      <xdr:colOff>156881</xdr:colOff>
      <xdr:row>0</xdr:row>
      <xdr:rowOff>67234</xdr:rowOff>
    </xdr:from>
    <xdr:to>
      <xdr:col>10</xdr:col>
      <xdr:colOff>324971</xdr:colOff>
      <xdr:row>2</xdr:row>
      <xdr:rowOff>168088</xdr:rowOff>
    </xdr:to>
    <xdr:sp macro="" textlink="">
      <xdr:nvSpPr>
        <xdr:cNvPr id="2" name="Arrow: Left 1">
          <a:hlinkClick xmlns:r="http://schemas.openxmlformats.org/officeDocument/2006/relationships" r:id="rId1"/>
          <a:extLst>
            <a:ext uri="{FF2B5EF4-FFF2-40B4-BE49-F238E27FC236}">
              <a16:creationId xmlns:a16="http://schemas.microsoft.com/office/drawing/2014/main" id="{00000000-0008-0000-0E00-000002000000}"/>
            </a:ext>
          </a:extLst>
        </xdr:cNvPr>
        <xdr:cNvSpPr/>
      </xdr:nvSpPr>
      <xdr:spPr>
        <a:xfrm>
          <a:off x="6476999" y="67234"/>
          <a:ext cx="705972" cy="392207"/>
        </a:xfrm>
        <a:prstGeom prst="leftArrow">
          <a:avLst>
            <a:gd name="adj1" fmla="val 50000"/>
            <a:gd name="adj2" fmla="val 50000"/>
          </a:avLst>
        </a:prstGeom>
        <a:solidFill>
          <a:srgbClr val="EC645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chemeClr val="bg1"/>
              </a:solidFill>
            </a:rPr>
            <a:t>Back</a:t>
          </a:r>
        </a:p>
      </xdr:txBody>
    </xdr:sp>
    <xdr:clientData/>
  </xdr:twoCellAnchor>
  <xdr:twoCellAnchor>
    <xdr:from>
      <xdr:col>4</xdr:col>
      <xdr:colOff>381000</xdr:colOff>
      <xdr:row>260</xdr:row>
      <xdr:rowOff>179294</xdr:rowOff>
    </xdr:from>
    <xdr:to>
      <xdr:col>5</xdr:col>
      <xdr:colOff>515472</xdr:colOff>
      <xdr:row>261</xdr:row>
      <xdr:rowOff>67235</xdr:rowOff>
    </xdr:to>
    <xdr:sp macro="" textlink="">
      <xdr:nvSpPr>
        <xdr:cNvPr id="3" name="Arrow: Right 2">
          <a:hlinkClick xmlns:r="http://schemas.openxmlformats.org/officeDocument/2006/relationships" r:id="rId2"/>
          <a:extLst>
            <a:ext uri="{FF2B5EF4-FFF2-40B4-BE49-F238E27FC236}">
              <a16:creationId xmlns:a16="http://schemas.microsoft.com/office/drawing/2014/main" id="{E28BFF73-4E95-1E62-CA09-D33575D47AAA}"/>
            </a:ext>
          </a:extLst>
        </xdr:cNvPr>
        <xdr:cNvSpPr/>
      </xdr:nvSpPr>
      <xdr:spPr>
        <a:xfrm>
          <a:off x="2723029" y="65868176"/>
          <a:ext cx="930090" cy="291353"/>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kern="1200"/>
            <a:t>Nhập</a:t>
          </a:r>
          <a:r>
            <a:rPr lang="en-US" sz="1100" kern="1200" baseline="0"/>
            <a:t> ở đây</a:t>
          </a:r>
          <a:endParaRPr lang="en-US" sz="1100" kern="12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13</xdr:col>
      <xdr:colOff>161925</xdr:colOff>
      <xdr:row>0</xdr:row>
      <xdr:rowOff>28576</xdr:rowOff>
    </xdr:from>
    <xdr:to>
      <xdr:col>13</xdr:col>
      <xdr:colOff>714375</xdr:colOff>
      <xdr:row>3</xdr:row>
      <xdr:rowOff>9525</xdr:rowOff>
    </xdr:to>
    <xdr:sp macro="" textlink="">
      <xdr:nvSpPr>
        <xdr:cNvPr id="2" name="Arrow: Left 1">
          <a:hlinkClick xmlns:r="http://schemas.openxmlformats.org/officeDocument/2006/relationships" r:id="rId1"/>
          <a:extLst>
            <a:ext uri="{FF2B5EF4-FFF2-40B4-BE49-F238E27FC236}">
              <a16:creationId xmlns:a16="http://schemas.microsoft.com/office/drawing/2014/main" id="{A60BF485-B314-436E-BDC6-D4A4E61AEECE}"/>
            </a:ext>
          </a:extLst>
        </xdr:cNvPr>
        <xdr:cNvSpPr/>
      </xdr:nvSpPr>
      <xdr:spPr>
        <a:xfrm>
          <a:off x="8734425" y="28576"/>
          <a:ext cx="552450" cy="266699"/>
        </a:xfrm>
        <a:prstGeom prst="leftArrow">
          <a:avLst/>
        </a:prstGeom>
        <a:solidFill>
          <a:srgbClr val="ED1B2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t>Back</a:t>
          </a:r>
        </a:p>
      </xdr:txBody>
    </xdr:sp>
    <xdr:clientData/>
  </xdr:twoCellAnchor>
  <xdr:twoCellAnchor>
    <xdr:from>
      <xdr:col>13</xdr:col>
      <xdr:colOff>161925</xdr:colOff>
      <xdr:row>2</xdr:row>
      <xdr:rowOff>57150</xdr:rowOff>
    </xdr:from>
    <xdr:to>
      <xdr:col>15</xdr:col>
      <xdr:colOff>57150</xdr:colOff>
      <xdr:row>4</xdr:row>
      <xdr:rowOff>209550</xdr:rowOff>
    </xdr:to>
    <xdr:sp macro="" textlink="">
      <xdr:nvSpPr>
        <xdr:cNvPr id="3" name="Arrow: Right 2">
          <a:hlinkClick xmlns:r="http://schemas.openxmlformats.org/officeDocument/2006/relationships" r:id="rId2"/>
          <a:extLst>
            <a:ext uri="{FF2B5EF4-FFF2-40B4-BE49-F238E27FC236}">
              <a16:creationId xmlns:a16="http://schemas.microsoft.com/office/drawing/2014/main" id="{BCF44E6C-229B-496D-83F4-CF23EA21E270}"/>
            </a:ext>
          </a:extLst>
        </xdr:cNvPr>
        <xdr:cNvSpPr/>
      </xdr:nvSpPr>
      <xdr:spPr>
        <a:xfrm>
          <a:off x="8734425" y="276225"/>
          <a:ext cx="1400175" cy="400050"/>
        </a:xfrm>
        <a:prstGeom prst="rightArrow">
          <a:avLst/>
        </a:prstGeom>
        <a:solidFill>
          <a:schemeClr val="accent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00" kern="1200"/>
            <a:t>Xem chi tiết</a:t>
          </a:r>
          <a:r>
            <a:rPr lang="en-US" sz="900" kern="1200" baseline="0"/>
            <a:t> hàng tháng</a:t>
          </a:r>
          <a:endParaRPr lang="en-US" sz="900" kern="12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13</xdr:col>
      <xdr:colOff>161925</xdr:colOff>
      <xdr:row>0</xdr:row>
      <xdr:rowOff>28576</xdr:rowOff>
    </xdr:from>
    <xdr:to>
      <xdr:col>13</xdr:col>
      <xdr:colOff>714375</xdr:colOff>
      <xdr:row>3</xdr:row>
      <xdr:rowOff>9525</xdr:rowOff>
    </xdr:to>
    <xdr:sp macro="" textlink="">
      <xdr:nvSpPr>
        <xdr:cNvPr id="2" name="Arrow: Left 1">
          <a:hlinkClick xmlns:r="http://schemas.openxmlformats.org/officeDocument/2006/relationships" r:id="rId1"/>
          <a:extLst>
            <a:ext uri="{FF2B5EF4-FFF2-40B4-BE49-F238E27FC236}">
              <a16:creationId xmlns:a16="http://schemas.microsoft.com/office/drawing/2014/main" id="{FBC23632-51F0-4F56-8E02-16D20CA63C5F}"/>
            </a:ext>
          </a:extLst>
        </xdr:cNvPr>
        <xdr:cNvSpPr/>
      </xdr:nvSpPr>
      <xdr:spPr>
        <a:xfrm>
          <a:off x="11182350" y="28576"/>
          <a:ext cx="552450" cy="266699"/>
        </a:xfrm>
        <a:prstGeom prst="leftArrow">
          <a:avLst/>
        </a:prstGeom>
        <a:solidFill>
          <a:srgbClr val="ED1B2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t>Back</a:t>
          </a:r>
        </a:p>
      </xdr:txBody>
    </xdr:sp>
    <xdr:clientData/>
  </xdr:twoCellAnchor>
  <xdr:twoCellAnchor>
    <xdr:from>
      <xdr:col>13</xdr:col>
      <xdr:colOff>161925</xdr:colOff>
      <xdr:row>2</xdr:row>
      <xdr:rowOff>57150</xdr:rowOff>
    </xdr:from>
    <xdr:to>
      <xdr:col>15</xdr:col>
      <xdr:colOff>57150</xdr:colOff>
      <xdr:row>4</xdr:row>
      <xdr:rowOff>209550</xdr:rowOff>
    </xdr:to>
    <xdr:sp macro="" textlink="">
      <xdr:nvSpPr>
        <xdr:cNvPr id="3" name="Arrow: Right 2">
          <a:hlinkClick xmlns:r="http://schemas.openxmlformats.org/officeDocument/2006/relationships" r:id="rId2"/>
          <a:extLst>
            <a:ext uri="{FF2B5EF4-FFF2-40B4-BE49-F238E27FC236}">
              <a16:creationId xmlns:a16="http://schemas.microsoft.com/office/drawing/2014/main" id="{EA672B6D-EA63-4DF5-8DDB-47E1C8BAD529}"/>
            </a:ext>
          </a:extLst>
        </xdr:cNvPr>
        <xdr:cNvSpPr/>
      </xdr:nvSpPr>
      <xdr:spPr>
        <a:xfrm>
          <a:off x="11182350" y="276225"/>
          <a:ext cx="1400175" cy="400050"/>
        </a:xfrm>
        <a:prstGeom prst="rightArrow">
          <a:avLst/>
        </a:prstGeom>
        <a:solidFill>
          <a:schemeClr val="accent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00" kern="1200"/>
            <a:t>Xem chi tiết</a:t>
          </a:r>
          <a:r>
            <a:rPr lang="en-US" sz="900" kern="1200" baseline="0"/>
            <a:t> hàng tháng</a:t>
          </a:r>
          <a:endParaRPr lang="en-US" sz="900" kern="1200"/>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13</xdr:col>
      <xdr:colOff>161925</xdr:colOff>
      <xdr:row>0</xdr:row>
      <xdr:rowOff>28576</xdr:rowOff>
    </xdr:from>
    <xdr:to>
      <xdr:col>13</xdr:col>
      <xdr:colOff>714375</xdr:colOff>
      <xdr:row>3</xdr:row>
      <xdr:rowOff>9525</xdr:rowOff>
    </xdr:to>
    <xdr:sp macro="" textlink="">
      <xdr:nvSpPr>
        <xdr:cNvPr id="2" name="Arrow: Left 1">
          <a:hlinkClick xmlns:r="http://schemas.openxmlformats.org/officeDocument/2006/relationships" r:id="rId1"/>
          <a:extLst>
            <a:ext uri="{FF2B5EF4-FFF2-40B4-BE49-F238E27FC236}">
              <a16:creationId xmlns:a16="http://schemas.microsoft.com/office/drawing/2014/main" id="{9548E4CA-B02E-49B8-953B-2C981A1291E8}"/>
            </a:ext>
          </a:extLst>
        </xdr:cNvPr>
        <xdr:cNvSpPr/>
      </xdr:nvSpPr>
      <xdr:spPr>
        <a:xfrm>
          <a:off x="11182350" y="28576"/>
          <a:ext cx="552450" cy="266699"/>
        </a:xfrm>
        <a:prstGeom prst="leftArrow">
          <a:avLst/>
        </a:prstGeom>
        <a:solidFill>
          <a:srgbClr val="ED1B2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t>Back</a:t>
          </a:r>
        </a:p>
      </xdr:txBody>
    </xdr:sp>
    <xdr:clientData/>
  </xdr:twoCellAnchor>
  <xdr:twoCellAnchor>
    <xdr:from>
      <xdr:col>13</xdr:col>
      <xdr:colOff>161925</xdr:colOff>
      <xdr:row>2</xdr:row>
      <xdr:rowOff>57150</xdr:rowOff>
    </xdr:from>
    <xdr:to>
      <xdr:col>15</xdr:col>
      <xdr:colOff>57150</xdr:colOff>
      <xdr:row>4</xdr:row>
      <xdr:rowOff>209550</xdr:rowOff>
    </xdr:to>
    <xdr:sp macro="" textlink="">
      <xdr:nvSpPr>
        <xdr:cNvPr id="3" name="Arrow: Right 2">
          <a:hlinkClick xmlns:r="http://schemas.openxmlformats.org/officeDocument/2006/relationships" r:id="rId2"/>
          <a:extLst>
            <a:ext uri="{FF2B5EF4-FFF2-40B4-BE49-F238E27FC236}">
              <a16:creationId xmlns:a16="http://schemas.microsoft.com/office/drawing/2014/main" id="{4C2BAA6D-67EF-4899-93B4-C6381C374901}"/>
            </a:ext>
          </a:extLst>
        </xdr:cNvPr>
        <xdr:cNvSpPr/>
      </xdr:nvSpPr>
      <xdr:spPr>
        <a:xfrm>
          <a:off x="11182350" y="276225"/>
          <a:ext cx="1400175" cy="400050"/>
        </a:xfrm>
        <a:prstGeom prst="rightArrow">
          <a:avLst/>
        </a:prstGeom>
        <a:solidFill>
          <a:schemeClr val="accent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00" kern="1200"/>
            <a:t>Xem chi tiết</a:t>
          </a:r>
          <a:r>
            <a:rPr lang="en-US" sz="900" kern="1200" baseline="0"/>
            <a:t> hàng tháng</a:t>
          </a:r>
          <a:endParaRPr lang="en-US" sz="900" kern="1200"/>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13</xdr:col>
      <xdr:colOff>161925</xdr:colOff>
      <xdr:row>0</xdr:row>
      <xdr:rowOff>28576</xdr:rowOff>
    </xdr:from>
    <xdr:to>
      <xdr:col>13</xdr:col>
      <xdr:colOff>714375</xdr:colOff>
      <xdr:row>3</xdr:row>
      <xdr:rowOff>9525</xdr:rowOff>
    </xdr:to>
    <xdr:sp macro="" textlink="">
      <xdr:nvSpPr>
        <xdr:cNvPr id="2" name="Arrow: Left 1">
          <a:hlinkClick xmlns:r="http://schemas.openxmlformats.org/officeDocument/2006/relationships" r:id="rId1"/>
          <a:extLst>
            <a:ext uri="{FF2B5EF4-FFF2-40B4-BE49-F238E27FC236}">
              <a16:creationId xmlns:a16="http://schemas.microsoft.com/office/drawing/2014/main" id="{3396C87A-DAEF-4896-9ECA-BFD25393B3B5}"/>
            </a:ext>
          </a:extLst>
        </xdr:cNvPr>
        <xdr:cNvSpPr/>
      </xdr:nvSpPr>
      <xdr:spPr>
        <a:xfrm>
          <a:off x="11182350" y="28576"/>
          <a:ext cx="552450" cy="247649"/>
        </a:xfrm>
        <a:prstGeom prst="leftArrow">
          <a:avLst/>
        </a:prstGeom>
        <a:solidFill>
          <a:srgbClr val="ED1B2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t>Back</a:t>
          </a:r>
        </a:p>
      </xdr:txBody>
    </xdr:sp>
    <xdr:clientData/>
  </xdr:twoCellAnchor>
  <xdr:twoCellAnchor>
    <xdr:from>
      <xdr:col>13</xdr:col>
      <xdr:colOff>161925</xdr:colOff>
      <xdr:row>2</xdr:row>
      <xdr:rowOff>57150</xdr:rowOff>
    </xdr:from>
    <xdr:to>
      <xdr:col>15</xdr:col>
      <xdr:colOff>57150</xdr:colOff>
      <xdr:row>4</xdr:row>
      <xdr:rowOff>209550</xdr:rowOff>
    </xdr:to>
    <xdr:sp macro="" textlink="">
      <xdr:nvSpPr>
        <xdr:cNvPr id="3" name="Arrow: Right 2">
          <a:hlinkClick xmlns:r="http://schemas.openxmlformats.org/officeDocument/2006/relationships" r:id="rId2"/>
          <a:extLst>
            <a:ext uri="{FF2B5EF4-FFF2-40B4-BE49-F238E27FC236}">
              <a16:creationId xmlns:a16="http://schemas.microsoft.com/office/drawing/2014/main" id="{942A2219-92E5-4D0D-B357-1B924F3D2DFF}"/>
            </a:ext>
          </a:extLst>
        </xdr:cNvPr>
        <xdr:cNvSpPr/>
      </xdr:nvSpPr>
      <xdr:spPr>
        <a:xfrm>
          <a:off x="11182350" y="257175"/>
          <a:ext cx="1400175" cy="361950"/>
        </a:xfrm>
        <a:prstGeom prst="rightArrow">
          <a:avLst/>
        </a:prstGeom>
        <a:solidFill>
          <a:schemeClr val="accent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00" kern="1200"/>
            <a:t>Xem chi tiết</a:t>
          </a:r>
          <a:r>
            <a:rPr lang="en-US" sz="900" kern="1200" baseline="0"/>
            <a:t> hàng tháng</a:t>
          </a:r>
          <a:endParaRPr lang="en-US" sz="900" kern="1200"/>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13</xdr:col>
      <xdr:colOff>161925</xdr:colOff>
      <xdr:row>0</xdr:row>
      <xdr:rowOff>28576</xdr:rowOff>
    </xdr:from>
    <xdr:to>
      <xdr:col>13</xdr:col>
      <xdr:colOff>714375</xdr:colOff>
      <xdr:row>3</xdr:row>
      <xdr:rowOff>9525</xdr:rowOff>
    </xdr:to>
    <xdr:sp macro="" textlink="">
      <xdr:nvSpPr>
        <xdr:cNvPr id="2" name="Arrow: Left 1">
          <a:hlinkClick xmlns:r="http://schemas.openxmlformats.org/officeDocument/2006/relationships" r:id="rId1"/>
          <a:extLst>
            <a:ext uri="{FF2B5EF4-FFF2-40B4-BE49-F238E27FC236}">
              <a16:creationId xmlns:a16="http://schemas.microsoft.com/office/drawing/2014/main" id="{9AEAABB0-33C4-44B5-9BB0-8601042C9917}"/>
            </a:ext>
          </a:extLst>
        </xdr:cNvPr>
        <xdr:cNvSpPr/>
      </xdr:nvSpPr>
      <xdr:spPr>
        <a:xfrm>
          <a:off x="11182350" y="28576"/>
          <a:ext cx="552450" cy="247649"/>
        </a:xfrm>
        <a:prstGeom prst="leftArrow">
          <a:avLst/>
        </a:prstGeom>
        <a:solidFill>
          <a:srgbClr val="ED1B2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t>Back</a:t>
          </a:r>
        </a:p>
      </xdr:txBody>
    </xdr:sp>
    <xdr:clientData/>
  </xdr:twoCellAnchor>
  <xdr:twoCellAnchor>
    <xdr:from>
      <xdr:col>13</xdr:col>
      <xdr:colOff>161925</xdr:colOff>
      <xdr:row>2</xdr:row>
      <xdr:rowOff>57150</xdr:rowOff>
    </xdr:from>
    <xdr:to>
      <xdr:col>15</xdr:col>
      <xdr:colOff>57150</xdr:colOff>
      <xdr:row>4</xdr:row>
      <xdr:rowOff>209550</xdr:rowOff>
    </xdr:to>
    <xdr:sp macro="" textlink="">
      <xdr:nvSpPr>
        <xdr:cNvPr id="3" name="Arrow: Right 2">
          <a:hlinkClick xmlns:r="http://schemas.openxmlformats.org/officeDocument/2006/relationships" r:id="rId2"/>
          <a:extLst>
            <a:ext uri="{FF2B5EF4-FFF2-40B4-BE49-F238E27FC236}">
              <a16:creationId xmlns:a16="http://schemas.microsoft.com/office/drawing/2014/main" id="{9FA85492-2BEA-4463-AEDC-0F8AF13F380B}"/>
            </a:ext>
          </a:extLst>
        </xdr:cNvPr>
        <xdr:cNvSpPr/>
      </xdr:nvSpPr>
      <xdr:spPr>
        <a:xfrm>
          <a:off x="11182350" y="257175"/>
          <a:ext cx="1400175" cy="361950"/>
        </a:xfrm>
        <a:prstGeom prst="rightArrow">
          <a:avLst/>
        </a:prstGeom>
        <a:solidFill>
          <a:schemeClr val="accent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00" kern="1200"/>
            <a:t>Xem chi tiết</a:t>
          </a:r>
          <a:r>
            <a:rPr lang="en-US" sz="900" kern="1200" baseline="0"/>
            <a:t> hàng tháng</a:t>
          </a:r>
          <a:endParaRPr lang="en-US" sz="900" kern="1200"/>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13</xdr:col>
      <xdr:colOff>161925</xdr:colOff>
      <xdr:row>0</xdr:row>
      <xdr:rowOff>28576</xdr:rowOff>
    </xdr:from>
    <xdr:to>
      <xdr:col>13</xdr:col>
      <xdr:colOff>714375</xdr:colOff>
      <xdr:row>3</xdr:row>
      <xdr:rowOff>9525</xdr:rowOff>
    </xdr:to>
    <xdr:sp macro="" textlink="">
      <xdr:nvSpPr>
        <xdr:cNvPr id="2" name="Arrow: Left 1">
          <a:hlinkClick xmlns:r="http://schemas.openxmlformats.org/officeDocument/2006/relationships" r:id="rId1"/>
          <a:extLst>
            <a:ext uri="{FF2B5EF4-FFF2-40B4-BE49-F238E27FC236}">
              <a16:creationId xmlns:a16="http://schemas.microsoft.com/office/drawing/2014/main" id="{3AF70730-C2CE-4F8D-A635-5E696F17C72E}"/>
            </a:ext>
          </a:extLst>
        </xdr:cNvPr>
        <xdr:cNvSpPr/>
      </xdr:nvSpPr>
      <xdr:spPr>
        <a:xfrm>
          <a:off x="11182350" y="28576"/>
          <a:ext cx="552450" cy="247649"/>
        </a:xfrm>
        <a:prstGeom prst="leftArrow">
          <a:avLst/>
        </a:prstGeom>
        <a:solidFill>
          <a:srgbClr val="ED1B2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t>Back</a:t>
          </a:r>
        </a:p>
      </xdr:txBody>
    </xdr:sp>
    <xdr:clientData/>
  </xdr:twoCellAnchor>
  <xdr:twoCellAnchor>
    <xdr:from>
      <xdr:col>13</xdr:col>
      <xdr:colOff>161925</xdr:colOff>
      <xdr:row>2</xdr:row>
      <xdr:rowOff>57150</xdr:rowOff>
    </xdr:from>
    <xdr:to>
      <xdr:col>15</xdr:col>
      <xdr:colOff>57150</xdr:colOff>
      <xdr:row>4</xdr:row>
      <xdr:rowOff>209550</xdr:rowOff>
    </xdr:to>
    <xdr:sp macro="" textlink="">
      <xdr:nvSpPr>
        <xdr:cNvPr id="3" name="Arrow: Right 2">
          <a:hlinkClick xmlns:r="http://schemas.openxmlformats.org/officeDocument/2006/relationships" r:id="rId2"/>
          <a:extLst>
            <a:ext uri="{FF2B5EF4-FFF2-40B4-BE49-F238E27FC236}">
              <a16:creationId xmlns:a16="http://schemas.microsoft.com/office/drawing/2014/main" id="{AF856742-65D4-44C2-B7AC-FA36931A4C51}"/>
            </a:ext>
          </a:extLst>
        </xdr:cNvPr>
        <xdr:cNvSpPr/>
      </xdr:nvSpPr>
      <xdr:spPr>
        <a:xfrm>
          <a:off x="11182350" y="257175"/>
          <a:ext cx="1400175" cy="361950"/>
        </a:xfrm>
        <a:prstGeom prst="rightArrow">
          <a:avLst/>
        </a:prstGeom>
        <a:solidFill>
          <a:schemeClr val="accent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00" kern="1200"/>
            <a:t>Xem chi tiết</a:t>
          </a:r>
          <a:r>
            <a:rPr lang="en-US" sz="900" kern="1200" baseline="0"/>
            <a:t> hàng tháng</a:t>
          </a:r>
          <a:endParaRPr lang="en-US" sz="900" kern="1200"/>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13</xdr:col>
      <xdr:colOff>161925</xdr:colOff>
      <xdr:row>0</xdr:row>
      <xdr:rowOff>28576</xdr:rowOff>
    </xdr:from>
    <xdr:to>
      <xdr:col>13</xdr:col>
      <xdr:colOff>714375</xdr:colOff>
      <xdr:row>3</xdr:row>
      <xdr:rowOff>9525</xdr:rowOff>
    </xdr:to>
    <xdr:sp macro="" textlink="">
      <xdr:nvSpPr>
        <xdr:cNvPr id="2" name="Arrow: Left 1">
          <a:hlinkClick xmlns:r="http://schemas.openxmlformats.org/officeDocument/2006/relationships" r:id="rId1"/>
          <a:extLst>
            <a:ext uri="{FF2B5EF4-FFF2-40B4-BE49-F238E27FC236}">
              <a16:creationId xmlns:a16="http://schemas.microsoft.com/office/drawing/2014/main" id="{12B955EB-D29C-429A-8FE4-7215B4281EAC}"/>
            </a:ext>
          </a:extLst>
        </xdr:cNvPr>
        <xdr:cNvSpPr/>
      </xdr:nvSpPr>
      <xdr:spPr>
        <a:xfrm>
          <a:off x="11163300" y="28576"/>
          <a:ext cx="552450" cy="247649"/>
        </a:xfrm>
        <a:prstGeom prst="leftArrow">
          <a:avLst/>
        </a:prstGeom>
        <a:solidFill>
          <a:srgbClr val="ED1B2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t>Back</a:t>
          </a:r>
        </a:p>
      </xdr:txBody>
    </xdr:sp>
    <xdr:clientData/>
  </xdr:twoCellAnchor>
  <xdr:twoCellAnchor>
    <xdr:from>
      <xdr:col>13</xdr:col>
      <xdr:colOff>161925</xdr:colOff>
      <xdr:row>2</xdr:row>
      <xdr:rowOff>57150</xdr:rowOff>
    </xdr:from>
    <xdr:to>
      <xdr:col>15</xdr:col>
      <xdr:colOff>57150</xdr:colOff>
      <xdr:row>4</xdr:row>
      <xdr:rowOff>209550</xdr:rowOff>
    </xdr:to>
    <xdr:sp macro="" textlink="">
      <xdr:nvSpPr>
        <xdr:cNvPr id="3" name="Arrow: Right 2">
          <a:hlinkClick xmlns:r="http://schemas.openxmlformats.org/officeDocument/2006/relationships" r:id="rId2"/>
          <a:extLst>
            <a:ext uri="{FF2B5EF4-FFF2-40B4-BE49-F238E27FC236}">
              <a16:creationId xmlns:a16="http://schemas.microsoft.com/office/drawing/2014/main" id="{1BB1A821-E180-47BF-B26D-BB64450B94F4}"/>
            </a:ext>
          </a:extLst>
        </xdr:cNvPr>
        <xdr:cNvSpPr/>
      </xdr:nvSpPr>
      <xdr:spPr>
        <a:xfrm>
          <a:off x="11163300" y="257175"/>
          <a:ext cx="1400175" cy="333375"/>
        </a:xfrm>
        <a:prstGeom prst="rightArrow">
          <a:avLst/>
        </a:prstGeom>
        <a:solidFill>
          <a:schemeClr val="accent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00" kern="1200"/>
            <a:t>Xem chi tiết</a:t>
          </a:r>
          <a:r>
            <a:rPr lang="en-US" sz="900" kern="1200" baseline="0"/>
            <a:t> hàng tháng</a:t>
          </a:r>
          <a:endParaRPr lang="en-US" sz="900" kern="1200"/>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13</xdr:col>
      <xdr:colOff>161925</xdr:colOff>
      <xdr:row>0</xdr:row>
      <xdr:rowOff>28576</xdr:rowOff>
    </xdr:from>
    <xdr:to>
      <xdr:col>13</xdr:col>
      <xdr:colOff>714375</xdr:colOff>
      <xdr:row>3</xdr:row>
      <xdr:rowOff>9525</xdr:rowOff>
    </xdr:to>
    <xdr:sp macro="" textlink="">
      <xdr:nvSpPr>
        <xdr:cNvPr id="2" name="Arrow: Left 1">
          <a:hlinkClick xmlns:r="http://schemas.openxmlformats.org/officeDocument/2006/relationships" r:id="rId1"/>
          <a:extLst>
            <a:ext uri="{FF2B5EF4-FFF2-40B4-BE49-F238E27FC236}">
              <a16:creationId xmlns:a16="http://schemas.microsoft.com/office/drawing/2014/main" id="{040E1F0C-A9C4-4A5F-9259-C008960224A2}"/>
            </a:ext>
          </a:extLst>
        </xdr:cNvPr>
        <xdr:cNvSpPr/>
      </xdr:nvSpPr>
      <xdr:spPr>
        <a:xfrm>
          <a:off x="11182350" y="28576"/>
          <a:ext cx="552450" cy="247649"/>
        </a:xfrm>
        <a:prstGeom prst="leftArrow">
          <a:avLst/>
        </a:prstGeom>
        <a:solidFill>
          <a:srgbClr val="ED1B2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t>Back</a:t>
          </a:r>
        </a:p>
      </xdr:txBody>
    </xdr:sp>
    <xdr:clientData/>
  </xdr:twoCellAnchor>
  <xdr:twoCellAnchor>
    <xdr:from>
      <xdr:col>13</xdr:col>
      <xdr:colOff>161925</xdr:colOff>
      <xdr:row>2</xdr:row>
      <xdr:rowOff>57150</xdr:rowOff>
    </xdr:from>
    <xdr:to>
      <xdr:col>15</xdr:col>
      <xdr:colOff>57150</xdr:colOff>
      <xdr:row>4</xdr:row>
      <xdr:rowOff>209550</xdr:rowOff>
    </xdr:to>
    <xdr:sp macro="" textlink="">
      <xdr:nvSpPr>
        <xdr:cNvPr id="3" name="Arrow: Right 2">
          <a:hlinkClick xmlns:r="http://schemas.openxmlformats.org/officeDocument/2006/relationships" r:id="rId2"/>
          <a:extLst>
            <a:ext uri="{FF2B5EF4-FFF2-40B4-BE49-F238E27FC236}">
              <a16:creationId xmlns:a16="http://schemas.microsoft.com/office/drawing/2014/main" id="{1E5EB5A3-95D8-4ED2-81C2-E7696CB335B2}"/>
            </a:ext>
          </a:extLst>
        </xdr:cNvPr>
        <xdr:cNvSpPr/>
      </xdr:nvSpPr>
      <xdr:spPr>
        <a:xfrm>
          <a:off x="11182350" y="257175"/>
          <a:ext cx="1400175" cy="361950"/>
        </a:xfrm>
        <a:prstGeom prst="rightArrow">
          <a:avLst/>
        </a:prstGeom>
        <a:solidFill>
          <a:schemeClr val="accent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00" kern="1200"/>
            <a:t>Xem chi tiết</a:t>
          </a:r>
          <a:r>
            <a:rPr lang="en-US" sz="900" kern="1200" baseline="0"/>
            <a:t> hàng tháng</a:t>
          </a:r>
          <a:endParaRPr lang="en-US" sz="900" kern="1200"/>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13</xdr:col>
      <xdr:colOff>161925</xdr:colOff>
      <xdr:row>0</xdr:row>
      <xdr:rowOff>28576</xdr:rowOff>
    </xdr:from>
    <xdr:to>
      <xdr:col>13</xdr:col>
      <xdr:colOff>714375</xdr:colOff>
      <xdr:row>3</xdr:row>
      <xdr:rowOff>9525</xdr:rowOff>
    </xdr:to>
    <xdr:sp macro="" textlink="">
      <xdr:nvSpPr>
        <xdr:cNvPr id="2" name="Arrow: Left 1">
          <a:hlinkClick xmlns:r="http://schemas.openxmlformats.org/officeDocument/2006/relationships" r:id="rId1"/>
          <a:extLst>
            <a:ext uri="{FF2B5EF4-FFF2-40B4-BE49-F238E27FC236}">
              <a16:creationId xmlns:a16="http://schemas.microsoft.com/office/drawing/2014/main" id="{DB0B6D24-8733-474F-906C-95D281564850}"/>
            </a:ext>
          </a:extLst>
        </xdr:cNvPr>
        <xdr:cNvSpPr/>
      </xdr:nvSpPr>
      <xdr:spPr>
        <a:xfrm>
          <a:off x="11182350" y="28576"/>
          <a:ext cx="552450" cy="247649"/>
        </a:xfrm>
        <a:prstGeom prst="leftArrow">
          <a:avLst/>
        </a:prstGeom>
        <a:solidFill>
          <a:srgbClr val="ED1B2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t>Back</a:t>
          </a:r>
        </a:p>
      </xdr:txBody>
    </xdr:sp>
    <xdr:clientData/>
  </xdr:twoCellAnchor>
  <xdr:twoCellAnchor>
    <xdr:from>
      <xdr:col>13</xdr:col>
      <xdr:colOff>161925</xdr:colOff>
      <xdr:row>2</xdr:row>
      <xdr:rowOff>57150</xdr:rowOff>
    </xdr:from>
    <xdr:to>
      <xdr:col>15</xdr:col>
      <xdr:colOff>57150</xdr:colOff>
      <xdr:row>4</xdr:row>
      <xdr:rowOff>209550</xdr:rowOff>
    </xdr:to>
    <xdr:sp macro="" textlink="">
      <xdr:nvSpPr>
        <xdr:cNvPr id="3" name="Arrow: Right 2">
          <a:hlinkClick xmlns:r="http://schemas.openxmlformats.org/officeDocument/2006/relationships" r:id="rId2"/>
          <a:extLst>
            <a:ext uri="{FF2B5EF4-FFF2-40B4-BE49-F238E27FC236}">
              <a16:creationId xmlns:a16="http://schemas.microsoft.com/office/drawing/2014/main" id="{2066ACF4-6BEF-451C-B486-9B1EDC152DFF}"/>
            </a:ext>
          </a:extLst>
        </xdr:cNvPr>
        <xdr:cNvSpPr/>
      </xdr:nvSpPr>
      <xdr:spPr>
        <a:xfrm>
          <a:off x="11182350" y="257175"/>
          <a:ext cx="1400175" cy="361950"/>
        </a:xfrm>
        <a:prstGeom prst="rightArrow">
          <a:avLst/>
        </a:prstGeom>
        <a:solidFill>
          <a:schemeClr val="accent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00" kern="1200"/>
            <a:t>Xem chi tiết</a:t>
          </a:r>
          <a:r>
            <a:rPr lang="en-US" sz="900" kern="1200" baseline="0"/>
            <a:t> hàng tháng</a:t>
          </a:r>
          <a:endParaRPr lang="en-US" sz="900" kern="1200"/>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13</xdr:col>
      <xdr:colOff>161925</xdr:colOff>
      <xdr:row>0</xdr:row>
      <xdr:rowOff>28576</xdr:rowOff>
    </xdr:from>
    <xdr:to>
      <xdr:col>13</xdr:col>
      <xdr:colOff>714375</xdr:colOff>
      <xdr:row>3</xdr:row>
      <xdr:rowOff>9525</xdr:rowOff>
    </xdr:to>
    <xdr:sp macro="" textlink="">
      <xdr:nvSpPr>
        <xdr:cNvPr id="2" name="Arrow: Left 1">
          <a:hlinkClick xmlns:r="http://schemas.openxmlformats.org/officeDocument/2006/relationships" r:id="rId1"/>
          <a:extLst>
            <a:ext uri="{FF2B5EF4-FFF2-40B4-BE49-F238E27FC236}">
              <a16:creationId xmlns:a16="http://schemas.microsoft.com/office/drawing/2014/main" id="{128FAD16-AFA2-4E1E-98FD-D4975FFCED85}"/>
            </a:ext>
          </a:extLst>
        </xdr:cNvPr>
        <xdr:cNvSpPr/>
      </xdr:nvSpPr>
      <xdr:spPr>
        <a:xfrm>
          <a:off x="11287125" y="28576"/>
          <a:ext cx="552450" cy="247649"/>
        </a:xfrm>
        <a:prstGeom prst="leftArrow">
          <a:avLst/>
        </a:prstGeom>
        <a:solidFill>
          <a:srgbClr val="ED1B2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t>Back</a:t>
          </a:r>
        </a:p>
      </xdr:txBody>
    </xdr:sp>
    <xdr:clientData/>
  </xdr:twoCellAnchor>
  <xdr:twoCellAnchor>
    <xdr:from>
      <xdr:col>13</xdr:col>
      <xdr:colOff>161925</xdr:colOff>
      <xdr:row>2</xdr:row>
      <xdr:rowOff>57150</xdr:rowOff>
    </xdr:from>
    <xdr:to>
      <xdr:col>15</xdr:col>
      <xdr:colOff>57150</xdr:colOff>
      <xdr:row>4</xdr:row>
      <xdr:rowOff>209550</xdr:rowOff>
    </xdr:to>
    <xdr:sp macro="" textlink="">
      <xdr:nvSpPr>
        <xdr:cNvPr id="3" name="Arrow: Right 2">
          <a:hlinkClick xmlns:r="http://schemas.openxmlformats.org/officeDocument/2006/relationships" r:id="rId2"/>
          <a:extLst>
            <a:ext uri="{FF2B5EF4-FFF2-40B4-BE49-F238E27FC236}">
              <a16:creationId xmlns:a16="http://schemas.microsoft.com/office/drawing/2014/main" id="{0425DC36-9BE3-4817-AF89-C1B9AD273912}"/>
            </a:ext>
          </a:extLst>
        </xdr:cNvPr>
        <xdr:cNvSpPr/>
      </xdr:nvSpPr>
      <xdr:spPr>
        <a:xfrm>
          <a:off x="11287125" y="257175"/>
          <a:ext cx="1400175" cy="314325"/>
        </a:xfrm>
        <a:prstGeom prst="rightArrow">
          <a:avLst/>
        </a:prstGeom>
        <a:solidFill>
          <a:schemeClr val="accent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00" kern="1200"/>
            <a:t>Xem chi tiết</a:t>
          </a:r>
          <a:r>
            <a:rPr lang="en-US" sz="900" kern="1200" baseline="0"/>
            <a:t> hàng tháng</a:t>
          </a:r>
          <a:endParaRPr lang="en-US" sz="900" kern="1200"/>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23</xdr:col>
      <xdr:colOff>235639</xdr:colOff>
      <xdr:row>1</xdr:row>
      <xdr:rowOff>828</xdr:rowOff>
    </xdr:from>
    <xdr:to>
      <xdr:col>24</xdr:col>
      <xdr:colOff>343313</xdr:colOff>
      <xdr:row>2</xdr:row>
      <xdr:rowOff>89452</xdr:rowOff>
    </xdr:to>
    <xdr:sp macro="" textlink="">
      <xdr:nvSpPr>
        <xdr:cNvPr id="2" name="Arrow: Left 1">
          <a:hlinkClick xmlns:r="http://schemas.openxmlformats.org/officeDocument/2006/relationships" r:id="rId1"/>
          <a:extLst>
            <a:ext uri="{FF2B5EF4-FFF2-40B4-BE49-F238E27FC236}">
              <a16:creationId xmlns:a16="http://schemas.microsoft.com/office/drawing/2014/main" id="{F0411019-7DF7-42AA-A17A-E907974B2CB9}"/>
            </a:ext>
          </a:extLst>
        </xdr:cNvPr>
        <xdr:cNvSpPr/>
      </xdr:nvSpPr>
      <xdr:spPr>
        <a:xfrm>
          <a:off x="6617389" y="124653"/>
          <a:ext cx="555349" cy="241024"/>
        </a:xfrm>
        <a:prstGeom prst="leftArrow">
          <a:avLst/>
        </a:prstGeom>
        <a:solidFill>
          <a:srgbClr val="ED1B2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t>Back</a:t>
          </a: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33</xdr:col>
      <xdr:colOff>38100</xdr:colOff>
      <xdr:row>0</xdr:row>
      <xdr:rowOff>38100</xdr:rowOff>
    </xdr:from>
    <xdr:to>
      <xdr:col>34</xdr:col>
      <xdr:colOff>104776</xdr:colOff>
      <xdr:row>2</xdr:row>
      <xdr:rowOff>0</xdr:rowOff>
    </xdr:to>
    <xdr:sp macro="" textlink="">
      <xdr:nvSpPr>
        <xdr:cNvPr id="2" name="Arrow: Left 1">
          <a:hlinkClick xmlns:r="http://schemas.openxmlformats.org/officeDocument/2006/relationships" r:id="rId1"/>
          <a:extLst>
            <a:ext uri="{FF2B5EF4-FFF2-40B4-BE49-F238E27FC236}">
              <a16:creationId xmlns:a16="http://schemas.microsoft.com/office/drawing/2014/main" id="{FBE8B25B-D38C-4E25-A462-D1277343DEB4}"/>
            </a:ext>
          </a:extLst>
        </xdr:cNvPr>
        <xdr:cNvSpPr/>
      </xdr:nvSpPr>
      <xdr:spPr>
        <a:xfrm>
          <a:off x="11963400" y="38100"/>
          <a:ext cx="657226" cy="247650"/>
        </a:xfrm>
        <a:prstGeom prst="leftArrow">
          <a:avLst/>
        </a:prstGeom>
        <a:solidFill>
          <a:srgbClr val="EC645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t>Back</a:t>
          </a: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23</xdr:col>
      <xdr:colOff>235639</xdr:colOff>
      <xdr:row>1</xdr:row>
      <xdr:rowOff>828</xdr:rowOff>
    </xdr:from>
    <xdr:to>
      <xdr:col>24</xdr:col>
      <xdr:colOff>343313</xdr:colOff>
      <xdr:row>2</xdr:row>
      <xdr:rowOff>89452</xdr:rowOff>
    </xdr:to>
    <xdr:sp macro="" textlink="">
      <xdr:nvSpPr>
        <xdr:cNvPr id="2" name="Arrow: Left 1">
          <a:hlinkClick xmlns:r="http://schemas.openxmlformats.org/officeDocument/2006/relationships" r:id="rId1"/>
          <a:extLst>
            <a:ext uri="{FF2B5EF4-FFF2-40B4-BE49-F238E27FC236}">
              <a16:creationId xmlns:a16="http://schemas.microsoft.com/office/drawing/2014/main" id="{888153AA-A134-4514-9CF7-7E98B5D87295}"/>
            </a:ext>
          </a:extLst>
        </xdr:cNvPr>
        <xdr:cNvSpPr/>
      </xdr:nvSpPr>
      <xdr:spPr>
        <a:xfrm>
          <a:off x="7360339" y="124653"/>
          <a:ext cx="555349" cy="241024"/>
        </a:xfrm>
        <a:prstGeom prst="leftArrow">
          <a:avLst/>
        </a:prstGeom>
        <a:solidFill>
          <a:srgbClr val="ED1B2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t>Back</a:t>
          </a: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16</xdr:col>
      <xdr:colOff>238124</xdr:colOff>
      <xdr:row>0</xdr:row>
      <xdr:rowOff>38100</xdr:rowOff>
    </xdr:from>
    <xdr:to>
      <xdr:col>17</xdr:col>
      <xdr:colOff>285749</xdr:colOff>
      <xdr:row>1</xdr:row>
      <xdr:rowOff>142875</xdr:rowOff>
    </xdr:to>
    <xdr:sp macro="" textlink="">
      <xdr:nvSpPr>
        <xdr:cNvPr id="2" name="Arrow: Left 1">
          <a:hlinkClick xmlns:r="http://schemas.openxmlformats.org/officeDocument/2006/relationships" r:id="rId1"/>
          <a:extLst>
            <a:ext uri="{FF2B5EF4-FFF2-40B4-BE49-F238E27FC236}">
              <a16:creationId xmlns:a16="http://schemas.microsoft.com/office/drawing/2014/main" id="{193BAD8F-3815-4F07-9BE2-8E27B0DF01DC}"/>
            </a:ext>
          </a:extLst>
        </xdr:cNvPr>
        <xdr:cNvSpPr/>
      </xdr:nvSpPr>
      <xdr:spPr>
        <a:xfrm>
          <a:off x="11658599" y="38100"/>
          <a:ext cx="581025" cy="304800"/>
        </a:xfrm>
        <a:prstGeom prst="leftArrow">
          <a:avLst/>
        </a:prstGeom>
        <a:solidFill>
          <a:srgbClr val="ED1B2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t>Back</a:t>
          </a:r>
        </a:p>
      </xdr:txBody>
    </xdr:sp>
    <xdr:clientData/>
  </xdr:twoCellAnchor>
</xdr:wsDr>
</file>

<file path=xl/drawings/drawing23.xml><?xml version="1.0" encoding="utf-8"?>
<xdr:wsDr xmlns:xdr="http://schemas.openxmlformats.org/drawingml/2006/spreadsheetDrawing" xmlns:a="http://schemas.openxmlformats.org/drawingml/2006/main">
  <xdr:twoCellAnchor editAs="oneCell">
    <xdr:from>
      <xdr:col>6</xdr:col>
      <xdr:colOff>400050</xdr:colOff>
      <xdr:row>17</xdr:row>
      <xdr:rowOff>85725</xdr:rowOff>
    </xdr:from>
    <xdr:to>
      <xdr:col>8</xdr:col>
      <xdr:colOff>589433</xdr:colOff>
      <xdr:row>26</xdr:row>
      <xdr:rowOff>152399</xdr:rowOff>
    </xdr:to>
    <xdr:pic>
      <xdr:nvPicPr>
        <xdr:cNvPr id="3" name="Picture 2">
          <a:extLst>
            <a:ext uri="{FF2B5EF4-FFF2-40B4-BE49-F238E27FC236}">
              <a16:creationId xmlns:a16="http://schemas.microsoft.com/office/drawing/2014/main" id="{00000000-0008-0000-0400-000003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r="13776"/>
        <a:stretch/>
      </xdr:blipFill>
      <xdr:spPr>
        <a:xfrm>
          <a:off x="3467100" y="2828925"/>
          <a:ext cx="1776179" cy="1724025"/>
        </a:xfrm>
        <a:prstGeom prst="rect">
          <a:avLst/>
        </a:prstGeom>
      </xdr:spPr>
    </xdr:pic>
    <xdr:clientData/>
  </xdr:twoCellAnchor>
  <xdr:twoCellAnchor editAs="oneCell">
    <xdr:from>
      <xdr:col>6</xdr:col>
      <xdr:colOff>632016</xdr:colOff>
      <xdr:row>42</xdr:row>
      <xdr:rowOff>201749</xdr:rowOff>
    </xdr:from>
    <xdr:to>
      <xdr:col>9</xdr:col>
      <xdr:colOff>157945</xdr:colOff>
      <xdr:row>51</xdr:row>
      <xdr:rowOff>171450</xdr:rowOff>
    </xdr:to>
    <xdr:pic>
      <xdr:nvPicPr>
        <xdr:cNvPr id="4" name="Picture 3">
          <a:extLst>
            <a:ext uri="{FF2B5EF4-FFF2-40B4-BE49-F238E27FC236}">
              <a16:creationId xmlns:a16="http://schemas.microsoft.com/office/drawing/2014/main" id="{00000000-0008-0000-0400-000004000000}"/>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r="9621"/>
        <a:stretch/>
      </xdr:blipFill>
      <xdr:spPr>
        <a:xfrm>
          <a:off x="3699066" y="7631249"/>
          <a:ext cx="1739134" cy="1627051"/>
        </a:xfrm>
        <a:prstGeom prst="rect">
          <a:avLst/>
        </a:prstGeom>
      </xdr:spPr>
    </xdr:pic>
    <xdr:clientData/>
  </xdr:twoCellAnchor>
  <xdr:twoCellAnchor editAs="oneCell">
    <xdr:from>
      <xdr:col>7</xdr:col>
      <xdr:colOff>560</xdr:colOff>
      <xdr:row>55</xdr:row>
      <xdr:rowOff>57150</xdr:rowOff>
    </xdr:from>
    <xdr:to>
      <xdr:col>9</xdr:col>
      <xdr:colOff>282413</xdr:colOff>
      <xdr:row>62</xdr:row>
      <xdr:rowOff>10009</xdr:rowOff>
    </xdr:to>
    <xdr:pic>
      <xdr:nvPicPr>
        <xdr:cNvPr id="5" name="Picture 4">
          <a:extLst>
            <a:ext uri="{FF2B5EF4-FFF2-40B4-BE49-F238E27FC236}">
              <a16:creationId xmlns:a16="http://schemas.microsoft.com/office/drawing/2014/main" id="{00000000-0008-0000-0400-000005000000}"/>
            </a:ext>
          </a:extLst>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r="8393"/>
        <a:stretch/>
      </xdr:blipFill>
      <xdr:spPr>
        <a:xfrm>
          <a:off x="3724835" y="9848850"/>
          <a:ext cx="1703363" cy="1581634"/>
        </a:xfrm>
        <a:prstGeom prst="rect">
          <a:avLst/>
        </a:prstGeom>
      </xdr:spPr>
    </xdr:pic>
    <xdr:clientData/>
  </xdr:twoCellAnchor>
  <xdr:twoCellAnchor editAs="oneCell">
    <xdr:from>
      <xdr:col>7</xdr:col>
      <xdr:colOff>72763</xdr:colOff>
      <xdr:row>65</xdr:row>
      <xdr:rowOff>48358</xdr:rowOff>
    </xdr:from>
    <xdr:to>
      <xdr:col>9</xdr:col>
      <xdr:colOff>142799</xdr:colOff>
      <xdr:row>70</xdr:row>
      <xdr:rowOff>66577</xdr:rowOff>
    </xdr:to>
    <xdr:pic>
      <xdr:nvPicPr>
        <xdr:cNvPr id="6" name="Picture 5">
          <a:extLst>
            <a:ext uri="{FF2B5EF4-FFF2-40B4-BE49-F238E27FC236}">
              <a16:creationId xmlns:a16="http://schemas.microsoft.com/office/drawing/2014/main" id="{00000000-0008-0000-0400-000006000000}"/>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r="7890"/>
        <a:stretch/>
      </xdr:blipFill>
      <xdr:spPr>
        <a:xfrm>
          <a:off x="3516417" y="12145108"/>
          <a:ext cx="1495942" cy="1337065"/>
        </a:xfrm>
        <a:prstGeom prst="rect">
          <a:avLst/>
        </a:prstGeom>
      </xdr:spPr>
    </xdr:pic>
    <xdr:clientData/>
  </xdr:twoCellAnchor>
  <xdr:twoCellAnchor>
    <xdr:from>
      <xdr:col>11</xdr:col>
      <xdr:colOff>65942</xdr:colOff>
      <xdr:row>0</xdr:row>
      <xdr:rowOff>7327</xdr:rowOff>
    </xdr:from>
    <xdr:to>
      <xdr:col>12</xdr:col>
      <xdr:colOff>19233</xdr:colOff>
      <xdr:row>1</xdr:row>
      <xdr:rowOff>232630</xdr:rowOff>
    </xdr:to>
    <xdr:sp macro="" textlink="">
      <xdr:nvSpPr>
        <xdr:cNvPr id="7" name="Arrow: Left 6">
          <a:hlinkClick xmlns:r="http://schemas.openxmlformats.org/officeDocument/2006/relationships" r:id="rId5"/>
          <a:extLst>
            <a:ext uri="{FF2B5EF4-FFF2-40B4-BE49-F238E27FC236}">
              <a16:creationId xmlns:a16="http://schemas.microsoft.com/office/drawing/2014/main" id="{00000000-0008-0000-0400-000007000000}"/>
            </a:ext>
          </a:extLst>
        </xdr:cNvPr>
        <xdr:cNvSpPr/>
      </xdr:nvSpPr>
      <xdr:spPr>
        <a:xfrm>
          <a:off x="6374423" y="7327"/>
          <a:ext cx="488156" cy="261938"/>
        </a:xfrm>
        <a:prstGeom prst="leftArrow">
          <a:avLst>
            <a:gd name="adj1" fmla="val 50000"/>
            <a:gd name="adj2" fmla="val 50000"/>
          </a:avLst>
        </a:prstGeom>
        <a:solidFill>
          <a:srgbClr val="D3114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00">
              <a:solidFill>
                <a:schemeClr val="bg1"/>
              </a:solidFill>
            </a:rPr>
            <a:t>Back</a:t>
          </a: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23</xdr:col>
      <xdr:colOff>235639</xdr:colOff>
      <xdr:row>1</xdr:row>
      <xdr:rowOff>828</xdr:rowOff>
    </xdr:from>
    <xdr:to>
      <xdr:col>24</xdr:col>
      <xdr:colOff>343313</xdr:colOff>
      <xdr:row>2</xdr:row>
      <xdr:rowOff>89452</xdr:rowOff>
    </xdr:to>
    <xdr:sp macro="" textlink="">
      <xdr:nvSpPr>
        <xdr:cNvPr id="2" name="Arrow: Left 1">
          <a:hlinkClick xmlns:r="http://schemas.openxmlformats.org/officeDocument/2006/relationships" r:id="rId1"/>
          <a:extLst>
            <a:ext uri="{FF2B5EF4-FFF2-40B4-BE49-F238E27FC236}">
              <a16:creationId xmlns:a16="http://schemas.microsoft.com/office/drawing/2014/main" id="{7F26D6AC-8FDD-4607-B438-AE76244EC132}"/>
            </a:ext>
          </a:extLst>
        </xdr:cNvPr>
        <xdr:cNvSpPr/>
      </xdr:nvSpPr>
      <xdr:spPr>
        <a:xfrm>
          <a:off x="6617389" y="124653"/>
          <a:ext cx="555349" cy="241024"/>
        </a:xfrm>
        <a:prstGeom prst="leftArrow">
          <a:avLst/>
        </a:prstGeom>
        <a:solidFill>
          <a:srgbClr val="ED1B2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t>Back</a:t>
          </a: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13</xdr:col>
      <xdr:colOff>161925</xdr:colOff>
      <xdr:row>0</xdr:row>
      <xdr:rowOff>28576</xdr:rowOff>
    </xdr:from>
    <xdr:to>
      <xdr:col>13</xdr:col>
      <xdr:colOff>714375</xdr:colOff>
      <xdr:row>3</xdr:row>
      <xdr:rowOff>9525</xdr:rowOff>
    </xdr:to>
    <xdr:sp macro="" textlink="">
      <xdr:nvSpPr>
        <xdr:cNvPr id="2" name="Arrow: Left 1">
          <a:hlinkClick xmlns:r="http://schemas.openxmlformats.org/officeDocument/2006/relationships" r:id="rId1"/>
          <a:extLst>
            <a:ext uri="{FF2B5EF4-FFF2-40B4-BE49-F238E27FC236}">
              <a16:creationId xmlns:a16="http://schemas.microsoft.com/office/drawing/2014/main" id="{EFBFFD83-6E1D-4888-8CC4-167AD9F8C1C0}"/>
            </a:ext>
          </a:extLst>
        </xdr:cNvPr>
        <xdr:cNvSpPr/>
      </xdr:nvSpPr>
      <xdr:spPr>
        <a:xfrm>
          <a:off x="11182350" y="28576"/>
          <a:ext cx="552450" cy="247649"/>
        </a:xfrm>
        <a:prstGeom prst="leftArrow">
          <a:avLst/>
        </a:prstGeom>
        <a:solidFill>
          <a:srgbClr val="ED1B2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t>Back</a:t>
          </a:r>
        </a:p>
      </xdr:txBody>
    </xdr:sp>
    <xdr:clientData/>
  </xdr:twoCellAnchor>
  <xdr:twoCellAnchor>
    <xdr:from>
      <xdr:col>13</xdr:col>
      <xdr:colOff>161925</xdr:colOff>
      <xdr:row>2</xdr:row>
      <xdr:rowOff>57150</xdr:rowOff>
    </xdr:from>
    <xdr:to>
      <xdr:col>15</xdr:col>
      <xdr:colOff>57150</xdr:colOff>
      <xdr:row>4</xdr:row>
      <xdr:rowOff>209550</xdr:rowOff>
    </xdr:to>
    <xdr:sp macro="" textlink="">
      <xdr:nvSpPr>
        <xdr:cNvPr id="3" name="Arrow: Right 2">
          <a:hlinkClick xmlns:r="http://schemas.openxmlformats.org/officeDocument/2006/relationships" r:id="rId2"/>
          <a:extLst>
            <a:ext uri="{FF2B5EF4-FFF2-40B4-BE49-F238E27FC236}">
              <a16:creationId xmlns:a16="http://schemas.microsoft.com/office/drawing/2014/main" id="{BE7FDE67-C352-4DFF-B7B8-009AA0022757}"/>
            </a:ext>
          </a:extLst>
        </xdr:cNvPr>
        <xdr:cNvSpPr/>
      </xdr:nvSpPr>
      <xdr:spPr>
        <a:xfrm>
          <a:off x="11182350" y="257175"/>
          <a:ext cx="1400175" cy="361950"/>
        </a:xfrm>
        <a:prstGeom prst="rightArrow">
          <a:avLst/>
        </a:prstGeom>
        <a:solidFill>
          <a:schemeClr val="accent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00" kern="1200"/>
            <a:t>Xem chi tiết</a:t>
          </a:r>
          <a:r>
            <a:rPr lang="en-US" sz="900" kern="1200" baseline="0"/>
            <a:t> hàng tháng</a:t>
          </a:r>
          <a:endParaRPr lang="en-US" sz="900" kern="1200"/>
        </a:p>
      </xdr:txBody>
    </xdr:sp>
    <xdr:clientData/>
  </xdr:twoCellAnchor>
</xdr:wsDr>
</file>

<file path=xl/drawings/drawing26.xml><?xml version="1.0" encoding="utf-8"?>
<xdr:wsDr xmlns:xdr="http://schemas.openxmlformats.org/drawingml/2006/spreadsheetDrawing" xmlns:a="http://schemas.openxmlformats.org/drawingml/2006/main">
  <xdr:twoCellAnchor>
    <xdr:from>
      <xdr:col>13</xdr:col>
      <xdr:colOff>161925</xdr:colOff>
      <xdr:row>0</xdr:row>
      <xdr:rowOff>28576</xdr:rowOff>
    </xdr:from>
    <xdr:to>
      <xdr:col>13</xdr:col>
      <xdr:colOff>714375</xdr:colOff>
      <xdr:row>3</xdr:row>
      <xdr:rowOff>9525</xdr:rowOff>
    </xdr:to>
    <xdr:sp macro="" textlink="">
      <xdr:nvSpPr>
        <xdr:cNvPr id="2" name="Arrow: Left 1">
          <a:hlinkClick xmlns:r="http://schemas.openxmlformats.org/officeDocument/2006/relationships" r:id="rId1"/>
          <a:extLst>
            <a:ext uri="{FF2B5EF4-FFF2-40B4-BE49-F238E27FC236}">
              <a16:creationId xmlns:a16="http://schemas.microsoft.com/office/drawing/2014/main" id="{881B11AA-23AC-4338-AE94-EF14FC096588}"/>
            </a:ext>
          </a:extLst>
        </xdr:cNvPr>
        <xdr:cNvSpPr/>
      </xdr:nvSpPr>
      <xdr:spPr>
        <a:xfrm>
          <a:off x="11182350" y="28576"/>
          <a:ext cx="552450" cy="247649"/>
        </a:xfrm>
        <a:prstGeom prst="leftArrow">
          <a:avLst/>
        </a:prstGeom>
        <a:solidFill>
          <a:srgbClr val="ED1B2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t>Back</a:t>
          </a:r>
        </a:p>
      </xdr:txBody>
    </xdr:sp>
    <xdr:clientData/>
  </xdr:twoCellAnchor>
  <xdr:twoCellAnchor>
    <xdr:from>
      <xdr:col>13</xdr:col>
      <xdr:colOff>161925</xdr:colOff>
      <xdr:row>2</xdr:row>
      <xdr:rowOff>57150</xdr:rowOff>
    </xdr:from>
    <xdr:to>
      <xdr:col>15</xdr:col>
      <xdr:colOff>57150</xdr:colOff>
      <xdr:row>4</xdr:row>
      <xdr:rowOff>209550</xdr:rowOff>
    </xdr:to>
    <xdr:sp macro="" textlink="">
      <xdr:nvSpPr>
        <xdr:cNvPr id="3" name="Arrow: Right 2">
          <a:hlinkClick xmlns:r="http://schemas.openxmlformats.org/officeDocument/2006/relationships" r:id="rId2"/>
          <a:extLst>
            <a:ext uri="{FF2B5EF4-FFF2-40B4-BE49-F238E27FC236}">
              <a16:creationId xmlns:a16="http://schemas.microsoft.com/office/drawing/2014/main" id="{A60A4540-4B7F-4C43-8E93-BDE33DB24934}"/>
            </a:ext>
          </a:extLst>
        </xdr:cNvPr>
        <xdr:cNvSpPr/>
      </xdr:nvSpPr>
      <xdr:spPr>
        <a:xfrm>
          <a:off x="11182350" y="257175"/>
          <a:ext cx="1400175" cy="361950"/>
        </a:xfrm>
        <a:prstGeom prst="rightArrow">
          <a:avLst/>
        </a:prstGeom>
        <a:solidFill>
          <a:schemeClr val="accent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00" kern="1200"/>
            <a:t>Xem chi tiết</a:t>
          </a:r>
          <a:r>
            <a:rPr lang="en-US" sz="900" kern="1200" baseline="0"/>
            <a:t> hàng tháng</a:t>
          </a:r>
          <a:endParaRPr lang="en-US" sz="900" kern="1200"/>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16</xdr:col>
      <xdr:colOff>238124</xdr:colOff>
      <xdr:row>0</xdr:row>
      <xdr:rowOff>38100</xdr:rowOff>
    </xdr:from>
    <xdr:to>
      <xdr:col>17</xdr:col>
      <xdr:colOff>285749</xdr:colOff>
      <xdr:row>1</xdr:row>
      <xdr:rowOff>142875</xdr:rowOff>
    </xdr:to>
    <xdr:sp macro="" textlink="">
      <xdr:nvSpPr>
        <xdr:cNvPr id="2" name="Arrow: Left 1">
          <a:hlinkClick xmlns:r="http://schemas.openxmlformats.org/officeDocument/2006/relationships" r:id="rId1"/>
          <a:extLst>
            <a:ext uri="{FF2B5EF4-FFF2-40B4-BE49-F238E27FC236}">
              <a16:creationId xmlns:a16="http://schemas.microsoft.com/office/drawing/2014/main" id="{AC044F23-7235-4F44-B770-4DB738B61950}"/>
            </a:ext>
          </a:extLst>
        </xdr:cNvPr>
        <xdr:cNvSpPr/>
      </xdr:nvSpPr>
      <xdr:spPr>
        <a:xfrm>
          <a:off x="11658599" y="38100"/>
          <a:ext cx="581025" cy="304800"/>
        </a:xfrm>
        <a:prstGeom prst="leftArrow">
          <a:avLst/>
        </a:prstGeom>
        <a:solidFill>
          <a:srgbClr val="ED1B2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t>Back</a:t>
          </a:r>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23</xdr:col>
      <xdr:colOff>235639</xdr:colOff>
      <xdr:row>1</xdr:row>
      <xdr:rowOff>828</xdr:rowOff>
    </xdr:from>
    <xdr:to>
      <xdr:col>24</xdr:col>
      <xdr:colOff>343313</xdr:colOff>
      <xdr:row>2</xdr:row>
      <xdr:rowOff>89452</xdr:rowOff>
    </xdr:to>
    <xdr:sp macro="" textlink="">
      <xdr:nvSpPr>
        <xdr:cNvPr id="2" name="Arrow: Left 1">
          <a:hlinkClick xmlns:r="http://schemas.openxmlformats.org/officeDocument/2006/relationships" r:id="rId1"/>
          <a:extLst>
            <a:ext uri="{FF2B5EF4-FFF2-40B4-BE49-F238E27FC236}">
              <a16:creationId xmlns:a16="http://schemas.microsoft.com/office/drawing/2014/main" id="{7365060E-6627-4BEC-AC01-4EF0F1F370BD}"/>
            </a:ext>
          </a:extLst>
        </xdr:cNvPr>
        <xdr:cNvSpPr/>
      </xdr:nvSpPr>
      <xdr:spPr>
        <a:xfrm>
          <a:off x="6617389" y="124653"/>
          <a:ext cx="555349" cy="241024"/>
        </a:xfrm>
        <a:prstGeom prst="leftArrow">
          <a:avLst/>
        </a:prstGeom>
        <a:solidFill>
          <a:srgbClr val="ED1B2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t>Back</a:t>
          </a:r>
        </a:p>
      </xdr:txBody>
    </xdr:sp>
    <xdr:clientData/>
  </xdr:twoCellAnchor>
</xdr:wsDr>
</file>

<file path=xl/drawings/drawing2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12700</xdr:colOff>
          <xdr:row>4</xdr:row>
          <xdr:rowOff>171450</xdr:rowOff>
        </xdr:from>
        <xdr:to>
          <xdr:col>2</xdr:col>
          <xdr:colOff>457200</xdr:colOff>
          <xdr:row>6</xdr:row>
          <xdr:rowOff>31750</xdr:rowOff>
        </xdr:to>
        <xdr:sp macro="" textlink="">
          <xdr:nvSpPr>
            <xdr:cNvPr id="43009" name="Check Box 1" hidden="1">
              <a:extLst>
                <a:ext uri="{63B3BB69-23CF-44E3-9099-C40C66FF867C}">
                  <a14:compatExt spid="_x0000_s43009"/>
                </a:ext>
                <a:ext uri="{FF2B5EF4-FFF2-40B4-BE49-F238E27FC236}">
                  <a16:creationId xmlns:a16="http://schemas.microsoft.com/office/drawing/2014/main" id="{00000000-0008-0000-1F00-000001A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Trong vòng 5 năm</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114300</xdr:colOff>
          <xdr:row>4</xdr:row>
          <xdr:rowOff>184150</xdr:rowOff>
        </xdr:from>
        <xdr:to>
          <xdr:col>4</xdr:col>
          <xdr:colOff>488950</xdr:colOff>
          <xdr:row>6</xdr:row>
          <xdr:rowOff>31750</xdr:rowOff>
        </xdr:to>
        <xdr:sp macro="" textlink="">
          <xdr:nvSpPr>
            <xdr:cNvPr id="43010" name="Check Box 2" hidden="1">
              <a:extLst>
                <a:ext uri="{63B3BB69-23CF-44E3-9099-C40C66FF867C}">
                  <a14:compatExt spid="_x0000_s43010"/>
                </a:ext>
                <a:ext uri="{FF2B5EF4-FFF2-40B4-BE49-F238E27FC236}">
                  <a16:creationId xmlns:a16="http://schemas.microsoft.com/office/drawing/2014/main" id="{00000000-0008-0000-1F00-000002A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Trên 5 năm</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209550</xdr:colOff>
          <xdr:row>5</xdr:row>
          <xdr:rowOff>0</xdr:rowOff>
        </xdr:from>
        <xdr:to>
          <xdr:col>7</xdr:col>
          <xdr:colOff>412750</xdr:colOff>
          <xdr:row>6</xdr:row>
          <xdr:rowOff>12700</xdr:rowOff>
        </xdr:to>
        <xdr:sp macro="" textlink="">
          <xdr:nvSpPr>
            <xdr:cNvPr id="43011" name="Check Box 3" hidden="1">
              <a:extLst>
                <a:ext uri="{63B3BB69-23CF-44E3-9099-C40C66FF867C}">
                  <a14:compatExt spid="_x0000_s43011"/>
                </a:ext>
                <a:ext uri="{FF2B5EF4-FFF2-40B4-BE49-F238E27FC236}">
                  <a16:creationId xmlns:a16="http://schemas.microsoft.com/office/drawing/2014/main" id="{00000000-0008-0000-1F00-000003A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Chưa từng nằm viện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12700</xdr:colOff>
          <xdr:row>8</xdr:row>
          <xdr:rowOff>184150</xdr:rowOff>
        </xdr:from>
        <xdr:to>
          <xdr:col>2</xdr:col>
          <xdr:colOff>457200</xdr:colOff>
          <xdr:row>10</xdr:row>
          <xdr:rowOff>31750</xdr:rowOff>
        </xdr:to>
        <xdr:sp macro="" textlink="">
          <xdr:nvSpPr>
            <xdr:cNvPr id="43012" name="Check Box 4" hidden="1">
              <a:extLst>
                <a:ext uri="{63B3BB69-23CF-44E3-9099-C40C66FF867C}">
                  <a14:compatExt spid="_x0000_s43012"/>
                </a:ext>
                <a:ext uri="{FF2B5EF4-FFF2-40B4-BE49-F238E27FC236}">
                  <a16:creationId xmlns:a16="http://schemas.microsoft.com/office/drawing/2014/main" id="{00000000-0008-0000-1F00-000004A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Dưới 10 triệu</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508000</xdr:colOff>
          <xdr:row>8</xdr:row>
          <xdr:rowOff>184150</xdr:rowOff>
        </xdr:from>
        <xdr:to>
          <xdr:col>4</xdr:col>
          <xdr:colOff>266700</xdr:colOff>
          <xdr:row>10</xdr:row>
          <xdr:rowOff>31750</xdr:rowOff>
        </xdr:to>
        <xdr:sp macro="" textlink="">
          <xdr:nvSpPr>
            <xdr:cNvPr id="43013" name="Check Box 5" hidden="1">
              <a:extLst>
                <a:ext uri="{63B3BB69-23CF-44E3-9099-C40C66FF867C}">
                  <a14:compatExt spid="_x0000_s43013"/>
                </a:ext>
                <a:ext uri="{FF2B5EF4-FFF2-40B4-BE49-F238E27FC236}">
                  <a16:creationId xmlns:a16="http://schemas.microsoft.com/office/drawing/2014/main" id="{00000000-0008-0000-1F00-000005A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10-20 triệu</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450850</xdr:colOff>
          <xdr:row>8</xdr:row>
          <xdr:rowOff>190500</xdr:rowOff>
        </xdr:from>
        <xdr:to>
          <xdr:col>6</xdr:col>
          <xdr:colOff>222250</xdr:colOff>
          <xdr:row>10</xdr:row>
          <xdr:rowOff>31750</xdr:rowOff>
        </xdr:to>
        <xdr:sp macro="" textlink="">
          <xdr:nvSpPr>
            <xdr:cNvPr id="43014" name="Check Box 6" hidden="1">
              <a:extLst>
                <a:ext uri="{63B3BB69-23CF-44E3-9099-C40C66FF867C}">
                  <a14:compatExt spid="_x0000_s43014"/>
                </a:ext>
                <a:ext uri="{FF2B5EF4-FFF2-40B4-BE49-F238E27FC236}">
                  <a16:creationId xmlns:a16="http://schemas.microsoft.com/office/drawing/2014/main" id="{00000000-0008-0000-1F00-000006A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20-50 triệu</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279400</xdr:colOff>
          <xdr:row>8</xdr:row>
          <xdr:rowOff>190500</xdr:rowOff>
        </xdr:from>
        <xdr:to>
          <xdr:col>8</xdr:col>
          <xdr:colOff>50800</xdr:colOff>
          <xdr:row>10</xdr:row>
          <xdr:rowOff>31750</xdr:rowOff>
        </xdr:to>
        <xdr:sp macro="" textlink="">
          <xdr:nvSpPr>
            <xdr:cNvPr id="43015" name="Check Box 7" hidden="1">
              <a:extLst>
                <a:ext uri="{63B3BB69-23CF-44E3-9099-C40C66FF867C}">
                  <a14:compatExt spid="_x0000_s43015"/>
                </a:ext>
                <a:ext uri="{FF2B5EF4-FFF2-40B4-BE49-F238E27FC236}">
                  <a16:creationId xmlns:a16="http://schemas.microsoft.com/office/drawing/2014/main" id="{00000000-0008-0000-1F00-000007A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Trên 50 triệu</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76200</xdr:colOff>
          <xdr:row>8</xdr:row>
          <xdr:rowOff>190500</xdr:rowOff>
        </xdr:from>
        <xdr:to>
          <xdr:col>9</xdr:col>
          <xdr:colOff>527050</xdr:colOff>
          <xdr:row>10</xdr:row>
          <xdr:rowOff>31750</xdr:rowOff>
        </xdr:to>
        <xdr:sp macro="" textlink="">
          <xdr:nvSpPr>
            <xdr:cNvPr id="43016" name="Check Box 8" hidden="1">
              <a:extLst>
                <a:ext uri="{63B3BB69-23CF-44E3-9099-C40C66FF867C}">
                  <a14:compatExt spid="_x0000_s43016"/>
                </a:ext>
                <a:ext uri="{FF2B5EF4-FFF2-40B4-BE49-F238E27FC236}">
                  <a16:creationId xmlns:a16="http://schemas.microsoft.com/office/drawing/2014/main" id="{00000000-0008-0000-1F00-000008A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Chưa từng nằm viện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12</xdr:row>
          <xdr:rowOff>184150</xdr:rowOff>
        </xdr:from>
        <xdr:to>
          <xdr:col>2</xdr:col>
          <xdr:colOff>457200</xdr:colOff>
          <xdr:row>14</xdr:row>
          <xdr:rowOff>31750</xdr:rowOff>
        </xdr:to>
        <xdr:sp macro="" textlink="">
          <xdr:nvSpPr>
            <xdr:cNvPr id="43017" name="Check Box 9" hidden="1">
              <a:extLst>
                <a:ext uri="{63B3BB69-23CF-44E3-9099-C40C66FF867C}">
                  <a14:compatExt spid="_x0000_s43017"/>
                </a:ext>
                <a:ext uri="{FF2B5EF4-FFF2-40B4-BE49-F238E27FC236}">
                  <a16:creationId xmlns:a16="http://schemas.microsoft.com/office/drawing/2014/main" id="{00000000-0008-0000-1F00-000009A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Bệnh viện công</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495300</xdr:colOff>
          <xdr:row>12</xdr:row>
          <xdr:rowOff>184150</xdr:rowOff>
        </xdr:from>
        <xdr:to>
          <xdr:col>4</xdr:col>
          <xdr:colOff>260350</xdr:colOff>
          <xdr:row>14</xdr:row>
          <xdr:rowOff>31750</xdr:rowOff>
        </xdr:to>
        <xdr:sp macro="" textlink="">
          <xdr:nvSpPr>
            <xdr:cNvPr id="43018" name="Check Box 10" hidden="1">
              <a:extLst>
                <a:ext uri="{63B3BB69-23CF-44E3-9099-C40C66FF867C}">
                  <a14:compatExt spid="_x0000_s43018"/>
                </a:ext>
                <a:ext uri="{FF2B5EF4-FFF2-40B4-BE49-F238E27FC236}">
                  <a16:creationId xmlns:a16="http://schemas.microsoft.com/office/drawing/2014/main" id="{00000000-0008-0000-1F00-00000AA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Bệnh viện tư</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12700</xdr:colOff>
          <xdr:row>16</xdr:row>
          <xdr:rowOff>184150</xdr:rowOff>
        </xdr:from>
        <xdr:to>
          <xdr:col>2</xdr:col>
          <xdr:colOff>457200</xdr:colOff>
          <xdr:row>18</xdr:row>
          <xdr:rowOff>19050</xdr:rowOff>
        </xdr:to>
        <xdr:sp macro="" textlink="">
          <xdr:nvSpPr>
            <xdr:cNvPr id="43019" name="Check Box 11" hidden="1">
              <a:extLst>
                <a:ext uri="{63B3BB69-23CF-44E3-9099-C40C66FF867C}">
                  <a14:compatExt spid="_x0000_s43019"/>
                </a:ext>
                <a:ext uri="{FF2B5EF4-FFF2-40B4-BE49-F238E27FC236}">
                  <a16:creationId xmlns:a16="http://schemas.microsoft.com/office/drawing/2014/main" id="{00000000-0008-0000-1F00-00000BA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Chưa có con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508000</xdr:colOff>
          <xdr:row>16</xdr:row>
          <xdr:rowOff>184150</xdr:rowOff>
        </xdr:from>
        <xdr:to>
          <xdr:col>4</xdr:col>
          <xdr:colOff>266700</xdr:colOff>
          <xdr:row>18</xdr:row>
          <xdr:rowOff>19050</xdr:rowOff>
        </xdr:to>
        <xdr:sp macro="" textlink="">
          <xdr:nvSpPr>
            <xdr:cNvPr id="43020" name="Check Box 12" hidden="1">
              <a:extLst>
                <a:ext uri="{63B3BB69-23CF-44E3-9099-C40C66FF867C}">
                  <a14:compatExt spid="_x0000_s43020"/>
                </a:ext>
                <a:ext uri="{FF2B5EF4-FFF2-40B4-BE49-F238E27FC236}">
                  <a16:creationId xmlns:a16="http://schemas.microsoft.com/office/drawing/2014/main" id="{00000000-0008-0000-1F00-00000CA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450850</xdr:colOff>
          <xdr:row>17</xdr:row>
          <xdr:rowOff>0</xdr:rowOff>
        </xdr:from>
        <xdr:to>
          <xdr:col>6</xdr:col>
          <xdr:colOff>222250</xdr:colOff>
          <xdr:row>18</xdr:row>
          <xdr:rowOff>31750</xdr:rowOff>
        </xdr:to>
        <xdr:sp macro="" textlink="">
          <xdr:nvSpPr>
            <xdr:cNvPr id="43021" name="Check Box 13" hidden="1">
              <a:extLst>
                <a:ext uri="{63B3BB69-23CF-44E3-9099-C40C66FF867C}">
                  <a14:compatExt spid="_x0000_s43021"/>
                </a:ext>
                <a:ext uri="{FF2B5EF4-FFF2-40B4-BE49-F238E27FC236}">
                  <a16:creationId xmlns:a16="http://schemas.microsoft.com/office/drawing/2014/main" id="{00000000-0008-0000-1F00-00000DA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279400</xdr:colOff>
          <xdr:row>17</xdr:row>
          <xdr:rowOff>0</xdr:rowOff>
        </xdr:from>
        <xdr:to>
          <xdr:col>8</xdr:col>
          <xdr:colOff>50800</xdr:colOff>
          <xdr:row>18</xdr:row>
          <xdr:rowOff>31750</xdr:rowOff>
        </xdr:to>
        <xdr:sp macro="" textlink="">
          <xdr:nvSpPr>
            <xdr:cNvPr id="43022" name="Check Box 14" hidden="1">
              <a:extLst>
                <a:ext uri="{63B3BB69-23CF-44E3-9099-C40C66FF867C}">
                  <a14:compatExt spid="_x0000_s43022"/>
                </a:ext>
                <a:ext uri="{FF2B5EF4-FFF2-40B4-BE49-F238E27FC236}">
                  <a16:creationId xmlns:a16="http://schemas.microsoft.com/office/drawing/2014/main" id="{00000000-0008-0000-1F00-00000EA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76200</xdr:colOff>
          <xdr:row>17</xdr:row>
          <xdr:rowOff>0</xdr:rowOff>
        </xdr:from>
        <xdr:to>
          <xdr:col>9</xdr:col>
          <xdr:colOff>527050</xdr:colOff>
          <xdr:row>18</xdr:row>
          <xdr:rowOff>31750</xdr:rowOff>
        </xdr:to>
        <xdr:sp macro="" textlink="">
          <xdr:nvSpPr>
            <xdr:cNvPr id="43023" name="Check Box 15" hidden="1">
              <a:extLst>
                <a:ext uri="{63B3BB69-23CF-44E3-9099-C40C66FF867C}">
                  <a14:compatExt spid="_x0000_s43023"/>
                </a:ext>
                <a:ext uri="{FF2B5EF4-FFF2-40B4-BE49-F238E27FC236}">
                  <a16:creationId xmlns:a16="http://schemas.microsoft.com/office/drawing/2014/main" id="{00000000-0008-0000-1F00-00000FA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Nhiều hơn 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12700</xdr:colOff>
          <xdr:row>20</xdr:row>
          <xdr:rowOff>184150</xdr:rowOff>
        </xdr:from>
        <xdr:to>
          <xdr:col>2</xdr:col>
          <xdr:colOff>457200</xdr:colOff>
          <xdr:row>22</xdr:row>
          <xdr:rowOff>31750</xdr:rowOff>
        </xdr:to>
        <xdr:sp macro="" textlink="">
          <xdr:nvSpPr>
            <xdr:cNvPr id="43024" name="Check Box 16" hidden="1">
              <a:extLst>
                <a:ext uri="{63B3BB69-23CF-44E3-9099-C40C66FF867C}">
                  <a14:compatExt spid="_x0000_s43024"/>
                </a:ext>
                <a:ext uri="{FF2B5EF4-FFF2-40B4-BE49-F238E27FC236}">
                  <a16:creationId xmlns:a16="http://schemas.microsoft.com/office/drawing/2014/main" id="{00000000-0008-0000-1F00-000010A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Chỉ có BHYT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508000</xdr:colOff>
          <xdr:row>20</xdr:row>
          <xdr:rowOff>184150</xdr:rowOff>
        </xdr:from>
        <xdr:to>
          <xdr:col>4</xdr:col>
          <xdr:colOff>266700</xdr:colOff>
          <xdr:row>22</xdr:row>
          <xdr:rowOff>31750</xdr:rowOff>
        </xdr:to>
        <xdr:sp macro="" textlink="">
          <xdr:nvSpPr>
            <xdr:cNvPr id="43025" name="Check Box 17" hidden="1">
              <a:extLst>
                <a:ext uri="{63B3BB69-23CF-44E3-9099-C40C66FF867C}">
                  <a14:compatExt spid="_x0000_s43025"/>
                </a:ext>
                <a:ext uri="{FF2B5EF4-FFF2-40B4-BE49-F238E27FC236}">
                  <a16:creationId xmlns:a16="http://schemas.microsoft.com/office/drawing/2014/main" id="{00000000-0008-0000-1F00-000011A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Chỉ có thẻ rời mua ngoài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603250</xdr:colOff>
          <xdr:row>20</xdr:row>
          <xdr:rowOff>184150</xdr:rowOff>
        </xdr:from>
        <xdr:to>
          <xdr:col>7</xdr:col>
          <xdr:colOff>438150</xdr:colOff>
          <xdr:row>22</xdr:row>
          <xdr:rowOff>31750</xdr:rowOff>
        </xdr:to>
        <xdr:sp macro="" textlink="">
          <xdr:nvSpPr>
            <xdr:cNvPr id="43026" name="Check Box 18" hidden="1">
              <a:extLst>
                <a:ext uri="{63B3BB69-23CF-44E3-9099-C40C66FF867C}">
                  <a14:compatExt spid="_x0000_s43026"/>
                </a:ext>
                <a:ext uri="{FF2B5EF4-FFF2-40B4-BE49-F238E27FC236}">
                  <a16:creationId xmlns:a16="http://schemas.microsoft.com/office/drawing/2014/main" id="{00000000-0008-0000-1F00-000012A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Dùng đồng thời cả 2 loại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12700</xdr:colOff>
          <xdr:row>30</xdr:row>
          <xdr:rowOff>184150</xdr:rowOff>
        </xdr:from>
        <xdr:to>
          <xdr:col>2</xdr:col>
          <xdr:colOff>457200</xdr:colOff>
          <xdr:row>32</xdr:row>
          <xdr:rowOff>31750</xdr:rowOff>
        </xdr:to>
        <xdr:sp macro="" textlink="">
          <xdr:nvSpPr>
            <xdr:cNvPr id="43027" name="Check Box 19" hidden="1">
              <a:extLst>
                <a:ext uri="{63B3BB69-23CF-44E3-9099-C40C66FF867C}">
                  <a14:compatExt spid="_x0000_s43027"/>
                </a:ext>
                <a:ext uri="{FF2B5EF4-FFF2-40B4-BE49-F238E27FC236}">
                  <a16:creationId xmlns:a16="http://schemas.microsoft.com/office/drawing/2014/main" id="{00000000-0008-0000-1F00-000013A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Hạn mức chi trả cao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12700</xdr:colOff>
          <xdr:row>31</xdr:row>
          <xdr:rowOff>184150</xdr:rowOff>
        </xdr:from>
        <xdr:to>
          <xdr:col>5</xdr:col>
          <xdr:colOff>495300</xdr:colOff>
          <xdr:row>33</xdr:row>
          <xdr:rowOff>0</xdr:rowOff>
        </xdr:to>
        <xdr:sp macro="" textlink="">
          <xdr:nvSpPr>
            <xdr:cNvPr id="43028" name="Check Box 20" hidden="1">
              <a:extLst>
                <a:ext uri="{63B3BB69-23CF-44E3-9099-C40C66FF867C}">
                  <a14:compatExt spid="_x0000_s43028"/>
                </a:ext>
                <a:ext uri="{FF2B5EF4-FFF2-40B4-BE49-F238E27FC236}">
                  <a16:creationId xmlns:a16="http://schemas.microsoft.com/office/drawing/2014/main" id="{00000000-0008-0000-1F00-000014A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Tiện lợi, chăm sóc chu đáo của bệnh viện tư nhân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12700</xdr:colOff>
          <xdr:row>32</xdr:row>
          <xdr:rowOff>171450</xdr:rowOff>
        </xdr:from>
        <xdr:to>
          <xdr:col>4</xdr:col>
          <xdr:colOff>304800</xdr:colOff>
          <xdr:row>34</xdr:row>
          <xdr:rowOff>12700</xdr:rowOff>
        </xdr:to>
        <xdr:sp macro="" textlink="">
          <xdr:nvSpPr>
            <xdr:cNvPr id="43029" name="Check Box 21" hidden="1">
              <a:extLst>
                <a:ext uri="{63B3BB69-23CF-44E3-9099-C40C66FF867C}">
                  <a14:compatExt spid="_x0000_s43029"/>
                </a:ext>
                <a:ext uri="{FF2B5EF4-FFF2-40B4-BE49-F238E27FC236}">
                  <a16:creationId xmlns:a16="http://schemas.microsoft.com/office/drawing/2014/main" id="{00000000-0008-0000-1F00-000015A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Có thể dùng để điều trị ở nước ngoài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12700</xdr:colOff>
          <xdr:row>33</xdr:row>
          <xdr:rowOff>171450</xdr:rowOff>
        </xdr:from>
        <xdr:to>
          <xdr:col>3</xdr:col>
          <xdr:colOff>381000</xdr:colOff>
          <xdr:row>35</xdr:row>
          <xdr:rowOff>12700</xdr:rowOff>
        </xdr:to>
        <xdr:sp macro="" textlink="">
          <xdr:nvSpPr>
            <xdr:cNvPr id="43030" name="Check Box 22" hidden="1">
              <a:extLst>
                <a:ext uri="{63B3BB69-23CF-44E3-9099-C40C66FF867C}">
                  <a14:compatExt spid="_x0000_s43030"/>
                </a:ext>
                <a:ext uri="{FF2B5EF4-FFF2-40B4-BE49-F238E27FC236}">
                  <a16:creationId xmlns:a16="http://schemas.microsoft.com/office/drawing/2014/main" id="{00000000-0008-0000-1F00-000016A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Phạm vi bảo lãnh nhiều CSYT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12700</xdr:colOff>
          <xdr:row>34</xdr:row>
          <xdr:rowOff>171450</xdr:rowOff>
        </xdr:from>
        <xdr:to>
          <xdr:col>5</xdr:col>
          <xdr:colOff>190500</xdr:colOff>
          <xdr:row>35</xdr:row>
          <xdr:rowOff>171450</xdr:rowOff>
        </xdr:to>
        <xdr:sp macro="" textlink="">
          <xdr:nvSpPr>
            <xdr:cNvPr id="43031" name="Check Box 23" hidden="1">
              <a:extLst>
                <a:ext uri="{63B3BB69-23CF-44E3-9099-C40C66FF867C}">
                  <a14:compatExt spid="_x0000_s43031"/>
                </a:ext>
                <a:ext uri="{FF2B5EF4-FFF2-40B4-BE49-F238E27FC236}">
                  <a16:creationId xmlns:a16="http://schemas.microsoft.com/office/drawing/2014/main" id="{00000000-0008-0000-1F00-000017A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Hạn mức phòng giường trong thẻ cao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12700</xdr:colOff>
          <xdr:row>38</xdr:row>
          <xdr:rowOff>184150</xdr:rowOff>
        </xdr:from>
        <xdr:to>
          <xdr:col>2</xdr:col>
          <xdr:colOff>457200</xdr:colOff>
          <xdr:row>40</xdr:row>
          <xdr:rowOff>31750</xdr:rowOff>
        </xdr:to>
        <xdr:sp macro="" textlink="">
          <xdr:nvSpPr>
            <xdr:cNvPr id="43032" name="Check Box 24" hidden="1">
              <a:extLst>
                <a:ext uri="{63B3BB69-23CF-44E3-9099-C40C66FF867C}">
                  <a14:compatExt spid="_x0000_s43032"/>
                </a:ext>
                <a:ext uri="{FF2B5EF4-FFF2-40B4-BE49-F238E27FC236}">
                  <a16:creationId xmlns:a16="http://schemas.microsoft.com/office/drawing/2014/main" id="{00000000-0008-0000-1F00-000018A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Khoảng 1 triệu</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12700</xdr:colOff>
          <xdr:row>39</xdr:row>
          <xdr:rowOff>184150</xdr:rowOff>
        </xdr:from>
        <xdr:to>
          <xdr:col>3</xdr:col>
          <xdr:colOff>165100</xdr:colOff>
          <xdr:row>41</xdr:row>
          <xdr:rowOff>19050</xdr:rowOff>
        </xdr:to>
        <xdr:sp macro="" textlink="">
          <xdr:nvSpPr>
            <xdr:cNvPr id="43033" name="Check Box 25" hidden="1">
              <a:extLst>
                <a:ext uri="{63B3BB69-23CF-44E3-9099-C40C66FF867C}">
                  <a14:compatExt spid="_x0000_s43033"/>
                </a:ext>
                <a:ext uri="{FF2B5EF4-FFF2-40B4-BE49-F238E27FC236}">
                  <a16:creationId xmlns:a16="http://schemas.microsoft.com/office/drawing/2014/main" id="{00000000-0008-0000-1F00-000019A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2-3 triệu</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12700</xdr:colOff>
          <xdr:row>40</xdr:row>
          <xdr:rowOff>171450</xdr:rowOff>
        </xdr:from>
        <xdr:to>
          <xdr:col>4</xdr:col>
          <xdr:colOff>304800</xdr:colOff>
          <xdr:row>42</xdr:row>
          <xdr:rowOff>12700</xdr:rowOff>
        </xdr:to>
        <xdr:sp macro="" textlink="">
          <xdr:nvSpPr>
            <xdr:cNvPr id="43034" name="Check Box 26" hidden="1">
              <a:extLst>
                <a:ext uri="{63B3BB69-23CF-44E3-9099-C40C66FF867C}">
                  <a14:compatExt spid="_x0000_s43034"/>
                </a:ext>
                <a:ext uri="{FF2B5EF4-FFF2-40B4-BE49-F238E27FC236}">
                  <a16:creationId xmlns:a16="http://schemas.microsoft.com/office/drawing/2014/main" id="{00000000-0008-0000-1F00-00001AA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3-5 triệu</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12700</xdr:colOff>
          <xdr:row>41</xdr:row>
          <xdr:rowOff>171450</xdr:rowOff>
        </xdr:from>
        <xdr:to>
          <xdr:col>3</xdr:col>
          <xdr:colOff>381000</xdr:colOff>
          <xdr:row>43</xdr:row>
          <xdr:rowOff>12700</xdr:rowOff>
        </xdr:to>
        <xdr:sp macro="" textlink="">
          <xdr:nvSpPr>
            <xdr:cNvPr id="43035" name="Check Box 27" hidden="1">
              <a:extLst>
                <a:ext uri="{63B3BB69-23CF-44E3-9099-C40C66FF867C}">
                  <a14:compatExt spid="_x0000_s43035"/>
                </a:ext>
                <a:ext uri="{FF2B5EF4-FFF2-40B4-BE49-F238E27FC236}">
                  <a16:creationId xmlns:a16="http://schemas.microsoft.com/office/drawing/2014/main" id="{00000000-0008-0000-1F00-00001BA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5- 10 triệu</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12700</xdr:colOff>
          <xdr:row>42</xdr:row>
          <xdr:rowOff>171450</xdr:rowOff>
        </xdr:from>
        <xdr:to>
          <xdr:col>4</xdr:col>
          <xdr:colOff>50800</xdr:colOff>
          <xdr:row>43</xdr:row>
          <xdr:rowOff>171450</xdr:rowOff>
        </xdr:to>
        <xdr:sp macro="" textlink="">
          <xdr:nvSpPr>
            <xdr:cNvPr id="43036" name="Check Box 28" hidden="1">
              <a:extLst>
                <a:ext uri="{63B3BB69-23CF-44E3-9099-C40C66FF867C}">
                  <a14:compatExt spid="_x0000_s43036"/>
                </a:ext>
                <a:ext uri="{FF2B5EF4-FFF2-40B4-BE49-F238E27FC236}">
                  <a16:creationId xmlns:a16="http://schemas.microsoft.com/office/drawing/2014/main" id="{00000000-0008-0000-1F00-00001CA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Trên 10 triệu</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12700</xdr:colOff>
          <xdr:row>46</xdr:row>
          <xdr:rowOff>184150</xdr:rowOff>
        </xdr:from>
        <xdr:to>
          <xdr:col>2</xdr:col>
          <xdr:colOff>457200</xdr:colOff>
          <xdr:row>48</xdr:row>
          <xdr:rowOff>31750</xdr:rowOff>
        </xdr:to>
        <xdr:sp macro="" textlink="">
          <xdr:nvSpPr>
            <xdr:cNvPr id="43037" name="Check Box 29" hidden="1">
              <a:extLst>
                <a:ext uri="{63B3BB69-23CF-44E3-9099-C40C66FF867C}">
                  <a14:compatExt spid="_x0000_s43037"/>
                </a:ext>
                <a:ext uri="{FF2B5EF4-FFF2-40B4-BE49-F238E27FC236}">
                  <a16:creationId xmlns:a16="http://schemas.microsoft.com/office/drawing/2014/main" id="{00000000-0008-0000-1F00-00001DA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Dưới 10 triệu</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12700</xdr:colOff>
          <xdr:row>47</xdr:row>
          <xdr:rowOff>184150</xdr:rowOff>
        </xdr:from>
        <xdr:to>
          <xdr:col>3</xdr:col>
          <xdr:colOff>165100</xdr:colOff>
          <xdr:row>49</xdr:row>
          <xdr:rowOff>19050</xdr:rowOff>
        </xdr:to>
        <xdr:sp macro="" textlink="">
          <xdr:nvSpPr>
            <xdr:cNvPr id="43038" name="Check Box 30" hidden="1">
              <a:extLst>
                <a:ext uri="{63B3BB69-23CF-44E3-9099-C40C66FF867C}">
                  <a14:compatExt spid="_x0000_s43038"/>
                </a:ext>
                <a:ext uri="{FF2B5EF4-FFF2-40B4-BE49-F238E27FC236}">
                  <a16:creationId xmlns:a16="http://schemas.microsoft.com/office/drawing/2014/main" id="{00000000-0008-0000-1F00-00001EA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10 - 20 triệu</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12700</xdr:colOff>
          <xdr:row>48</xdr:row>
          <xdr:rowOff>171450</xdr:rowOff>
        </xdr:from>
        <xdr:to>
          <xdr:col>4</xdr:col>
          <xdr:colOff>304800</xdr:colOff>
          <xdr:row>50</xdr:row>
          <xdr:rowOff>12700</xdr:rowOff>
        </xdr:to>
        <xdr:sp macro="" textlink="">
          <xdr:nvSpPr>
            <xdr:cNvPr id="43039" name="Check Box 31" hidden="1">
              <a:extLst>
                <a:ext uri="{63B3BB69-23CF-44E3-9099-C40C66FF867C}">
                  <a14:compatExt spid="_x0000_s43039"/>
                </a:ext>
                <a:ext uri="{FF2B5EF4-FFF2-40B4-BE49-F238E27FC236}">
                  <a16:creationId xmlns:a16="http://schemas.microsoft.com/office/drawing/2014/main" id="{00000000-0008-0000-1F00-00001FA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20 - 30 triệu</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12700</xdr:colOff>
          <xdr:row>49</xdr:row>
          <xdr:rowOff>171450</xdr:rowOff>
        </xdr:from>
        <xdr:to>
          <xdr:col>3</xdr:col>
          <xdr:colOff>381000</xdr:colOff>
          <xdr:row>51</xdr:row>
          <xdr:rowOff>12700</xdr:rowOff>
        </xdr:to>
        <xdr:sp macro="" textlink="">
          <xdr:nvSpPr>
            <xdr:cNvPr id="43040" name="Check Box 32" hidden="1">
              <a:extLst>
                <a:ext uri="{63B3BB69-23CF-44E3-9099-C40C66FF867C}">
                  <a14:compatExt spid="_x0000_s43040"/>
                </a:ext>
                <a:ext uri="{FF2B5EF4-FFF2-40B4-BE49-F238E27FC236}">
                  <a16:creationId xmlns:a16="http://schemas.microsoft.com/office/drawing/2014/main" id="{00000000-0008-0000-1F00-000020A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Trên 30 triệu</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12700</xdr:colOff>
          <xdr:row>54</xdr:row>
          <xdr:rowOff>0</xdr:rowOff>
        </xdr:from>
        <xdr:to>
          <xdr:col>3</xdr:col>
          <xdr:colOff>419100</xdr:colOff>
          <xdr:row>55</xdr:row>
          <xdr:rowOff>31750</xdr:rowOff>
        </xdr:to>
        <xdr:sp macro="" textlink="">
          <xdr:nvSpPr>
            <xdr:cNvPr id="43041" name="Check Box 33" hidden="1">
              <a:extLst>
                <a:ext uri="{63B3BB69-23CF-44E3-9099-C40C66FF867C}">
                  <a14:compatExt spid="_x0000_s43041"/>
                </a:ext>
                <a:ext uri="{FF2B5EF4-FFF2-40B4-BE49-F238E27FC236}">
                  <a16:creationId xmlns:a16="http://schemas.microsoft.com/office/drawing/2014/main" id="{00000000-0008-0000-1F00-000021A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Tự tin được bảo hiểm toàn diện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12700</xdr:colOff>
          <xdr:row>54</xdr:row>
          <xdr:rowOff>184150</xdr:rowOff>
        </xdr:from>
        <xdr:to>
          <xdr:col>4</xdr:col>
          <xdr:colOff>317500</xdr:colOff>
          <xdr:row>56</xdr:row>
          <xdr:rowOff>19050</xdr:rowOff>
        </xdr:to>
        <xdr:sp macro="" textlink="">
          <xdr:nvSpPr>
            <xdr:cNvPr id="43042" name="Check Box 34" hidden="1">
              <a:extLst>
                <a:ext uri="{63B3BB69-23CF-44E3-9099-C40C66FF867C}">
                  <a14:compatExt spid="_x0000_s43042"/>
                </a:ext>
                <a:ext uri="{FF2B5EF4-FFF2-40B4-BE49-F238E27FC236}">
                  <a16:creationId xmlns:a16="http://schemas.microsoft.com/office/drawing/2014/main" id="{00000000-0008-0000-1F00-000022A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Có thể bị loại trừ 1 số bệnh đã mắc</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12700</xdr:colOff>
          <xdr:row>55</xdr:row>
          <xdr:rowOff>171450</xdr:rowOff>
        </xdr:from>
        <xdr:to>
          <xdr:col>7</xdr:col>
          <xdr:colOff>88900</xdr:colOff>
          <xdr:row>57</xdr:row>
          <xdr:rowOff>12700</xdr:rowOff>
        </xdr:to>
        <xdr:sp macro="" textlink="">
          <xdr:nvSpPr>
            <xdr:cNvPr id="43043" name="Check Box 35" hidden="1">
              <a:extLst>
                <a:ext uri="{63B3BB69-23CF-44E3-9099-C40C66FF867C}">
                  <a14:compatExt spid="_x0000_s43043"/>
                </a:ext>
                <a:ext uri="{FF2B5EF4-FFF2-40B4-BE49-F238E27FC236}">
                  <a16:creationId xmlns:a16="http://schemas.microsoft.com/office/drawing/2014/main" id="{00000000-0008-0000-1F00-000023A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Có thể không được mua vì chưa rõ tình trạng bệnh đã mắc có đủ điều kiện hay không</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12700</xdr:colOff>
          <xdr:row>24</xdr:row>
          <xdr:rowOff>184150</xdr:rowOff>
        </xdr:from>
        <xdr:to>
          <xdr:col>2</xdr:col>
          <xdr:colOff>457200</xdr:colOff>
          <xdr:row>26</xdr:row>
          <xdr:rowOff>31750</xdr:rowOff>
        </xdr:to>
        <xdr:sp macro="" textlink="">
          <xdr:nvSpPr>
            <xdr:cNvPr id="43044" name="Check Box 36" hidden="1">
              <a:extLst>
                <a:ext uri="{63B3BB69-23CF-44E3-9099-C40C66FF867C}">
                  <a14:compatExt spid="_x0000_s43044"/>
                </a:ext>
                <a:ext uri="{FF2B5EF4-FFF2-40B4-BE49-F238E27FC236}">
                  <a16:creationId xmlns:a16="http://schemas.microsoft.com/office/drawing/2014/main" id="{00000000-0008-0000-1F00-000024A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Điều trị nội trú</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12700</xdr:colOff>
          <xdr:row>25</xdr:row>
          <xdr:rowOff>184150</xdr:rowOff>
        </xdr:from>
        <xdr:to>
          <xdr:col>3</xdr:col>
          <xdr:colOff>165100</xdr:colOff>
          <xdr:row>27</xdr:row>
          <xdr:rowOff>19050</xdr:rowOff>
        </xdr:to>
        <xdr:sp macro="" textlink="">
          <xdr:nvSpPr>
            <xdr:cNvPr id="43045" name="Check Box 37" hidden="1">
              <a:extLst>
                <a:ext uri="{63B3BB69-23CF-44E3-9099-C40C66FF867C}">
                  <a14:compatExt spid="_x0000_s43045"/>
                </a:ext>
                <a:ext uri="{FF2B5EF4-FFF2-40B4-BE49-F238E27FC236}">
                  <a16:creationId xmlns:a16="http://schemas.microsoft.com/office/drawing/2014/main" id="{00000000-0008-0000-1F00-000025A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Điều trị ngoại trú</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12700</xdr:colOff>
          <xdr:row>26</xdr:row>
          <xdr:rowOff>171450</xdr:rowOff>
        </xdr:from>
        <xdr:to>
          <xdr:col>4</xdr:col>
          <xdr:colOff>304800</xdr:colOff>
          <xdr:row>28</xdr:row>
          <xdr:rowOff>12700</xdr:rowOff>
        </xdr:to>
        <xdr:sp macro="" textlink="">
          <xdr:nvSpPr>
            <xdr:cNvPr id="43046" name="Check Box 38" hidden="1">
              <a:extLst>
                <a:ext uri="{63B3BB69-23CF-44E3-9099-C40C66FF867C}">
                  <a14:compatExt spid="_x0000_s43046"/>
                </a:ext>
                <a:ext uri="{FF2B5EF4-FFF2-40B4-BE49-F238E27FC236}">
                  <a16:creationId xmlns:a16="http://schemas.microsoft.com/office/drawing/2014/main" id="{00000000-0008-0000-1F00-000026A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Cả nội &amp; ngoại trú</a:t>
              </a:r>
            </a:p>
          </xdr:txBody>
        </xdr:sp>
        <xdr:clientData/>
      </xdr:twoCellAnchor>
    </mc:Choice>
    <mc:Fallback/>
  </mc:AlternateContent>
  <xdr:twoCellAnchor>
    <xdr:from>
      <xdr:col>10</xdr:col>
      <xdr:colOff>59122</xdr:colOff>
      <xdr:row>0</xdr:row>
      <xdr:rowOff>32845</xdr:rowOff>
    </xdr:from>
    <xdr:to>
      <xdr:col>11</xdr:col>
      <xdr:colOff>32846</xdr:colOff>
      <xdr:row>1</xdr:row>
      <xdr:rowOff>52550</xdr:rowOff>
    </xdr:to>
    <xdr:sp macro="" textlink="">
      <xdr:nvSpPr>
        <xdr:cNvPr id="2" name="Arrow: Left 1">
          <a:hlinkClick xmlns:r="http://schemas.openxmlformats.org/officeDocument/2006/relationships" r:id="rId1"/>
          <a:extLst>
            <a:ext uri="{FF2B5EF4-FFF2-40B4-BE49-F238E27FC236}">
              <a16:creationId xmlns:a16="http://schemas.microsoft.com/office/drawing/2014/main" id="{00000000-0008-0000-0800-000002000000}"/>
            </a:ext>
          </a:extLst>
        </xdr:cNvPr>
        <xdr:cNvSpPr/>
      </xdr:nvSpPr>
      <xdr:spPr>
        <a:xfrm>
          <a:off x="5240722" y="32845"/>
          <a:ext cx="507124" cy="286405"/>
        </a:xfrm>
        <a:prstGeom prst="leftArrow">
          <a:avLst/>
        </a:prstGeom>
        <a:solidFill>
          <a:srgbClr val="D3114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000"/>
            <a:t>Back</a:t>
          </a:r>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23</xdr:col>
      <xdr:colOff>235639</xdr:colOff>
      <xdr:row>1</xdr:row>
      <xdr:rowOff>828</xdr:rowOff>
    </xdr:from>
    <xdr:to>
      <xdr:col>24</xdr:col>
      <xdr:colOff>343313</xdr:colOff>
      <xdr:row>2</xdr:row>
      <xdr:rowOff>89452</xdr:rowOff>
    </xdr:to>
    <xdr:sp macro="" textlink="">
      <xdr:nvSpPr>
        <xdr:cNvPr id="2" name="Arrow: Left 1">
          <a:hlinkClick xmlns:r="http://schemas.openxmlformats.org/officeDocument/2006/relationships" r:id="rId1"/>
          <a:extLst>
            <a:ext uri="{FF2B5EF4-FFF2-40B4-BE49-F238E27FC236}">
              <a16:creationId xmlns:a16="http://schemas.microsoft.com/office/drawing/2014/main" id="{C9AEB820-2988-48E7-8758-EC362421EA29}"/>
            </a:ext>
          </a:extLst>
        </xdr:cNvPr>
        <xdr:cNvSpPr/>
      </xdr:nvSpPr>
      <xdr:spPr>
        <a:xfrm>
          <a:off x="6617389" y="124653"/>
          <a:ext cx="555349" cy="241024"/>
        </a:xfrm>
        <a:prstGeom prst="leftArrow">
          <a:avLst/>
        </a:prstGeom>
        <a:solidFill>
          <a:srgbClr val="ED1B2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t>Back</a:t>
          </a:r>
        </a:p>
      </xdr:txBody>
    </xdr:sp>
    <xdr:clientData/>
  </xdr:twoCellAnchor>
</xdr:wsDr>
</file>

<file path=xl/drawings/drawing31.xml><?xml version="1.0" encoding="utf-8"?>
<xdr:wsDr xmlns:xdr="http://schemas.openxmlformats.org/drawingml/2006/spreadsheetDrawing" xmlns:a="http://schemas.openxmlformats.org/drawingml/2006/main">
  <xdr:twoCellAnchor>
    <xdr:from>
      <xdr:col>14</xdr:col>
      <xdr:colOff>0</xdr:colOff>
      <xdr:row>0</xdr:row>
      <xdr:rowOff>0</xdr:rowOff>
    </xdr:from>
    <xdr:to>
      <xdr:col>15</xdr:col>
      <xdr:colOff>190500</xdr:colOff>
      <xdr:row>1</xdr:row>
      <xdr:rowOff>190499</xdr:rowOff>
    </xdr:to>
    <xdr:sp macro="" textlink="">
      <xdr:nvSpPr>
        <xdr:cNvPr id="3" name="Arrow: Left 2">
          <a:hlinkClick xmlns:r="http://schemas.openxmlformats.org/officeDocument/2006/relationships" r:id="rId1"/>
          <a:extLst>
            <a:ext uri="{FF2B5EF4-FFF2-40B4-BE49-F238E27FC236}">
              <a16:creationId xmlns:a16="http://schemas.microsoft.com/office/drawing/2014/main" id="{00000000-0008-0000-2000-000003000000}"/>
            </a:ext>
          </a:extLst>
        </xdr:cNvPr>
        <xdr:cNvSpPr/>
      </xdr:nvSpPr>
      <xdr:spPr>
        <a:xfrm>
          <a:off x="13043647" y="0"/>
          <a:ext cx="728382" cy="448234"/>
        </a:xfrm>
        <a:prstGeom prst="leftArrow">
          <a:avLst>
            <a:gd name="adj1" fmla="val 50000"/>
            <a:gd name="adj2" fmla="val 50000"/>
          </a:avLst>
        </a:prstGeom>
        <a:solidFill>
          <a:srgbClr val="D3114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solidFill>
                <a:schemeClr val="bg1"/>
              </a:solidFill>
            </a:rPr>
            <a:t>Back</a:t>
          </a:r>
        </a:p>
      </xdr:txBody>
    </xdr:sp>
    <xdr:clientData/>
  </xdr:twoCellAnchor>
</xdr:wsDr>
</file>

<file path=xl/drawings/drawing32.xml><?xml version="1.0" encoding="utf-8"?>
<xdr:wsDr xmlns:xdr="http://schemas.openxmlformats.org/drawingml/2006/spreadsheetDrawing" xmlns:a="http://schemas.openxmlformats.org/drawingml/2006/main">
  <xdr:twoCellAnchor>
    <xdr:from>
      <xdr:col>16</xdr:col>
      <xdr:colOff>238124</xdr:colOff>
      <xdr:row>0</xdr:row>
      <xdr:rowOff>38100</xdr:rowOff>
    </xdr:from>
    <xdr:to>
      <xdr:col>17</xdr:col>
      <xdr:colOff>285749</xdr:colOff>
      <xdr:row>1</xdr:row>
      <xdr:rowOff>142875</xdr:rowOff>
    </xdr:to>
    <xdr:sp macro="" textlink="">
      <xdr:nvSpPr>
        <xdr:cNvPr id="2" name="Arrow: Left 1">
          <a:hlinkClick xmlns:r="http://schemas.openxmlformats.org/officeDocument/2006/relationships" r:id="rId1"/>
          <a:extLst>
            <a:ext uri="{FF2B5EF4-FFF2-40B4-BE49-F238E27FC236}">
              <a16:creationId xmlns:a16="http://schemas.microsoft.com/office/drawing/2014/main" id="{4D498305-05B2-4175-B3E6-F5C96ECA0595}"/>
            </a:ext>
          </a:extLst>
        </xdr:cNvPr>
        <xdr:cNvSpPr/>
      </xdr:nvSpPr>
      <xdr:spPr>
        <a:xfrm>
          <a:off x="11658599" y="38100"/>
          <a:ext cx="581025" cy="304800"/>
        </a:xfrm>
        <a:prstGeom prst="leftArrow">
          <a:avLst/>
        </a:prstGeom>
        <a:solidFill>
          <a:srgbClr val="ED1B2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t>Back</a:t>
          </a:r>
        </a:p>
      </xdr:txBody>
    </xdr:sp>
    <xdr:clientData/>
  </xdr:twoCellAnchor>
</xdr:wsDr>
</file>

<file path=xl/drawings/drawing33.xml><?xml version="1.0" encoding="utf-8"?>
<xdr:wsDr xmlns:xdr="http://schemas.openxmlformats.org/drawingml/2006/spreadsheetDrawing" xmlns:a="http://schemas.openxmlformats.org/drawingml/2006/main">
  <xdr:twoCellAnchor>
    <xdr:from>
      <xdr:col>16</xdr:col>
      <xdr:colOff>238124</xdr:colOff>
      <xdr:row>0</xdr:row>
      <xdr:rowOff>38100</xdr:rowOff>
    </xdr:from>
    <xdr:to>
      <xdr:col>17</xdr:col>
      <xdr:colOff>285749</xdr:colOff>
      <xdr:row>1</xdr:row>
      <xdr:rowOff>142875</xdr:rowOff>
    </xdr:to>
    <xdr:sp macro="" textlink="">
      <xdr:nvSpPr>
        <xdr:cNvPr id="2" name="Arrow: Left 1">
          <a:hlinkClick xmlns:r="http://schemas.openxmlformats.org/officeDocument/2006/relationships" r:id="rId1"/>
          <a:extLst>
            <a:ext uri="{FF2B5EF4-FFF2-40B4-BE49-F238E27FC236}">
              <a16:creationId xmlns:a16="http://schemas.microsoft.com/office/drawing/2014/main" id="{2F986D3F-11F5-4EB6-B75C-6D572729AD3B}"/>
            </a:ext>
          </a:extLst>
        </xdr:cNvPr>
        <xdr:cNvSpPr/>
      </xdr:nvSpPr>
      <xdr:spPr>
        <a:xfrm>
          <a:off x="11658599" y="38100"/>
          <a:ext cx="581025" cy="304800"/>
        </a:xfrm>
        <a:prstGeom prst="leftArrow">
          <a:avLst/>
        </a:prstGeom>
        <a:solidFill>
          <a:srgbClr val="ED1B2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t>Back</a:t>
          </a:r>
        </a:p>
      </xdr:txBody>
    </xdr:sp>
    <xdr:clientData/>
  </xdr:twoCellAnchor>
</xdr:wsDr>
</file>

<file path=xl/drawings/drawing34.xml><?xml version="1.0" encoding="utf-8"?>
<xdr:wsDr xmlns:xdr="http://schemas.openxmlformats.org/drawingml/2006/spreadsheetDrawing" xmlns:a="http://schemas.openxmlformats.org/drawingml/2006/main">
  <xdr:twoCellAnchor>
    <xdr:from>
      <xdr:col>23</xdr:col>
      <xdr:colOff>235639</xdr:colOff>
      <xdr:row>1</xdr:row>
      <xdr:rowOff>828</xdr:rowOff>
    </xdr:from>
    <xdr:to>
      <xdr:col>24</xdr:col>
      <xdr:colOff>343313</xdr:colOff>
      <xdr:row>2</xdr:row>
      <xdr:rowOff>89452</xdr:rowOff>
    </xdr:to>
    <xdr:sp macro="" textlink="">
      <xdr:nvSpPr>
        <xdr:cNvPr id="2" name="Arrow: Left 1">
          <a:hlinkClick xmlns:r="http://schemas.openxmlformats.org/officeDocument/2006/relationships" r:id="rId1"/>
          <a:extLst>
            <a:ext uri="{FF2B5EF4-FFF2-40B4-BE49-F238E27FC236}">
              <a16:creationId xmlns:a16="http://schemas.microsoft.com/office/drawing/2014/main" id="{39EDFF4C-C2A5-47D9-A7CE-0B2BBF0259A7}"/>
            </a:ext>
          </a:extLst>
        </xdr:cNvPr>
        <xdr:cNvSpPr/>
      </xdr:nvSpPr>
      <xdr:spPr>
        <a:xfrm>
          <a:off x="6617389" y="124653"/>
          <a:ext cx="555349" cy="241024"/>
        </a:xfrm>
        <a:prstGeom prst="leftArrow">
          <a:avLst/>
        </a:prstGeom>
        <a:solidFill>
          <a:srgbClr val="ED1B2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t>Back</a:t>
          </a:r>
        </a:p>
      </xdr:txBody>
    </xdr:sp>
    <xdr:clientData/>
  </xdr:twoCellAnchor>
</xdr:wsDr>
</file>

<file path=xl/drawings/drawing35.xml><?xml version="1.0" encoding="utf-8"?>
<xdr:wsDr xmlns:xdr="http://schemas.openxmlformats.org/drawingml/2006/spreadsheetDrawing" xmlns:a="http://schemas.openxmlformats.org/drawingml/2006/main">
  <xdr:twoCellAnchor>
    <xdr:from>
      <xdr:col>33</xdr:col>
      <xdr:colOff>38100</xdr:colOff>
      <xdr:row>0</xdr:row>
      <xdr:rowOff>38100</xdr:rowOff>
    </xdr:from>
    <xdr:to>
      <xdr:col>34</xdr:col>
      <xdr:colOff>104776</xdr:colOff>
      <xdr:row>2</xdr:row>
      <xdr:rowOff>0</xdr:rowOff>
    </xdr:to>
    <xdr:sp macro="" textlink="">
      <xdr:nvSpPr>
        <xdr:cNvPr id="2" name="Arrow: Left 1">
          <a:hlinkClick xmlns:r="http://schemas.openxmlformats.org/officeDocument/2006/relationships" r:id="rId1"/>
          <a:extLst>
            <a:ext uri="{FF2B5EF4-FFF2-40B4-BE49-F238E27FC236}">
              <a16:creationId xmlns:a16="http://schemas.microsoft.com/office/drawing/2014/main" id="{3FD38921-A081-4750-9961-75F34F89E263}"/>
            </a:ext>
          </a:extLst>
        </xdr:cNvPr>
        <xdr:cNvSpPr/>
      </xdr:nvSpPr>
      <xdr:spPr>
        <a:xfrm>
          <a:off x="11963400" y="38100"/>
          <a:ext cx="657226" cy="247650"/>
        </a:xfrm>
        <a:prstGeom prst="leftArrow">
          <a:avLst/>
        </a:prstGeom>
        <a:solidFill>
          <a:srgbClr val="EC645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t>Back</a:t>
          </a:r>
        </a:p>
      </xdr:txBody>
    </xdr:sp>
    <xdr:clientData/>
  </xdr:twoCellAnchor>
</xdr:wsDr>
</file>

<file path=xl/drawings/drawing36.xml><?xml version="1.0" encoding="utf-8"?>
<xdr:wsDr xmlns:xdr="http://schemas.openxmlformats.org/drawingml/2006/spreadsheetDrawing" xmlns:a="http://schemas.openxmlformats.org/drawingml/2006/main">
  <xdr:twoCellAnchor>
    <xdr:from>
      <xdr:col>23</xdr:col>
      <xdr:colOff>235639</xdr:colOff>
      <xdr:row>1</xdr:row>
      <xdr:rowOff>828</xdr:rowOff>
    </xdr:from>
    <xdr:to>
      <xdr:col>24</xdr:col>
      <xdr:colOff>343313</xdr:colOff>
      <xdr:row>2</xdr:row>
      <xdr:rowOff>89452</xdr:rowOff>
    </xdr:to>
    <xdr:sp macro="" textlink="">
      <xdr:nvSpPr>
        <xdr:cNvPr id="2" name="Arrow: Left 1">
          <a:hlinkClick xmlns:r="http://schemas.openxmlformats.org/officeDocument/2006/relationships" r:id="rId1"/>
          <a:extLst>
            <a:ext uri="{FF2B5EF4-FFF2-40B4-BE49-F238E27FC236}">
              <a16:creationId xmlns:a16="http://schemas.microsoft.com/office/drawing/2014/main" id="{D33AC8F5-2497-443C-97EF-A48ABDAB1782}"/>
            </a:ext>
          </a:extLst>
        </xdr:cNvPr>
        <xdr:cNvSpPr/>
      </xdr:nvSpPr>
      <xdr:spPr>
        <a:xfrm>
          <a:off x="6617389" y="124653"/>
          <a:ext cx="555349" cy="241024"/>
        </a:xfrm>
        <a:prstGeom prst="leftArrow">
          <a:avLst/>
        </a:prstGeom>
        <a:solidFill>
          <a:srgbClr val="ED1B2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t>Back</a:t>
          </a:r>
        </a:p>
      </xdr:txBody>
    </xdr:sp>
    <xdr:clientData/>
  </xdr:twoCellAnchor>
</xdr:wsDr>
</file>

<file path=xl/drawings/drawing37.xml><?xml version="1.0" encoding="utf-8"?>
<xdr:wsDr xmlns:xdr="http://schemas.openxmlformats.org/drawingml/2006/spreadsheetDrawing" xmlns:a="http://schemas.openxmlformats.org/drawingml/2006/main">
  <xdr:twoCellAnchor>
    <xdr:from>
      <xdr:col>23</xdr:col>
      <xdr:colOff>235639</xdr:colOff>
      <xdr:row>1</xdr:row>
      <xdr:rowOff>828</xdr:rowOff>
    </xdr:from>
    <xdr:to>
      <xdr:col>24</xdr:col>
      <xdr:colOff>343313</xdr:colOff>
      <xdr:row>2</xdr:row>
      <xdr:rowOff>89452</xdr:rowOff>
    </xdr:to>
    <xdr:sp macro="" textlink="">
      <xdr:nvSpPr>
        <xdr:cNvPr id="2" name="Arrow: Left 1">
          <a:hlinkClick xmlns:r="http://schemas.openxmlformats.org/officeDocument/2006/relationships" r:id="rId1"/>
          <a:extLst>
            <a:ext uri="{FF2B5EF4-FFF2-40B4-BE49-F238E27FC236}">
              <a16:creationId xmlns:a16="http://schemas.microsoft.com/office/drawing/2014/main" id="{28C4E911-2C88-49CC-9C6E-B7CF460798FA}"/>
            </a:ext>
          </a:extLst>
        </xdr:cNvPr>
        <xdr:cNvSpPr/>
      </xdr:nvSpPr>
      <xdr:spPr>
        <a:xfrm>
          <a:off x="6617389" y="124653"/>
          <a:ext cx="555349" cy="241024"/>
        </a:xfrm>
        <a:prstGeom prst="leftArrow">
          <a:avLst/>
        </a:prstGeom>
        <a:solidFill>
          <a:srgbClr val="ED1B2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t>Back</a:t>
          </a:r>
        </a:p>
      </xdr:txBody>
    </xdr:sp>
    <xdr:clientData/>
  </xdr:twoCellAnchor>
</xdr:wsDr>
</file>

<file path=xl/drawings/drawing38.xml><?xml version="1.0" encoding="utf-8"?>
<xdr:wsDr xmlns:xdr="http://schemas.openxmlformats.org/drawingml/2006/spreadsheetDrawing" xmlns:a="http://schemas.openxmlformats.org/drawingml/2006/main">
  <xdr:twoCellAnchor>
    <xdr:from>
      <xdr:col>33</xdr:col>
      <xdr:colOff>38100</xdr:colOff>
      <xdr:row>0</xdr:row>
      <xdr:rowOff>38100</xdr:rowOff>
    </xdr:from>
    <xdr:to>
      <xdr:col>34</xdr:col>
      <xdr:colOff>104776</xdr:colOff>
      <xdr:row>2</xdr:row>
      <xdr:rowOff>0</xdr:rowOff>
    </xdr:to>
    <xdr:sp macro="" textlink="">
      <xdr:nvSpPr>
        <xdr:cNvPr id="2" name="Arrow: Left 1">
          <a:hlinkClick xmlns:r="http://schemas.openxmlformats.org/officeDocument/2006/relationships" r:id="rId1"/>
          <a:extLst>
            <a:ext uri="{FF2B5EF4-FFF2-40B4-BE49-F238E27FC236}">
              <a16:creationId xmlns:a16="http://schemas.microsoft.com/office/drawing/2014/main" id="{EAE8B558-6271-4FA5-BBE8-201152347899}"/>
            </a:ext>
          </a:extLst>
        </xdr:cNvPr>
        <xdr:cNvSpPr/>
      </xdr:nvSpPr>
      <xdr:spPr>
        <a:xfrm>
          <a:off x="11658600" y="38100"/>
          <a:ext cx="581026" cy="247650"/>
        </a:xfrm>
        <a:prstGeom prst="leftArrow">
          <a:avLst/>
        </a:prstGeom>
        <a:solidFill>
          <a:srgbClr val="EC645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t>Back</a:t>
          </a:r>
        </a:p>
      </xdr:txBody>
    </xdr:sp>
    <xdr:clientData/>
  </xdr:twoCellAnchor>
</xdr:wsDr>
</file>

<file path=xl/drawings/drawing39.xml><?xml version="1.0" encoding="utf-8"?>
<xdr:wsDr xmlns:xdr="http://schemas.openxmlformats.org/drawingml/2006/spreadsheetDrawing" xmlns:a="http://schemas.openxmlformats.org/drawingml/2006/main">
  <xdr:twoCellAnchor>
    <xdr:from>
      <xdr:col>7</xdr:col>
      <xdr:colOff>238125</xdr:colOff>
      <xdr:row>0</xdr:row>
      <xdr:rowOff>104775</xdr:rowOff>
    </xdr:from>
    <xdr:to>
      <xdr:col>8</xdr:col>
      <xdr:colOff>192881</xdr:colOff>
      <xdr:row>1</xdr:row>
      <xdr:rowOff>166688</xdr:rowOff>
    </xdr:to>
    <xdr:sp macro="" textlink="">
      <xdr:nvSpPr>
        <xdr:cNvPr id="2" name="Arrow: Left 1">
          <a:hlinkClick xmlns:r="http://schemas.openxmlformats.org/officeDocument/2006/relationships" r:id="rId1"/>
          <a:extLst>
            <a:ext uri="{FF2B5EF4-FFF2-40B4-BE49-F238E27FC236}">
              <a16:creationId xmlns:a16="http://schemas.microsoft.com/office/drawing/2014/main" id="{A4ADB7C9-5CC0-408E-BC2A-B3D7E3D7682A}"/>
            </a:ext>
          </a:extLst>
        </xdr:cNvPr>
        <xdr:cNvSpPr/>
      </xdr:nvSpPr>
      <xdr:spPr>
        <a:xfrm>
          <a:off x="8820150" y="104775"/>
          <a:ext cx="488156" cy="261938"/>
        </a:xfrm>
        <a:prstGeom prst="leftArrow">
          <a:avLst>
            <a:gd name="adj1" fmla="val 50000"/>
            <a:gd name="adj2" fmla="val 50000"/>
          </a:avLst>
        </a:prstGeom>
        <a:solidFill>
          <a:srgbClr val="EC645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00">
              <a:solidFill>
                <a:schemeClr val="bg1"/>
              </a:solidFill>
            </a:rPr>
            <a:t>Back</a:t>
          </a:r>
        </a:p>
      </xdr:txBody>
    </xdr:sp>
    <xdr:clientData/>
  </xdr:twoCellAnchor>
</xdr:wsDr>
</file>

<file path=xl/drawings/drawing40.xml><?xml version="1.0" encoding="utf-8"?>
<xdr:wsDr xmlns:xdr="http://schemas.openxmlformats.org/drawingml/2006/spreadsheetDrawing" xmlns:a="http://schemas.openxmlformats.org/drawingml/2006/main">
  <xdr:twoCellAnchor>
    <xdr:from>
      <xdr:col>3</xdr:col>
      <xdr:colOff>104775</xdr:colOff>
      <xdr:row>0</xdr:row>
      <xdr:rowOff>66675</xdr:rowOff>
    </xdr:from>
    <xdr:to>
      <xdr:col>4</xdr:col>
      <xdr:colOff>59531</xdr:colOff>
      <xdr:row>1</xdr:row>
      <xdr:rowOff>138113</xdr:rowOff>
    </xdr:to>
    <xdr:sp macro="" textlink="">
      <xdr:nvSpPr>
        <xdr:cNvPr id="2" name="Arrow: Left 1">
          <a:hlinkClick xmlns:r="http://schemas.openxmlformats.org/officeDocument/2006/relationships" r:id="rId1"/>
          <a:extLst>
            <a:ext uri="{FF2B5EF4-FFF2-40B4-BE49-F238E27FC236}">
              <a16:creationId xmlns:a16="http://schemas.microsoft.com/office/drawing/2014/main" id="{6A4413F6-20A6-406C-A6AD-424AEB3112C1}"/>
            </a:ext>
          </a:extLst>
        </xdr:cNvPr>
        <xdr:cNvSpPr/>
      </xdr:nvSpPr>
      <xdr:spPr>
        <a:xfrm>
          <a:off x="4867275" y="66675"/>
          <a:ext cx="564356" cy="261938"/>
        </a:xfrm>
        <a:prstGeom prst="leftArrow">
          <a:avLst>
            <a:gd name="adj1" fmla="val 50000"/>
            <a:gd name="adj2" fmla="val 50000"/>
          </a:avLst>
        </a:prstGeom>
        <a:solidFill>
          <a:srgbClr val="C0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00">
              <a:solidFill>
                <a:schemeClr val="bg1"/>
              </a:solidFill>
            </a:rPr>
            <a:t>Back</a:t>
          </a:r>
        </a:p>
      </xdr:txBody>
    </xdr:sp>
    <xdr:clientData/>
  </xdr:twoCellAnchor>
</xdr:wsDr>
</file>

<file path=xl/drawings/drawing41.xml><?xml version="1.0" encoding="utf-8"?>
<xdr:wsDr xmlns:xdr="http://schemas.openxmlformats.org/drawingml/2006/spreadsheetDrawing" xmlns:a="http://schemas.openxmlformats.org/drawingml/2006/main">
  <xdr:twoCellAnchor>
    <xdr:from>
      <xdr:col>3</xdr:col>
      <xdr:colOff>49696</xdr:colOff>
      <xdr:row>0</xdr:row>
      <xdr:rowOff>49694</xdr:rowOff>
    </xdr:from>
    <xdr:to>
      <xdr:col>4</xdr:col>
      <xdr:colOff>361950</xdr:colOff>
      <xdr:row>1</xdr:row>
      <xdr:rowOff>152399</xdr:rowOff>
    </xdr:to>
    <xdr:sp macro="" textlink="">
      <xdr:nvSpPr>
        <xdr:cNvPr id="2" name="Arrow: Left 1">
          <a:hlinkClick xmlns:r="http://schemas.openxmlformats.org/officeDocument/2006/relationships" r:id="rId1"/>
          <a:extLst>
            <a:ext uri="{FF2B5EF4-FFF2-40B4-BE49-F238E27FC236}">
              <a16:creationId xmlns:a16="http://schemas.microsoft.com/office/drawing/2014/main" id="{824361E6-E89A-4BA6-874D-A1DCE7CC1D96}"/>
            </a:ext>
          </a:extLst>
        </xdr:cNvPr>
        <xdr:cNvSpPr/>
      </xdr:nvSpPr>
      <xdr:spPr>
        <a:xfrm>
          <a:off x="5212246" y="49694"/>
          <a:ext cx="512279" cy="312255"/>
        </a:xfrm>
        <a:prstGeom prst="leftArrow">
          <a:avLst>
            <a:gd name="adj1" fmla="val 50000"/>
            <a:gd name="adj2" fmla="val 50000"/>
          </a:avLst>
        </a:prstGeom>
        <a:solidFill>
          <a:srgbClr val="EC645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00">
              <a:solidFill>
                <a:schemeClr val="bg1"/>
              </a:solidFill>
            </a:rPr>
            <a:t>Back</a:t>
          </a:r>
        </a:p>
      </xdr:txBody>
    </xdr:sp>
    <xdr:clientData/>
  </xdr:twoCellAnchor>
</xdr:wsDr>
</file>

<file path=xl/drawings/drawing42.xml><?xml version="1.0" encoding="utf-8"?>
<xdr:wsDr xmlns:xdr="http://schemas.openxmlformats.org/drawingml/2006/spreadsheetDrawing" xmlns:a="http://schemas.openxmlformats.org/drawingml/2006/main">
  <xdr:twoCellAnchor>
    <xdr:from>
      <xdr:col>3</xdr:col>
      <xdr:colOff>8283</xdr:colOff>
      <xdr:row>0</xdr:row>
      <xdr:rowOff>41413</xdr:rowOff>
    </xdr:from>
    <xdr:to>
      <xdr:col>4</xdr:col>
      <xdr:colOff>356152</xdr:colOff>
      <xdr:row>1</xdr:row>
      <xdr:rowOff>112851</xdr:rowOff>
    </xdr:to>
    <xdr:sp macro="" textlink="">
      <xdr:nvSpPr>
        <xdr:cNvPr id="2" name="Arrow: Left 1">
          <a:hlinkClick xmlns:r="http://schemas.openxmlformats.org/officeDocument/2006/relationships" r:id="rId1"/>
          <a:extLst>
            <a:ext uri="{FF2B5EF4-FFF2-40B4-BE49-F238E27FC236}">
              <a16:creationId xmlns:a16="http://schemas.microsoft.com/office/drawing/2014/main" id="{89A9AC40-F591-4BF8-B9CE-F93FCCB92ACF}"/>
            </a:ext>
          </a:extLst>
        </xdr:cNvPr>
        <xdr:cNvSpPr/>
      </xdr:nvSpPr>
      <xdr:spPr>
        <a:xfrm>
          <a:off x="4904133" y="41413"/>
          <a:ext cx="547894" cy="261938"/>
        </a:xfrm>
        <a:prstGeom prst="leftArrow">
          <a:avLst>
            <a:gd name="adj1" fmla="val 50000"/>
            <a:gd name="adj2" fmla="val 50000"/>
          </a:avLst>
        </a:prstGeom>
        <a:solidFill>
          <a:srgbClr val="EC645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00">
              <a:solidFill>
                <a:schemeClr val="bg1"/>
              </a:solidFill>
            </a:rPr>
            <a:t>Back</a:t>
          </a:r>
        </a:p>
      </xdr:txBody>
    </xdr:sp>
    <xdr:clientData/>
  </xdr:twoCellAnchor>
</xdr:wsDr>
</file>

<file path=xl/drawings/drawing43.xml><?xml version="1.0" encoding="utf-8"?>
<xdr:wsDr xmlns:xdr="http://schemas.openxmlformats.org/drawingml/2006/spreadsheetDrawing" xmlns:a="http://schemas.openxmlformats.org/drawingml/2006/main">
  <xdr:twoCellAnchor>
    <xdr:from>
      <xdr:col>3</xdr:col>
      <xdr:colOff>180975</xdr:colOff>
      <xdr:row>0</xdr:row>
      <xdr:rowOff>76200</xdr:rowOff>
    </xdr:from>
    <xdr:to>
      <xdr:col>4</xdr:col>
      <xdr:colOff>135731</xdr:colOff>
      <xdr:row>1</xdr:row>
      <xdr:rowOff>147638</xdr:rowOff>
    </xdr:to>
    <xdr:sp macro="" textlink="">
      <xdr:nvSpPr>
        <xdr:cNvPr id="2" name="Arrow: Left 1">
          <a:hlinkClick xmlns:r="http://schemas.openxmlformats.org/officeDocument/2006/relationships" r:id="rId1"/>
          <a:extLst>
            <a:ext uri="{FF2B5EF4-FFF2-40B4-BE49-F238E27FC236}">
              <a16:creationId xmlns:a16="http://schemas.microsoft.com/office/drawing/2014/main" id="{00000000-0008-0000-0300-000002000000}"/>
            </a:ext>
          </a:extLst>
        </xdr:cNvPr>
        <xdr:cNvSpPr/>
      </xdr:nvSpPr>
      <xdr:spPr>
        <a:xfrm>
          <a:off x="5543550" y="76200"/>
          <a:ext cx="488156" cy="261938"/>
        </a:xfrm>
        <a:prstGeom prst="leftArrow">
          <a:avLst>
            <a:gd name="adj1" fmla="val 50000"/>
            <a:gd name="adj2" fmla="val 50000"/>
          </a:avLst>
        </a:prstGeom>
        <a:solidFill>
          <a:schemeClr val="accent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00">
              <a:solidFill>
                <a:schemeClr val="bg1"/>
              </a:solidFill>
            </a:rPr>
            <a:t>Back</a:t>
          </a:r>
        </a:p>
      </xdr:txBody>
    </xdr:sp>
    <xdr:clientData/>
  </xdr:twoCellAnchor>
</xdr:wsDr>
</file>

<file path=xl/drawings/drawing44.xml><?xml version="1.0" encoding="utf-8"?>
<xdr:wsDr xmlns:xdr="http://schemas.openxmlformats.org/drawingml/2006/spreadsheetDrawing" xmlns:a="http://schemas.openxmlformats.org/drawingml/2006/main">
  <xdr:oneCellAnchor>
    <xdr:from>
      <xdr:col>1</xdr:col>
      <xdr:colOff>0</xdr:colOff>
      <xdr:row>1</xdr:row>
      <xdr:rowOff>0</xdr:rowOff>
    </xdr:from>
    <xdr:ext cx="6795134" cy="17145"/>
    <xdr:sp macro="" textlink="">
      <xdr:nvSpPr>
        <xdr:cNvPr id="2" name="Shape 3">
          <a:extLst>
            <a:ext uri="{FF2B5EF4-FFF2-40B4-BE49-F238E27FC236}">
              <a16:creationId xmlns:a16="http://schemas.microsoft.com/office/drawing/2014/main" id="{38854139-9D62-4313-9973-9FA87855F9C4}"/>
            </a:ext>
          </a:extLst>
        </xdr:cNvPr>
        <xdr:cNvSpPr/>
      </xdr:nvSpPr>
      <xdr:spPr>
        <a:xfrm>
          <a:off x="0" y="0"/>
          <a:ext cx="6795134" cy="17145"/>
        </a:xfrm>
        <a:custGeom>
          <a:avLst/>
          <a:gdLst/>
          <a:ahLst/>
          <a:cxnLst/>
          <a:rect l="0" t="0" r="0" b="0"/>
          <a:pathLst>
            <a:path w="6795134" h="17145">
              <a:moveTo>
                <a:pt x="6794512" y="0"/>
              </a:moveTo>
              <a:lnTo>
                <a:pt x="0" y="0"/>
              </a:lnTo>
              <a:lnTo>
                <a:pt x="0" y="16929"/>
              </a:lnTo>
              <a:lnTo>
                <a:pt x="6794512" y="16929"/>
              </a:lnTo>
              <a:lnTo>
                <a:pt x="6794512" y="0"/>
              </a:lnTo>
              <a:close/>
            </a:path>
          </a:pathLst>
        </a:custGeom>
        <a:solidFill>
          <a:srgbClr val="00A754"/>
        </a:solidFill>
      </xdr:spPr>
      <xdr:txBody>
        <a:bodyPr/>
        <a:lstStyle/>
        <a:p>
          <a:r>
            <a:rPr lang="en-US"/>
            <a:t>To</a:t>
          </a:r>
        </a:p>
      </xdr:txBody>
    </xdr:sp>
    <xdr:clientData/>
  </xdr:oneCellAnchor>
</xdr:wsDr>
</file>

<file path=xl/drawings/drawing45.xml><?xml version="1.0" encoding="utf-8"?>
<xdr:wsDr xmlns:xdr="http://schemas.openxmlformats.org/drawingml/2006/spreadsheetDrawing" xmlns:a="http://schemas.openxmlformats.org/drawingml/2006/main">
  <xdr:twoCellAnchor>
    <xdr:from>
      <xdr:col>16</xdr:col>
      <xdr:colOff>238124</xdr:colOff>
      <xdr:row>0</xdr:row>
      <xdr:rowOff>38100</xdr:rowOff>
    </xdr:from>
    <xdr:to>
      <xdr:col>17</xdr:col>
      <xdr:colOff>285749</xdr:colOff>
      <xdr:row>1</xdr:row>
      <xdr:rowOff>142875</xdr:rowOff>
    </xdr:to>
    <xdr:sp macro="" textlink="">
      <xdr:nvSpPr>
        <xdr:cNvPr id="2" name="Arrow: Left 1">
          <a:hlinkClick xmlns:r="http://schemas.openxmlformats.org/officeDocument/2006/relationships" r:id="rId1"/>
          <a:extLst>
            <a:ext uri="{FF2B5EF4-FFF2-40B4-BE49-F238E27FC236}">
              <a16:creationId xmlns:a16="http://schemas.microsoft.com/office/drawing/2014/main" id="{8472EF03-9CFB-4313-8778-9947753D5737}"/>
            </a:ext>
          </a:extLst>
        </xdr:cNvPr>
        <xdr:cNvSpPr/>
      </xdr:nvSpPr>
      <xdr:spPr>
        <a:xfrm>
          <a:off x="11658599" y="38100"/>
          <a:ext cx="581025" cy="304800"/>
        </a:xfrm>
        <a:prstGeom prst="leftArrow">
          <a:avLst/>
        </a:prstGeom>
        <a:solidFill>
          <a:srgbClr val="ED1B2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t>Back</a:t>
          </a:r>
        </a:p>
      </xdr:txBody>
    </xdr:sp>
    <xdr:clientData/>
  </xdr:twoCellAnchor>
</xdr:wsDr>
</file>

<file path=xl/drawings/drawing46.xml><?xml version="1.0" encoding="utf-8"?>
<xdr:wsDr xmlns:xdr="http://schemas.openxmlformats.org/drawingml/2006/spreadsheetDrawing" xmlns:a="http://schemas.openxmlformats.org/drawingml/2006/main">
  <xdr:twoCellAnchor>
    <xdr:from>
      <xdr:col>23</xdr:col>
      <xdr:colOff>340414</xdr:colOff>
      <xdr:row>1</xdr:row>
      <xdr:rowOff>48453</xdr:rowOff>
    </xdr:from>
    <xdr:to>
      <xdr:col>25</xdr:col>
      <xdr:colOff>413</xdr:colOff>
      <xdr:row>2</xdr:row>
      <xdr:rowOff>137077</xdr:rowOff>
    </xdr:to>
    <xdr:sp macro="" textlink="">
      <xdr:nvSpPr>
        <xdr:cNvPr id="2" name="Arrow: Left 1">
          <a:hlinkClick xmlns:r="http://schemas.openxmlformats.org/officeDocument/2006/relationships" r:id="rId1"/>
          <a:extLst>
            <a:ext uri="{FF2B5EF4-FFF2-40B4-BE49-F238E27FC236}">
              <a16:creationId xmlns:a16="http://schemas.microsoft.com/office/drawing/2014/main" id="{0DDD757E-8A3F-4EAA-8B62-0306157AEAE6}"/>
            </a:ext>
          </a:extLst>
        </xdr:cNvPr>
        <xdr:cNvSpPr/>
      </xdr:nvSpPr>
      <xdr:spPr>
        <a:xfrm>
          <a:off x="6722164" y="172278"/>
          <a:ext cx="555349" cy="241024"/>
        </a:xfrm>
        <a:prstGeom prst="leftArrow">
          <a:avLst/>
        </a:prstGeom>
        <a:solidFill>
          <a:srgbClr val="ED1B2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t>Back</a:t>
          </a:r>
        </a:p>
      </xdr:txBody>
    </xdr:sp>
    <xdr:clientData/>
  </xdr:twoCellAnchor>
</xdr:wsDr>
</file>

<file path=xl/drawings/drawing47.xml><?xml version="1.0" encoding="utf-8"?>
<xdr:wsDr xmlns:xdr="http://schemas.openxmlformats.org/drawingml/2006/spreadsheetDrawing" xmlns:a="http://schemas.openxmlformats.org/drawingml/2006/main">
  <xdr:twoCellAnchor>
    <xdr:from>
      <xdr:col>23</xdr:col>
      <xdr:colOff>235639</xdr:colOff>
      <xdr:row>1</xdr:row>
      <xdr:rowOff>828</xdr:rowOff>
    </xdr:from>
    <xdr:to>
      <xdr:col>24</xdr:col>
      <xdr:colOff>343313</xdr:colOff>
      <xdr:row>2</xdr:row>
      <xdr:rowOff>89452</xdr:rowOff>
    </xdr:to>
    <xdr:sp macro="" textlink="">
      <xdr:nvSpPr>
        <xdr:cNvPr id="2" name="Arrow: Left 1">
          <a:hlinkClick xmlns:r="http://schemas.openxmlformats.org/officeDocument/2006/relationships" r:id="rId1"/>
          <a:extLst>
            <a:ext uri="{FF2B5EF4-FFF2-40B4-BE49-F238E27FC236}">
              <a16:creationId xmlns:a16="http://schemas.microsoft.com/office/drawing/2014/main" id="{CBA74250-7F74-4756-8EE3-9FF7770F678B}"/>
            </a:ext>
          </a:extLst>
        </xdr:cNvPr>
        <xdr:cNvSpPr/>
      </xdr:nvSpPr>
      <xdr:spPr>
        <a:xfrm>
          <a:off x="6617389" y="124653"/>
          <a:ext cx="555349" cy="241024"/>
        </a:xfrm>
        <a:prstGeom prst="leftArrow">
          <a:avLst/>
        </a:prstGeom>
        <a:solidFill>
          <a:srgbClr val="ED1B2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t>Back</a:t>
          </a:r>
        </a:p>
      </xdr:txBody>
    </xdr:sp>
    <xdr:clientData/>
  </xdr:twoCellAnchor>
</xdr:wsDr>
</file>

<file path=xl/drawings/drawing48.xml><?xml version="1.0" encoding="utf-8"?>
<xdr:wsDr xmlns:xdr="http://schemas.openxmlformats.org/drawingml/2006/spreadsheetDrawing" xmlns:a="http://schemas.openxmlformats.org/drawingml/2006/main">
  <xdr:twoCellAnchor>
    <xdr:from>
      <xdr:col>23</xdr:col>
      <xdr:colOff>295275</xdr:colOff>
      <xdr:row>0</xdr:row>
      <xdr:rowOff>77028</xdr:rowOff>
    </xdr:from>
    <xdr:to>
      <xdr:col>25</xdr:col>
      <xdr:colOff>85725</xdr:colOff>
      <xdr:row>2</xdr:row>
      <xdr:rowOff>41827</xdr:rowOff>
    </xdr:to>
    <xdr:sp macro="" textlink="">
      <xdr:nvSpPr>
        <xdr:cNvPr id="2" name="Arrow: Left 1">
          <a:hlinkClick xmlns:r="http://schemas.openxmlformats.org/officeDocument/2006/relationships" r:id="rId1"/>
          <a:extLst>
            <a:ext uri="{FF2B5EF4-FFF2-40B4-BE49-F238E27FC236}">
              <a16:creationId xmlns:a16="http://schemas.microsoft.com/office/drawing/2014/main" id="{31EBC444-5C5B-4C1E-B0B0-B40DEF654AE0}"/>
            </a:ext>
          </a:extLst>
        </xdr:cNvPr>
        <xdr:cNvSpPr/>
      </xdr:nvSpPr>
      <xdr:spPr>
        <a:xfrm>
          <a:off x="6677025" y="77028"/>
          <a:ext cx="685800" cy="241024"/>
        </a:xfrm>
        <a:prstGeom prst="leftArrow">
          <a:avLst/>
        </a:prstGeom>
        <a:solidFill>
          <a:srgbClr val="ED1B2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t>Back</a:t>
          </a:r>
        </a:p>
      </xdr:txBody>
    </xdr:sp>
    <xdr:clientData/>
  </xdr:twoCellAnchor>
</xdr:wsDr>
</file>

<file path=xl/drawings/drawing49.xml><?xml version="1.0" encoding="utf-8"?>
<xdr:wsDr xmlns:xdr="http://schemas.openxmlformats.org/drawingml/2006/spreadsheetDrawing" xmlns:a="http://schemas.openxmlformats.org/drawingml/2006/main">
  <xdr:twoCellAnchor>
    <xdr:from>
      <xdr:col>23</xdr:col>
      <xdr:colOff>397564</xdr:colOff>
      <xdr:row>0</xdr:row>
      <xdr:rowOff>96078</xdr:rowOff>
    </xdr:from>
    <xdr:to>
      <xdr:col>25</xdr:col>
      <xdr:colOff>57563</xdr:colOff>
      <xdr:row>2</xdr:row>
      <xdr:rowOff>60877</xdr:rowOff>
    </xdr:to>
    <xdr:sp macro="" textlink="">
      <xdr:nvSpPr>
        <xdr:cNvPr id="2" name="Arrow: Left 1">
          <a:hlinkClick xmlns:r="http://schemas.openxmlformats.org/officeDocument/2006/relationships" r:id="rId1"/>
          <a:extLst>
            <a:ext uri="{FF2B5EF4-FFF2-40B4-BE49-F238E27FC236}">
              <a16:creationId xmlns:a16="http://schemas.microsoft.com/office/drawing/2014/main" id="{C73442B2-581D-401E-BEC2-DAFF8C8C932A}"/>
            </a:ext>
          </a:extLst>
        </xdr:cNvPr>
        <xdr:cNvSpPr/>
      </xdr:nvSpPr>
      <xdr:spPr>
        <a:xfrm>
          <a:off x="6779314" y="96078"/>
          <a:ext cx="555349" cy="241024"/>
        </a:xfrm>
        <a:prstGeom prst="leftArrow">
          <a:avLst/>
        </a:prstGeom>
        <a:solidFill>
          <a:srgbClr val="ED1B2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t>Back</a:t>
          </a:r>
        </a:p>
      </xdr:txBody>
    </xdr:sp>
    <xdr:clientData/>
  </xdr:twoCellAnchor>
</xdr:wsDr>
</file>

<file path=xl/drawings/drawing50.xml><?xml version="1.0" encoding="utf-8"?>
<xdr:wsDr xmlns:xdr="http://schemas.openxmlformats.org/drawingml/2006/spreadsheetDrawing" xmlns:a="http://schemas.openxmlformats.org/drawingml/2006/main">
  <xdr:twoCellAnchor>
    <xdr:from>
      <xdr:col>16</xdr:col>
      <xdr:colOff>85725</xdr:colOff>
      <xdr:row>0</xdr:row>
      <xdr:rowOff>57150</xdr:rowOff>
    </xdr:from>
    <xdr:to>
      <xdr:col>17</xdr:col>
      <xdr:colOff>280707</xdr:colOff>
      <xdr:row>2</xdr:row>
      <xdr:rowOff>85725</xdr:rowOff>
    </xdr:to>
    <xdr:sp macro="" textlink="">
      <xdr:nvSpPr>
        <xdr:cNvPr id="4" name="Arrow: Left 3">
          <a:hlinkClick xmlns:r="http://schemas.openxmlformats.org/officeDocument/2006/relationships" r:id="rId1"/>
          <a:extLst>
            <a:ext uri="{FF2B5EF4-FFF2-40B4-BE49-F238E27FC236}">
              <a16:creationId xmlns:a16="http://schemas.microsoft.com/office/drawing/2014/main" id="{00000000-0008-0000-0100-000004000000}"/>
            </a:ext>
          </a:extLst>
        </xdr:cNvPr>
        <xdr:cNvSpPr/>
      </xdr:nvSpPr>
      <xdr:spPr>
        <a:xfrm>
          <a:off x="8620125" y="57150"/>
          <a:ext cx="728382" cy="352425"/>
        </a:xfrm>
        <a:prstGeom prst="leftArrow">
          <a:avLst>
            <a:gd name="adj1" fmla="val 50000"/>
            <a:gd name="adj2" fmla="val 50000"/>
          </a:avLst>
        </a:prstGeom>
        <a:solidFill>
          <a:srgbClr val="D3114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solidFill>
                <a:schemeClr val="bg1"/>
              </a:solidFill>
            </a:rPr>
            <a:t>Back</a:t>
          </a:r>
        </a:p>
      </xdr:txBody>
    </xdr:sp>
    <xdr:clientData/>
  </xdr:twoCellAnchor>
  <xdr:twoCellAnchor editAs="oneCell">
    <xdr:from>
      <xdr:col>0</xdr:col>
      <xdr:colOff>0</xdr:colOff>
      <xdr:row>1</xdr:row>
      <xdr:rowOff>9525</xdr:rowOff>
    </xdr:from>
    <xdr:to>
      <xdr:col>16</xdr:col>
      <xdr:colOff>0</xdr:colOff>
      <xdr:row>26</xdr:row>
      <xdr:rowOff>161010</xdr:rowOff>
    </xdr:to>
    <xdr:pic>
      <xdr:nvPicPr>
        <xdr:cNvPr id="5" name="Picture 4">
          <a:extLst>
            <a:ext uri="{FF2B5EF4-FFF2-40B4-BE49-F238E27FC236}">
              <a16:creationId xmlns:a16="http://schemas.microsoft.com/office/drawing/2014/main" id="{B2CADC11-E7F5-08EF-938E-63D7C10333EF}"/>
            </a:ext>
          </a:extLst>
        </xdr:cNvPr>
        <xdr:cNvPicPr>
          <a:picLocks noChangeAspect="1"/>
        </xdr:cNvPicPr>
      </xdr:nvPicPr>
      <xdr:blipFill rotWithShape="1">
        <a:blip xmlns:r="http://schemas.openxmlformats.org/officeDocument/2006/relationships" r:embed="rId2"/>
        <a:srcRect t="13362" r="1012"/>
        <a:stretch/>
      </xdr:blipFill>
      <xdr:spPr>
        <a:xfrm>
          <a:off x="0" y="171450"/>
          <a:ext cx="8534400" cy="4199610"/>
        </a:xfrm>
        <a:prstGeom prst="rect">
          <a:avLst/>
        </a:prstGeom>
      </xdr:spPr>
    </xdr:pic>
    <xdr:clientData/>
  </xdr:twoCellAnchor>
</xdr:wsDr>
</file>

<file path=xl/drawings/drawing51.xml><?xml version="1.0" encoding="utf-8"?>
<xdr:wsDr xmlns:xdr="http://schemas.openxmlformats.org/drawingml/2006/spreadsheetDrawing" xmlns:a="http://schemas.openxmlformats.org/drawingml/2006/main">
  <xdr:twoCellAnchor editAs="oneCell">
    <xdr:from>
      <xdr:col>0</xdr:col>
      <xdr:colOff>0</xdr:colOff>
      <xdr:row>2</xdr:row>
      <xdr:rowOff>66675</xdr:rowOff>
    </xdr:from>
    <xdr:to>
      <xdr:col>11</xdr:col>
      <xdr:colOff>333375</xdr:colOff>
      <xdr:row>22</xdr:row>
      <xdr:rowOff>29502</xdr:rowOff>
    </xdr:to>
    <xdr:pic>
      <xdr:nvPicPr>
        <xdr:cNvPr id="2" name="Picture 1">
          <a:extLst>
            <a:ext uri="{FF2B5EF4-FFF2-40B4-BE49-F238E27FC236}">
              <a16:creationId xmlns:a16="http://schemas.microsoft.com/office/drawing/2014/main" id="{00000000-0008-0000-0700-000002000000}"/>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0" y="390525"/>
          <a:ext cx="6200775" cy="3201327"/>
        </a:xfrm>
        <a:prstGeom prst="rect">
          <a:avLst/>
        </a:prstGeom>
      </xdr:spPr>
    </xdr:pic>
    <xdr:clientData/>
  </xdr:twoCellAnchor>
  <xdr:twoCellAnchor editAs="oneCell">
    <xdr:from>
      <xdr:col>11</xdr:col>
      <xdr:colOff>342900</xdr:colOff>
      <xdr:row>2</xdr:row>
      <xdr:rowOff>28575</xdr:rowOff>
    </xdr:from>
    <xdr:to>
      <xdr:col>23</xdr:col>
      <xdr:colOff>131724</xdr:colOff>
      <xdr:row>22</xdr:row>
      <xdr:rowOff>22390</xdr:rowOff>
    </xdr:to>
    <xdr:pic>
      <xdr:nvPicPr>
        <xdr:cNvPr id="3" name="Picture 2">
          <a:extLst>
            <a:ext uri="{FF2B5EF4-FFF2-40B4-BE49-F238E27FC236}">
              <a16:creationId xmlns:a16="http://schemas.microsoft.com/office/drawing/2014/main" id="{00000000-0008-0000-0700-000003000000}"/>
            </a:ext>
          </a:extLst>
        </xdr:cNvPr>
        <xdr:cNvPicPr>
          <a:picLocks noChangeAspect="1"/>
        </xdr:cNvPicPr>
      </xdr:nvPicPr>
      <xdr:blipFill rotWithShape="1">
        <a:blip xmlns:r="http://schemas.openxmlformats.org/officeDocument/2006/relationships" r:embed="rId2" cstate="email">
          <a:extLst>
            <a:ext uri="{28A0092B-C50C-407E-A947-70E740481C1C}">
              <a14:useLocalDpi xmlns:a14="http://schemas.microsoft.com/office/drawing/2010/main"/>
            </a:ext>
          </a:extLst>
        </a:blip>
        <a:srcRect t="7116" b="1"/>
        <a:stretch/>
      </xdr:blipFill>
      <xdr:spPr>
        <a:xfrm>
          <a:off x="6210300" y="352425"/>
          <a:ext cx="6189624" cy="3232315"/>
        </a:xfrm>
        <a:prstGeom prst="rect">
          <a:avLst/>
        </a:prstGeom>
      </xdr:spPr>
    </xdr:pic>
    <xdr:clientData/>
  </xdr:twoCellAnchor>
  <xdr:twoCellAnchor editAs="oneCell">
    <xdr:from>
      <xdr:col>0</xdr:col>
      <xdr:colOff>0</xdr:colOff>
      <xdr:row>20</xdr:row>
      <xdr:rowOff>85725</xdr:rowOff>
    </xdr:from>
    <xdr:to>
      <xdr:col>23</xdr:col>
      <xdr:colOff>142875</xdr:colOff>
      <xdr:row>62</xdr:row>
      <xdr:rowOff>28574</xdr:rowOff>
    </xdr:to>
    <xdr:pic>
      <xdr:nvPicPr>
        <xdr:cNvPr id="4" name="Picture 3">
          <a:extLst>
            <a:ext uri="{FF2B5EF4-FFF2-40B4-BE49-F238E27FC236}">
              <a16:creationId xmlns:a16="http://schemas.microsoft.com/office/drawing/2014/main" id="{00000000-0008-0000-0700-000004000000}"/>
            </a:ext>
          </a:extLst>
        </xdr:cNvPr>
        <xdr:cNvPicPr>
          <a:picLocks noChangeAspect="1"/>
        </xdr:cNvPicPr>
      </xdr:nvPicPr>
      <xdr:blipFill rotWithShape="1">
        <a:blip xmlns:r="http://schemas.openxmlformats.org/officeDocument/2006/relationships" r:embed="rId3"/>
        <a:srcRect t="3356"/>
        <a:stretch/>
      </xdr:blipFill>
      <xdr:spPr>
        <a:xfrm>
          <a:off x="0" y="3324225"/>
          <a:ext cx="12411075" cy="6743699"/>
        </a:xfrm>
        <a:prstGeom prst="rect">
          <a:avLst/>
        </a:prstGeom>
      </xdr:spPr>
    </xdr:pic>
    <xdr:clientData/>
  </xdr:twoCellAnchor>
  <xdr:twoCellAnchor>
    <xdr:from>
      <xdr:col>22</xdr:col>
      <xdr:colOff>57150</xdr:colOff>
      <xdr:row>0</xdr:row>
      <xdr:rowOff>38100</xdr:rowOff>
    </xdr:from>
    <xdr:to>
      <xdr:col>23</xdr:col>
      <xdr:colOff>252132</xdr:colOff>
      <xdr:row>3</xdr:row>
      <xdr:rowOff>559</xdr:rowOff>
    </xdr:to>
    <xdr:sp macro="" textlink="">
      <xdr:nvSpPr>
        <xdr:cNvPr id="5" name="Arrow: Left 4">
          <a:hlinkClick xmlns:r="http://schemas.openxmlformats.org/officeDocument/2006/relationships" r:id="rId4"/>
          <a:extLst>
            <a:ext uri="{FF2B5EF4-FFF2-40B4-BE49-F238E27FC236}">
              <a16:creationId xmlns:a16="http://schemas.microsoft.com/office/drawing/2014/main" id="{00000000-0008-0000-0700-000005000000}"/>
            </a:ext>
          </a:extLst>
        </xdr:cNvPr>
        <xdr:cNvSpPr/>
      </xdr:nvSpPr>
      <xdr:spPr>
        <a:xfrm>
          <a:off x="11791950" y="38100"/>
          <a:ext cx="728382" cy="448234"/>
        </a:xfrm>
        <a:prstGeom prst="leftArrow">
          <a:avLst>
            <a:gd name="adj1" fmla="val 50000"/>
            <a:gd name="adj2" fmla="val 50000"/>
          </a:avLst>
        </a:prstGeom>
        <a:solidFill>
          <a:srgbClr val="EC645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solidFill>
                <a:schemeClr val="bg1"/>
              </a:solidFill>
            </a:rPr>
            <a:t>Back</a:t>
          </a:r>
        </a:p>
      </xdr:txBody>
    </xdr:sp>
    <xdr:clientData/>
  </xdr:twoCellAnchor>
</xdr:wsDr>
</file>

<file path=xl/drawings/drawing52.xml><?xml version="1.0" encoding="utf-8"?>
<xdr:wsDr xmlns:xdr="http://schemas.openxmlformats.org/drawingml/2006/spreadsheetDrawing" xmlns:a="http://schemas.openxmlformats.org/drawingml/2006/main">
  <xdr:twoCellAnchor editAs="oneCell">
    <xdr:from>
      <xdr:col>3</xdr:col>
      <xdr:colOff>409578</xdr:colOff>
      <xdr:row>0</xdr:row>
      <xdr:rowOff>0</xdr:rowOff>
    </xdr:from>
    <xdr:to>
      <xdr:col>15</xdr:col>
      <xdr:colOff>314326</xdr:colOff>
      <xdr:row>28</xdr:row>
      <xdr:rowOff>62143</xdr:rowOff>
    </xdr:to>
    <xdr:pic>
      <xdr:nvPicPr>
        <xdr:cNvPr id="2" name="Picture 1">
          <a:extLst>
            <a:ext uri="{FF2B5EF4-FFF2-40B4-BE49-F238E27FC236}">
              <a16:creationId xmlns:a16="http://schemas.microsoft.com/office/drawing/2014/main" id="{00000000-0008-0000-0900-000002000000}"/>
            </a:ext>
          </a:extLst>
        </xdr:cNvPr>
        <xdr:cNvPicPr>
          <a:picLocks noChangeAspect="1" noChangeArrowheads="1"/>
        </xdr:cNvPicPr>
      </xdr:nvPicPr>
      <xdr:blipFill>
        <a:blip xmlns:r="http://schemas.openxmlformats.org/officeDocument/2006/relationships" r:embed="rId1" cstate="email">
          <a:extLst>
            <a:ext uri="{28A0092B-C50C-407E-A947-70E740481C1C}">
              <a14:useLocalDpi xmlns:a14="http://schemas.microsoft.com/office/drawing/2010/main"/>
            </a:ext>
          </a:extLst>
        </a:blip>
        <a:srcRect/>
        <a:stretch>
          <a:fillRect/>
        </a:stretch>
      </xdr:blipFill>
      <xdr:spPr bwMode="auto">
        <a:xfrm>
          <a:off x="2009778" y="0"/>
          <a:ext cx="6305548" cy="459604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209550</xdr:colOff>
      <xdr:row>0</xdr:row>
      <xdr:rowOff>0</xdr:rowOff>
    </xdr:from>
    <xdr:to>
      <xdr:col>17</xdr:col>
      <xdr:colOff>290232</xdr:colOff>
      <xdr:row>2</xdr:row>
      <xdr:rowOff>28575</xdr:rowOff>
    </xdr:to>
    <xdr:sp macro="" textlink="">
      <xdr:nvSpPr>
        <xdr:cNvPr id="4" name="Arrow: Left 3">
          <a:hlinkClick xmlns:r="http://schemas.openxmlformats.org/officeDocument/2006/relationships" r:id="rId2"/>
          <a:extLst>
            <a:ext uri="{FF2B5EF4-FFF2-40B4-BE49-F238E27FC236}">
              <a16:creationId xmlns:a16="http://schemas.microsoft.com/office/drawing/2014/main" id="{00000000-0008-0000-0900-000004000000}"/>
            </a:ext>
          </a:extLst>
        </xdr:cNvPr>
        <xdr:cNvSpPr/>
      </xdr:nvSpPr>
      <xdr:spPr>
        <a:xfrm>
          <a:off x="8210550" y="0"/>
          <a:ext cx="728382" cy="352425"/>
        </a:xfrm>
        <a:prstGeom prst="leftArrow">
          <a:avLst>
            <a:gd name="adj1" fmla="val 50000"/>
            <a:gd name="adj2" fmla="val 50000"/>
          </a:avLst>
        </a:prstGeom>
        <a:solidFill>
          <a:srgbClr val="D3114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solidFill>
                <a:schemeClr val="bg1"/>
              </a:solidFill>
            </a:rPr>
            <a:t>Back</a:t>
          </a:r>
        </a:p>
      </xdr:txBody>
    </xdr:sp>
    <xdr:clientData/>
  </xdr:twoCellAnchor>
  <xdr:twoCellAnchor>
    <xdr:from>
      <xdr:col>11</xdr:col>
      <xdr:colOff>523875</xdr:colOff>
      <xdr:row>0</xdr:row>
      <xdr:rowOff>47625</xdr:rowOff>
    </xdr:from>
    <xdr:to>
      <xdr:col>15</xdr:col>
      <xdr:colOff>38100</xdr:colOff>
      <xdr:row>3</xdr:row>
      <xdr:rowOff>19050</xdr:rowOff>
    </xdr:to>
    <xdr:sp macro="" textlink="">
      <xdr:nvSpPr>
        <xdr:cNvPr id="3" name="Rectangle 2">
          <a:extLst>
            <a:ext uri="{FF2B5EF4-FFF2-40B4-BE49-F238E27FC236}">
              <a16:creationId xmlns:a16="http://schemas.microsoft.com/office/drawing/2014/main" id="{7143E7DB-3E77-1829-3C15-59C70F66CDD7}"/>
            </a:ext>
          </a:extLst>
        </xdr:cNvPr>
        <xdr:cNvSpPr/>
      </xdr:nvSpPr>
      <xdr:spPr>
        <a:xfrm>
          <a:off x="6391275" y="47625"/>
          <a:ext cx="1647825" cy="4572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53.xml><?xml version="1.0" encoding="utf-8"?>
<xdr:wsDr xmlns:xdr="http://schemas.openxmlformats.org/drawingml/2006/spreadsheetDrawing" xmlns:a="http://schemas.openxmlformats.org/drawingml/2006/main">
  <xdr:twoCellAnchor>
    <xdr:from>
      <xdr:col>3</xdr:col>
      <xdr:colOff>163285</xdr:colOff>
      <xdr:row>13</xdr:row>
      <xdr:rowOff>272143</xdr:rowOff>
    </xdr:from>
    <xdr:to>
      <xdr:col>4</xdr:col>
      <xdr:colOff>375316</xdr:colOff>
      <xdr:row>15</xdr:row>
      <xdr:rowOff>91110</xdr:rowOff>
    </xdr:to>
    <xdr:sp macro="" textlink="">
      <xdr:nvSpPr>
        <xdr:cNvPr id="2" name="Rounded Rectangle 3">
          <a:hlinkClick xmlns:r="http://schemas.openxmlformats.org/officeDocument/2006/relationships" r:id="rId1"/>
          <a:extLst>
            <a:ext uri="{FF2B5EF4-FFF2-40B4-BE49-F238E27FC236}">
              <a16:creationId xmlns:a16="http://schemas.microsoft.com/office/drawing/2014/main" id="{00000000-0008-0000-0A00-000002000000}"/>
            </a:ext>
          </a:extLst>
        </xdr:cNvPr>
        <xdr:cNvSpPr/>
      </xdr:nvSpPr>
      <xdr:spPr>
        <a:xfrm>
          <a:off x="1572985" y="2139043"/>
          <a:ext cx="869256" cy="352367"/>
        </a:xfrm>
        <a:prstGeom prst="roundRect">
          <a:avLst/>
        </a:prstGeom>
        <a:solidFill>
          <a:srgbClr val="E76F51"/>
        </a:solidFill>
        <a:effectLst>
          <a:glow rad="228600">
            <a:schemeClr val="accent1">
              <a:satMod val="175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b="1" i="0">
              <a:solidFill>
                <a:schemeClr val="bg1"/>
              </a:solidFill>
              <a:latin typeface="Arial" panose="020B0604020202020204" pitchFamily="34" charset="0"/>
              <a:cs typeface="Arial" panose="020B0604020202020204" pitchFamily="34" charset="0"/>
            </a:rPr>
            <a:t>Đọc</a:t>
          </a:r>
          <a:r>
            <a:rPr lang="en-US" sz="1000" b="1" i="0" baseline="0">
              <a:solidFill>
                <a:schemeClr val="bg1"/>
              </a:solidFill>
              <a:latin typeface="Arial" panose="020B0604020202020204" pitchFamily="34" charset="0"/>
              <a:cs typeface="Arial" panose="020B0604020202020204" pitchFamily="34" charset="0"/>
            </a:rPr>
            <a:t> </a:t>
          </a:r>
          <a:r>
            <a:rPr lang="en-US" sz="1000" b="1" i="0">
              <a:solidFill>
                <a:schemeClr val="bg1"/>
              </a:solidFill>
              <a:latin typeface="Arial" panose="020B0604020202020204" pitchFamily="34" charset="0"/>
              <a:cs typeface="Arial" panose="020B0604020202020204" pitchFamily="34" charset="0"/>
            </a:rPr>
            <a:t>ngay</a:t>
          </a:r>
        </a:p>
      </xdr:txBody>
    </xdr:sp>
    <xdr:clientData/>
  </xdr:twoCellAnchor>
  <xdr:twoCellAnchor>
    <xdr:from>
      <xdr:col>24</xdr:col>
      <xdr:colOff>121584</xdr:colOff>
      <xdr:row>13</xdr:row>
      <xdr:rowOff>281829</xdr:rowOff>
    </xdr:from>
    <xdr:to>
      <xdr:col>30</xdr:col>
      <xdr:colOff>108857</xdr:colOff>
      <xdr:row>15</xdr:row>
      <xdr:rowOff>40822</xdr:rowOff>
    </xdr:to>
    <xdr:sp macro="" textlink="">
      <xdr:nvSpPr>
        <xdr:cNvPr id="3" name="Rounded Rectangle 4">
          <a:hlinkClick xmlns:r="http://schemas.openxmlformats.org/officeDocument/2006/relationships" r:id="rId2"/>
          <a:extLst>
            <a:ext uri="{FF2B5EF4-FFF2-40B4-BE49-F238E27FC236}">
              <a16:creationId xmlns:a16="http://schemas.microsoft.com/office/drawing/2014/main" id="{00000000-0008-0000-0A00-000003000000}"/>
            </a:ext>
          </a:extLst>
        </xdr:cNvPr>
        <xdr:cNvSpPr/>
      </xdr:nvSpPr>
      <xdr:spPr>
        <a:xfrm>
          <a:off x="6131859" y="2148729"/>
          <a:ext cx="730223" cy="292393"/>
        </a:xfrm>
        <a:prstGeom prst="roundRect">
          <a:avLst/>
        </a:prstGeom>
        <a:solidFill>
          <a:srgbClr val="E76F51"/>
        </a:solidFill>
        <a:effectLst>
          <a:glow rad="228600">
            <a:schemeClr val="accent1">
              <a:satMod val="175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000" b="1" i="0">
              <a:solidFill>
                <a:schemeClr val="bg1"/>
              </a:solidFill>
              <a:latin typeface="Arial" panose="020B0604020202020204" pitchFamily="34" charset="0"/>
              <a:ea typeface="+mn-ea"/>
              <a:cs typeface="Arial" panose="020B0604020202020204" pitchFamily="34" charset="0"/>
            </a:rPr>
            <a:t>Đọc ngay</a:t>
          </a:r>
        </a:p>
      </xdr:txBody>
    </xdr:sp>
    <xdr:clientData/>
  </xdr:twoCellAnchor>
  <xdr:twoCellAnchor>
    <xdr:from>
      <xdr:col>66</xdr:col>
      <xdr:colOff>68036</xdr:colOff>
      <xdr:row>13</xdr:row>
      <xdr:rowOff>289672</xdr:rowOff>
    </xdr:from>
    <xdr:to>
      <xdr:col>72</xdr:col>
      <xdr:colOff>134470</xdr:colOff>
      <xdr:row>15</xdr:row>
      <xdr:rowOff>95250</xdr:rowOff>
    </xdr:to>
    <xdr:sp macro="" textlink="">
      <xdr:nvSpPr>
        <xdr:cNvPr id="4" name="Rounded Rectangle 5">
          <a:hlinkClick xmlns:r="http://schemas.openxmlformats.org/officeDocument/2006/relationships" r:id="rId3"/>
          <a:extLst>
            <a:ext uri="{FF2B5EF4-FFF2-40B4-BE49-F238E27FC236}">
              <a16:creationId xmlns:a16="http://schemas.microsoft.com/office/drawing/2014/main" id="{00000000-0008-0000-0A00-000004000000}"/>
            </a:ext>
          </a:extLst>
        </xdr:cNvPr>
        <xdr:cNvSpPr/>
      </xdr:nvSpPr>
      <xdr:spPr>
        <a:xfrm>
          <a:off x="11193236" y="2156572"/>
          <a:ext cx="799859" cy="338978"/>
        </a:xfrm>
        <a:prstGeom prst="roundRect">
          <a:avLst/>
        </a:prstGeom>
        <a:solidFill>
          <a:srgbClr val="E76F51"/>
        </a:solidFill>
        <a:effectLst>
          <a:glow rad="228600">
            <a:schemeClr val="accent1">
              <a:satMod val="175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000" b="1" i="0">
              <a:solidFill>
                <a:schemeClr val="bg1"/>
              </a:solidFill>
              <a:latin typeface="Arial" panose="020B0604020202020204" pitchFamily="34" charset="0"/>
              <a:ea typeface="+mn-ea"/>
              <a:cs typeface="Arial" panose="020B0604020202020204" pitchFamily="34" charset="0"/>
            </a:rPr>
            <a:t>Đọc ngay</a:t>
          </a:r>
        </a:p>
      </xdr:txBody>
    </xdr:sp>
    <xdr:clientData/>
  </xdr:twoCellAnchor>
  <xdr:twoCellAnchor>
    <xdr:from>
      <xdr:col>109</xdr:col>
      <xdr:colOff>54429</xdr:colOff>
      <xdr:row>13</xdr:row>
      <xdr:rowOff>293275</xdr:rowOff>
    </xdr:from>
    <xdr:to>
      <xdr:col>115</xdr:col>
      <xdr:colOff>55867</xdr:colOff>
      <xdr:row>15</xdr:row>
      <xdr:rowOff>68036</xdr:rowOff>
    </xdr:to>
    <xdr:sp macro="" textlink="">
      <xdr:nvSpPr>
        <xdr:cNvPr id="5" name="Rounded Rectangle 6">
          <a:hlinkClick xmlns:r="http://schemas.openxmlformats.org/officeDocument/2006/relationships" r:id="rId4"/>
          <a:extLst>
            <a:ext uri="{FF2B5EF4-FFF2-40B4-BE49-F238E27FC236}">
              <a16:creationId xmlns:a16="http://schemas.microsoft.com/office/drawing/2014/main" id="{00000000-0008-0000-0A00-000005000000}"/>
            </a:ext>
          </a:extLst>
        </xdr:cNvPr>
        <xdr:cNvSpPr/>
      </xdr:nvSpPr>
      <xdr:spPr>
        <a:xfrm>
          <a:off x="16418379" y="2160175"/>
          <a:ext cx="744388" cy="308161"/>
        </a:xfrm>
        <a:prstGeom prst="roundRect">
          <a:avLst/>
        </a:prstGeom>
        <a:solidFill>
          <a:srgbClr val="E76F51"/>
        </a:solidFill>
        <a:effectLst>
          <a:glow rad="228600">
            <a:schemeClr val="accent1">
              <a:satMod val="175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000" b="1" i="0">
              <a:solidFill>
                <a:schemeClr val="bg1"/>
              </a:solidFill>
              <a:latin typeface="Arial" panose="020B0604020202020204" pitchFamily="34" charset="0"/>
              <a:ea typeface="+mn-ea"/>
              <a:cs typeface="Arial" panose="020B0604020202020204" pitchFamily="34" charset="0"/>
            </a:rPr>
            <a:t>Đọc ngay</a:t>
          </a:r>
        </a:p>
      </xdr:txBody>
    </xdr:sp>
    <xdr:clientData/>
  </xdr:twoCellAnchor>
  <xdr:twoCellAnchor>
    <xdr:from>
      <xdr:col>3</xdr:col>
      <xdr:colOff>205708</xdr:colOff>
      <xdr:row>17</xdr:row>
      <xdr:rowOff>11206</xdr:rowOff>
    </xdr:from>
    <xdr:to>
      <xdr:col>4</xdr:col>
      <xdr:colOff>380999</xdr:colOff>
      <xdr:row>18</xdr:row>
      <xdr:rowOff>165652</xdr:rowOff>
    </xdr:to>
    <xdr:sp macro="" textlink="">
      <xdr:nvSpPr>
        <xdr:cNvPr id="6" name="Rounded Rectangle 7">
          <a:hlinkClick xmlns:r="http://schemas.openxmlformats.org/officeDocument/2006/relationships" r:id="rId5"/>
          <a:extLst>
            <a:ext uri="{FF2B5EF4-FFF2-40B4-BE49-F238E27FC236}">
              <a16:creationId xmlns:a16="http://schemas.microsoft.com/office/drawing/2014/main" id="{00000000-0008-0000-0A00-000006000000}"/>
            </a:ext>
          </a:extLst>
        </xdr:cNvPr>
        <xdr:cNvSpPr/>
      </xdr:nvSpPr>
      <xdr:spPr>
        <a:xfrm>
          <a:off x="1615408" y="3059206"/>
          <a:ext cx="832516" cy="278271"/>
        </a:xfrm>
        <a:prstGeom prst="roundRect">
          <a:avLst/>
        </a:prstGeom>
        <a:solidFill>
          <a:srgbClr val="E76F51"/>
        </a:solidFill>
        <a:effectLst>
          <a:glow rad="228600">
            <a:schemeClr val="accent1">
              <a:satMod val="175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000" b="1" i="0">
              <a:solidFill>
                <a:schemeClr val="bg1"/>
              </a:solidFill>
              <a:latin typeface="Arial" panose="020B0604020202020204" pitchFamily="34" charset="0"/>
              <a:ea typeface="+mn-ea"/>
              <a:cs typeface="Arial" panose="020B0604020202020204" pitchFamily="34" charset="0"/>
            </a:rPr>
            <a:t>Đọc ngay</a:t>
          </a:r>
        </a:p>
      </xdr:txBody>
    </xdr:sp>
    <xdr:clientData/>
  </xdr:twoCellAnchor>
  <xdr:twoCellAnchor>
    <xdr:from>
      <xdr:col>3</xdr:col>
      <xdr:colOff>245728</xdr:colOff>
      <xdr:row>21</xdr:row>
      <xdr:rowOff>383801</xdr:rowOff>
    </xdr:from>
    <xdr:to>
      <xdr:col>4</xdr:col>
      <xdr:colOff>380197</xdr:colOff>
      <xdr:row>24</xdr:row>
      <xdr:rowOff>150879</xdr:rowOff>
    </xdr:to>
    <xdr:sp macro="" textlink="">
      <xdr:nvSpPr>
        <xdr:cNvPr id="7" name="Rounded Rectangle 8">
          <a:hlinkClick xmlns:r="http://schemas.openxmlformats.org/officeDocument/2006/relationships" r:id="rId6"/>
          <a:extLst>
            <a:ext uri="{FF2B5EF4-FFF2-40B4-BE49-F238E27FC236}">
              <a16:creationId xmlns:a16="http://schemas.microsoft.com/office/drawing/2014/main" id="{00000000-0008-0000-0A00-000007000000}"/>
            </a:ext>
          </a:extLst>
        </xdr:cNvPr>
        <xdr:cNvSpPr/>
      </xdr:nvSpPr>
      <xdr:spPr>
        <a:xfrm>
          <a:off x="1655428" y="4212851"/>
          <a:ext cx="791694" cy="290953"/>
        </a:xfrm>
        <a:prstGeom prst="roundRect">
          <a:avLst/>
        </a:prstGeom>
        <a:solidFill>
          <a:srgbClr val="E76F51"/>
        </a:solidFill>
        <a:effectLst>
          <a:glow rad="228600">
            <a:schemeClr val="accent1">
              <a:satMod val="175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000" b="1" i="0">
              <a:solidFill>
                <a:schemeClr val="bg1"/>
              </a:solidFill>
              <a:latin typeface="Arial" panose="020B0604020202020204" pitchFamily="34" charset="0"/>
              <a:ea typeface="+mn-ea"/>
              <a:cs typeface="Arial" panose="020B0604020202020204" pitchFamily="34" charset="0"/>
            </a:rPr>
            <a:t>Đọc ngay</a:t>
          </a:r>
        </a:p>
      </xdr:txBody>
    </xdr:sp>
    <xdr:clientData/>
  </xdr:twoCellAnchor>
  <xdr:twoCellAnchor>
    <xdr:from>
      <xdr:col>24</xdr:col>
      <xdr:colOff>128549</xdr:colOff>
      <xdr:row>16</xdr:row>
      <xdr:rowOff>408215</xdr:rowOff>
    </xdr:from>
    <xdr:to>
      <xdr:col>31</xdr:col>
      <xdr:colOff>13607</xdr:colOff>
      <xdr:row>18</xdr:row>
      <xdr:rowOff>122464</xdr:rowOff>
    </xdr:to>
    <xdr:sp macro="" textlink="">
      <xdr:nvSpPr>
        <xdr:cNvPr id="8" name="Rounded Rectangle 10">
          <a:hlinkClick xmlns:r="http://schemas.openxmlformats.org/officeDocument/2006/relationships" r:id="rId7"/>
          <a:extLst>
            <a:ext uri="{FF2B5EF4-FFF2-40B4-BE49-F238E27FC236}">
              <a16:creationId xmlns:a16="http://schemas.microsoft.com/office/drawing/2014/main" id="{00000000-0008-0000-0A00-000008000000}"/>
            </a:ext>
          </a:extLst>
        </xdr:cNvPr>
        <xdr:cNvSpPr/>
      </xdr:nvSpPr>
      <xdr:spPr>
        <a:xfrm>
          <a:off x="6138824" y="2960915"/>
          <a:ext cx="751833" cy="333374"/>
        </a:xfrm>
        <a:prstGeom prst="roundRect">
          <a:avLst/>
        </a:prstGeom>
        <a:solidFill>
          <a:srgbClr val="E76F51"/>
        </a:solidFill>
        <a:effectLst>
          <a:glow rad="228600">
            <a:schemeClr val="accent1">
              <a:satMod val="175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000" b="1" i="0">
              <a:solidFill>
                <a:schemeClr val="bg1"/>
              </a:solidFill>
              <a:latin typeface="Arial" panose="020B0604020202020204" pitchFamily="34" charset="0"/>
              <a:ea typeface="+mn-ea"/>
              <a:cs typeface="Arial" panose="020B0604020202020204" pitchFamily="34" charset="0"/>
            </a:rPr>
            <a:t>Đọc ngay</a:t>
          </a:r>
        </a:p>
      </xdr:txBody>
    </xdr:sp>
    <xdr:clientData/>
  </xdr:twoCellAnchor>
  <xdr:twoCellAnchor>
    <xdr:from>
      <xdr:col>24</xdr:col>
      <xdr:colOff>135273</xdr:colOff>
      <xdr:row>23</xdr:row>
      <xdr:rowOff>6964</xdr:rowOff>
    </xdr:from>
    <xdr:to>
      <xdr:col>31</xdr:col>
      <xdr:colOff>13607</xdr:colOff>
      <xdr:row>24</xdr:row>
      <xdr:rowOff>95250</xdr:rowOff>
    </xdr:to>
    <xdr:sp macro="" textlink="">
      <xdr:nvSpPr>
        <xdr:cNvPr id="9" name="Rounded Rectangle 9">
          <a:hlinkClick xmlns:r="http://schemas.openxmlformats.org/officeDocument/2006/relationships" r:id="rId8"/>
          <a:extLst>
            <a:ext uri="{FF2B5EF4-FFF2-40B4-BE49-F238E27FC236}">
              <a16:creationId xmlns:a16="http://schemas.microsoft.com/office/drawing/2014/main" id="{00000000-0008-0000-0A00-000009000000}"/>
            </a:ext>
          </a:extLst>
        </xdr:cNvPr>
        <xdr:cNvSpPr/>
      </xdr:nvSpPr>
      <xdr:spPr>
        <a:xfrm>
          <a:off x="6136023" y="4217014"/>
          <a:ext cx="754634" cy="278786"/>
        </a:xfrm>
        <a:prstGeom prst="roundRect">
          <a:avLst/>
        </a:prstGeom>
        <a:solidFill>
          <a:srgbClr val="E76F51"/>
        </a:solidFill>
        <a:effectLst>
          <a:glow rad="228600">
            <a:schemeClr val="accent1">
              <a:satMod val="175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000" b="1" i="0">
              <a:solidFill>
                <a:schemeClr val="bg1"/>
              </a:solidFill>
              <a:latin typeface="Arial" panose="020B0604020202020204" pitchFamily="34" charset="0"/>
              <a:ea typeface="+mn-ea"/>
              <a:cs typeface="Arial" panose="020B0604020202020204" pitchFamily="34" charset="0"/>
            </a:rPr>
            <a:t>Đọc ngay</a:t>
          </a:r>
        </a:p>
      </xdr:txBody>
    </xdr:sp>
    <xdr:clientData/>
  </xdr:twoCellAnchor>
  <xdr:twoCellAnchor>
    <xdr:from>
      <xdr:col>66</xdr:col>
      <xdr:colOff>110778</xdr:colOff>
      <xdr:row>21</xdr:row>
      <xdr:rowOff>347143</xdr:rowOff>
    </xdr:from>
    <xdr:to>
      <xdr:col>72</xdr:col>
      <xdr:colOff>134470</xdr:colOff>
      <xdr:row>24</xdr:row>
      <xdr:rowOff>68036</xdr:rowOff>
    </xdr:to>
    <xdr:sp macro="" textlink="">
      <xdr:nvSpPr>
        <xdr:cNvPr id="10" name="Rounded Rectangle 11">
          <a:hlinkClick xmlns:r="http://schemas.openxmlformats.org/officeDocument/2006/relationships" r:id="rId9"/>
          <a:extLst>
            <a:ext uri="{FF2B5EF4-FFF2-40B4-BE49-F238E27FC236}">
              <a16:creationId xmlns:a16="http://schemas.microsoft.com/office/drawing/2014/main" id="{00000000-0008-0000-0A00-00000A000000}"/>
            </a:ext>
          </a:extLst>
        </xdr:cNvPr>
        <xdr:cNvSpPr/>
      </xdr:nvSpPr>
      <xdr:spPr>
        <a:xfrm>
          <a:off x="11235978" y="4185718"/>
          <a:ext cx="757117" cy="282868"/>
        </a:xfrm>
        <a:prstGeom prst="roundRect">
          <a:avLst/>
        </a:prstGeom>
        <a:solidFill>
          <a:srgbClr val="E76F51"/>
        </a:solidFill>
        <a:effectLst>
          <a:glow rad="228600">
            <a:schemeClr val="accent1">
              <a:satMod val="175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000" b="1" i="0">
              <a:solidFill>
                <a:schemeClr val="bg1"/>
              </a:solidFill>
              <a:latin typeface="Arial" panose="020B0604020202020204" pitchFamily="34" charset="0"/>
              <a:ea typeface="+mn-ea"/>
              <a:cs typeface="Arial" panose="020B0604020202020204" pitchFamily="34" charset="0"/>
            </a:rPr>
            <a:t>Đọc ngay</a:t>
          </a:r>
        </a:p>
      </xdr:txBody>
    </xdr:sp>
    <xdr:clientData/>
  </xdr:twoCellAnchor>
  <xdr:twoCellAnchor>
    <xdr:from>
      <xdr:col>3</xdr:col>
      <xdr:colOff>275664</xdr:colOff>
      <xdr:row>30</xdr:row>
      <xdr:rowOff>5464</xdr:rowOff>
    </xdr:from>
    <xdr:to>
      <xdr:col>4</xdr:col>
      <xdr:colOff>452437</xdr:colOff>
      <xdr:row>31</xdr:row>
      <xdr:rowOff>95250</xdr:rowOff>
    </xdr:to>
    <xdr:sp macro="" textlink="">
      <xdr:nvSpPr>
        <xdr:cNvPr id="11" name="Rounded Rectangle 12">
          <a:hlinkClick xmlns:r="http://schemas.openxmlformats.org/officeDocument/2006/relationships" r:id="rId10"/>
          <a:extLst>
            <a:ext uri="{FF2B5EF4-FFF2-40B4-BE49-F238E27FC236}">
              <a16:creationId xmlns:a16="http://schemas.microsoft.com/office/drawing/2014/main" id="{00000000-0008-0000-0A00-00000B000000}"/>
            </a:ext>
          </a:extLst>
        </xdr:cNvPr>
        <xdr:cNvSpPr/>
      </xdr:nvSpPr>
      <xdr:spPr>
        <a:xfrm>
          <a:off x="1685364" y="5596639"/>
          <a:ext cx="833998" cy="346961"/>
        </a:xfrm>
        <a:prstGeom prst="roundRect">
          <a:avLst/>
        </a:prstGeom>
        <a:solidFill>
          <a:srgbClr val="E76F51"/>
        </a:solidFill>
        <a:effectLst>
          <a:glow rad="228600">
            <a:schemeClr val="accent1">
              <a:satMod val="175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000" b="1" i="0">
              <a:solidFill>
                <a:schemeClr val="bg1"/>
              </a:solidFill>
              <a:latin typeface="Arial" panose="020B0604020202020204" pitchFamily="34" charset="0"/>
              <a:ea typeface="+mn-ea"/>
              <a:cs typeface="Arial" panose="020B0604020202020204" pitchFamily="34" charset="0"/>
            </a:rPr>
            <a:t>Đọc ngay</a:t>
          </a:r>
        </a:p>
      </xdr:txBody>
    </xdr:sp>
    <xdr:clientData/>
  </xdr:twoCellAnchor>
  <xdr:twoCellAnchor>
    <xdr:from>
      <xdr:col>24</xdr:col>
      <xdr:colOff>134149</xdr:colOff>
      <xdr:row>30</xdr:row>
      <xdr:rowOff>248480</xdr:rowOff>
    </xdr:from>
    <xdr:to>
      <xdr:col>31</xdr:col>
      <xdr:colOff>68034</xdr:colOff>
      <xdr:row>32</xdr:row>
      <xdr:rowOff>136072</xdr:rowOff>
    </xdr:to>
    <xdr:sp macro="" textlink="">
      <xdr:nvSpPr>
        <xdr:cNvPr id="12" name="Rounded Rectangle 13">
          <a:hlinkClick xmlns:r="http://schemas.openxmlformats.org/officeDocument/2006/relationships" r:id="rId10"/>
          <a:extLst>
            <a:ext uri="{FF2B5EF4-FFF2-40B4-BE49-F238E27FC236}">
              <a16:creationId xmlns:a16="http://schemas.microsoft.com/office/drawing/2014/main" id="{00000000-0008-0000-0A00-00000C000000}"/>
            </a:ext>
          </a:extLst>
        </xdr:cNvPr>
        <xdr:cNvSpPr/>
      </xdr:nvSpPr>
      <xdr:spPr>
        <a:xfrm>
          <a:off x="6134899" y="5839655"/>
          <a:ext cx="810185" cy="335267"/>
        </a:xfrm>
        <a:prstGeom prst="roundRect">
          <a:avLst/>
        </a:prstGeom>
        <a:solidFill>
          <a:srgbClr val="E76F51"/>
        </a:solidFill>
        <a:effectLst>
          <a:glow rad="228600">
            <a:schemeClr val="accent1">
              <a:satMod val="175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000" b="1" i="0">
              <a:solidFill>
                <a:schemeClr val="bg1"/>
              </a:solidFill>
              <a:latin typeface="Arial" panose="020B0604020202020204" pitchFamily="34" charset="0"/>
              <a:ea typeface="+mn-ea"/>
              <a:cs typeface="Arial" panose="020B0604020202020204" pitchFamily="34" charset="0"/>
            </a:rPr>
            <a:t>Đọc ngay</a:t>
          </a:r>
        </a:p>
      </xdr:txBody>
    </xdr:sp>
    <xdr:clientData/>
  </xdr:twoCellAnchor>
  <xdr:twoCellAnchor>
    <xdr:from>
      <xdr:col>66</xdr:col>
      <xdr:colOff>96405</xdr:colOff>
      <xdr:row>31</xdr:row>
      <xdr:rowOff>13687</xdr:rowOff>
    </xdr:from>
    <xdr:to>
      <xdr:col>72</xdr:col>
      <xdr:colOff>95250</xdr:colOff>
      <xdr:row>32</xdr:row>
      <xdr:rowOff>124042</xdr:rowOff>
    </xdr:to>
    <xdr:sp macro="" textlink="">
      <xdr:nvSpPr>
        <xdr:cNvPr id="13" name="Rounded Rectangle 14">
          <a:hlinkClick xmlns:r="http://schemas.openxmlformats.org/officeDocument/2006/relationships" r:id="rId10"/>
          <a:extLst>
            <a:ext uri="{FF2B5EF4-FFF2-40B4-BE49-F238E27FC236}">
              <a16:creationId xmlns:a16="http://schemas.microsoft.com/office/drawing/2014/main" id="{00000000-0008-0000-0A00-00000D000000}"/>
            </a:ext>
          </a:extLst>
        </xdr:cNvPr>
        <xdr:cNvSpPr/>
      </xdr:nvSpPr>
      <xdr:spPr>
        <a:xfrm>
          <a:off x="11221605" y="5862037"/>
          <a:ext cx="741795" cy="300855"/>
        </a:xfrm>
        <a:prstGeom prst="roundRect">
          <a:avLst/>
        </a:prstGeom>
        <a:solidFill>
          <a:srgbClr val="E76F51"/>
        </a:solidFill>
        <a:effectLst>
          <a:glow rad="228600">
            <a:schemeClr val="accent1">
              <a:satMod val="175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000" b="1" i="0">
              <a:solidFill>
                <a:schemeClr val="bg1"/>
              </a:solidFill>
              <a:latin typeface="Arial" panose="020B0604020202020204" pitchFamily="34" charset="0"/>
              <a:ea typeface="+mn-ea"/>
              <a:cs typeface="Arial" panose="020B0604020202020204" pitchFamily="34" charset="0"/>
            </a:rPr>
            <a:t>Đọc ngay</a:t>
          </a:r>
        </a:p>
      </xdr:txBody>
    </xdr:sp>
    <xdr:clientData/>
  </xdr:twoCellAnchor>
  <xdr:twoCellAnchor>
    <xdr:from>
      <xdr:col>3</xdr:col>
      <xdr:colOff>275665</xdr:colOff>
      <xdr:row>37</xdr:row>
      <xdr:rowOff>254533</xdr:rowOff>
    </xdr:from>
    <xdr:to>
      <xdr:col>4</xdr:col>
      <xdr:colOff>410134</xdr:colOff>
      <xdr:row>40</xdr:row>
      <xdr:rowOff>81642</xdr:rowOff>
    </xdr:to>
    <xdr:sp macro="" textlink="">
      <xdr:nvSpPr>
        <xdr:cNvPr id="14" name="Rounded Rectangle 18">
          <a:hlinkClick xmlns:r="http://schemas.openxmlformats.org/officeDocument/2006/relationships" r:id="rId11"/>
          <a:extLst>
            <a:ext uri="{FF2B5EF4-FFF2-40B4-BE49-F238E27FC236}">
              <a16:creationId xmlns:a16="http://schemas.microsoft.com/office/drawing/2014/main" id="{00000000-0008-0000-0A00-00000E000000}"/>
            </a:ext>
          </a:extLst>
        </xdr:cNvPr>
        <xdr:cNvSpPr/>
      </xdr:nvSpPr>
      <xdr:spPr>
        <a:xfrm>
          <a:off x="1685365" y="7264933"/>
          <a:ext cx="791694" cy="236684"/>
        </a:xfrm>
        <a:prstGeom prst="roundRect">
          <a:avLst/>
        </a:prstGeom>
        <a:solidFill>
          <a:srgbClr val="E76F51"/>
        </a:solidFill>
        <a:effectLst>
          <a:glow rad="228600">
            <a:schemeClr val="accent1">
              <a:satMod val="175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000" b="1" i="0">
              <a:solidFill>
                <a:schemeClr val="bg1"/>
              </a:solidFill>
              <a:latin typeface="Arial" panose="020B0604020202020204" pitchFamily="34" charset="0"/>
              <a:ea typeface="+mn-ea"/>
              <a:cs typeface="Arial" panose="020B0604020202020204" pitchFamily="34" charset="0"/>
            </a:rPr>
            <a:t>Đọc ngay</a:t>
          </a:r>
        </a:p>
      </xdr:txBody>
    </xdr:sp>
    <xdr:clientData/>
  </xdr:twoCellAnchor>
  <xdr:twoCellAnchor>
    <xdr:from>
      <xdr:col>24</xdr:col>
      <xdr:colOff>129121</xdr:colOff>
      <xdr:row>37</xdr:row>
      <xdr:rowOff>284471</xdr:rowOff>
    </xdr:from>
    <xdr:to>
      <xdr:col>31</xdr:col>
      <xdr:colOff>40821</xdr:colOff>
      <xdr:row>40</xdr:row>
      <xdr:rowOff>68036</xdr:rowOff>
    </xdr:to>
    <xdr:sp macro="" textlink="">
      <xdr:nvSpPr>
        <xdr:cNvPr id="15" name="Rounded Rectangle 19">
          <a:hlinkClick xmlns:r="http://schemas.openxmlformats.org/officeDocument/2006/relationships" r:id="rId11"/>
          <a:extLst>
            <a:ext uri="{FF2B5EF4-FFF2-40B4-BE49-F238E27FC236}">
              <a16:creationId xmlns:a16="http://schemas.microsoft.com/office/drawing/2014/main" id="{00000000-0008-0000-0A00-00000F000000}"/>
            </a:ext>
          </a:extLst>
        </xdr:cNvPr>
        <xdr:cNvSpPr/>
      </xdr:nvSpPr>
      <xdr:spPr>
        <a:xfrm>
          <a:off x="6129871" y="7266296"/>
          <a:ext cx="788000" cy="221715"/>
        </a:xfrm>
        <a:prstGeom prst="roundRect">
          <a:avLst/>
        </a:prstGeom>
        <a:solidFill>
          <a:srgbClr val="E76F51"/>
        </a:solidFill>
        <a:effectLst>
          <a:glow rad="228600">
            <a:schemeClr val="accent1">
              <a:satMod val="175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000" b="1" i="0">
              <a:solidFill>
                <a:schemeClr val="bg1"/>
              </a:solidFill>
              <a:latin typeface="Arial" panose="020B0604020202020204" pitchFamily="34" charset="0"/>
              <a:ea typeface="+mn-ea"/>
              <a:cs typeface="Arial" panose="020B0604020202020204" pitchFamily="34" charset="0"/>
            </a:rPr>
            <a:t>Đọc ngay</a:t>
          </a:r>
        </a:p>
      </xdr:txBody>
    </xdr:sp>
    <xdr:clientData/>
  </xdr:twoCellAnchor>
  <xdr:twoCellAnchor>
    <xdr:from>
      <xdr:col>66</xdr:col>
      <xdr:colOff>77774</xdr:colOff>
      <xdr:row>37</xdr:row>
      <xdr:rowOff>204107</xdr:rowOff>
    </xdr:from>
    <xdr:to>
      <xdr:col>72</xdr:col>
      <xdr:colOff>95249</xdr:colOff>
      <xdr:row>40</xdr:row>
      <xdr:rowOff>81642</xdr:rowOff>
    </xdr:to>
    <xdr:sp macro="" textlink="">
      <xdr:nvSpPr>
        <xdr:cNvPr id="16" name="Rounded Rectangle 20">
          <a:hlinkClick xmlns:r="http://schemas.openxmlformats.org/officeDocument/2006/relationships" r:id="rId11"/>
          <a:extLst>
            <a:ext uri="{FF2B5EF4-FFF2-40B4-BE49-F238E27FC236}">
              <a16:creationId xmlns:a16="http://schemas.microsoft.com/office/drawing/2014/main" id="{00000000-0008-0000-0A00-000010000000}"/>
            </a:ext>
          </a:extLst>
        </xdr:cNvPr>
        <xdr:cNvSpPr/>
      </xdr:nvSpPr>
      <xdr:spPr>
        <a:xfrm>
          <a:off x="11202974" y="7252607"/>
          <a:ext cx="760425" cy="249010"/>
        </a:xfrm>
        <a:prstGeom prst="roundRect">
          <a:avLst/>
        </a:prstGeom>
        <a:solidFill>
          <a:srgbClr val="E76F51"/>
        </a:solidFill>
        <a:effectLst>
          <a:glow rad="228600">
            <a:schemeClr val="accent1">
              <a:satMod val="175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000" b="1" i="0">
              <a:solidFill>
                <a:schemeClr val="bg1"/>
              </a:solidFill>
              <a:latin typeface="Arial" panose="020B0604020202020204" pitchFamily="34" charset="0"/>
              <a:ea typeface="+mn-ea"/>
              <a:cs typeface="Arial" panose="020B0604020202020204" pitchFamily="34" charset="0"/>
            </a:rPr>
            <a:t>Đọc ngay</a:t>
          </a:r>
        </a:p>
      </xdr:txBody>
    </xdr:sp>
    <xdr:clientData/>
  </xdr:twoCellAnchor>
  <xdr:twoCellAnchor>
    <xdr:from>
      <xdr:col>109</xdr:col>
      <xdr:colOff>35723</xdr:colOff>
      <xdr:row>38</xdr:row>
      <xdr:rowOff>56716</xdr:rowOff>
    </xdr:from>
    <xdr:to>
      <xdr:col>115</xdr:col>
      <xdr:colOff>27214</xdr:colOff>
      <xdr:row>40</xdr:row>
      <xdr:rowOff>115661</xdr:rowOff>
    </xdr:to>
    <xdr:sp macro="" textlink="">
      <xdr:nvSpPr>
        <xdr:cNvPr id="17" name="Rounded Rectangle 17">
          <a:hlinkClick xmlns:r="http://schemas.openxmlformats.org/officeDocument/2006/relationships" r:id="rId12"/>
          <a:extLst>
            <a:ext uri="{FF2B5EF4-FFF2-40B4-BE49-F238E27FC236}">
              <a16:creationId xmlns:a16="http://schemas.microsoft.com/office/drawing/2014/main" id="{00000000-0008-0000-0A00-000011000000}"/>
            </a:ext>
          </a:extLst>
        </xdr:cNvPr>
        <xdr:cNvSpPr/>
      </xdr:nvSpPr>
      <xdr:spPr>
        <a:xfrm>
          <a:off x="16399673" y="7324291"/>
          <a:ext cx="734441" cy="211345"/>
        </a:xfrm>
        <a:prstGeom prst="roundRect">
          <a:avLst/>
        </a:prstGeom>
        <a:solidFill>
          <a:srgbClr val="E76F51"/>
        </a:solidFill>
        <a:effectLst>
          <a:glow rad="228600">
            <a:schemeClr val="accent1">
              <a:satMod val="175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000" b="1" i="0">
              <a:solidFill>
                <a:schemeClr val="bg1"/>
              </a:solidFill>
              <a:latin typeface="Arial" panose="020B0604020202020204" pitchFamily="34" charset="0"/>
              <a:ea typeface="+mn-ea"/>
              <a:cs typeface="Arial" panose="020B0604020202020204" pitchFamily="34" charset="0"/>
            </a:rPr>
            <a:t>Đọc ngay</a:t>
          </a:r>
        </a:p>
      </xdr:txBody>
    </xdr:sp>
    <xdr:clientData/>
  </xdr:twoCellAnchor>
  <xdr:twoCellAnchor>
    <xdr:from>
      <xdr:col>3</xdr:col>
      <xdr:colOff>258346</xdr:colOff>
      <xdr:row>45</xdr:row>
      <xdr:rowOff>179882</xdr:rowOff>
    </xdr:from>
    <xdr:to>
      <xdr:col>4</xdr:col>
      <xdr:colOff>476250</xdr:colOff>
      <xdr:row>47</xdr:row>
      <xdr:rowOff>40821</xdr:rowOff>
    </xdr:to>
    <xdr:sp macro="" textlink="">
      <xdr:nvSpPr>
        <xdr:cNvPr id="18" name="Rounded Rectangle 21">
          <a:hlinkClick xmlns:r="http://schemas.openxmlformats.org/officeDocument/2006/relationships" r:id="rId13"/>
          <a:extLst>
            <a:ext uri="{FF2B5EF4-FFF2-40B4-BE49-F238E27FC236}">
              <a16:creationId xmlns:a16="http://schemas.microsoft.com/office/drawing/2014/main" id="{00000000-0008-0000-0A00-000012000000}"/>
            </a:ext>
          </a:extLst>
        </xdr:cNvPr>
        <xdr:cNvSpPr/>
      </xdr:nvSpPr>
      <xdr:spPr>
        <a:xfrm>
          <a:off x="1668046" y="8371382"/>
          <a:ext cx="875129" cy="241939"/>
        </a:xfrm>
        <a:prstGeom prst="roundRect">
          <a:avLst/>
        </a:prstGeom>
        <a:solidFill>
          <a:srgbClr val="E76F51"/>
        </a:solidFill>
        <a:effectLst>
          <a:glow rad="228600">
            <a:schemeClr val="accent1">
              <a:satMod val="175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000" b="1" i="0">
              <a:solidFill>
                <a:schemeClr val="bg1"/>
              </a:solidFill>
              <a:latin typeface="Arial" panose="020B0604020202020204" pitchFamily="34" charset="0"/>
              <a:ea typeface="+mn-ea"/>
              <a:cs typeface="Arial" panose="020B0604020202020204" pitchFamily="34" charset="0"/>
            </a:rPr>
            <a:t>Đọc ngay</a:t>
          </a:r>
        </a:p>
      </xdr:txBody>
    </xdr:sp>
    <xdr:clientData/>
  </xdr:twoCellAnchor>
  <xdr:twoCellAnchor>
    <xdr:from>
      <xdr:col>24</xdr:col>
      <xdr:colOff>108857</xdr:colOff>
      <xdr:row>45</xdr:row>
      <xdr:rowOff>176733</xdr:rowOff>
    </xdr:from>
    <xdr:to>
      <xdr:col>31</xdr:col>
      <xdr:colOff>15382</xdr:colOff>
      <xdr:row>47</xdr:row>
      <xdr:rowOff>54428</xdr:rowOff>
    </xdr:to>
    <xdr:sp macro="" textlink="">
      <xdr:nvSpPr>
        <xdr:cNvPr id="19" name="Rounded Rectangle 22">
          <a:hlinkClick xmlns:r="http://schemas.openxmlformats.org/officeDocument/2006/relationships" r:id="rId13"/>
          <a:extLst>
            <a:ext uri="{FF2B5EF4-FFF2-40B4-BE49-F238E27FC236}">
              <a16:creationId xmlns:a16="http://schemas.microsoft.com/office/drawing/2014/main" id="{00000000-0008-0000-0A00-000013000000}"/>
            </a:ext>
          </a:extLst>
        </xdr:cNvPr>
        <xdr:cNvSpPr/>
      </xdr:nvSpPr>
      <xdr:spPr>
        <a:xfrm>
          <a:off x="6119132" y="8368233"/>
          <a:ext cx="773300" cy="258695"/>
        </a:xfrm>
        <a:prstGeom prst="roundRect">
          <a:avLst/>
        </a:prstGeom>
        <a:solidFill>
          <a:srgbClr val="E76F51"/>
        </a:solidFill>
        <a:effectLst>
          <a:glow rad="228600">
            <a:schemeClr val="accent1">
              <a:satMod val="175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000" b="1" i="0">
              <a:solidFill>
                <a:schemeClr val="bg1"/>
              </a:solidFill>
              <a:latin typeface="Arial" panose="020B0604020202020204" pitchFamily="34" charset="0"/>
              <a:ea typeface="+mn-ea"/>
              <a:cs typeface="Arial" panose="020B0604020202020204" pitchFamily="34" charset="0"/>
            </a:rPr>
            <a:t>Đọc ngay</a:t>
          </a:r>
        </a:p>
      </xdr:txBody>
    </xdr:sp>
    <xdr:clientData/>
  </xdr:twoCellAnchor>
  <xdr:twoCellAnchor>
    <xdr:from>
      <xdr:col>66</xdr:col>
      <xdr:colOff>108858</xdr:colOff>
      <xdr:row>45</xdr:row>
      <xdr:rowOff>152233</xdr:rowOff>
    </xdr:from>
    <xdr:to>
      <xdr:col>72</xdr:col>
      <xdr:colOff>96829</xdr:colOff>
      <xdr:row>47</xdr:row>
      <xdr:rowOff>81643</xdr:rowOff>
    </xdr:to>
    <xdr:sp macro="" textlink="">
      <xdr:nvSpPr>
        <xdr:cNvPr id="20" name="Rounded Rectangle 23">
          <a:hlinkClick xmlns:r="http://schemas.openxmlformats.org/officeDocument/2006/relationships" r:id="rId13"/>
          <a:extLst>
            <a:ext uri="{FF2B5EF4-FFF2-40B4-BE49-F238E27FC236}">
              <a16:creationId xmlns:a16="http://schemas.microsoft.com/office/drawing/2014/main" id="{00000000-0008-0000-0A00-000014000000}"/>
            </a:ext>
          </a:extLst>
        </xdr:cNvPr>
        <xdr:cNvSpPr/>
      </xdr:nvSpPr>
      <xdr:spPr>
        <a:xfrm>
          <a:off x="11234058" y="8343733"/>
          <a:ext cx="730921" cy="310410"/>
        </a:xfrm>
        <a:prstGeom prst="roundRect">
          <a:avLst/>
        </a:prstGeom>
        <a:solidFill>
          <a:srgbClr val="E76F51"/>
        </a:solidFill>
        <a:effectLst>
          <a:glow rad="228600">
            <a:schemeClr val="accent1">
              <a:satMod val="175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000" b="1" i="0">
              <a:solidFill>
                <a:schemeClr val="bg1"/>
              </a:solidFill>
              <a:latin typeface="Arial" panose="020B0604020202020204" pitchFamily="34" charset="0"/>
              <a:ea typeface="+mn-ea"/>
              <a:cs typeface="Arial" panose="020B0604020202020204" pitchFamily="34" charset="0"/>
            </a:rPr>
            <a:t>Đọc ngay</a:t>
          </a:r>
        </a:p>
      </xdr:txBody>
    </xdr:sp>
    <xdr:clientData/>
  </xdr:twoCellAnchor>
  <xdr:twoCellAnchor>
    <xdr:from>
      <xdr:col>3</xdr:col>
      <xdr:colOff>275664</xdr:colOff>
      <xdr:row>53</xdr:row>
      <xdr:rowOff>5464</xdr:rowOff>
    </xdr:from>
    <xdr:to>
      <xdr:col>4</xdr:col>
      <xdr:colOff>476251</xdr:colOff>
      <xdr:row>54</xdr:row>
      <xdr:rowOff>40822</xdr:rowOff>
    </xdr:to>
    <xdr:sp macro="" textlink="">
      <xdr:nvSpPr>
        <xdr:cNvPr id="21" name="Rounded Rectangle 24">
          <a:hlinkClick xmlns:r="http://schemas.openxmlformats.org/officeDocument/2006/relationships" r:id="rId10"/>
          <a:extLst>
            <a:ext uri="{FF2B5EF4-FFF2-40B4-BE49-F238E27FC236}">
              <a16:creationId xmlns:a16="http://schemas.microsoft.com/office/drawing/2014/main" id="{00000000-0008-0000-0A00-000015000000}"/>
            </a:ext>
          </a:extLst>
        </xdr:cNvPr>
        <xdr:cNvSpPr/>
      </xdr:nvSpPr>
      <xdr:spPr>
        <a:xfrm>
          <a:off x="1685364" y="9559039"/>
          <a:ext cx="857812" cy="292533"/>
        </a:xfrm>
        <a:prstGeom prst="roundRect">
          <a:avLst/>
        </a:prstGeom>
        <a:solidFill>
          <a:srgbClr val="E76F51"/>
        </a:solidFill>
        <a:effectLst>
          <a:glow rad="228600">
            <a:schemeClr val="accent1">
              <a:satMod val="175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000" b="1" i="0">
              <a:solidFill>
                <a:schemeClr val="bg1"/>
              </a:solidFill>
              <a:latin typeface="Arial" panose="020B0604020202020204" pitchFamily="34" charset="0"/>
              <a:ea typeface="+mn-ea"/>
              <a:cs typeface="Arial" panose="020B0604020202020204" pitchFamily="34" charset="0"/>
            </a:rPr>
            <a:t>Đọc ngay</a:t>
          </a:r>
        </a:p>
      </xdr:txBody>
    </xdr:sp>
    <xdr:clientData/>
  </xdr:twoCellAnchor>
  <xdr:twoCellAnchor>
    <xdr:from>
      <xdr:col>24</xdr:col>
      <xdr:colOff>122464</xdr:colOff>
      <xdr:row>53</xdr:row>
      <xdr:rowOff>234873</xdr:rowOff>
    </xdr:from>
    <xdr:to>
      <xdr:col>31</xdr:col>
      <xdr:colOff>15382</xdr:colOff>
      <xdr:row>55</xdr:row>
      <xdr:rowOff>81643</xdr:rowOff>
    </xdr:to>
    <xdr:sp macro="" textlink="">
      <xdr:nvSpPr>
        <xdr:cNvPr id="22" name="Rounded Rectangle 25">
          <a:hlinkClick xmlns:r="http://schemas.openxmlformats.org/officeDocument/2006/relationships" r:id="rId10"/>
          <a:extLst>
            <a:ext uri="{FF2B5EF4-FFF2-40B4-BE49-F238E27FC236}">
              <a16:creationId xmlns:a16="http://schemas.microsoft.com/office/drawing/2014/main" id="{00000000-0008-0000-0A00-000016000000}"/>
            </a:ext>
          </a:extLst>
        </xdr:cNvPr>
        <xdr:cNvSpPr/>
      </xdr:nvSpPr>
      <xdr:spPr>
        <a:xfrm>
          <a:off x="6132739" y="9788448"/>
          <a:ext cx="759693" cy="294445"/>
        </a:xfrm>
        <a:prstGeom prst="roundRect">
          <a:avLst/>
        </a:prstGeom>
        <a:solidFill>
          <a:srgbClr val="E76F51"/>
        </a:solidFill>
        <a:effectLst>
          <a:glow rad="228600">
            <a:schemeClr val="accent1">
              <a:satMod val="175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000" b="1" i="0">
              <a:solidFill>
                <a:schemeClr val="bg1"/>
              </a:solidFill>
              <a:latin typeface="Arial" panose="020B0604020202020204" pitchFamily="34" charset="0"/>
              <a:ea typeface="+mn-ea"/>
              <a:cs typeface="Arial" panose="020B0604020202020204" pitchFamily="34" charset="0"/>
            </a:rPr>
            <a:t>Đọc ngay</a:t>
          </a:r>
        </a:p>
      </xdr:txBody>
    </xdr:sp>
    <xdr:clientData/>
  </xdr:twoCellAnchor>
  <xdr:twoCellAnchor>
    <xdr:from>
      <xdr:col>66</xdr:col>
      <xdr:colOff>96405</xdr:colOff>
      <xdr:row>54</xdr:row>
      <xdr:rowOff>81</xdr:rowOff>
    </xdr:from>
    <xdr:to>
      <xdr:col>73</xdr:col>
      <xdr:colOff>0</xdr:colOff>
      <xdr:row>55</xdr:row>
      <xdr:rowOff>95250</xdr:rowOff>
    </xdr:to>
    <xdr:sp macro="" textlink="">
      <xdr:nvSpPr>
        <xdr:cNvPr id="23" name="Rounded Rectangle 26">
          <a:hlinkClick xmlns:r="http://schemas.openxmlformats.org/officeDocument/2006/relationships" r:id="rId10"/>
          <a:extLst>
            <a:ext uri="{FF2B5EF4-FFF2-40B4-BE49-F238E27FC236}">
              <a16:creationId xmlns:a16="http://schemas.microsoft.com/office/drawing/2014/main" id="{00000000-0008-0000-0A00-000017000000}"/>
            </a:ext>
          </a:extLst>
        </xdr:cNvPr>
        <xdr:cNvSpPr/>
      </xdr:nvSpPr>
      <xdr:spPr>
        <a:xfrm>
          <a:off x="11221605" y="9810831"/>
          <a:ext cx="770370" cy="285669"/>
        </a:xfrm>
        <a:prstGeom prst="roundRect">
          <a:avLst/>
        </a:prstGeom>
        <a:solidFill>
          <a:srgbClr val="E76F51"/>
        </a:solidFill>
        <a:effectLst>
          <a:glow rad="228600">
            <a:schemeClr val="accent1">
              <a:satMod val="175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000" b="1" i="0">
              <a:solidFill>
                <a:schemeClr val="bg1"/>
              </a:solidFill>
              <a:latin typeface="Arial" panose="020B0604020202020204" pitchFamily="34" charset="0"/>
              <a:ea typeface="+mn-ea"/>
              <a:cs typeface="Arial" panose="020B0604020202020204" pitchFamily="34" charset="0"/>
            </a:rPr>
            <a:t>Đọc ngay</a:t>
          </a:r>
        </a:p>
      </xdr:txBody>
    </xdr:sp>
    <xdr:clientData/>
  </xdr:twoCellAnchor>
  <xdr:twoCellAnchor>
    <xdr:from>
      <xdr:col>8</xdr:col>
      <xdr:colOff>136072</xdr:colOff>
      <xdr:row>1</xdr:row>
      <xdr:rowOff>401010</xdr:rowOff>
    </xdr:from>
    <xdr:to>
      <xdr:col>10</xdr:col>
      <xdr:colOff>67235</xdr:colOff>
      <xdr:row>3</xdr:row>
      <xdr:rowOff>55389</xdr:rowOff>
    </xdr:to>
    <xdr:sp macro="" textlink="">
      <xdr:nvSpPr>
        <xdr:cNvPr id="24" name="Flowchart: Connector 23">
          <a:extLst>
            <a:ext uri="{FF2B5EF4-FFF2-40B4-BE49-F238E27FC236}">
              <a16:creationId xmlns:a16="http://schemas.microsoft.com/office/drawing/2014/main" id="{00000000-0008-0000-0A00-000018000000}"/>
            </a:ext>
          </a:extLst>
        </xdr:cNvPr>
        <xdr:cNvSpPr/>
      </xdr:nvSpPr>
      <xdr:spPr>
        <a:xfrm>
          <a:off x="3888922" y="496260"/>
          <a:ext cx="455038" cy="454479"/>
        </a:xfrm>
        <a:prstGeom prst="flowChartConnector">
          <a:avLst/>
        </a:prstGeom>
        <a:solidFill>
          <a:srgbClr val="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solidFill>
                <a:sysClr val="windowText" lastClr="000000"/>
              </a:solidFill>
              <a:latin typeface="Arial" panose="020B0604020202020204" pitchFamily="34" charset="0"/>
              <a:cs typeface="Arial" panose="020B0604020202020204" pitchFamily="34" charset="0"/>
            </a:rPr>
            <a:t>1</a:t>
          </a:r>
        </a:p>
      </xdr:txBody>
    </xdr:sp>
    <xdr:clientData/>
  </xdr:twoCellAnchor>
  <xdr:twoCellAnchor>
    <xdr:from>
      <xdr:col>48</xdr:col>
      <xdr:colOff>40821</xdr:colOff>
      <xdr:row>1</xdr:row>
      <xdr:rowOff>380999</xdr:rowOff>
    </xdr:from>
    <xdr:to>
      <xdr:col>51</xdr:col>
      <xdr:colOff>121104</xdr:colOff>
      <xdr:row>3</xdr:row>
      <xdr:rowOff>35378</xdr:rowOff>
    </xdr:to>
    <xdr:sp macro="" textlink="">
      <xdr:nvSpPr>
        <xdr:cNvPr id="25" name="Flowchart: Connector 24">
          <a:extLst>
            <a:ext uri="{FF2B5EF4-FFF2-40B4-BE49-F238E27FC236}">
              <a16:creationId xmlns:a16="http://schemas.microsoft.com/office/drawing/2014/main" id="{00000000-0008-0000-0A00-000019000000}"/>
            </a:ext>
          </a:extLst>
        </xdr:cNvPr>
        <xdr:cNvSpPr/>
      </xdr:nvSpPr>
      <xdr:spPr>
        <a:xfrm>
          <a:off x="9022896" y="476249"/>
          <a:ext cx="451758" cy="454479"/>
        </a:xfrm>
        <a:prstGeom prst="flowChartConnector">
          <a:avLst/>
        </a:prstGeom>
        <a:solidFill>
          <a:srgbClr val="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solidFill>
                <a:sysClr val="windowText" lastClr="000000"/>
              </a:solidFill>
              <a:latin typeface="Arial" panose="020B0604020202020204" pitchFamily="34" charset="0"/>
              <a:cs typeface="Arial" panose="020B0604020202020204" pitchFamily="34" charset="0"/>
            </a:rPr>
            <a:t>2</a:t>
          </a:r>
        </a:p>
      </xdr:txBody>
    </xdr:sp>
    <xdr:clientData/>
  </xdr:twoCellAnchor>
  <xdr:twoCellAnchor>
    <xdr:from>
      <xdr:col>136</xdr:col>
      <xdr:colOff>119991</xdr:colOff>
      <xdr:row>19</xdr:row>
      <xdr:rowOff>201706</xdr:rowOff>
    </xdr:from>
    <xdr:to>
      <xdr:col>138</xdr:col>
      <xdr:colOff>299373</xdr:colOff>
      <xdr:row>21</xdr:row>
      <xdr:rowOff>171522</xdr:rowOff>
    </xdr:to>
    <xdr:sp macro="" textlink="">
      <xdr:nvSpPr>
        <xdr:cNvPr id="26" name="Flowchart: Connector 25">
          <a:extLst>
            <a:ext uri="{FF2B5EF4-FFF2-40B4-BE49-F238E27FC236}">
              <a16:creationId xmlns:a16="http://schemas.microsoft.com/office/drawing/2014/main" id="{00000000-0008-0000-0A00-00001A000000}"/>
            </a:ext>
          </a:extLst>
        </xdr:cNvPr>
        <xdr:cNvSpPr/>
      </xdr:nvSpPr>
      <xdr:spPr>
        <a:xfrm>
          <a:off x="19827216" y="3583081"/>
          <a:ext cx="427032" cy="427016"/>
        </a:xfrm>
        <a:prstGeom prst="flowChartConnector">
          <a:avLst/>
        </a:prstGeom>
        <a:solidFill>
          <a:srgbClr val="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solidFill>
                <a:sysClr val="windowText" lastClr="000000"/>
              </a:solidFill>
              <a:latin typeface="Arial" panose="020B0604020202020204" pitchFamily="34" charset="0"/>
              <a:cs typeface="Arial" panose="020B0604020202020204" pitchFamily="34" charset="0"/>
            </a:rPr>
            <a:t>3</a:t>
          </a:r>
        </a:p>
      </xdr:txBody>
    </xdr:sp>
    <xdr:clientData/>
  </xdr:twoCellAnchor>
  <xdr:twoCellAnchor>
    <xdr:from>
      <xdr:col>139</xdr:col>
      <xdr:colOff>86590</xdr:colOff>
      <xdr:row>19</xdr:row>
      <xdr:rowOff>155862</xdr:rowOff>
    </xdr:from>
    <xdr:to>
      <xdr:col>140</xdr:col>
      <xdr:colOff>519544</xdr:colOff>
      <xdr:row>21</xdr:row>
      <xdr:rowOff>225137</xdr:rowOff>
    </xdr:to>
    <xdr:sp macro="" textlink="">
      <xdr:nvSpPr>
        <xdr:cNvPr id="27" name="Arrow: Left 26">
          <a:hlinkClick xmlns:r="http://schemas.openxmlformats.org/officeDocument/2006/relationships" r:id="rId14"/>
          <a:extLst>
            <a:ext uri="{FF2B5EF4-FFF2-40B4-BE49-F238E27FC236}">
              <a16:creationId xmlns:a16="http://schemas.microsoft.com/office/drawing/2014/main" id="{08568705-3678-36D5-556B-EBF0BA81981D}"/>
            </a:ext>
          </a:extLst>
        </xdr:cNvPr>
        <xdr:cNvSpPr/>
      </xdr:nvSpPr>
      <xdr:spPr>
        <a:xfrm>
          <a:off x="20175681" y="3550226"/>
          <a:ext cx="969818" cy="519547"/>
        </a:xfrm>
        <a:prstGeom prst="leftArrow">
          <a:avLst/>
        </a:prstGeom>
        <a:solidFill>
          <a:srgbClr val="D3114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kern="1200"/>
            <a:t>Back</a:t>
          </a:r>
        </a:p>
      </xdr:txBody>
    </xdr:sp>
    <xdr:clientData/>
  </xdr:twoCellAnchor>
</xdr:wsDr>
</file>

<file path=xl/drawings/drawing54.xml><?xml version="1.0" encoding="utf-8"?>
<xdr:wsDr xmlns:xdr="http://schemas.openxmlformats.org/drawingml/2006/spreadsheetDrawing" xmlns:a="http://schemas.openxmlformats.org/drawingml/2006/main">
  <xdr:twoCellAnchor>
    <xdr:from>
      <xdr:col>14</xdr:col>
      <xdr:colOff>319710</xdr:colOff>
      <xdr:row>0</xdr:row>
      <xdr:rowOff>0</xdr:rowOff>
    </xdr:from>
    <xdr:to>
      <xdr:col>16</xdr:col>
      <xdr:colOff>7015</xdr:colOff>
      <xdr:row>1</xdr:row>
      <xdr:rowOff>160268</xdr:rowOff>
    </xdr:to>
    <xdr:sp macro="" textlink="">
      <xdr:nvSpPr>
        <xdr:cNvPr id="2" name="Left Arrow 1">
          <a:hlinkClick xmlns:r="http://schemas.openxmlformats.org/officeDocument/2006/relationships" r:id="rId1"/>
          <a:extLst>
            <a:ext uri="{FF2B5EF4-FFF2-40B4-BE49-F238E27FC236}">
              <a16:creationId xmlns:a16="http://schemas.microsoft.com/office/drawing/2014/main" id="{00000000-0008-0000-0B00-000002000000}"/>
            </a:ext>
          </a:extLst>
        </xdr:cNvPr>
        <xdr:cNvSpPr/>
      </xdr:nvSpPr>
      <xdr:spPr>
        <a:xfrm>
          <a:off x="9349410" y="0"/>
          <a:ext cx="1458955" cy="607943"/>
        </a:xfrm>
        <a:prstGeom prst="leftArrow">
          <a:avLst/>
        </a:prstGeom>
        <a:solidFill>
          <a:srgbClr val="E76F51"/>
        </a:solidFill>
        <a:effectLst>
          <a:glow rad="228600">
            <a:schemeClr val="accent1">
              <a:satMod val="175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100">
              <a:solidFill>
                <a:schemeClr val="bg1"/>
              </a:solidFill>
              <a:latin typeface="+mn-lt"/>
              <a:ea typeface="+mn-ea"/>
              <a:cs typeface="+mn-cs"/>
            </a:rPr>
            <a:t>Trở</a:t>
          </a:r>
          <a:r>
            <a:rPr lang="en-US" sz="1100" baseline="0">
              <a:solidFill>
                <a:schemeClr val="bg1"/>
              </a:solidFill>
              <a:latin typeface="+mn-lt"/>
              <a:ea typeface="+mn-ea"/>
              <a:cs typeface="+mn-cs"/>
            </a:rPr>
            <a:t> về trang chính</a:t>
          </a:r>
          <a:endParaRPr lang="en-US" sz="1100">
            <a:solidFill>
              <a:schemeClr val="bg1"/>
            </a:solidFill>
            <a:latin typeface="+mn-lt"/>
            <a:ea typeface="+mn-ea"/>
            <a:cs typeface="+mn-cs"/>
          </a:endParaRPr>
        </a:p>
      </xdr:txBody>
    </xdr:sp>
    <xdr:clientData/>
  </xdr:twoCellAnchor>
</xdr:wsDr>
</file>

<file path=xl/drawings/drawing55.xml><?xml version="1.0" encoding="utf-8"?>
<xdr:wsDr xmlns:xdr="http://schemas.openxmlformats.org/drawingml/2006/spreadsheetDrawing" xmlns:a="http://schemas.openxmlformats.org/drawingml/2006/main">
  <xdr:twoCellAnchor>
    <xdr:from>
      <xdr:col>13</xdr:col>
      <xdr:colOff>472110</xdr:colOff>
      <xdr:row>0</xdr:row>
      <xdr:rowOff>115957</xdr:rowOff>
    </xdr:from>
    <xdr:to>
      <xdr:col>15</xdr:col>
      <xdr:colOff>711865</xdr:colOff>
      <xdr:row>2</xdr:row>
      <xdr:rowOff>4873</xdr:rowOff>
    </xdr:to>
    <xdr:sp macro="" textlink="">
      <xdr:nvSpPr>
        <xdr:cNvPr id="2" name="Left Arrow 1">
          <a:hlinkClick xmlns:r="http://schemas.openxmlformats.org/officeDocument/2006/relationships" r:id="rId1"/>
          <a:extLst>
            <a:ext uri="{FF2B5EF4-FFF2-40B4-BE49-F238E27FC236}">
              <a16:creationId xmlns:a16="http://schemas.microsoft.com/office/drawing/2014/main" id="{00000000-0008-0000-0C00-000002000000}"/>
            </a:ext>
          </a:extLst>
        </xdr:cNvPr>
        <xdr:cNvSpPr/>
      </xdr:nvSpPr>
      <xdr:spPr>
        <a:xfrm>
          <a:off x="8892210" y="115957"/>
          <a:ext cx="1458955" cy="689016"/>
        </a:xfrm>
        <a:prstGeom prst="leftArrow">
          <a:avLst/>
        </a:prstGeom>
        <a:solidFill>
          <a:srgbClr val="E76F51"/>
        </a:solidFill>
        <a:effectLst>
          <a:glow rad="228600">
            <a:schemeClr val="accent1">
              <a:satMod val="175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100" b="1">
              <a:solidFill>
                <a:schemeClr val="bg1"/>
              </a:solidFill>
              <a:latin typeface="+mn-lt"/>
              <a:ea typeface="+mn-ea"/>
              <a:cs typeface="+mn-cs"/>
            </a:rPr>
            <a:t>Trở</a:t>
          </a:r>
          <a:r>
            <a:rPr lang="en-US" sz="1100" b="1" baseline="0">
              <a:solidFill>
                <a:schemeClr val="bg1"/>
              </a:solidFill>
              <a:latin typeface="+mn-lt"/>
              <a:ea typeface="+mn-ea"/>
              <a:cs typeface="+mn-cs"/>
            </a:rPr>
            <a:t> về trang chính</a:t>
          </a:r>
          <a:endParaRPr lang="en-US" sz="1100" b="1">
            <a:solidFill>
              <a:schemeClr val="bg1"/>
            </a:solidFill>
            <a:latin typeface="+mn-lt"/>
            <a:ea typeface="+mn-ea"/>
            <a:cs typeface="+mn-cs"/>
          </a:endParaRPr>
        </a:p>
      </xdr:txBody>
    </xdr:sp>
    <xdr:clientData/>
  </xdr:twoCellAnchor>
</xdr:wsDr>
</file>

<file path=xl/drawings/drawing56.xml><?xml version="1.0" encoding="utf-8"?>
<xdr:wsDr xmlns:xdr="http://schemas.openxmlformats.org/drawingml/2006/spreadsheetDrawing" xmlns:a="http://schemas.openxmlformats.org/drawingml/2006/main">
  <xdr:twoCellAnchor>
    <xdr:from>
      <xdr:col>14</xdr:col>
      <xdr:colOff>472110</xdr:colOff>
      <xdr:row>0</xdr:row>
      <xdr:rowOff>115957</xdr:rowOff>
    </xdr:from>
    <xdr:to>
      <xdr:col>16</xdr:col>
      <xdr:colOff>711865</xdr:colOff>
      <xdr:row>1</xdr:row>
      <xdr:rowOff>212912</xdr:rowOff>
    </xdr:to>
    <xdr:sp macro="" textlink="">
      <xdr:nvSpPr>
        <xdr:cNvPr id="2" name="Left Arrow 1">
          <a:hlinkClick xmlns:r="http://schemas.openxmlformats.org/officeDocument/2006/relationships" r:id="rId1"/>
          <a:extLst>
            <a:ext uri="{FF2B5EF4-FFF2-40B4-BE49-F238E27FC236}">
              <a16:creationId xmlns:a16="http://schemas.microsoft.com/office/drawing/2014/main" id="{00000000-0008-0000-0D00-000002000000}"/>
            </a:ext>
          </a:extLst>
        </xdr:cNvPr>
        <xdr:cNvSpPr/>
      </xdr:nvSpPr>
      <xdr:spPr>
        <a:xfrm>
          <a:off x="9587535" y="115957"/>
          <a:ext cx="1458955" cy="592255"/>
        </a:xfrm>
        <a:prstGeom prst="leftArrow">
          <a:avLst/>
        </a:prstGeom>
        <a:solidFill>
          <a:srgbClr val="E76F51"/>
        </a:solidFill>
        <a:effectLst>
          <a:glow rad="228600">
            <a:schemeClr val="accent1">
              <a:satMod val="175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100" b="1">
              <a:solidFill>
                <a:schemeClr val="bg1"/>
              </a:solidFill>
              <a:latin typeface="+mn-lt"/>
              <a:ea typeface="+mn-ea"/>
              <a:cs typeface="+mn-cs"/>
            </a:rPr>
            <a:t>Trở</a:t>
          </a:r>
          <a:r>
            <a:rPr lang="en-US" sz="1100" b="1" baseline="0">
              <a:solidFill>
                <a:schemeClr val="bg1"/>
              </a:solidFill>
              <a:latin typeface="+mn-lt"/>
              <a:ea typeface="+mn-ea"/>
              <a:cs typeface="+mn-cs"/>
            </a:rPr>
            <a:t> về trang chính</a:t>
          </a:r>
          <a:endParaRPr lang="en-US" sz="1100" b="1">
            <a:solidFill>
              <a:schemeClr val="bg1"/>
            </a:solidFill>
            <a:latin typeface="+mn-lt"/>
            <a:ea typeface="+mn-ea"/>
            <a:cs typeface="+mn-cs"/>
          </a:endParaRPr>
        </a:p>
      </xdr:txBody>
    </xdr:sp>
    <xdr:clientData/>
  </xdr:twoCellAnchor>
</xdr:wsDr>
</file>

<file path=xl/drawings/drawing57.xml><?xml version="1.0" encoding="utf-8"?>
<xdr:wsDr xmlns:xdr="http://schemas.openxmlformats.org/drawingml/2006/spreadsheetDrawing" xmlns:a="http://schemas.openxmlformats.org/drawingml/2006/main">
  <xdr:twoCellAnchor>
    <xdr:from>
      <xdr:col>15</xdr:col>
      <xdr:colOff>3473824</xdr:colOff>
      <xdr:row>0</xdr:row>
      <xdr:rowOff>0</xdr:rowOff>
    </xdr:from>
    <xdr:to>
      <xdr:col>15</xdr:col>
      <xdr:colOff>4964204</xdr:colOff>
      <xdr:row>2</xdr:row>
      <xdr:rowOff>22413</xdr:rowOff>
    </xdr:to>
    <xdr:sp macro="" textlink="">
      <xdr:nvSpPr>
        <xdr:cNvPr id="2" name="Left Arrow 1">
          <a:hlinkClick xmlns:r="http://schemas.openxmlformats.org/officeDocument/2006/relationships" r:id="rId1"/>
          <a:extLst>
            <a:ext uri="{FF2B5EF4-FFF2-40B4-BE49-F238E27FC236}">
              <a16:creationId xmlns:a16="http://schemas.microsoft.com/office/drawing/2014/main" id="{00000000-0008-0000-0F00-000002000000}"/>
            </a:ext>
          </a:extLst>
        </xdr:cNvPr>
        <xdr:cNvSpPr/>
      </xdr:nvSpPr>
      <xdr:spPr>
        <a:xfrm>
          <a:off x="13227424" y="0"/>
          <a:ext cx="1490380" cy="870138"/>
        </a:xfrm>
        <a:prstGeom prst="leftArrow">
          <a:avLst/>
        </a:prstGeom>
        <a:solidFill>
          <a:srgbClr val="E76F51"/>
        </a:solidFill>
        <a:effectLst>
          <a:glow rad="228600">
            <a:schemeClr val="accent1">
              <a:satMod val="175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100" b="1">
              <a:solidFill>
                <a:schemeClr val="bg1"/>
              </a:solidFill>
              <a:latin typeface="+mn-lt"/>
              <a:ea typeface="+mn-ea"/>
              <a:cs typeface="+mn-cs"/>
            </a:rPr>
            <a:t>Trở về trang chính</a:t>
          </a:r>
        </a:p>
      </xdr:txBody>
    </xdr:sp>
    <xdr:clientData/>
  </xdr:twoCellAnchor>
  <xdr:twoCellAnchor>
    <xdr:from>
      <xdr:col>1</xdr:col>
      <xdr:colOff>235323</xdr:colOff>
      <xdr:row>0</xdr:row>
      <xdr:rowOff>22412</xdr:rowOff>
    </xdr:from>
    <xdr:to>
      <xdr:col>1</xdr:col>
      <xdr:colOff>672352</xdr:colOff>
      <xdr:row>1</xdr:row>
      <xdr:rowOff>0</xdr:rowOff>
    </xdr:to>
    <xdr:sp macro="" textlink="">
      <xdr:nvSpPr>
        <xdr:cNvPr id="3" name="Isosceles Triangle 2">
          <a:extLst>
            <a:ext uri="{FF2B5EF4-FFF2-40B4-BE49-F238E27FC236}">
              <a16:creationId xmlns:a16="http://schemas.microsoft.com/office/drawing/2014/main" id="{00000000-0008-0000-0F00-000003000000}"/>
            </a:ext>
          </a:extLst>
        </xdr:cNvPr>
        <xdr:cNvSpPr/>
      </xdr:nvSpPr>
      <xdr:spPr>
        <a:xfrm>
          <a:off x="511548" y="22412"/>
          <a:ext cx="437029" cy="339538"/>
        </a:xfrm>
        <a:prstGeom prst="triangle">
          <a:avLst/>
        </a:prstGeom>
        <a:solidFill>
          <a:srgbClr val="E9C46A"/>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a:solidFill>
                <a:schemeClr val="tx1"/>
              </a:solidFill>
            </a:rPr>
            <a:t>!</a:t>
          </a:r>
        </a:p>
      </xdr:txBody>
    </xdr:sp>
    <xdr:clientData/>
  </xdr:twoCellAnchor>
</xdr:wsDr>
</file>

<file path=xl/drawings/drawing58.xml><?xml version="1.0" encoding="utf-8"?>
<xdr:wsDr xmlns:xdr="http://schemas.openxmlformats.org/drawingml/2006/spreadsheetDrawing" xmlns:a="http://schemas.openxmlformats.org/drawingml/2006/main">
  <xdr:twoCellAnchor>
    <xdr:from>
      <xdr:col>15</xdr:col>
      <xdr:colOff>3563472</xdr:colOff>
      <xdr:row>0</xdr:row>
      <xdr:rowOff>1</xdr:rowOff>
    </xdr:from>
    <xdr:to>
      <xdr:col>16</xdr:col>
      <xdr:colOff>44822</xdr:colOff>
      <xdr:row>1</xdr:row>
      <xdr:rowOff>403412</xdr:rowOff>
    </xdr:to>
    <xdr:sp macro="" textlink="">
      <xdr:nvSpPr>
        <xdr:cNvPr id="2" name="Left Arrow 1">
          <a:hlinkClick xmlns:r="http://schemas.openxmlformats.org/officeDocument/2006/relationships" r:id="rId1"/>
          <a:extLst>
            <a:ext uri="{FF2B5EF4-FFF2-40B4-BE49-F238E27FC236}">
              <a16:creationId xmlns:a16="http://schemas.microsoft.com/office/drawing/2014/main" id="{00000000-0008-0000-1000-000002000000}"/>
            </a:ext>
          </a:extLst>
        </xdr:cNvPr>
        <xdr:cNvSpPr/>
      </xdr:nvSpPr>
      <xdr:spPr>
        <a:xfrm>
          <a:off x="13250397" y="1"/>
          <a:ext cx="1510550" cy="908236"/>
        </a:xfrm>
        <a:prstGeom prst="leftArrow">
          <a:avLst/>
        </a:prstGeom>
        <a:solidFill>
          <a:srgbClr val="E76F51"/>
        </a:solidFill>
        <a:effectLst>
          <a:glow rad="228600">
            <a:schemeClr val="accent1">
              <a:satMod val="175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100" b="1">
              <a:solidFill>
                <a:schemeClr val="bg1"/>
              </a:solidFill>
              <a:latin typeface="+mn-lt"/>
              <a:ea typeface="+mn-ea"/>
              <a:cs typeface="+mn-cs"/>
            </a:rPr>
            <a:t>Trở</a:t>
          </a:r>
          <a:r>
            <a:rPr lang="en-US" sz="1100" b="1" baseline="0">
              <a:solidFill>
                <a:schemeClr val="bg1"/>
              </a:solidFill>
              <a:latin typeface="+mn-lt"/>
              <a:ea typeface="+mn-ea"/>
              <a:cs typeface="+mn-cs"/>
            </a:rPr>
            <a:t> về trang chính</a:t>
          </a:r>
          <a:endParaRPr lang="en-US" sz="1100" b="1">
            <a:solidFill>
              <a:schemeClr val="bg1"/>
            </a:solidFill>
            <a:latin typeface="+mn-lt"/>
            <a:ea typeface="+mn-ea"/>
            <a:cs typeface="+mn-cs"/>
          </a:endParaRPr>
        </a:p>
      </xdr:txBody>
    </xdr:sp>
    <xdr:clientData/>
  </xdr:twoCellAnchor>
  <xdr:twoCellAnchor>
    <xdr:from>
      <xdr:col>1</xdr:col>
      <xdr:colOff>134471</xdr:colOff>
      <xdr:row>0</xdr:row>
      <xdr:rowOff>112059</xdr:rowOff>
    </xdr:from>
    <xdr:to>
      <xdr:col>1</xdr:col>
      <xdr:colOff>571500</xdr:colOff>
      <xdr:row>0</xdr:row>
      <xdr:rowOff>448235</xdr:rowOff>
    </xdr:to>
    <xdr:sp macro="" textlink="">
      <xdr:nvSpPr>
        <xdr:cNvPr id="3" name="Isosceles Triangle 2">
          <a:extLst>
            <a:ext uri="{FF2B5EF4-FFF2-40B4-BE49-F238E27FC236}">
              <a16:creationId xmlns:a16="http://schemas.microsoft.com/office/drawing/2014/main" id="{00000000-0008-0000-1000-000003000000}"/>
            </a:ext>
          </a:extLst>
        </xdr:cNvPr>
        <xdr:cNvSpPr/>
      </xdr:nvSpPr>
      <xdr:spPr>
        <a:xfrm>
          <a:off x="410696" y="112059"/>
          <a:ext cx="437029" cy="336176"/>
        </a:xfrm>
        <a:prstGeom prst="triangle">
          <a:avLst/>
        </a:prstGeom>
        <a:solidFill>
          <a:srgbClr val="E9C46A"/>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a:solidFill>
                <a:schemeClr val="tx1"/>
              </a:solidFill>
            </a:rPr>
            <a:t>!</a:t>
          </a:r>
        </a:p>
      </xdr:txBody>
    </xdr:sp>
    <xdr:clientData/>
  </xdr:twoCellAnchor>
</xdr:wsDr>
</file>

<file path=xl/drawings/drawing59.xml><?xml version="1.0" encoding="utf-8"?>
<xdr:wsDr xmlns:xdr="http://schemas.openxmlformats.org/drawingml/2006/spreadsheetDrawing" xmlns:a="http://schemas.openxmlformats.org/drawingml/2006/main">
  <xdr:twoCellAnchor>
    <xdr:from>
      <xdr:col>15</xdr:col>
      <xdr:colOff>1276350</xdr:colOff>
      <xdr:row>0</xdr:row>
      <xdr:rowOff>0</xdr:rowOff>
    </xdr:from>
    <xdr:to>
      <xdr:col>15</xdr:col>
      <xdr:colOff>2789142</xdr:colOff>
      <xdr:row>2</xdr:row>
      <xdr:rowOff>0</xdr:rowOff>
    </xdr:to>
    <xdr:sp macro="" textlink="">
      <xdr:nvSpPr>
        <xdr:cNvPr id="2" name="Left Arrow 1">
          <a:hlinkClick xmlns:r="http://schemas.openxmlformats.org/officeDocument/2006/relationships" r:id="rId1"/>
          <a:extLst>
            <a:ext uri="{FF2B5EF4-FFF2-40B4-BE49-F238E27FC236}">
              <a16:creationId xmlns:a16="http://schemas.microsoft.com/office/drawing/2014/main" id="{00000000-0008-0000-1100-000002000000}"/>
            </a:ext>
          </a:extLst>
        </xdr:cNvPr>
        <xdr:cNvSpPr/>
      </xdr:nvSpPr>
      <xdr:spPr>
        <a:xfrm>
          <a:off x="10877550" y="0"/>
          <a:ext cx="1512792" cy="866775"/>
        </a:xfrm>
        <a:prstGeom prst="leftArrow">
          <a:avLst/>
        </a:prstGeom>
        <a:solidFill>
          <a:srgbClr val="E76F51"/>
        </a:solidFill>
        <a:effectLst>
          <a:glow rad="228600">
            <a:schemeClr val="accent1">
              <a:satMod val="175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100" b="1">
              <a:solidFill>
                <a:schemeClr val="bg1"/>
              </a:solidFill>
              <a:latin typeface="+mn-lt"/>
              <a:ea typeface="+mn-ea"/>
              <a:cs typeface="+mn-cs"/>
            </a:rPr>
            <a:t>Trở</a:t>
          </a:r>
          <a:r>
            <a:rPr lang="en-US" sz="1100" b="1" baseline="0">
              <a:solidFill>
                <a:schemeClr val="bg1"/>
              </a:solidFill>
              <a:latin typeface="+mn-lt"/>
              <a:ea typeface="+mn-ea"/>
              <a:cs typeface="+mn-cs"/>
            </a:rPr>
            <a:t> về trang chính</a:t>
          </a:r>
          <a:endParaRPr lang="en-US" sz="1100" b="1">
            <a:solidFill>
              <a:schemeClr val="bg1"/>
            </a:solidFill>
            <a:latin typeface="+mn-lt"/>
            <a:ea typeface="+mn-ea"/>
            <a:cs typeface="+mn-cs"/>
          </a:endParaRPr>
        </a:p>
      </xdr:txBody>
    </xdr:sp>
    <xdr:clientData/>
  </xdr:twoCellAnchor>
  <xdr:twoCellAnchor>
    <xdr:from>
      <xdr:col>1</xdr:col>
      <xdr:colOff>180975</xdr:colOff>
      <xdr:row>0</xdr:row>
      <xdr:rowOff>9525</xdr:rowOff>
    </xdr:from>
    <xdr:to>
      <xdr:col>1</xdr:col>
      <xdr:colOff>618004</xdr:colOff>
      <xdr:row>0</xdr:row>
      <xdr:rowOff>371475</xdr:rowOff>
    </xdr:to>
    <xdr:sp macro="" textlink="">
      <xdr:nvSpPr>
        <xdr:cNvPr id="3" name="Isosceles Triangle 2">
          <a:extLst>
            <a:ext uri="{FF2B5EF4-FFF2-40B4-BE49-F238E27FC236}">
              <a16:creationId xmlns:a16="http://schemas.microsoft.com/office/drawing/2014/main" id="{00000000-0008-0000-1100-000003000000}"/>
            </a:ext>
          </a:extLst>
        </xdr:cNvPr>
        <xdr:cNvSpPr/>
      </xdr:nvSpPr>
      <xdr:spPr>
        <a:xfrm>
          <a:off x="457200" y="9525"/>
          <a:ext cx="437029" cy="361950"/>
        </a:xfrm>
        <a:prstGeom prst="triangle">
          <a:avLst/>
        </a:prstGeom>
        <a:solidFill>
          <a:srgbClr val="E9C46A"/>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a:solidFill>
                <a:schemeClr val="tx1"/>
              </a:solidFill>
            </a:rPr>
            <a:t>!</a:t>
          </a:r>
        </a:p>
      </xdr:txBody>
    </xdr:sp>
    <xdr:clientData/>
  </xdr:twoCellAnchor>
</xdr:wsDr>
</file>

<file path=xl/drawings/drawing60.xml><?xml version="1.0" encoding="utf-8"?>
<xdr:wsDr xmlns:xdr="http://schemas.openxmlformats.org/drawingml/2006/spreadsheetDrawing" xmlns:a="http://schemas.openxmlformats.org/drawingml/2006/main">
  <xdr:twoCellAnchor>
    <xdr:from>
      <xdr:col>14</xdr:col>
      <xdr:colOff>581025</xdr:colOff>
      <xdr:row>0</xdr:row>
      <xdr:rowOff>0</xdr:rowOff>
    </xdr:from>
    <xdr:to>
      <xdr:col>15</xdr:col>
      <xdr:colOff>1484217</xdr:colOff>
      <xdr:row>1</xdr:row>
      <xdr:rowOff>470647</xdr:rowOff>
    </xdr:to>
    <xdr:sp macro="" textlink="">
      <xdr:nvSpPr>
        <xdr:cNvPr id="2" name="Left Arrow 1">
          <a:hlinkClick xmlns:r="http://schemas.openxmlformats.org/officeDocument/2006/relationships" r:id="rId1"/>
          <a:extLst>
            <a:ext uri="{FF2B5EF4-FFF2-40B4-BE49-F238E27FC236}">
              <a16:creationId xmlns:a16="http://schemas.microsoft.com/office/drawing/2014/main" id="{00000000-0008-0000-1200-000002000000}"/>
            </a:ext>
          </a:extLst>
        </xdr:cNvPr>
        <xdr:cNvSpPr/>
      </xdr:nvSpPr>
      <xdr:spPr>
        <a:xfrm>
          <a:off x="10220325" y="0"/>
          <a:ext cx="1512792" cy="880222"/>
        </a:xfrm>
        <a:prstGeom prst="leftArrow">
          <a:avLst/>
        </a:prstGeom>
        <a:solidFill>
          <a:srgbClr val="E76F51"/>
        </a:solidFill>
        <a:effectLst>
          <a:glow rad="228600">
            <a:schemeClr val="accent1">
              <a:satMod val="175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100" b="1">
              <a:solidFill>
                <a:schemeClr val="bg1"/>
              </a:solidFill>
              <a:latin typeface="+mn-lt"/>
              <a:ea typeface="+mn-ea"/>
              <a:cs typeface="+mn-cs"/>
            </a:rPr>
            <a:t>Trở</a:t>
          </a:r>
          <a:r>
            <a:rPr lang="en-US" sz="1100" b="1" baseline="0">
              <a:solidFill>
                <a:schemeClr val="bg1"/>
              </a:solidFill>
              <a:latin typeface="+mn-lt"/>
              <a:ea typeface="+mn-ea"/>
              <a:cs typeface="+mn-cs"/>
            </a:rPr>
            <a:t> về trang chính</a:t>
          </a:r>
          <a:endParaRPr lang="en-US" sz="1100" b="1">
            <a:solidFill>
              <a:schemeClr val="bg1"/>
            </a:solidFill>
            <a:latin typeface="+mn-lt"/>
            <a:ea typeface="+mn-ea"/>
            <a:cs typeface="+mn-cs"/>
          </a:endParaRPr>
        </a:p>
      </xdr:txBody>
    </xdr:sp>
    <xdr:clientData/>
  </xdr:twoCellAnchor>
  <xdr:twoCellAnchor>
    <xdr:from>
      <xdr:col>1</xdr:col>
      <xdr:colOff>276225</xdr:colOff>
      <xdr:row>0</xdr:row>
      <xdr:rowOff>19050</xdr:rowOff>
    </xdr:from>
    <xdr:to>
      <xdr:col>1</xdr:col>
      <xdr:colOff>713254</xdr:colOff>
      <xdr:row>0</xdr:row>
      <xdr:rowOff>390525</xdr:rowOff>
    </xdr:to>
    <xdr:sp macro="" textlink="">
      <xdr:nvSpPr>
        <xdr:cNvPr id="3" name="Isosceles Triangle 2">
          <a:extLst>
            <a:ext uri="{FF2B5EF4-FFF2-40B4-BE49-F238E27FC236}">
              <a16:creationId xmlns:a16="http://schemas.microsoft.com/office/drawing/2014/main" id="{00000000-0008-0000-1200-000003000000}"/>
            </a:ext>
          </a:extLst>
        </xdr:cNvPr>
        <xdr:cNvSpPr/>
      </xdr:nvSpPr>
      <xdr:spPr>
        <a:xfrm>
          <a:off x="552450" y="19050"/>
          <a:ext cx="437029" cy="371475"/>
        </a:xfrm>
        <a:prstGeom prst="triangle">
          <a:avLst/>
        </a:prstGeom>
        <a:solidFill>
          <a:srgbClr val="E9C46A"/>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a:solidFill>
                <a:schemeClr val="tx1"/>
              </a:solidFill>
            </a:rPr>
            <a:t>!</a:t>
          </a:r>
        </a:p>
      </xdr:txBody>
    </xdr:sp>
    <xdr:clientData/>
  </xdr:twoCellAnchor>
</xdr:wsDr>
</file>

<file path=xl/drawings/drawing61.xml><?xml version="1.0" encoding="utf-8"?>
<xdr:wsDr xmlns:xdr="http://schemas.openxmlformats.org/drawingml/2006/spreadsheetDrawing" xmlns:a="http://schemas.openxmlformats.org/drawingml/2006/main">
  <xdr:twoCellAnchor>
    <xdr:from>
      <xdr:col>14</xdr:col>
      <xdr:colOff>971550</xdr:colOff>
      <xdr:row>0</xdr:row>
      <xdr:rowOff>0</xdr:rowOff>
    </xdr:from>
    <xdr:to>
      <xdr:col>14</xdr:col>
      <xdr:colOff>2484342</xdr:colOff>
      <xdr:row>2</xdr:row>
      <xdr:rowOff>89647</xdr:rowOff>
    </xdr:to>
    <xdr:sp macro="" textlink="">
      <xdr:nvSpPr>
        <xdr:cNvPr id="2" name="Left Arrow 1">
          <a:hlinkClick xmlns:r="http://schemas.openxmlformats.org/officeDocument/2006/relationships" r:id="rId1"/>
          <a:extLst>
            <a:ext uri="{FF2B5EF4-FFF2-40B4-BE49-F238E27FC236}">
              <a16:creationId xmlns:a16="http://schemas.microsoft.com/office/drawing/2014/main" id="{00000000-0008-0000-1300-000002000000}"/>
            </a:ext>
          </a:extLst>
        </xdr:cNvPr>
        <xdr:cNvSpPr/>
      </xdr:nvSpPr>
      <xdr:spPr>
        <a:xfrm>
          <a:off x="9553575" y="0"/>
          <a:ext cx="1512792" cy="823072"/>
        </a:xfrm>
        <a:prstGeom prst="leftArrow">
          <a:avLst/>
        </a:prstGeom>
        <a:solidFill>
          <a:srgbClr val="E76F51"/>
        </a:solidFill>
        <a:effectLst>
          <a:glow rad="228600">
            <a:schemeClr val="accent1">
              <a:satMod val="175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100" b="1">
              <a:solidFill>
                <a:schemeClr val="bg1"/>
              </a:solidFill>
              <a:latin typeface="+mn-lt"/>
              <a:ea typeface="+mn-ea"/>
              <a:cs typeface="+mn-cs"/>
            </a:rPr>
            <a:t>Trở</a:t>
          </a:r>
          <a:r>
            <a:rPr lang="en-US" sz="1100" b="1" baseline="0">
              <a:solidFill>
                <a:schemeClr val="bg1"/>
              </a:solidFill>
              <a:latin typeface="+mn-lt"/>
              <a:ea typeface="+mn-ea"/>
              <a:cs typeface="+mn-cs"/>
            </a:rPr>
            <a:t> về trang chính</a:t>
          </a:r>
          <a:endParaRPr lang="en-US" sz="1100" b="1">
            <a:solidFill>
              <a:schemeClr val="bg1"/>
            </a:solidFill>
            <a:latin typeface="+mn-lt"/>
            <a:ea typeface="+mn-ea"/>
            <a:cs typeface="+mn-cs"/>
          </a:endParaRPr>
        </a:p>
      </xdr:txBody>
    </xdr:sp>
    <xdr:clientData/>
  </xdr:twoCellAnchor>
</xdr:wsDr>
</file>

<file path=xl/drawings/drawing62.xml><?xml version="1.0" encoding="utf-8"?>
<xdr:wsDr xmlns:xdr="http://schemas.openxmlformats.org/drawingml/2006/spreadsheetDrawing" xmlns:a="http://schemas.openxmlformats.org/drawingml/2006/main">
  <xdr:twoCellAnchor>
    <xdr:from>
      <xdr:col>14</xdr:col>
      <xdr:colOff>971550</xdr:colOff>
      <xdr:row>0</xdr:row>
      <xdr:rowOff>0</xdr:rowOff>
    </xdr:from>
    <xdr:to>
      <xdr:col>14</xdr:col>
      <xdr:colOff>2484342</xdr:colOff>
      <xdr:row>2</xdr:row>
      <xdr:rowOff>89647</xdr:rowOff>
    </xdr:to>
    <xdr:sp macro="" textlink="">
      <xdr:nvSpPr>
        <xdr:cNvPr id="2" name="Left Arrow 1">
          <a:hlinkClick xmlns:r="http://schemas.openxmlformats.org/officeDocument/2006/relationships" r:id="rId1"/>
          <a:extLst>
            <a:ext uri="{FF2B5EF4-FFF2-40B4-BE49-F238E27FC236}">
              <a16:creationId xmlns:a16="http://schemas.microsoft.com/office/drawing/2014/main" id="{00000000-0008-0000-1400-000002000000}"/>
            </a:ext>
          </a:extLst>
        </xdr:cNvPr>
        <xdr:cNvSpPr/>
      </xdr:nvSpPr>
      <xdr:spPr>
        <a:xfrm>
          <a:off x="9686925" y="0"/>
          <a:ext cx="1512792" cy="851647"/>
        </a:xfrm>
        <a:prstGeom prst="leftArrow">
          <a:avLst/>
        </a:prstGeom>
        <a:solidFill>
          <a:srgbClr val="E76F51"/>
        </a:solidFill>
        <a:effectLst>
          <a:glow rad="228600">
            <a:schemeClr val="accent1">
              <a:satMod val="175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100" b="1">
              <a:solidFill>
                <a:schemeClr val="bg1"/>
              </a:solidFill>
              <a:latin typeface="+mn-lt"/>
              <a:ea typeface="+mn-ea"/>
              <a:cs typeface="+mn-cs"/>
            </a:rPr>
            <a:t>Trở</a:t>
          </a:r>
          <a:r>
            <a:rPr lang="en-US" sz="1100" b="1" baseline="0">
              <a:solidFill>
                <a:schemeClr val="bg1"/>
              </a:solidFill>
              <a:latin typeface="+mn-lt"/>
              <a:ea typeface="+mn-ea"/>
              <a:cs typeface="+mn-cs"/>
            </a:rPr>
            <a:t> về trang chính</a:t>
          </a:r>
          <a:endParaRPr lang="en-US" sz="1100" b="1">
            <a:solidFill>
              <a:schemeClr val="bg1"/>
            </a:solidFill>
            <a:latin typeface="+mn-lt"/>
            <a:ea typeface="+mn-ea"/>
            <a:cs typeface="+mn-cs"/>
          </a:endParaRPr>
        </a:p>
      </xdr:txBody>
    </xdr:sp>
    <xdr:clientData/>
  </xdr:twoCellAnchor>
</xdr:wsDr>
</file>

<file path=xl/drawings/drawing63.xml><?xml version="1.0" encoding="utf-8"?>
<xdr:wsDr xmlns:xdr="http://schemas.openxmlformats.org/drawingml/2006/spreadsheetDrawing" xmlns:a="http://schemas.openxmlformats.org/drawingml/2006/main">
  <xdr:twoCellAnchor>
    <xdr:from>
      <xdr:col>14</xdr:col>
      <xdr:colOff>971550</xdr:colOff>
      <xdr:row>0</xdr:row>
      <xdr:rowOff>0</xdr:rowOff>
    </xdr:from>
    <xdr:to>
      <xdr:col>14</xdr:col>
      <xdr:colOff>2484342</xdr:colOff>
      <xdr:row>2</xdr:row>
      <xdr:rowOff>89647</xdr:rowOff>
    </xdr:to>
    <xdr:sp macro="" textlink="">
      <xdr:nvSpPr>
        <xdr:cNvPr id="2" name="Left Arrow 1">
          <a:hlinkClick xmlns:r="http://schemas.openxmlformats.org/officeDocument/2006/relationships" r:id="rId1"/>
          <a:extLst>
            <a:ext uri="{FF2B5EF4-FFF2-40B4-BE49-F238E27FC236}">
              <a16:creationId xmlns:a16="http://schemas.microsoft.com/office/drawing/2014/main" id="{00000000-0008-0000-1500-000002000000}"/>
            </a:ext>
          </a:extLst>
        </xdr:cNvPr>
        <xdr:cNvSpPr/>
      </xdr:nvSpPr>
      <xdr:spPr>
        <a:xfrm>
          <a:off x="9686925" y="0"/>
          <a:ext cx="1512792" cy="823072"/>
        </a:xfrm>
        <a:prstGeom prst="leftArrow">
          <a:avLst/>
        </a:prstGeom>
        <a:solidFill>
          <a:srgbClr val="E76F51"/>
        </a:solidFill>
        <a:effectLst>
          <a:glow rad="228600">
            <a:schemeClr val="accent1">
              <a:satMod val="175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100" b="1">
              <a:solidFill>
                <a:schemeClr val="bg1"/>
              </a:solidFill>
              <a:latin typeface="+mn-lt"/>
              <a:ea typeface="+mn-ea"/>
              <a:cs typeface="+mn-cs"/>
            </a:rPr>
            <a:t>Trở</a:t>
          </a:r>
          <a:r>
            <a:rPr lang="en-US" sz="1100" b="1" baseline="0">
              <a:solidFill>
                <a:schemeClr val="bg1"/>
              </a:solidFill>
              <a:latin typeface="+mn-lt"/>
              <a:ea typeface="+mn-ea"/>
              <a:cs typeface="+mn-cs"/>
            </a:rPr>
            <a:t> về trang chính</a:t>
          </a:r>
          <a:endParaRPr lang="en-US" sz="1100" b="1">
            <a:solidFill>
              <a:schemeClr val="bg1"/>
            </a:solidFill>
            <a:latin typeface="+mn-lt"/>
            <a:ea typeface="+mn-ea"/>
            <a:cs typeface="+mn-cs"/>
          </a:endParaRPr>
        </a:p>
      </xdr:txBody>
    </xdr:sp>
    <xdr:clientData/>
  </xdr:twoCellAnchor>
</xdr:wsDr>
</file>

<file path=xl/drawings/drawing64.xml><?xml version="1.0" encoding="utf-8"?>
<xdr:wsDr xmlns:xdr="http://schemas.openxmlformats.org/drawingml/2006/spreadsheetDrawing" xmlns:a="http://schemas.openxmlformats.org/drawingml/2006/main">
  <xdr:twoCellAnchor>
    <xdr:from>
      <xdr:col>14</xdr:col>
      <xdr:colOff>971550</xdr:colOff>
      <xdr:row>0</xdr:row>
      <xdr:rowOff>0</xdr:rowOff>
    </xdr:from>
    <xdr:to>
      <xdr:col>14</xdr:col>
      <xdr:colOff>2484342</xdr:colOff>
      <xdr:row>2</xdr:row>
      <xdr:rowOff>89647</xdr:rowOff>
    </xdr:to>
    <xdr:sp macro="" textlink="">
      <xdr:nvSpPr>
        <xdr:cNvPr id="2" name="Left Arrow 1">
          <a:hlinkClick xmlns:r="http://schemas.openxmlformats.org/officeDocument/2006/relationships" r:id="rId1"/>
          <a:extLst>
            <a:ext uri="{FF2B5EF4-FFF2-40B4-BE49-F238E27FC236}">
              <a16:creationId xmlns:a16="http://schemas.microsoft.com/office/drawing/2014/main" id="{00000000-0008-0000-1600-000002000000}"/>
            </a:ext>
          </a:extLst>
        </xdr:cNvPr>
        <xdr:cNvSpPr/>
      </xdr:nvSpPr>
      <xdr:spPr>
        <a:xfrm>
          <a:off x="9686925" y="0"/>
          <a:ext cx="1512792" cy="842122"/>
        </a:xfrm>
        <a:prstGeom prst="leftArrow">
          <a:avLst/>
        </a:prstGeom>
        <a:solidFill>
          <a:srgbClr val="E76F51"/>
        </a:solidFill>
        <a:effectLst>
          <a:glow rad="228600">
            <a:schemeClr val="accent1">
              <a:satMod val="175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100" b="1">
              <a:solidFill>
                <a:schemeClr val="bg1"/>
              </a:solidFill>
              <a:latin typeface="+mn-lt"/>
              <a:ea typeface="+mn-ea"/>
              <a:cs typeface="+mn-cs"/>
            </a:rPr>
            <a:t>Trở</a:t>
          </a:r>
          <a:r>
            <a:rPr lang="en-US" sz="1100" b="1" baseline="0">
              <a:solidFill>
                <a:schemeClr val="bg1"/>
              </a:solidFill>
              <a:latin typeface="+mn-lt"/>
              <a:ea typeface="+mn-ea"/>
              <a:cs typeface="+mn-cs"/>
            </a:rPr>
            <a:t> về trang chính</a:t>
          </a:r>
          <a:endParaRPr lang="en-US" sz="1100" b="1">
            <a:solidFill>
              <a:schemeClr val="bg1"/>
            </a:solidFill>
            <a:latin typeface="+mn-lt"/>
            <a:ea typeface="+mn-ea"/>
            <a:cs typeface="+mn-cs"/>
          </a:endParaRPr>
        </a:p>
      </xdr:txBody>
    </xdr:sp>
    <xdr:clientData/>
  </xdr:twoCellAnchor>
</xdr:wsDr>
</file>

<file path=xl/drawings/drawing65.xml><?xml version="1.0" encoding="utf-8"?>
<xdr:wsDr xmlns:xdr="http://schemas.openxmlformats.org/drawingml/2006/spreadsheetDrawing" xmlns:a="http://schemas.openxmlformats.org/drawingml/2006/main">
  <xdr:twoCellAnchor>
    <xdr:from>
      <xdr:col>15</xdr:col>
      <xdr:colOff>971550</xdr:colOff>
      <xdr:row>0</xdr:row>
      <xdr:rowOff>0</xdr:rowOff>
    </xdr:from>
    <xdr:to>
      <xdr:col>15</xdr:col>
      <xdr:colOff>2484342</xdr:colOff>
      <xdr:row>2</xdr:row>
      <xdr:rowOff>89647</xdr:rowOff>
    </xdr:to>
    <xdr:sp macro="" textlink="">
      <xdr:nvSpPr>
        <xdr:cNvPr id="2" name="Left Arrow 1">
          <a:hlinkClick xmlns:r="http://schemas.openxmlformats.org/officeDocument/2006/relationships" r:id="rId1"/>
          <a:extLst>
            <a:ext uri="{FF2B5EF4-FFF2-40B4-BE49-F238E27FC236}">
              <a16:creationId xmlns:a16="http://schemas.microsoft.com/office/drawing/2014/main" id="{00000000-0008-0000-1700-000002000000}"/>
            </a:ext>
          </a:extLst>
        </xdr:cNvPr>
        <xdr:cNvSpPr/>
      </xdr:nvSpPr>
      <xdr:spPr>
        <a:xfrm>
          <a:off x="10801350" y="0"/>
          <a:ext cx="1512792" cy="975472"/>
        </a:xfrm>
        <a:prstGeom prst="leftArrow">
          <a:avLst/>
        </a:prstGeom>
        <a:solidFill>
          <a:srgbClr val="E76F51"/>
        </a:solidFill>
        <a:effectLst>
          <a:glow rad="228600">
            <a:schemeClr val="accent1">
              <a:satMod val="175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100" b="1">
              <a:solidFill>
                <a:schemeClr val="bg1"/>
              </a:solidFill>
              <a:latin typeface="+mn-lt"/>
              <a:ea typeface="+mn-ea"/>
              <a:cs typeface="+mn-cs"/>
            </a:rPr>
            <a:t>Trở</a:t>
          </a:r>
          <a:r>
            <a:rPr lang="en-US" sz="1100" b="1" baseline="0">
              <a:solidFill>
                <a:schemeClr val="bg1"/>
              </a:solidFill>
              <a:latin typeface="+mn-lt"/>
              <a:ea typeface="+mn-ea"/>
              <a:cs typeface="+mn-cs"/>
            </a:rPr>
            <a:t> về trang chính</a:t>
          </a:r>
          <a:endParaRPr lang="en-US" sz="1100" b="1">
            <a:solidFill>
              <a:schemeClr val="bg1"/>
            </a:solidFill>
            <a:latin typeface="+mn-lt"/>
            <a:ea typeface="+mn-ea"/>
            <a:cs typeface="+mn-cs"/>
          </a:endParaRPr>
        </a:p>
      </xdr:txBody>
    </xdr:sp>
    <xdr:clientData/>
  </xdr:twoCellAnchor>
  <xdr:twoCellAnchor>
    <xdr:from>
      <xdr:col>1</xdr:col>
      <xdr:colOff>298076</xdr:colOff>
      <xdr:row>0</xdr:row>
      <xdr:rowOff>71719</xdr:rowOff>
    </xdr:from>
    <xdr:to>
      <xdr:col>1</xdr:col>
      <xdr:colOff>735105</xdr:colOff>
      <xdr:row>0</xdr:row>
      <xdr:rowOff>448236</xdr:rowOff>
    </xdr:to>
    <xdr:sp macro="" textlink="">
      <xdr:nvSpPr>
        <xdr:cNvPr id="3" name="Isosceles Triangle 2">
          <a:extLst>
            <a:ext uri="{FF2B5EF4-FFF2-40B4-BE49-F238E27FC236}">
              <a16:creationId xmlns:a16="http://schemas.microsoft.com/office/drawing/2014/main" id="{00000000-0008-0000-1700-000003000000}"/>
            </a:ext>
          </a:extLst>
        </xdr:cNvPr>
        <xdr:cNvSpPr/>
      </xdr:nvSpPr>
      <xdr:spPr>
        <a:xfrm>
          <a:off x="574301" y="71719"/>
          <a:ext cx="437029" cy="376517"/>
        </a:xfrm>
        <a:prstGeom prst="triangle">
          <a:avLst/>
        </a:prstGeom>
        <a:solidFill>
          <a:srgbClr val="E9C46A"/>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a:solidFill>
                <a:schemeClr val="tx1"/>
              </a:solidFill>
            </a:rPr>
            <a:t>!</a:t>
          </a:r>
        </a:p>
      </xdr:txBody>
    </xdr:sp>
    <xdr:clientData/>
  </xdr:twoCellAnchor>
</xdr:wsDr>
</file>

<file path=xl/drawings/drawing66.xml><?xml version="1.0" encoding="utf-8"?>
<xdr:wsDr xmlns:xdr="http://schemas.openxmlformats.org/drawingml/2006/spreadsheetDrawing" xmlns:a="http://schemas.openxmlformats.org/drawingml/2006/main">
  <xdr:twoCellAnchor>
    <xdr:from>
      <xdr:col>14</xdr:col>
      <xdr:colOff>971550</xdr:colOff>
      <xdr:row>0</xdr:row>
      <xdr:rowOff>0</xdr:rowOff>
    </xdr:from>
    <xdr:to>
      <xdr:col>14</xdr:col>
      <xdr:colOff>2484342</xdr:colOff>
      <xdr:row>1</xdr:row>
      <xdr:rowOff>268941</xdr:rowOff>
    </xdr:to>
    <xdr:sp macro="" textlink="">
      <xdr:nvSpPr>
        <xdr:cNvPr id="2" name="Left Arrow 1">
          <a:hlinkClick xmlns:r="http://schemas.openxmlformats.org/officeDocument/2006/relationships" r:id="rId1"/>
          <a:extLst>
            <a:ext uri="{FF2B5EF4-FFF2-40B4-BE49-F238E27FC236}">
              <a16:creationId xmlns:a16="http://schemas.microsoft.com/office/drawing/2014/main" id="{00000000-0008-0000-1800-000002000000}"/>
            </a:ext>
          </a:extLst>
        </xdr:cNvPr>
        <xdr:cNvSpPr/>
      </xdr:nvSpPr>
      <xdr:spPr>
        <a:xfrm>
          <a:off x="9925050" y="0"/>
          <a:ext cx="1512792" cy="859491"/>
        </a:xfrm>
        <a:prstGeom prst="leftArrow">
          <a:avLst/>
        </a:prstGeom>
        <a:solidFill>
          <a:srgbClr val="E76F51"/>
        </a:solidFill>
        <a:effectLst>
          <a:glow rad="228600">
            <a:schemeClr val="accent1">
              <a:satMod val="175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100" b="1">
              <a:solidFill>
                <a:schemeClr val="bg1"/>
              </a:solidFill>
              <a:latin typeface="+mn-lt"/>
              <a:ea typeface="+mn-ea"/>
              <a:cs typeface="+mn-cs"/>
            </a:rPr>
            <a:t>Trở</a:t>
          </a:r>
          <a:r>
            <a:rPr lang="en-US" sz="1100" b="1" baseline="0">
              <a:solidFill>
                <a:schemeClr val="bg1"/>
              </a:solidFill>
              <a:latin typeface="+mn-lt"/>
              <a:ea typeface="+mn-ea"/>
              <a:cs typeface="+mn-cs"/>
            </a:rPr>
            <a:t> về trang chính</a:t>
          </a:r>
          <a:endParaRPr lang="en-US" sz="1100" b="1">
            <a:solidFill>
              <a:schemeClr val="bg1"/>
            </a:solidFill>
            <a:latin typeface="+mn-lt"/>
            <a:ea typeface="+mn-ea"/>
            <a:cs typeface="+mn-cs"/>
          </a:endParaRPr>
        </a:p>
      </xdr:txBody>
    </xdr:sp>
    <xdr:clientData/>
  </xdr:twoCellAnchor>
</xdr:wsDr>
</file>

<file path=xl/drawings/drawing67.xml><?xml version="1.0" encoding="utf-8"?>
<xdr:wsDr xmlns:xdr="http://schemas.openxmlformats.org/drawingml/2006/spreadsheetDrawing" xmlns:a="http://schemas.openxmlformats.org/drawingml/2006/main">
  <xdr:twoCellAnchor>
    <xdr:from>
      <xdr:col>9</xdr:col>
      <xdr:colOff>1914525</xdr:colOff>
      <xdr:row>0</xdr:row>
      <xdr:rowOff>0</xdr:rowOff>
    </xdr:from>
    <xdr:to>
      <xdr:col>10</xdr:col>
      <xdr:colOff>471207</xdr:colOff>
      <xdr:row>1</xdr:row>
      <xdr:rowOff>0</xdr:rowOff>
    </xdr:to>
    <xdr:sp macro="" textlink="">
      <xdr:nvSpPr>
        <xdr:cNvPr id="2" name="Arrow: Left 1">
          <a:hlinkClick xmlns:r="http://schemas.openxmlformats.org/officeDocument/2006/relationships" r:id="rId1"/>
          <a:extLst>
            <a:ext uri="{FF2B5EF4-FFF2-40B4-BE49-F238E27FC236}">
              <a16:creationId xmlns:a16="http://schemas.microsoft.com/office/drawing/2014/main" id="{00000000-0008-0000-1900-000002000000}"/>
            </a:ext>
          </a:extLst>
        </xdr:cNvPr>
        <xdr:cNvSpPr/>
      </xdr:nvSpPr>
      <xdr:spPr>
        <a:xfrm>
          <a:off x="11515725" y="0"/>
          <a:ext cx="728382" cy="400050"/>
        </a:xfrm>
        <a:prstGeom prst="leftArrow">
          <a:avLst>
            <a:gd name="adj1" fmla="val 50000"/>
            <a:gd name="adj2" fmla="val 50000"/>
          </a:avLst>
        </a:prstGeom>
        <a:solidFill>
          <a:srgbClr val="D3114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solidFill>
                <a:schemeClr val="bg1"/>
              </a:solidFill>
            </a:rPr>
            <a:t>Back</a:t>
          </a:r>
        </a:p>
      </xdr:txBody>
    </xdr:sp>
    <xdr:clientData/>
  </xdr:twoCellAnchor>
</xdr:wsDr>
</file>

<file path=xl/drawings/drawing68.xml><?xml version="1.0" encoding="utf-8"?>
<xdr:wsDr xmlns:xdr="http://schemas.openxmlformats.org/drawingml/2006/spreadsheetDrawing" xmlns:a="http://schemas.openxmlformats.org/drawingml/2006/main">
  <xdr:twoCellAnchor editAs="oneCell">
    <xdr:from>
      <xdr:col>3</xdr:col>
      <xdr:colOff>542640</xdr:colOff>
      <xdr:row>7</xdr:row>
      <xdr:rowOff>171240</xdr:rowOff>
    </xdr:from>
    <xdr:to>
      <xdr:col>4</xdr:col>
      <xdr:colOff>3388</xdr:colOff>
      <xdr:row>8</xdr:row>
      <xdr:rowOff>150</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00000000-0008-0000-2700-000002000000}"/>
                </a:ext>
              </a:extLst>
            </xdr14:cNvPr>
            <xdr14:cNvContentPartPr/>
          </xdr14:nvContentPartPr>
          <xdr14:nvPr macro=""/>
          <xdr14:xfrm>
            <a:off x="9077040" y="1695240"/>
            <a:ext cx="360" cy="360"/>
          </xdr14:xfrm>
        </xdr:contentPart>
      </mc:Choice>
      <mc:Fallback xmlns="">
        <xdr:pic>
          <xdr:nvPicPr>
            <xdr:cNvPr id="7" name="Ink 6">
              <a:extLst>
                <a:ext uri="{FF2B5EF4-FFF2-40B4-BE49-F238E27FC236}">
                  <a16:creationId xmlns:a16="http://schemas.microsoft.com/office/drawing/2014/main" id="{B1B600DC-299C-4987-96BD-5C621EDC2E7E}"/>
                </a:ext>
              </a:extLst>
            </xdr:cNvPr>
            <xdr:cNvPicPr/>
          </xdr:nvPicPr>
          <xdr:blipFill>
            <a:blip xmlns:r="http://schemas.openxmlformats.org/officeDocument/2006/relationships" r:embed="rId2"/>
            <a:stretch>
              <a:fillRect/>
            </a:stretch>
          </xdr:blipFill>
          <xdr:spPr>
            <a:xfrm>
              <a:off x="9068400" y="1686240"/>
              <a:ext cx="18000" cy="18000"/>
            </a:xfrm>
            <a:prstGeom prst="rect">
              <a:avLst/>
            </a:prstGeom>
          </xdr:spPr>
        </xdr:pic>
      </mc:Fallback>
    </mc:AlternateContent>
    <xdr:clientData/>
  </xdr:twoCellAnchor>
  <xdr:twoCellAnchor editAs="oneCell">
    <xdr:from>
      <xdr:col>3</xdr:col>
      <xdr:colOff>0</xdr:colOff>
      <xdr:row>12</xdr:row>
      <xdr:rowOff>180660</xdr:rowOff>
    </xdr:from>
    <xdr:to>
      <xdr:col>3</xdr:col>
      <xdr:colOff>7560</xdr:colOff>
      <xdr:row>13</xdr:row>
      <xdr:rowOff>19287</xdr:rowOff>
    </xdr:to>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3" name="Ink 2">
              <a:extLst>
                <a:ext uri="{FF2B5EF4-FFF2-40B4-BE49-F238E27FC236}">
                  <a16:creationId xmlns:a16="http://schemas.microsoft.com/office/drawing/2014/main" id="{00000000-0008-0000-2700-000003000000}"/>
                </a:ext>
              </a:extLst>
            </xdr14:cNvPr>
            <xdr14:cNvContentPartPr/>
          </xdr14:nvContentPartPr>
          <xdr14:nvPr macro=""/>
          <xdr14:xfrm>
            <a:off x="5592960" y="2657160"/>
            <a:ext cx="7560" cy="18360"/>
          </xdr14:xfrm>
        </xdr:contentPart>
      </mc:Choice>
      <mc:Fallback xmlns="">
        <xdr:pic>
          <xdr:nvPicPr>
            <xdr:cNvPr id="9" name="Ink 8">
              <a:extLst>
                <a:ext uri="{FF2B5EF4-FFF2-40B4-BE49-F238E27FC236}">
                  <a16:creationId xmlns:a16="http://schemas.microsoft.com/office/drawing/2014/main" id="{641BACD4-D207-42C5-84F5-FCC960D5C6AD}"/>
                </a:ext>
              </a:extLst>
            </xdr:cNvPr>
            <xdr:cNvPicPr/>
          </xdr:nvPicPr>
          <xdr:blipFill>
            <a:blip xmlns:r="http://schemas.openxmlformats.org/officeDocument/2006/relationships" r:embed="rId4"/>
            <a:stretch>
              <a:fillRect/>
            </a:stretch>
          </xdr:blipFill>
          <xdr:spPr>
            <a:xfrm>
              <a:off x="5583960" y="2648160"/>
              <a:ext cx="25200" cy="36000"/>
            </a:xfrm>
            <a:prstGeom prst="rect">
              <a:avLst/>
            </a:prstGeom>
          </xdr:spPr>
        </xdr:pic>
      </mc:Fallback>
    </mc:AlternateContent>
    <xdr:clientData/>
  </xdr:twoCellAnchor>
  <xdr:twoCellAnchor editAs="oneCell">
    <xdr:from>
      <xdr:col>3</xdr:col>
      <xdr:colOff>0</xdr:colOff>
      <xdr:row>11</xdr:row>
      <xdr:rowOff>28080</xdr:rowOff>
    </xdr:from>
    <xdr:to>
      <xdr:col>3</xdr:col>
      <xdr:colOff>360</xdr:colOff>
      <xdr:row>11</xdr:row>
      <xdr:rowOff>28440</xdr:rowOff>
    </xdr:to>
    <mc:AlternateContent xmlns:mc="http://schemas.openxmlformats.org/markup-compatibility/2006" xmlns:xdr14="http://schemas.microsoft.com/office/excel/2010/spreadsheetDrawing">
      <mc:Choice Requires="xdr14">
        <xdr:contentPart xmlns:r="http://schemas.openxmlformats.org/officeDocument/2006/relationships" r:id="rId5">
          <xdr14:nvContentPartPr>
            <xdr14:cNvPr id="4" name="Ink 3">
              <a:extLst>
                <a:ext uri="{FF2B5EF4-FFF2-40B4-BE49-F238E27FC236}">
                  <a16:creationId xmlns:a16="http://schemas.microsoft.com/office/drawing/2014/main" id="{00000000-0008-0000-2700-000004000000}"/>
                </a:ext>
              </a:extLst>
            </xdr14:cNvPr>
            <xdr14:cNvContentPartPr/>
          </xdr14:nvContentPartPr>
          <xdr14:nvPr macro=""/>
          <xdr14:xfrm>
            <a:off x="5733720" y="2314080"/>
            <a:ext cx="360" cy="360"/>
          </xdr14:xfrm>
        </xdr:contentPart>
      </mc:Choice>
      <mc:Fallback xmlns="">
        <xdr:pic>
          <xdr:nvPicPr>
            <xdr:cNvPr id="10" name="Ink 9">
              <a:extLst>
                <a:ext uri="{FF2B5EF4-FFF2-40B4-BE49-F238E27FC236}">
                  <a16:creationId xmlns:a16="http://schemas.microsoft.com/office/drawing/2014/main" id="{3EBF7357-D6BF-4ED6-8CA9-8B479BCF0FA0}"/>
                </a:ext>
              </a:extLst>
            </xdr:cNvPr>
            <xdr:cNvPicPr/>
          </xdr:nvPicPr>
          <xdr:blipFill>
            <a:blip xmlns:r="http://schemas.openxmlformats.org/officeDocument/2006/relationships" r:embed="rId2"/>
            <a:stretch>
              <a:fillRect/>
            </a:stretch>
          </xdr:blipFill>
          <xdr:spPr>
            <a:xfrm>
              <a:off x="5725080" y="2305080"/>
              <a:ext cx="18000" cy="18000"/>
            </a:xfrm>
            <a:prstGeom prst="rect">
              <a:avLst/>
            </a:prstGeom>
          </xdr:spPr>
        </xdr:pic>
      </mc:Fallback>
    </mc:AlternateContent>
    <xdr:clientData/>
  </xdr:twoCellAnchor>
  <xdr:twoCellAnchor>
    <xdr:from>
      <xdr:col>3</xdr:col>
      <xdr:colOff>66675</xdr:colOff>
      <xdr:row>1</xdr:row>
      <xdr:rowOff>47626</xdr:rowOff>
    </xdr:from>
    <xdr:to>
      <xdr:col>4</xdr:col>
      <xdr:colOff>104775</xdr:colOff>
      <xdr:row>4</xdr:row>
      <xdr:rowOff>9526</xdr:rowOff>
    </xdr:to>
    <xdr:sp macro="" textlink="">
      <xdr:nvSpPr>
        <xdr:cNvPr id="6" name="Arrow: Left 5">
          <a:hlinkClick xmlns:r="http://schemas.openxmlformats.org/officeDocument/2006/relationships" r:id="rId6"/>
          <a:extLst>
            <a:ext uri="{FF2B5EF4-FFF2-40B4-BE49-F238E27FC236}">
              <a16:creationId xmlns:a16="http://schemas.microsoft.com/office/drawing/2014/main" id="{00000000-0008-0000-2700-000006000000}"/>
            </a:ext>
          </a:extLst>
        </xdr:cNvPr>
        <xdr:cNvSpPr/>
      </xdr:nvSpPr>
      <xdr:spPr>
        <a:xfrm>
          <a:off x="11553825" y="95251"/>
          <a:ext cx="571500" cy="342900"/>
        </a:xfrm>
        <a:prstGeom prst="leftArrow">
          <a:avLst>
            <a:gd name="adj1" fmla="val 50000"/>
            <a:gd name="adj2" fmla="val 50000"/>
          </a:avLst>
        </a:prstGeom>
        <a:solidFill>
          <a:srgbClr val="D3114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solidFill>
                <a:schemeClr val="bg1"/>
              </a:solidFill>
            </a:rPr>
            <a:t>Back</a:t>
          </a:r>
        </a:p>
      </xdr:txBody>
    </xdr:sp>
    <xdr:clientData/>
  </xdr:twoCellAnchor>
</xdr:wsDr>
</file>

<file path=xl/drawings/drawing69.xml><?xml version="1.0" encoding="utf-8"?>
<xdr:wsDr xmlns:xdr="http://schemas.openxmlformats.org/drawingml/2006/spreadsheetDrawing" xmlns:a="http://schemas.openxmlformats.org/drawingml/2006/main">
  <xdr:oneCellAnchor>
    <xdr:from>
      <xdr:col>6</xdr:col>
      <xdr:colOff>504600</xdr:colOff>
      <xdr:row>1</xdr:row>
      <xdr:rowOff>190320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00000000-0008-0000-2900-000002000000}"/>
                </a:ext>
              </a:extLst>
            </xdr14:cNvPr>
            <xdr14:cNvContentPartPr/>
          </xdr14:nvContentPartPr>
          <xdr14:nvPr macro=""/>
          <xdr14:xfrm>
            <a:off x="4771800" y="571320"/>
            <a:ext cx="360" cy="360"/>
          </xdr14:xfrm>
        </xdr:contentPart>
      </mc:Choice>
      <mc:Fallback xmlns="">
        <xdr:pic>
          <xdr:nvPicPr>
            <xdr:cNvPr id="2" name="Ink 1">
              <a:extLst>
                <a:ext uri="{FF2B5EF4-FFF2-40B4-BE49-F238E27FC236}">
                  <a16:creationId xmlns:a16="http://schemas.microsoft.com/office/drawing/2014/main" id="{7A6E7435-EC80-4549-8CF3-5875E2F75F55}"/>
                </a:ext>
              </a:extLst>
            </xdr:cNvPr>
            <xdr:cNvPicPr/>
          </xdr:nvPicPr>
          <xdr:blipFill>
            <a:blip xmlns:r="http://schemas.openxmlformats.org/officeDocument/2006/relationships" r:embed="rId2"/>
            <a:stretch>
              <a:fillRect/>
            </a:stretch>
          </xdr:blipFill>
          <xdr:spPr>
            <a:xfrm>
              <a:off x="4763160" y="562320"/>
              <a:ext cx="18000" cy="18000"/>
            </a:xfrm>
            <a:prstGeom prst="rect">
              <a:avLst/>
            </a:prstGeom>
          </xdr:spPr>
        </xdr:pic>
      </mc:Fallback>
    </mc:AlternateContent>
    <xdr:clientData/>
  </xdr:one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4-02-12T10:23:33.801"/>
    </inkml:context>
    <inkml:brush xml:id="br0">
      <inkml:brushProperty name="width" value="0.05" units="cm"/>
      <inkml:brushProperty name="height" value="0.05" units="cm"/>
      <inkml:brushProperty name="ignorePressure" value="1"/>
    </inkml:brush>
  </inkml:definitions>
  <inkml:trace contextRef="#ctx0" brushRef="#br0">1 0</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4-02-12T10:23:33.802"/>
    </inkml:context>
    <inkml:brush xml:id="br0">
      <inkml:brushProperty name="width" value="0.05" units="cm"/>
      <inkml:brushProperty name="height" value="0.05" units="cm"/>
      <inkml:brushProperty name="ignorePressure" value="1"/>
    </inkml:brush>
  </inkml:definitions>
  <inkml:trace contextRef="#ctx0" brushRef="#br0">21 0,'0'5,"-5"1,-1 4,1 5,0 0</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4-02-12T10:23:33.803"/>
    </inkml:context>
    <inkml:brush xml:id="br0">
      <inkml:brushProperty name="width" value="0.05" units="cm"/>
      <inkml:brushProperty name="height" value="0.05" units="cm"/>
      <inkml:brushProperty name="ignorePressure" value="1"/>
    </inkml:brush>
  </inkml:definitions>
  <inkml:trace contextRef="#ctx0" brushRef="#br0">1 0</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4-02-12T10:23:33.848"/>
    </inkml:context>
    <inkml:brush xml:id="br0">
      <inkml:brushProperty name="width" value="0.05" units="cm"/>
      <inkml:brushProperty name="height" value="0.05" units="cm"/>
      <inkml:brushProperty name="ignorePressure" value="1"/>
    </inkml:brush>
  </inkml:definitions>
  <inkml:trace contextRef="#ctx0" brushRef="#br0">1 0</inkml:trace>
</inkm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quangha1659@gmail.com" TargetMode="External"/><Relationship Id="rId1" Type="http://schemas.openxmlformats.org/officeDocument/2006/relationships/hyperlink" Target="https://youtu.be/Vc3PZKKPQNQ"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hyperlink" Target="https://www.canva.com/design/DAG2AGJB90c/cYj0FXOAxcazeTw6XLGZJA/view?utm_content=DAG2AGJB90c&amp;utm_campaign=designshare&amp;utm_medium=link&amp;utm_source=publishsharelink&amp;mode=preview"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7.bin"/></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32.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18" Type="http://schemas.openxmlformats.org/officeDocument/2006/relationships/ctrlProp" Target="../ctrlProps/ctrlProp15.xml"/><Relationship Id="rId26" Type="http://schemas.openxmlformats.org/officeDocument/2006/relationships/ctrlProp" Target="../ctrlProps/ctrlProp23.xml"/><Relationship Id="rId39" Type="http://schemas.openxmlformats.org/officeDocument/2006/relationships/ctrlProp" Target="../ctrlProps/ctrlProp36.xml"/><Relationship Id="rId3" Type="http://schemas.openxmlformats.org/officeDocument/2006/relationships/vmlDrawing" Target="../drawings/vmlDrawing1.vml"/><Relationship Id="rId21" Type="http://schemas.openxmlformats.org/officeDocument/2006/relationships/ctrlProp" Target="../ctrlProps/ctrlProp18.xml"/><Relationship Id="rId34" Type="http://schemas.openxmlformats.org/officeDocument/2006/relationships/ctrlProp" Target="../ctrlProps/ctrlProp31.x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trlProp" Target="../ctrlProps/ctrlProp14.xml"/><Relationship Id="rId25" Type="http://schemas.openxmlformats.org/officeDocument/2006/relationships/ctrlProp" Target="../ctrlProps/ctrlProp22.xml"/><Relationship Id="rId33" Type="http://schemas.openxmlformats.org/officeDocument/2006/relationships/ctrlProp" Target="../ctrlProps/ctrlProp30.xml"/><Relationship Id="rId38" Type="http://schemas.openxmlformats.org/officeDocument/2006/relationships/ctrlProp" Target="../ctrlProps/ctrlProp35.xml"/><Relationship Id="rId2" Type="http://schemas.openxmlformats.org/officeDocument/2006/relationships/drawing" Target="../drawings/drawing29.xml"/><Relationship Id="rId16" Type="http://schemas.openxmlformats.org/officeDocument/2006/relationships/ctrlProp" Target="../ctrlProps/ctrlProp13.xml"/><Relationship Id="rId20" Type="http://schemas.openxmlformats.org/officeDocument/2006/relationships/ctrlProp" Target="../ctrlProps/ctrlProp17.xml"/><Relationship Id="rId29" Type="http://schemas.openxmlformats.org/officeDocument/2006/relationships/ctrlProp" Target="../ctrlProps/ctrlProp26.xml"/><Relationship Id="rId41" Type="http://schemas.openxmlformats.org/officeDocument/2006/relationships/ctrlProp" Target="../ctrlProps/ctrlProp38.xml"/><Relationship Id="rId1" Type="http://schemas.openxmlformats.org/officeDocument/2006/relationships/printerSettings" Target="../printerSettings/printerSettings8.bin"/><Relationship Id="rId6" Type="http://schemas.openxmlformats.org/officeDocument/2006/relationships/ctrlProp" Target="../ctrlProps/ctrlProp3.xml"/><Relationship Id="rId11" Type="http://schemas.openxmlformats.org/officeDocument/2006/relationships/ctrlProp" Target="../ctrlProps/ctrlProp8.xml"/><Relationship Id="rId24" Type="http://schemas.openxmlformats.org/officeDocument/2006/relationships/ctrlProp" Target="../ctrlProps/ctrlProp21.xml"/><Relationship Id="rId32" Type="http://schemas.openxmlformats.org/officeDocument/2006/relationships/ctrlProp" Target="../ctrlProps/ctrlProp29.xml"/><Relationship Id="rId37" Type="http://schemas.openxmlformats.org/officeDocument/2006/relationships/ctrlProp" Target="../ctrlProps/ctrlProp34.xml"/><Relationship Id="rId40" Type="http://schemas.openxmlformats.org/officeDocument/2006/relationships/ctrlProp" Target="../ctrlProps/ctrlProp37.xml"/><Relationship Id="rId5" Type="http://schemas.openxmlformats.org/officeDocument/2006/relationships/ctrlProp" Target="../ctrlProps/ctrlProp2.xml"/><Relationship Id="rId15" Type="http://schemas.openxmlformats.org/officeDocument/2006/relationships/ctrlProp" Target="../ctrlProps/ctrlProp12.xml"/><Relationship Id="rId23" Type="http://schemas.openxmlformats.org/officeDocument/2006/relationships/ctrlProp" Target="../ctrlProps/ctrlProp20.xml"/><Relationship Id="rId28" Type="http://schemas.openxmlformats.org/officeDocument/2006/relationships/ctrlProp" Target="../ctrlProps/ctrlProp25.xml"/><Relationship Id="rId36" Type="http://schemas.openxmlformats.org/officeDocument/2006/relationships/ctrlProp" Target="../ctrlProps/ctrlProp33.xml"/><Relationship Id="rId10" Type="http://schemas.openxmlformats.org/officeDocument/2006/relationships/ctrlProp" Target="../ctrlProps/ctrlProp7.xml"/><Relationship Id="rId19" Type="http://schemas.openxmlformats.org/officeDocument/2006/relationships/ctrlProp" Target="../ctrlProps/ctrlProp16.xml"/><Relationship Id="rId31" Type="http://schemas.openxmlformats.org/officeDocument/2006/relationships/ctrlProp" Target="../ctrlProps/ctrlProp28.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 Id="rId22" Type="http://schemas.openxmlformats.org/officeDocument/2006/relationships/ctrlProp" Target="../ctrlProps/ctrlProp19.xml"/><Relationship Id="rId27" Type="http://schemas.openxmlformats.org/officeDocument/2006/relationships/ctrlProp" Target="../ctrlProps/ctrlProp24.xml"/><Relationship Id="rId30" Type="http://schemas.openxmlformats.org/officeDocument/2006/relationships/ctrlProp" Target="../ctrlProps/ctrlProp27.xml"/><Relationship Id="rId35" Type="http://schemas.openxmlformats.org/officeDocument/2006/relationships/ctrlProp" Target="../ctrlProps/ctrlProp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4.xml.rels><?xml version="1.0" encoding="UTF-8" standalone="yes"?>
<Relationships xmlns="http://schemas.openxmlformats.org/package/2006/relationships"><Relationship Id="rId3" Type="http://schemas.openxmlformats.org/officeDocument/2006/relationships/printerSettings" Target="../printerSettings/printerSettings9.bin"/><Relationship Id="rId2" Type="http://schemas.openxmlformats.org/officeDocument/2006/relationships/hyperlink" Target="https://finance.vietstock.vn/ket-qua-giao-dich" TargetMode="External"/><Relationship Id="rId1" Type="http://schemas.openxmlformats.org/officeDocument/2006/relationships/hyperlink" Target="https://www.aia.com.vn/vi/san-pham/lai-suat-va-gia-don-vi-quy.html" TargetMode="External"/><Relationship Id="rId4" Type="http://schemas.openxmlformats.org/officeDocument/2006/relationships/drawing" Target="../drawings/drawing31.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45.xml.rels><?xml version="1.0" encoding="UTF-8" standalone="yes"?>
<Relationships xmlns="http://schemas.openxmlformats.org/package/2006/relationships"><Relationship Id="rId2" Type="http://schemas.openxmlformats.org/officeDocument/2006/relationships/drawing" Target="../drawings/drawing39.xml"/><Relationship Id="rId1" Type="http://schemas.openxmlformats.org/officeDocument/2006/relationships/printerSettings" Target="../printerSettings/printerSettings10.bin"/></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7.xml.rels><?xml version="1.0" encoding="UTF-8" standalone="yes"?>
<Relationships xmlns="http://schemas.openxmlformats.org/package/2006/relationships"><Relationship Id="rId2" Type="http://schemas.openxmlformats.org/officeDocument/2006/relationships/drawing" Target="../drawings/drawing41.xml"/><Relationship Id="rId1" Type="http://schemas.openxmlformats.org/officeDocument/2006/relationships/printerSettings" Target="../printerSettings/printerSettings11.bin"/></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55.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56.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57.xml.rels><?xml version="1.0" encoding="UTF-8" standalone="yes"?>
<Relationships xmlns="http://schemas.openxmlformats.org/package/2006/relationships"><Relationship Id="rId1" Type="http://schemas.openxmlformats.org/officeDocument/2006/relationships/drawing" Target="../drawings/drawing46.xml"/></Relationships>
</file>

<file path=xl/worksheets/_rels/sheet59.xml.rels><?xml version="1.0" encoding="UTF-8" standalone="yes"?>
<Relationships xmlns="http://schemas.openxmlformats.org/package/2006/relationships"><Relationship Id="rId1" Type="http://schemas.openxmlformats.org/officeDocument/2006/relationships/drawing" Target="../drawings/drawing47.xml"/></Relationships>
</file>

<file path=xl/worksheets/_rels/sheet60.xml.rels><?xml version="1.0" encoding="UTF-8" standalone="yes"?>
<Relationships xmlns="http://schemas.openxmlformats.org/package/2006/relationships"><Relationship Id="rId1" Type="http://schemas.openxmlformats.org/officeDocument/2006/relationships/drawing" Target="../drawings/drawing48.xml"/></Relationships>
</file>

<file path=xl/worksheets/_rels/sheet63.xml.rels><?xml version="1.0" encoding="UTF-8" standalone="yes"?>
<Relationships xmlns="http://schemas.openxmlformats.org/package/2006/relationships"><Relationship Id="rId1" Type="http://schemas.openxmlformats.org/officeDocument/2006/relationships/drawing" Target="../drawings/drawing49.xml"/></Relationships>
</file>

<file path=xl/worksheets/_rels/sheet64.xml.rels><?xml version="1.0" encoding="UTF-8" standalone="yes"?>
<Relationships xmlns="http://schemas.openxmlformats.org/package/2006/relationships"><Relationship Id="rId1" Type="http://schemas.openxmlformats.org/officeDocument/2006/relationships/drawing" Target="../drawings/drawing50.xml"/></Relationships>
</file>

<file path=xl/worksheets/_rels/sheet65.xml.rels><?xml version="1.0" encoding="UTF-8" standalone="yes"?>
<Relationships xmlns="http://schemas.openxmlformats.org/package/2006/relationships"><Relationship Id="rId1" Type="http://schemas.openxmlformats.org/officeDocument/2006/relationships/drawing" Target="../drawings/drawing51.xml"/></Relationships>
</file>

<file path=xl/worksheets/_rels/sheet66.xml.rels><?xml version="1.0" encoding="UTF-8" standalone="yes"?>
<Relationships xmlns="http://schemas.openxmlformats.org/package/2006/relationships"><Relationship Id="rId1" Type="http://schemas.openxmlformats.org/officeDocument/2006/relationships/drawing" Target="../drawings/drawing52.xml"/></Relationships>
</file>

<file path=xl/worksheets/_rels/sheet67.xml.rels><?xml version="1.0" encoding="UTF-8" standalone="yes"?>
<Relationships xmlns="http://schemas.openxmlformats.org/package/2006/relationships"><Relationship Id="rId2" Type="http://schemas.openxmlformats.org/officeDocument/2006/relationships/drawing" Target="../drawings/drawing53.xml"/><Relationship Id="rId1" Type="http://schemas.openxmlformats.org/officeDocument/2006/relationships/printerSettings" Target="../printerSettings/printerSettings12.bin"/></Relationships>
</file>

<file path=xl/worksheets/_rels/sheet68.xml.rels><?xml version="1.0" encoding="UTF-8" standalone="yes"?>
<Relationships xmlns="http://schemas.openxmlformats.org/package/2006/relationships"><Relationship Id="rId1" Type="http://schemas.openxmlformats.org/officeDocument/2006/relationships/drawing" Target="../drawings/drawing54.xml"/></Relationships>
</file>

<file path=xl/worksheets/_rels/sheet69.xml.rels><?xml version="1.0" encoding="UTF-8" standalone="yes"?>
<Relationships xmlns="http://schemas.openxmlformats.org/package/2006/relationships"><Relationship Id="rId1" Type="http://schemas.openxmlformats.org/officeDocument/2006/relationships/drawing" Target="../drawings/drawing55.xml"/></Relationships>
</file>

<file path=xl/worksheets/_rels/sheet70.xml.rels><?xml version="1.0" encoding="UTF-8" standalone="yes"?>
<Relationships xmlns="http://schemas.openxmlformats.org/package/2006/relationships"><Relationship Id="rId1" Type="http://schemas.openxmlformats.org/officeDocument/2006/relationships/drawing" Target="../drawings/drawing56.xml"/></Relationships>
</file>

<file path=xl/worksheets/_rels/sheet71.xml.rels><?xml version="1.0" encoding="UTF-8" standalone="yes"?>
<Relationships xmlns="http://schemas.openxmlformats.org/package/2006/relationships"><Relationship Id="rId1" Type="http://schemas.openxmlformats.org/officeDocument/2006/relationships/drawing" Target="../drawings/drawing57.xml"/></Relationships>
</file>

<file path=xl/worksheets/_rels/sheet72.xml.rels><?xml version="1.0" encoding="UTF-8" standalone="yes"?>
<Relationships xmlns="http://schemas.openxmlformats.org/package/2006/relationships"><Relationship Id="rId2" Type="http://schemas.openxmlformats.org/officeDocument/2006/relationships/drawing" Target="../drawings/drawing58.xml"/><Relationship Id="rId1" Type="http://schemas.openxmlformats.org/officeDocument/2006/relationships/printerSettings" Target="../printerSettings/printerSettings13.bin"/></Relationships>
</file>

<file path=xl/worksheets/_rels/sheet73.xml.rels><?xml version="1.0" encoding="UTF-8" standalone="yes"?>
<Relationships xmlns="http://schemas.openxmlformats.org/package/2006/relationships"><Relationship Id="rId1" Type="http://schemas.openxmlformats.org/officeDocument/2006/relationships/drawing" Target="../drawings/drawing59.xml"/></Relationships>
</file>

<file path=xl/worksheets/_rels/sheet74.xml.rels><?xml version="1.0" encoding="UTF-8" standalone="yes"?>
<Relationships xmlns="http://schemas.openxmlformats.org/package/2006/relationships"><Relationship Id="rId1" Type="http://schemas.openxmlformats.org/officeDocument/2006/relationships/drawing" Target="../drawings/drawing60.xml"/></Relationships>
</file>

<file path=xl/worksheets/_rels/sheet75.xml.rels><?xml version="1.0" encoding="UTF-8" standalone="yes"?>
<Relationships xmlns="http://schemas.openxmlformats.org/package/2006/relationships"><Relationship Id="rId1" Type="http://schemas.openxmlformats.org/officeDocument/2006/relationships/drawing" Target="../drawings/drawing61.xml"/></Relationships>
</file>

<file path=xl/worksheets/_rels/sheet76.xml.rels><?xml version="1.0" encoding="UTF-8" standalone="yes"?>
<Relationships xmlns="http://schemas.openxmlformats.org/package/2006/relationships"><Relationship Id="rId1" Type="http://schemas.openxmlformats.org/officeDocument/2006/relationships/drawing" Target="../drawings/drawing62.xml"/></Relationships>
</file>

<file path=xl/worksheets/_rels/sheet77.xml.rels><?xml version="1.0" encoding="UTF-8" standalone="yes"?>
<Relationships xmlns="http://schemas.openxmlformats.org/package/2006/relationships"><Relationship Id="rId1" Type="http://schemas.openxmlformats.org/officeDocument/2006/relationships/drawing" Target="../drawings/drawing63.xml"/></Relationships>
</file>

<file path=xl/worksheets/_rels/sheet78.xml.rels><?xml version="1.0" encoding="UTF-8" standalone="yes"?>
<Relationships xmlns="http://schemas.openxmlformats.org/package/2006/relationships"><Relationship Id="rId1" Type="http://schemas.openxmlformats.org/officeDocument/2006/relationships/drawing" Target="../drawings/drawing64.xml"/></Relationships>
</file>

<file path=xl/worksheets/_rels/sheet79.xml.rels><?xml version="1.0" encoding="UTF-8" standalone="yes"?>
<Relationships xmlns="http://schemas.openxmlformats.org/package/2006/relationships"><Relationship Id="rId1" Type="http://schemas.openxmlformats.org/officeDocument/2006/relationships/drawing" Target="../drawings/drawing65.xml"/></Relationships>
</file>

<file path=xl/worksheets/_rels/sheet80.xml.rels><?xml version="1.0" encoding="UTF-8" standalone="yes"?>
<Relationships xmlns="http://schemas.openxmlformats.org/package/2006/relationships"><Relationship Id="rId1" Type="http://schemas.openxmlformats.org/officeDocument/2006/relationships/drawing" Target="../drawings/drawing66.xml"/></Relationships>
</file>

<file path=xl/worksheets/_rels/sheet81.xml.rels><?xml version="1.0" encoding="UTF-8" standalone="yes"?>
<Relationships xmlns="http://schemas.openxmlformats.org/package/2006/relationships"><Relationship Id="rId1" Type="http://schemas.openxmlformats.org/officeDocument/2006/relationships/drawing" Target="../drawings/drawing67.xml"/></Relationships>
</file>

<file path=xl/worksheets/_rels/sheet82.xml.rels><?xml version="1.0" encoding="UTF-8" standalone="yes"?>
<Relationships xmlns="http://schemas.openxmlformats.org/package/2006/relationships"><Relationship Id="rId2" Type="http://schemas.openxmlformats.org/officeDocument/2006/relationships/drawing" Target="../drawings/drawing68.xml"/><Relationship Id="rId1" Type="http://schemas.openxmlformats.org/officeDocument/2006/relationships/printerSettings" Target="../printerSettings/printerSettings14.bin"/></Relationships>
</file>

<file path=xl/worksheets/_rels/sheet83.xml.rels><?xml version="1.0" encoding="UTF-8" standalone="yes"?>
<Relationships xmlns="http://schemas.openxmlformats.org/package/2006/relationships"><Relationship Id="rId1" Type="http://schemas.openxmlformats.org/officeDocument/2006/relationships/drawing" Target="../drawings/drawing6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F8C503-B8A7-4962-82B0-0CC18DBC8741}">
  <dimension ref="A1:L25"/>
  <sheetViews>
    <sheetView showGridLines="0" tabSelected="1" zoomScale="85" zoomScaleNormal="85" workbookViewId="0">
      <selection activeCell="G7" sqref="G7"/>
    </sheetView>
  </sheetViews>
  <sheetFormatPr defaultColWidth="9.296875" defaultRowHeight="13"/>
  <cols>
    <col min="1" max="1" width="40" style="189" customWidth="1"/>
    <col min="2" max="2" width="33.69921875" style="189" customWidth="1"/>
    <col min="3" max="3" width="25.5" style="189" customWidth="1"/>
    <col min="4" max="4" width="36.19921875" style="189" customWidth="1"/>
    <col min="5" max="5" width="9.296875" style="189"/>
    <col min="6" max="6" width="20.69921875" style="189" customWidth="1"/>
    <col min="7" max="7" width="24.5" style="189" customWidth="1"/>
    <col min="8" max="8" width="32" style="189" customWidth="1"/>
    <col min="9" max="10" width="9.296875" style="189"/>
    <col min="11" max="11" width="13.796875" style="189" customWidth="1"/>
    <col min="12" max="16384" width="9.296875" style="189"/>
  </cols>
  <sheetData>
    <row r="1" spans="1:11" ht="2.25" customHeight="1"/>
    <row r="2" spans="1:11" s="471" customFormat="1" ht="17.25" customHeight="1">
      <c r="A2" s="469" t="s">
        <v>822</v>
      </c>
      <c r="B2" s="469" t="s">
        <v>823</v>
      </c>
      <c r="C2" s="469" t="s">
        <v>824</v>
      </c>
      <c r="D2" s="469" t="s">
        <v>825</v>
      </c>
      <c r="E2" s="470"/>
      <c r="F2" s="470"/>
      <c r="H2" s="701"/>
      <c r="I2" s="702"/>
      <c r="J2" s="702"/>
      <c r="K2" s="702"/>
    </row>
    <row r="3" spans="1:11" s="479" customFormat="1" ht="17.25" customHeight="1">
      <c r="A3" s="478" t="s">
        <v>959</v>
      </c>
      <c r="B3" s="536" t="s">
        <v>958</v>
      </c>
      <c r="C3" s="536" t="s">
        <v>956</v>
      </c>
      <c r="D3" s="560" t="s">
        <v>957</v>
      </c>
      <c r="E3" s="473"/>
      <c r="F3" s="473"/>
      <c r="H3" s="703"/>
      <c r="I3" s="704"/>
      <c r="J3" s="704"/>
      <c r="K3" s="704"/>
    </row>
    <row r="4" spans="1:11" s="190" customFormat="1" ht="18" customHeight="1">
      <c r="A4" s="475" t="s">
        <v>535</v>
      </c>
      <c r="B4" s="472"/>
      <c r="C4" s="1322" t="str">
        <f>IF(AND(A3="Phạm Quang Hà",B3="101012337"),"OK!","Đang dùng lậu, hãy mua file!")</f>
        <v>OK!</v>
      </c>
      <c r="D4" s="1322"/>
      <c r="E4" s="474"/>
      <c r="F4" s="474"/>
      <c r="G4" s="474"/>
    </row>
    <row r="5" spans="1:11" ht="18" customHeight="1">
      <c r="A5" s="473" t="s">
        <v>22</v>
      </c>
      <c r="B5" s="473"/>
      <c r="C5" s="661" t="s">
        <v>743</v>
      </c>
      <c r="D5" s="1323" t="s">
        <v>779</v>
      </c>
      <c r="E5" s="476"/>
      <c r="F5" s="476"/>
      <c r="G5" s="476"/>
    </row>
    <row r="6" spans="1:11" ht="3" customHeight="1">
      <c r="B6" s="201"/>
      <c r="C6" s="201"/>
      <c r="D6" s="201"/>
      <c r="E6" s="201"/>
      <c r="F6" s="201"/>
    </row>
    <row r="7" spans="1:11" ht="27.75" customHeight="1">
      <c r="B7" s="191"/>
      <c r="C7" s="191"/>
      <c r="D7" s="191"/>
      <c r="E7" s="191"/>
      <c r="F7" s="191"/>
    </row>
    <row r="24" spans="1:12" ht="5.25" customHeight="1"/>
    <row r="25" spans="1:12" ht="18.75" customHeight="1">
      <c r="A25" s="705" t="s">
        <v>125</v>
      </c>
      <c r="B25" s="705"/>
      <c r="C25" s="705"/>
      <c r="D25" s="705"/>
      <c r="F25" s="477"/>
      <c r="G25" s="477"/>
      <c r="H25" s="477"/>
      <c r="I25" s="477"/>
      <c r="J25" s="477"/>
      <c r="K25" s="200"/>
      <c r="L25" s="200"/>
    </row>
  </sheetData>
  <sheetProtection algorithmName="SHA-512" hashValue="LHUFKh/6haevN/aLQ9cO2Q8ePdeWk09BytGGU1TQqGrXkMwD3zlJLo/Q20k6Ipb+T7F7g+KBiJSYCrCvfderAg==" saltValue="PDKu5TDAPPIGCRb/UB0DDA==" spinCount="100000" sheet="1" objects="1" scenarios="1"/>
  <mergeCells count="3">
    <mergeCell ref="H2:K2"/>
    <mergeCell ref="H3:K3"/>
    <mergeCell ref="A25:D25"/>
  </mergeCells>
  <phoneticPr fontId="36" type="noConversion"/>
  <conditionalFormatting sqref="C4">
    <cfRule type="containsText" dxfId="402" priority="1" operator="containsText" text="lậu">
      <formula>NOT(ISERROR(SEARCH("lậu",C4)))</formula>
    </cfRule>
    <cfRule type="containsText" dxfId="401" priority="2" operator="containsText" text="OK">
      <formula>NOT(ISERROR(SEARCH("OK",C4)))</formula>
    </cfRule>
  </conditionalFormatting>
  <hyperlinks>
    <hyperlink ref="D5" r:id="rId1" xr:uid="{A40F8D82-E80B-4A12-B03C-246F1CBB05F5}"/>
    <hyperlink ref="D3" r:id="rId2" xr:uid="{613B510D-0845-45BF-ADC8-5ED24C989F90}"/>
  </hyperlinks>
  <pageMargins left="0.7" right="0.7" top="0.75" bottom="0.75" header="0.3" footer="0.3"/>
  <pageSetup paperSize="9" orientation="portrait" verticalDpi="0"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D2348C-9A1D-4D15-A2C7-44B220BA62BE}">
  <dimension ref="R5:W16"/>
  <sheetViews>
    <sheetView showGridLines="0" workbookViewId="0"/>
  </sheetViews>
  <sheetFormatPr defaultColWidth="9.296875" defaultRowHeight="13"/>
  <cols>
    <col min="1" max="16384" width="9.296875" style="415"/>
  </cols>
  <sheetData>
    <row r="5" spans="18:23" ht="18">
      <c r="R5" s="558" t="s">
        <v>759</v>
      </c>
      <c r="S5"/>
      <c r="T5"/>
      <c r="U5"/>
      <c r="V5"/>
      <c r="W5"/>
    </row>
    <row r="6" spans="18:23">
      <c r="R6"/>
      <c r="S6"/>
      <c r="T6"/>
      <c r="U6"/>
      <c r="V6"/>
      <c r="W6"/>
    </row>
    <row r="7" spans="18:23">
      <c r="R7" s="706" t="s">
        <v>760</v>
      </c>
      <c r="S7" s="706"/>
      <c r="T7" s="706"/>
      <c r="U7" s="706"/>
      <c r="V7" s="706"/>
      <c r="W7"/>
    </row>
    <row r="8" spans="18:23">
      <c r="R8" s="706"/>
      <c r="S8" s="706"/>
      <c r="T8" s="706"/>
      <c r="U8" s="706"/>
      <c r="V8" s="706"/>
      <c r="W8"/>
    </row>
    <row r="9" spans="18:23">
      <c r="R9"/>
      <c r="S9"/>
      <c r="T9"/>
      <c r="U9"/>
      <c r="V9"/>
      <c r="W9"/>
    </row>
    <row r="10" spans="18:23">
      <c r="R10"/>
      <c r="S10"/>
      <c r="T10"/>
      <c r="U10"/>
      <c r="V10"/>
      <c r="W10"/>
    </row>
    <row r="11" spans="18:23">
      <c r="R11" s="707" t="s">
        <v>852</v>
      </c>
      <c r="S11" s="707"/>
      <c r="T11" s="707"/>
      <c r="U11" s="707"/>
      <c r="V11" s="707"/>
      <c r="W11" s="707"/>
    </row>
    <row r="12" spans="18:23">
      <c r="R12" s="707"/>
      <c r="S12" s="707"/>
      <c r="T12" s="707"/>
      <c r="U12" s="707"/>
      <c r="V12" s="707"/>
      <c r="W12" s="707"/>
    </row>
    <row r="13" spans="18:23">
      <c r="R13" s="707"/>
      <c r="S13" s="707"/>
      <c r="T13" s="707"/>
      <c r="U13" s="707"/>
      <c r="V13" s="707"/>
      <c r="W13" s="707"/>
    </row>
    <row r="14" spans="18:23">
      <c r="R14" s="707"/>
      <c r="S14" s="707"/>
      <c r="T14" s="707"/>
      <c r="U14" s="707"/>
      <c r="V14" s="707"/>
      <c r="W14" s="707"/>
    </row>
    <row r="15" spans="18:23">
      <c r="R15" s="707"/>
      <c r="S15" s="707"/>
      <c r="T15" s="707"/>
      <c r="U15" s="707"/>
      <c r="V15" s="707"/>
      <c r="W15" s="707"/>
    </row>
    <row r="16" spans="18:23">
      <c r="R16" s="707"/>
      <c r="S16" s="707"/>
      <c r="T16" s="707"/>
      <c r="U16" s="707"/>
      <c r="V16" s="707"/>
      <c r="W16" s="707"/>
    </row>
  </sheetData>
  <mergeCells count="2">
    <mergeCell ref="R7:V8"/>
    <mergeCell ref="R11:W16"/>
  </mergeCells>
  <hyperlinks>
    <hyperlink ref="R7" r:id="rId1" xr:uid="{F4CE7208-3A1C-49E6-BE4A-0B069F52C2A7}"/>
  </hyperlink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C34FA8-E276-41AB-B82C-017F95B1E1EE}">
  <dimension ref="B1:J16"/>
  <sheetViews>
    <sheetView showGridLines="0" zoomScale="130" zoomScaleNormal="130" workbookViewId="0"/>
  </sheetViews>
  <sheetFormatPr defaultColWidth="9.296875" defaultRowHeight="14.5"/>
  <cols>
    <col min="1" max="1" width="7.5" style="15" customWidth="1"/>
    <col min="2" max="2" width="14" style="15" customWidth="1"/>
    <col min="3" max="3" width="20.5" style="15" customWidth="1"/>
    <col min="4" max="4" width="9.296875" style="15"/>
    <col min="5" max="9" width="7" style="15" customWidth="1"/>
    <col min="10" max="10" width="16.69921875" style="15" customWidth="1"/>
    <col min="11" max="16384" width="9.296875" style="15"/>
  </cols>
  <sheetData>
    <row r="1" spans="2:10" ht="9" customHeight="1"/>
    <row r="2" spans="2:10" ht="13.5" customHeight="1">
      <c r="B2" s="708" t="s">
        <v>25</v>
      </c>
      <c r="C2" s="708"/>
      <c r="D2" s="708"/>
      <c r="E2" s="708"/>
      <c r="F2" s="708"/>
      <c r="G2" s="708"/>
      <c r="H2" s="708"/>
      <c r="I2" s="708"/>
      <c r="J2" s="708"/>
    </row>
    <row r="3" spans="2:10" s="47" customFormat="1" ht="11.25" customHeight="1">
      <c r="B3" s="709" t="s">
        <v>943</v>
      </c>
      <c r="C3" s="709"/>
      <c r="D3" s="709"/>
      <c r="E3" s="709"/>
      <c r="F3" s="709"/>
      <c r="G3" s="709"/>
      <c r="H3" s="709"/>
      <c r="I3" s="709"/>
      <c r="J3" s="694">
        <f ca="1">TODAY()</f>
        <v>46229</v>
      </c>
    </row>
    <row r="4" spans="2:10" s="17" customFormat="1" ht="10.5" customHeight="1">
      <c r="B4" s="48" t="s">
        <v>618</v>
      </c>
      <c r="C4" s="48"/>
      <c r="D4" s="510" t="s">
        <v>536</v>
      </c>
      <c r="E4" s="510" t="s">
        <v>846</v>
      </c>
      <c r="F4" s="510" t="s">
        <v>847</v>
      </c>
      <c r="G4" s="510"/>
      <c r="H4" s="510"/>
      <c r="I4" s="510"/>
      <c r="J4" s="511"/>
    </row>
    <row r="5" spans="2:10" s="17" customFormat="1" ht="10.5" customHeight="1">
      <c r="B5" s="710" t="s">
        <v>944</v>
      </c>
      <c r="C5" s="710"/>
      <c r="D5" s="710"/>
      <c r="E5" s="710"/>
      <c r="F5" s="710"/>
      <c r="G5" s="710"/>
      <c r="H5" s="710"/>
      <c r="I5" s="710"/>
      <c r="J5" s="512">
        <v>34926</v>
      </c>
    </row>
    <row r="6" spans="2:10" s="17" customFormat="1" ht="10.5" customHeight="1">
      <c r="B6" s="710" t="s">
        <v>946</v>
      </c>
      <c r="C6" s="710"/>
      <c r="D6" s="710"/>
      <c r="E6" s="710"/>
      <c r="F6" s="710"/>
      <c r="G6" s="710"/>
      <c r="H6" s="710"/>
      <c r="I6" s="710"/>
      <c r="J6" s="513" t="s">
        <v>18</v>
      </c>
    </row>
    <row r="7" spans="2:10" s="17" customFormat="1" ht="10.5" customHeight="1">
      <c r="B7" s="710" t="s">
        <v>945</v>
      </c>
      <c r="C7" s="710"/>
      <c r="D7" s="710"/>
      <c r="E7" s="710"/>
      <c r="F7" s="710"/>
      <c r="G7" s="710"/>
      <c r="H7" s="710"/>
      <c r="I7" s="710"/>
      <c r="J7" s="695">
        <f ca="1">DATEDIF(J5,J3,"y")</f>
        <v>30</v>
      </c>
    </row>
    <row r="8" spans="2:10" s="17" customFormat="1" ht="10.5" customHeight="1">
      <c r="B8" s="514" t="s">
        <v>9</v>
      </c>
      <c r="C8" s="515"/>
      <c r="D8" s="515"/>
      <c r="E8" s="515"/>
      <c r="F8" s="515"/>
      <c r="G8" s="515"/>
      <c r="H8" s="515"/>
      <c r="I8" s="515"/>
      <c r="J8" s="516" t="s">
        <v>0</v>
      </c>
    </row>
    <row r="9" spans="2:10" s="17" customFormat="1" ht="15" customHeight="1">
      <c r="B9" s="713" t="s">
        <v>26</v>
      </c>
      <c r="C9" s="713"/>
      <c r="D9" s="713"/>
      <c r="E9" s="713"/>
      <c r="F9" s="713"/>
      <c r="G9" s="713"/>
      <c r="H9" s="713"/>
      <c r="I9" s="713"/>
      <c r="J9" s="713"/>
    </row>
    <row r="10" spans="2:10" s="17" customFormat="1" ht="15.75" customHeight="1">
      <c r="B10" s="711" t="s">
        <v>27</v>
      </c>
      <c r="C10" s="711"/>
      <c r="D10" s="711"/>
      <c r="E10" s="711"/>
      <c r="F10" s="711"/>
      <c r="G10" s="711"/>
      <c r="H10" s="711"/>
      <c r="I10" s="711"/>
      <c r="J10" s="561"/>
    </row>
    <row r="11" spans="2:10" s="17" customFormat="1" ht="15.75" customHeight="1">
      <c r="B11" s="711" t="s">
        <v>28</v>
      </c>
      <c r="C11" s="711"/>
      <c r="D11" s="711"/>
      <c r="E11" s="711"/>
      <c r="F11" s="711"/>
      <c r="G11" s="711"/>
      <c r="H11" s="711"/>
      <c r="I11" s="711"/>
      <c r="J11" s="561"/>
    </row>
    <row r="12" spans="2:10" s="17" customFormat="1" ht="15.75" customHeight="1">
      <c r="B12" s="711" t="s">
        <v>29</v>
      </c>
      <c r="C12" s="711"/>
      <c r="D12" s="711"/>
      <c r="E12" s="711"/>
      <c r="F12" s="711"/>
      <c r="G12" s="711"/>
      <c r="H12" s="711"/>
      <c r="I12" s="711"/>
      <c r="J12" s="561"/>
    </row>
    <row r="13" spans="2:10" s="17" customFormat="1" ht="15.75" customHeight="1">
      <c r="B13" s="711" t="s">
        <v>30</v>
      </c>
      <c r="C13" s="711"/>
      <c r="D13" s="711"/>
      <c r="E13" s="711"/>
      <c r="F13" s="711"/>
      <c r="G13" s="711"/>
      <c r="H13" s="711"/>
      <c r="I13" s="711"/>
      <c r="J13" s="561"/>
    </row>
    <row r="14" spans="2:10" ht="15.75" customHeight="1">
      <c r="B14" s="711" t="s">
        <v>31</v>
      </c>
      <c r="C14" s="711"/>
      <c r="D14" s="711"/>
      <c r="E14" s="711"/>
      <c r="F14" s="711"/>
      <c r="G14" s="711"/>
      <c r="H14" s="711"/>
      <c r="I14" s="711"/>
      <c r="J14" s="561"/>
    </row>
    <row r="15" spans="2:10">
      <c r="B15" s="712"/>
      <c r="C15" s="712"/>
      <c r="D15" s="712"/>
      <c r="E15" s="712"/>
      <c r="F15" s="712"/>
      <c r="G15" s="712"/>
      <c r="H15" s="712"/>
      <c r="I15" s="712"/>
      <c r="J15" s="712"/>
    </row>
    <row r="16" spans="2:10" ht="9" customHeight="1">
      <c r="B16" s="712"/>
      <c r="C16" s="712"/>
      <c r="D16" s="712"/>
      <c r="E16" s="712"/>
      <c r="F16" s="712"/>
      <c r="G16" s="712"/>
      <c r="H16" s="712"/>
      <c r="I16" s="712"/>
      <c r="J16" s="712"/>
    </row>
  </sheetData>
  <mergeCells count="12">
    <mergeCell ref="B13:I13"/>
    <mergeCell ref="B14:I14"/>
    <mergeCell ref="B15:J16"/>
    <mergeCell ref="B7:I7"/>
    <mergeCell ref="B9:J9"/>
    <mergeCell ref="B10:I10"/>
    <mergeCell ref="B11:I11"/>
    <mergeCell ref="B2:J2"/>
    <mergeCell ref="B3:I3"/>
    <mergeCell ref="B5:I5"/>
    <mergeCell ref="B6:I6"/>
    <mergeCell ref="B12:I12"/>
  </mergeCells>
  <conditionalFormatting sqref="B4:J4 B5:I5 B6:J7 B8:G8 B10:I14">
    <cfRule type="expression" dxfId="400" priority="1">
      <formula>MOD(ROW(),2)&gt;0</formula>
    </cfRule>
  </conditionalFormatting>
  <dataValidations count="2">
    <dataValidation type="list" allowBlank="1" showInputMessage="1" showErrorMessage="1" sqref="J10:J14" xr:uid="{0546B8B6-35EF-495F-B51E-0825374AD74C}">
      <formula1>"CÓ, KHÔNG"</formula1>
    </dataValidation>
    <dataValidation type="list" allowBlank="1" showInputMessage="1" showErrorMessage="1" sqref="J8" xr:uid="{2EE86C1D-1F39-454A-8BAB-C4948183CE4C}">
      <formula1>"Nam, Nữ"</formula1>
    </dataValidation>
  </dataValidations>
  <pageMargins left="0.7" right="0.7" top="0.75" bottom="0.75" header="0.3" footer="0.3"/>
  <pageSetup paperSize="9" orientation="portrait"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DF468B-AE1C-4175-83BD-D93FC85CC362}">
  <dimension ref="B1:M26"/>
  <sheetViews>
    <sheetView showGridLines="0" zoomScale="70" zoomScaleNormal="70" workbookViewId="0">
      <selection activeCell="D4" sqref="D4"/>
    </sheetView>
  </sheetViews>
  <sheetFormatPr defaultColWidth="10.69921875" defaultRowHeight="15.5"/>
  <cols>
    <col min="1" max="1" width="2.5" style="624" customWidth="1"/>
    <col min="2" max="2" width="5.796875" style="624" customWidth="1"/>
    <col min="3" max="3" width="49.296875" style="624" customWidth="1"/>
    <col min="4" max="4" width="27.296875" style="648" customWidth="1"/>
    <col min="5" max="5" width="1.69921875" style="624" customWidth="1"/>
    <col min="6" max="6" width="5.796875" style="624" customWidth="1"/>
    <col min="7" max="7" width="46.5" style="624" customWidth="1"/>
    <col min="8" max="8" width="20.19921875" style="624" customWidth="1"/>
    <col min="9" max="9" width="2" style="624" customWidth="1"/>
    <col min="10" max="10" width="6.796875" style="624" customWidth="1"/>
    <col min="11" max="11" width="24.796875" style="624" customWidth="1"/>
    <col min="12" max="12" width="18.296875" style="624" customWidth="1"/>
    <col min="13" max="13" width="97.69921875" style="624" customWidth="1"/>
    <col min="14" max="16384" width="10.69921875" style="624"/>
  </cols>
  <sheetData>
    <row r="1" spans="2:13" ht="18.5">
      <c r="B1" s="623" t="s">
        <v>880</v>
      </c>
      <c r="C1" s="623"/>
      <c r="D1" s="623"/>
      <c r="E1" s="623"/>
    </row>
    <row r="2" spans="2:13">
      <c r="B2" s="714" t="s">
        <v>881</v>
      </c>
      <c r="C2" s="714"/>
      <c r="D2" s="714"/>
      <c r="F2" s="714" t="s">
        <v>882</v>
      </c>
      <c r="G2" s="714"/>
      <c r="H2" s="714"/>
      <c r="J2" s="625" t="s">
        <v>883</v>
      </c>
      <c r="K2" s="625"/>
      <c r="L2" s="625"/>
    </row>
    <row r="3" spans="2:13" ht="11.25" customHeight="1">
      <c r="B3" s="626"/>
      <c r="C3" s="626"/>
      <c r="D3" s="626"/>
      <c r="F3" s="626"/>
      <c r="G3" s="626"/>
      <c r="H3" s="626"/>
      <c r="J3" s="626"/>
      <c r="K3" s="626"/>
      <c r="L3" s="626"/>
    </row>
    <row r="4" spans="2:13" ht="22.5" customHeight="1">
      <c r="B4" s="715" t="s">
        <v>884</v>
      </c>
      <c r="C4" s="715"/>
      <c r="D4" s="627">
        <v>70000000</v>
      </c>
      <c r="E4" s="628"/>
    </row>
    <row r="5" spans="2:13" ht="22.5" customHeight="1">
      <c r="B5" s="716" t="s">
        <v>885</v>
      </c>
      <c r="C5" s="716"/>
      <c r="D5" s="716"/>
      <c r="F5" s="716" t="s">
        <v>886</v>
      </c>
      <c r="G5" s="716"/>
      <c r="H5" s="716"/>
      <c r="J5" s="716" t="s">
        <v>887</v>
      </c>
      <c r="K5" s="716"/>
      <c r="L5" s="716"/>
      <c r="M5" s="727" t="str">
        <f>IF(D23+H13+L11&gt;100%,"Đang chi tiêu nhiều hơn số kiếm ra kìa!, hãy kiểm tra lại!","Ô thế tiền đi đâu nhỉ? Sao tổng chi lại nhỏ hơn tổng thu?, hãy kiểm tra lại!")</f>
        <v>Ô thế tiền đi đâu nhỉ? Sao tổng chi lại nhỏ hơn tổng thu?, hãy kiểm tra lại!</v>
      </c>
    </row>
    <row r="6" spans="2:13" s="631" customFormat="1">
      <c r="B6" s="629" t="s">
        <v>888</v>
      </c>
      <c r="C6" s="629" t="s">
        <v>889</v>
      </c>
      <c r="D6" s="630" t="s">
        <v>890</v>
      </c>
      <c r="F6" s="629" t="s">
        <v>888</v>
      </c>
      <c r="G6" s="629" t="s">
        <v>889</v>
      </c>
      <c r="H6" s="630" t="s">
        <v>890</v>
      </c>
      <c r="J6" s="629" t="s">
        <v>888</v>
      </c>
      <c r="K6" s="629" t="s">
        <v>889</v>
      </c>
      <c r="L6" s="630" t="s">
        <v>890</v>
      </c>
      <c r="M6" s="727"/>
    </row>
    <row r="7" spans="2:13">
      <c r="B7" s="632">
        <v>1</v>
      </c>
      <c r="C7" s="633" t="s">
        <v>891</v>
      </c>
      <c r="D7" s="634">
        <v>0</v>
      </c>
      <c r="F7" s="632">
        <v>1</v>
      </c>
      <c r="G7" s="633" t="s">
        <v>892</v>
      </c>
      <c r="H7" s="635">
        <v>5000000</v>
      </c>
      <c r="J7" s="632">
        <v>1</v>
      </c>
      <c r="K7" s="633" t="s">
        <v>893</v>
      </c>
      <c r="L7" s="635">
        <v>2000000</v>
      </c>
      <c r="M7" s="727"/>
    </row>
    <row r="8" spans="2:13">
      <c r="B8" s="632">
        <v>2</v>
      </c>
      <c r="C8" s="633" t="s">
        <v>894</v>
      </c>
      <c r="D8" s="634"/>
      <c r="F8" s="632">
        <v>2</v>
      </c>
      <c r="G8" s="633" t="s">
        <v>895</v>
      </c>
      <c r="H8" s="635">
        <v>2000000</v>
      </c>
      <c r="J8" s="632">
        <v>2</v>
      </c>
      <c r="K8" s="633" t="s">
        <v>896</v>
      </c>
      <c r="L8" s="635">
        <v>3000000</v>
      </c>
      <c r="M8" s="727"/>
    </row>
    <row r="9" spans="2:13">
      <c r="B9" s="632">
        <v>3</v>
      </c>
      <c r="C9" s="633" t="s">
        <v>897</v>
      </c>
      <c r="D9" s="634"/>
      <c r="F9" s="632">
        <v>3</v>
      </c>
      <c r="G9" s="633" t="s">
        <v>898</v>
      </c>
      <c r="H9" s="635">
        <v>3000000</v>
      </c>
      <c r="J9" s="632">
        <v>3</v>
      </c>
      <c r="K9" s="633" t="s">
        <v>899</v>
      </c>
      <c r="L9" s="635"/>
      <c r="M9" s="727"/>
    </row>
    <row r="10" spans="2:13">
      <c r="B10" s="632">
        <v>4</v>
      </c>
      <c r="C10" s="633" t="s">
        <v>900</v>
      </c>
      <c r="D10" s="634"/>
      <c r="F10" s="632">
        <v>4</v>
      </c>
      <c r="G10" s="633" t="s">
        <v>901</v>
      </c>
      <c r="H10" s="635">
        <v>500000</v>
      </c>
      <c r="J10" s="728" t="s">
        <v>902</v>
      </c>
      <c r="K10" s="729"/>
      <c r="L10" s="636">
        <f>SUM(L7:L9)</f>
        <v>5000000</v>
      </c>
      <c r="M10" s="727"/>
    </row>
    <row r="11" spans="2:13" ht="15.75" customHeight="1">
      <c r="B11" s="632">
        <v>5</v>
      </c>
      <c r="C11" s="633" t="s">
        <v>903</v>
      </c>
      <c r="D11" s="634"/>
      <c r="F11" s="632">
        <v>5</v>
      </c>
      <c r="G11" s="633" t="s">
        <v>899</v>
      </c>
      <c r="H11" s="637"/>
      <c r="J11" s="730" t="s">
        <v>904</v>
      </c>
      <c r="K11" s="730"/>
      <c r="L11" s="731">
        <f>L10/D4</f>
        <v>7.1428571428571425E-2</v>
      </c>
      <c r="M11" s="727"/>
    </row>
    <row r="12" spans="2:13">
      <c r="B12" s="632">
        <v>6</v>
      </c>
      <c r="C12" s="633" t="s">
        <v>905</v>
      </c>
      <c r="D12" s="634"/>
      <c r="F12" s="728" t="s">
        <v>902</v>
      </c>
      <c r="G12" s="729"/>
      <c r="H12" s="638">
        <f>SUM(H7:H11)</f>
        <v>10500000</v>
      </c>
      <c r="J12" s="730"/>
      <c r="K12" s="730"/>
      <c r="L12" s="731"/>
      <c r="M12" s="727"/>
    </row>
    <row r="13" spans="2:13" ht="15.75" customHeight="1">
      <c r="B13" s="632">
        <v>7</v>
      </c>
      <c r="C13" s="633" t="s">
        <v>906</v>
      </c>
      <c r="D13" s="634"/>
      <c r="F13" s="732" t="s">
        <v>907</v>
      </c>
      <c r="G13" s="733"/>
      <c r="H13" s="639">
        <f>H12/D4</f>
        <v>0.15</v>
      </c>
      <c r="J13" s="730"/>
      <c r="K13" s="730"/>
      <c r="L13" s="731"/>
      <c r="M13" s="727"/>
    </row>
    <row r="14" spans="2:13">
      <c r="B14" s="632">
        <v>8</v>
      </c>
      <c r="C14" s="633" t="s">
        <v>908</v>
      </c>
      <c r="D14" s="634"/>
    </row>
    <row r="15" spans="2:13">
      <c r="B15" s="632">
        <v>9</v>
      </c>
      <c r="C15" s="633" t="s">
        <v>909</v>
      </c>
      <c r="D15" s="634"/>
    </row>
    <row r="16" spans="2:13" ht="15.75" customHeight="1">
      <c r="B16" s="632">
        <v>10</v>
      </c>
      <c r="C16" s="633" t="s">
        <v>910</v>
      </c>
      <c r="D16" s="634"/>
      <c r="F16" s="734" t="s">
        <v>911</v>
      </c>
      <c r="G16" s="734"/>
      <c r="H16" s="640"/>
      <c r="I16" s="640"/>
      <c r="J16" s="640"/>
      <c r="K16" s="640"/>
      <c r="L16" s="640"/>
    </row>
    <row r="17" spans="2:13" ht="15.75" customHeight="1">
      <c r="B17" s="632">
        <v>11</v>
      </c>
      <c r="C17" s="633" t="s">
        <v>912</v>
      </c>
      <c r="D17" s="634"/>
      <c r="F17" s="734"/>
      <c r="G17" s="734"/>
      <c r="H17" s="640"/>
      <c r="I17" s="640"/>
      <c r="J17" s="640"/>
      <c r="K17" s="640"/>
      <c r="L17" s="640"/>
    </row>
    <row r="18" spans="2:13" ht="15.75" customHeight="1">
      <c r="B18" s="632">
        <v>12</v>
      </c>
      <c r="C18" s="633" t="s">
        <v>913</v>
      </c>
      <c r="D18" s="634"/>
      <c r="F18" s="735" t="s">
        <v>914</v>
      </c>
      <c r="G18" s="736"/>
      <c r="H18" s="739" t="s">
        <v>915</v>
      </c>
      <c r="I18" s="735" t="s">
        <v>916</v>
      </c>
      <c r="J18" s="740"/>
      <c r="K18" s="740"/>
      <c r="L18" s="736"/>
      <c r="M18" s="742" t="s">
        <v>917</v>
      </c>
    </row>
    <row r="19" spans="2:13" ht="15.75" customHeight="1">
      <c r="B19" s="632">
        <v>13</v>
      </c>
      <c r="C19" s="633" t="s">
        <v>918</v>
      </c>
      <c r="D19" s="634"/>
      <c r="F19" s="737"/>
      <c r="G19" s="738"/>
      <c r="H19" s="739"/>
      <c r="I19" s="737"/>
      <c r="J19" s="741"/>
      <c r="K19" s="741"/>
      <c r="L19" s="738"/>
      <c r="M19" s="742"/>
    </row>
    <row r="20" spans="2:13" ht="15.75" customHeight="1">
      <c r="B20" s="632">
        <v>14</v>
      </c>
      <c r="C20" s="633" t="s">
        <v>919</v>
      </c>
      <c r="D20" s="634"/>
      <c r="F20" s="717" t="s">
        <v>920</v>
      </c>
      <c r="G20" s="717"/>
      <c r="H20" s="718">
        <v>0.5</v>
      </c>
      <c r="I20" s="720">
        <f>D23</f>
        <v>0</v>
      </c>
      <c r="J20" s="721"/>
      <c r="K20" s="721"/>
      <c r="L20" s="722"/>
      <c r="M20" s="726" t="str">
        <f>IF(I20&lt;=50%,"Bạn thật tuyệt!","Hãy rà soát lại chi tiêu xem có thể giảm chi phí cho mục nào không")</f>
        <v>Bạn thật tuyệt!</v>
      </c>
    </row>
    <row r="21" spans="2:13" ht="15.75" customHeight="1">
      <c r="B21" s="632">
        <v>15</v>
      </c>
      <c r="C21" s="641" t="s">
        <v>921</v>
      </c>
      <c r="D21" s="634">
        <v>0</v>
      </c>
      <c r="F21" s="717"/>
      <c r="G21" s="717"/>
      <c r="H21" s="719"/>
      <c r="I21" s="723"/>
      <c r="J21" s="724"/>
      <c r="K21" s="724"/>
      <c r="L21" s="725"/>
      <c r="M21" s="726"/>
    </row>
    <row r="22" spans="2:13" ht="20.25" customHeight="1">
      <c r="B22" s="744" t="s">
        <v>902</v>
      </c>
      <c r="C22" s="745"/>
      <c r="D22" s="642">
        <f>IF((SUM(D7:D21)&gt;D4),"Hãy tính lại!",(SUM(D7:D21)))</f>
        <v>0</v>
      </c>
      <c r="F22" s="746" t="s">
        <v>922</v>
      </c>
      <c r="G22" s="746"/>
      <c r="H22" s="747">
        <v>0.3</v>
      </c>
      <c r="I22" s="749">
        <f>H13</f>
        <v>0.15</v>
      </c>
      <c r="J22" s="750"/>
      <c r="K22" s="750"/>
      <c r="L22" s="751"/>
      <c r="M22" s="755" t="str">
        <f>IF(I22&lt;=30%,"Bạn đang đi đúng hướng. Nhưng cũng đừng quá keo kiệt nhé. Hãy cho người thân hưởng nhiều hương vị cuộc đời nữa","Xa xỉ quá bạn ơi! Đừng bị hào nhoáng và cám dỗ làm khổ tương lai bạn")</f>
        <v>Bạn đang đi đúng hướng. Nhưng cũng đừng quá keo kiệt nhé. Hãy cho người thân hưởng nhiều hương vị cuộc đời nữa</v>
      </c>
    </row>
    <row r="23" spans="2:13" s="644" customFormat="1" ht="20.25" customHeight="1">
      <c r="B23" s="732" t="s">
        <v>923</v>
      </c>
      <c r="C23" s="733"/>
      <c r="D23" s="643">
        <f>D22/D4</f>
        <v>0</v>
      </c>
      <c r="F23" s="746"/>
      <c r="G23" s="746"/>
      <c r="H23" s="748"/>
      <c r="I23" s="752"/>
      <c r="J23" s="753"/>
      <c r="K23" s="753"/>
      <c r="L23" s="754"/>
      <c r="M23" s="755"/>
    </row>
    <row r="24" spans="2:13" s="644" customFormat="1" ht="20.25" customHeight="1">
      <c r="B24" s="743" t="s">
        <v>924</v>
      </c>
      <c r="C24" s="743"/>
      <c r="D24" s="645">
        <f>D4-D22</f>
        <v>70000000</v>
      </c>
      <c r="F24" s="717" t="s">
        <v>925</v>
      </c>
      <c r="G24" s="717"/>
      <c r="H24" s="718">
        <v>0.2</v>
      </c>
      <c r="I24" s="720">
        <f>L11</f>
        <v>7.1428571428571425E-2</v>
      </c>
      <c r="J24" s="721"/>
      <c r="K24" s="721"/>
      <c r="L24" s="722"/>
      <c r="M24" s="726" t="str">
        <f>IF(I24&lt;20%,"Coi chừng túng quẫn! Lúc không có tiền thật là bi ai!","Bạn biết nhìn xa trông rộng vì tương lai bản thân và gia đình.")</f>
        <v>Coi chừng túng quẫn! Lúc không có tiền thật là bi ai!</v>
      </c>
    </row>
    <row r="25" spans="2:13" s="644" customFormat="1" ht="20.25" customHeight="1">
      <c r="B25" s="743" t="s">
        <v>926</v>
      </c>
      <c r="C25" s="743"/>
      <c r="D25" s="646"/>
      <c r="F25" s="717"/>
      <c r="G25" s="717"/>
      <c r="H25" s="719"/>
      <c r="I25" s="723"/>
      <c r="J25" s="724"/>
      <c r="K25" s="724"/>
      <c r="L25" s="725"/>
      <c r="M25" s="726"/>
    </row>
    <row r="26" spans="2:13" s="644" customFormat="1" ht="20.25" customHeight="1">
      <c r="B26" s="756" t="s">
        <v>927</v>
      </c>
      <c r="C26" s="756"/>
      <c r="D26" s="647">
        <f>D25*12</f>
        <v>0</v>
      </c>
    </row>
  </sheetData>
  <sheetProtection selectLockedCells="1"/>
  <mergeCells count="34">
    <mergeCell ref="B26:C26"/>
    <mergeCell ref="B24:C24"/>
    <mergeCell ref="F24:G25"/>
    <mergeCell ref="H24:H25"/>
    <mergeCell ref="I24:L25"/>
    <mergeCell ref="M24:M25"/>
    <mergeCell ref="B25:C25"/>
    <mergeCell ref="B22:C22"/>
    <mergeCell ref="F22:G23"/>
    <mergeCell ref="H22:H23"/>
    <mergeCell ref="I22:L23"/>
    <mergeCell ref="M22:M23"/>
    <mergeCell ref="B23:C23"/>
    <mergeCell ref="F20:G21"/>
    <mergeCell ref="H20:H21"/>
    <mergeCell ref="I20:L21"/>
    <mergeCell ref="M20:M21"/>
    <mergeCell ref="M5:M13"/>
    <mergeCell ref="J10:K10"/>
    <mergeCell ref="J11:K13"/>
    <mergeCell ref="L11:L13"/>
    <mergeCell ref="F12:G12"/>
    <mergeCell ref="F13:G13"/>
    <mergeCell ref="J5:L5"/>
    <mergeCell ref="F16:G17"/>
    <mergeCell ref="F18:G19"/>
    <mergeCell ref="H18:H19"/>
    <mergeCell ref="I18:L19"/>
    <mergeCell ref="M18:M19"/>
    <mergeCell ref="B2:D2"/>
    <mergeCell ref="F2:H2"/>
    <mergeCell ref="B4:C4"/>
    <mergeCell ref="B5:D5"/>
    <mergeCell ref="F5:H5"/>
  </mergeCells>
  <conditionalFormatting sqref="B7:D21">
    <cfRule type="expression" dxfId="399" priority="15">
      <formula>MOD(ROW(),2)&gt;0</formula>
    </cfRule>
  </conditionalFormatting>
  <conditionalFormatting sqref="B23:D26">
    <cfRule type="expression" dxfId="398" priority="14">
      <formula>MOD(ROW(),2)&gt;0</formula>
    </cfRule>
  </conditionalFormatting>
  <conditionalFormatting sqref="F7:G11">
    <cfRule type="expression" dxfId="397" priority="13">
      <formula>MOD(ROW(),2)&gt;0</formula>
    </cfRule>
  </conditionalFormatting>
  <conditionalFormatting sqref="F13:H13">
    <cfRule type="expression" dxfId="396" priority="11">
      <formula>MOD(ROW(),2)&gt;0</formula>
    </cfRule>
  </conditionalFormatting>
  <conditionalFormatting sqref="H7:H10">
    <cfRule type="expression" dxfId="395" priority="12">
      <formula>MOD(ROW(),2)&gt;0</formula>
    </cfRule>
  </conditionalFormatting>
  <conditionalFormatting sqref="J11 L11">
    <cfRule type="expression" dxfId="394" priority="10">
      <formula>MOD(ROW(),2)&gt;0</formula>
    </cfRule>
  </conditionalFormatting>
  <conditionalFormatting sqref="J7:L9">
    <cfRule type="expression" dxfId="393" priority="9">
      <formula>MOD(ROW(),2)&gt;0</formula>
    </cfRule>
  </conditionalFormatting>
  <conditionalFormatting sqref="M5:M13">
    <cfRule type="containsText" dxfId="392" priority="1" operator="containsText" text="kiểm tra">
      <formula>NOT(ISERROR(SEARCH("kiểm tra",M5)))</formula>
    </cfRule>
    <cfRule type="containsText" dxfId="391" priority="2" operator="containsText" text="ô">
      <formula>NOT(ISERROR(SEARCH("ô",M5)))</formula>
    </cfRule>
  </conditionalFormatting>
  <conditionalFormatting sqref="M20">
    <cfRule type="containsText" dxfId="390" priority="7" operator="containsText" text="Hãy">
      <formula>NOT(ISERROR(SEARCH("Hãy",M20)))</formula>
    </cfRule>
    <cfRule type="containsText" dxfId="389" priority="8" operator="containsText" text="tuyệt">
      <formula>NOT(ISERROR(SEARCH("tuyệt",M20)))</formula>
    </cfRule>
  </conditionalFormatting>
  <conditionalFormatting sqref="M22">
    <cfRule type="containsText" dxfId="388" priority="5" operator="containsText" text="Đi ">
      <formula>NOT(ISERROR(SEARCH("Đi ",M22)))</formula>
    </cfRule>
    <cfRule type="containsText" dxfId="387" priority="6" operator="containsText" text="Xa xỉ">
      <formula>NOT(ISERROR(SEARCH("Xa xỉ",M22)))</formula>
    </cfRule>
  </conditionalFormatting>
  <conditionalFormatting sqref="M24">
    <cfRule type="containsText" dxfId="386" priority="3" operator="containsText" text="coi">
      <formula>NOT(ISERROR(SEARCH("coi",M24)))</formula>
    </cfRule>
    <cfRule type="containsText" dxfId="385" priority="4" operator="containsText" text="Biết">
      <formula>NOT(ISERROR(SEARCH("Biết",M24)))</formula>
    </cfRule>
  </conditionalFormatting>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DE72D-F67B-4BE7-8A58-B20ABD737DB6}">
  <sheetPr codeName="Sheet1"/>
  <dimension ref="A1:K84"/>
  <sheetViews>
    <sheetView showGridLines="0" zoomScale="70" zoomScaleNormal="70" workbookViewId="0"/>
  </sheetViews>
  <sheetFormatPr defaultColWidth="9.296875" defaultRowHeight="13"/>
  <cols>
    <col min="1" max="1" width="0.69921875" style="1" customWidth="1"/>
    <col min="2" max="2" width="18.69921875" style="1" customWidth="1"/>
    <col min="3" max="3" width="20.19921875" style="1" customWidth="1"/>
    <col min="4" max="4" width="20.296875" style="1" customWidth="1"/>
    <col min="5" max="6" width="26.69921875" style="1" customWidth="1"/>
    <col min="7" max="7" width="25.296875" style="1" customWidth="1"/>
    <col min="8" max="8" width="9.296875" style="1"/>
    <col min="9" max="9" width="13.796875" style="1" customWidth="1"/>
    <col min="10" max="10" width="103" style="1" customWidth="1"/>
    <col min="11" max="11" width="11.19921875" style="352" hidden="1" customWidth="1"/>
    <col min="12" max="12" width="9.296875" style="1" customWidth="1"/>
    <col min="13" max="16384" width="9.296875" style="1"/>
  </cols>
  <sheetData>
    <row r="1" spans="1:11" ht="25.5" customHeight="1">
      <c r="B1" s="802" t="s">
        <v>815</v>
      </c>
      <c r="C1" s="802"/>
      <c r="D1" s="802"/>
      <c r="E1" s="802"/>
      <c r="F1" s="802"/>
      <c r="G1" s="802"/>
      <c r="H1" s="802"/>
      <c r="I1" s="802"/>
    </row>
    <row r="2" spans="1:11" ht="20.25" customHeight="1">
      <c r="B2" s="8" t="s">
        <v>15</v>
      </c>
      <c r="C2" s="798" t="str">
        <f>Start!A3</f>
        <v>Phạm Quang Hà</v>
      </c>
      <c r="D2" s="798"/>
      <c r="E2" s="5" t="s">
        <v>16</v>
      </c>
      <c r="F2" s="518" t="str">
        <f>Start!B3</f>
        <v>101012337</v>
      </c>
      <c r="G2" s="8" t="s">
        <v>17</v>
      </c>
      <c r="H2" s="791" t="str">
        <f>Start!C4</f>
        <v>OK!</v>
      </c>
      <c r="I2" s="791"/>
      <c r="J2" s="783" t="s">
        <v>841</v>
      </c>
    </row>
    <row r="3" spans="1:11" ht="17.25" customHeight="1">
      <c r="B3" s="758" t="s">
        <v>833</v>
      </c>
      <c r="C3" s="758"/>
      <c r="D3" s="758"/>
      <c r="E3" s="758"/>
      <c r="F3" s="789"/>
      <c r="G3" s="789"/>
      <c r="H3" s="790">
        <f ca="1">IFERROR(H26,0)+IFERROR(H65,0)+IFERROR(H84,0)+IFERROR(SUM(H33:I44),0)+IFERROR(H45,0)</f>
        <v>16571000</v>
      </c>
      <c r="I3" s="790"/>
      <c r="J3" s="784"/>
    </row>
    <row r="4" spans="1:11" ht="15.75" customHeight="1">
      <c r="B4" s="787" t="s">
        <v>14</v>
      </c>
      <c r="C4" s="787"/>
      <c r="D4" s="692"/>
      <c r="E4" s="442">
        <f ca="1">ROUND(H3/12,-3)</f>
        <v>1381000</v>
      </c>
      <c r="F4" s="787" t="s">
        <v>13</v>
      </c>
      <c r="G4" s="787"/>
      <c r="H4" s="788">
        <f ca="1">ROUND(H3/365,-3)</f>
        <v>45000</v>
      </c>
      <c r="I4" s="788"/>
      <c r="J4" s="785">
        <f>IF(H2="Đang dùng lậu!","Vui lòng không dùng lậu. Hãy mua và sử dụng để tôn trọng tác giả và chính mình",0)</f>
        <v>0</v>
      </c>
    </row>
    <row r="5" spans="1:11" ht="15" customHeight="1">
      <c r="A5" s="1">
        <v>2024</v>
      </c>
      <c r="B5" s="792" t="s">
        <v>778</v>
      </c>
      <c r="C5" s="792"/>
      <c r="D5" s="792"/>
      <c r="E5" s="792"/>
      <c r="F5" s="792"/>
      <c r="G5" s="792"/>
      <c r="H5" s="792"/>
      <c r="I5" s="792"/>
      <c r="J5" s="785"/>
      <c r="K5" s="456"/>
    </row>
    <row r="6" spans="1:11" ht="12.75" customHeight="1">
      <c r="B6" s="782" t="s">
        <v>6</v>
      </c>
      <c r="C6" s="782"/>
      <c r="D6" s="782"/>
      <c r="E6" s="782"/>
      <c r="F6" s="782"/>
      <c r="G6" s="782"/>
      <c r="H6" s="782"/>
      <c r="I6" s="782"/>
      <c r="J6" s="786"/>
      <c r="K6" s="456"/>
    </row>
    <row r="7" spans="1:11" s="4" customFormat="1" ht="14.25" customHeight="1">
      <c r="B7" s="14" t="s">
        <v>221</v>
      </c>
      <c r="C7" s="14"/>
      <c r="D7" s="14"/>
      <c r="F7" s="793" t="str">
        <f>CONCATENATE('Hoach dinh tai chinh'!D4," ",'Hoach dinh tai chinh'!E4," ",'Hoach dinh tai chinh'!F4," ",'Hoach dinh tai chinh'!G4," ",'Hoach dinh tai chinh'!H4," ",'Hoach dinh tai chinh'!I4," ",'Hoach dinh tai chinh'!J4)</f>
        <v xml:space="preserve">TRAN VAN HUY    </v>
      </c>
      <c r="G7" s="793"/>
      <c r="H7" s="793"/>
      <c r="I7" s="793"/>
      <c r="J7" s="786"/>
      <c r="K7" s="456"/>
    </row>
    <row r="8" spans="1:11" s="4" customFormat="1" ht="14.25" customHeight="1">
      <c r="B8" s="691" t="s">
        <v>222</v>
      </c>
      <c r="C8" s="691"/>
      <c r="D8" s="691"/>
      <c r="E8" s="9"/>
      <c r="F8" s="794">
        <f>'Hoach dinh tai chinh'!J5</f>
        <v>34926</v>
      </c>
      <c r="G8" s="794"/>
      <c r="H8" s="10" t="s">
        <v>1</v>
      </c>
      <c r="I8" s="443">
        <f ca="1">DATEDIF(F8,NOW(),"y")</f>
        <v>30</v>
      </c>
      <c r="J8" s="786"/>
      <c r="K8" s="456"/>
    </row>
    <row r="9" spans="1:11" s="4" customFormat="1" ht="14.25" customHeight="1">
      <c r="B9" s="14" t="s">
        <v>831</v>
      </c>
      <c r="C9" s="14"/>
      <c r="D9" s="14"/>
      <c r="H9" s="793" t="str">
        <f>'Hoach dinh tai chinh'!J8</f>
        <v>Nam</v>
      </c>
      <c r="I9" s="793"/>
      <c r="J9" s="786"/>
      <c r="K9" s="456"/>
    </row>
    <row r="10" spans="1:11" s="4" customFormat="1" ht="14.25" customHeight="1">
      <c r="B10" s="779" t="s">
        <v>10</v>
      </c>
      <c r="C10" s="779"/>
      <c r="D10" s="779"/>
      <c r="E10" s="779"/>
      <c r="F10" s="779"/>
      <c r="G10" s="779"/>
      <c r="H10" s="11" t="s">
        <v>11</v>
      </c>
      <c r="I10" s="464">
        <v>2</v>
      </c>
      <c r="J10" s="786"/>
      <c r="K10" s="456"/>
    </row>
    <row r="11" spans="1:11" s="4" customFormat="1" ht="15" customHeight="1">
      <c r="B11" s="758" t="s">
        <v>714</v>
      </c>
      <c r="C11" s="758"/>
      <c r="D11" s="656" t="s">
        <v>933</v>
      </c>
      <c r="E11" s="235" t="s">
        <v>851</v>
      </c>
      <c r="F11" s="689" t="s">
        <v>850</v>
      </c>
      <c r="G11" s="689" t="s">
        <v>849</v>
      </c>
      <c r="H11" s="775" t="s">
        <v>848</v>
      </c>
      <c r="I11" s="775"/>
      <c r="J11" s="786"/>
      <c r="K11" s="456"/>
    </row>
    <row r="12" spans="1:11" s="4" customFormat="1" ht="15" customHeight="1">
      <c r="B12" s="800" t="s">
        <v>799</v>
      </c>
      <c r="C12" s="800"/>
      <c r="D12" s="517">
        <v>15</v>
      </c>
      <c r="E12" s="346">
        <v>0</v>
      </c>
      <c r="F12" s="537"/>
      <c r="G12" s="9"/>
      <c r="H12" s="799">
        <f ca="1">E12/1000*IF(B12=0,0,IF(B12=KTV!D1,INDEX(KTV!D3:E73,MATCH('Tinh phi QL'!I8,KTV!A3:A73,0),MATCH('Tinh phi QL'!H9,KTV!D2:E2,0)),IF(B12=KTV!F1,INDEX(KTV!F3:G73,MATCH('Tinh phi QL'!I8,KTV!A3:A73,),MATCH('Tinh phi QL'!H9,KTV!F2:G2,0)),IF(B12=KTV!B1,INDEX(KTV!B3:C73,MATCH('Tinh phi QL'!I8,KTV!A3:A73,0),MATCH('Tinh phi QL'!H9,KTV!B2:C2,0)),IF(B12=KTV!H1,INDEX(KTV!H3:I73,MATCH('Tinh phi QL'!I8,KTV!A3:A73,0),MATCH('Tinh phi QL'!H9,KTV!H2:I2,0)))))))</f>
        <v>0</v>
      </c>
      <c r="I12" s="799"/>
      <c r="J12" s="465">
        <f ca="1">IF(AND(B12="Khỏe trọn vẹn - tối ưu",D12&gt;1),"Khỏe trọn vẹn tối ưu chỉ đóng phí 1 năm, hãy xem lại!",IF(AND(OR(E12&lt;&gt;0,H12&lt;&gt;0),H13&lt;&gt;0),"Chỉ chọn 1 SP chính, hãy xem lại xóa STBH 1 SPC",IF(AND(E12&lt;&gt;0,E12&lt;2000000000,H12&lt;30000000),"STBH min 2 tỷ hoặc phí SPC min 30 triệu, hãy xem lại!",0)))</f>
        <v>0</v>
      </c>
      <c r="K12" s="456"/>
    </row>
    <row r="13" spans="1:11" s="4" customFormat="1" ht="19.5" customHeight="1">
      <c r="B13" s="801" t="s">
        <v>942</v>
      </c>
      <c r="C13" s="801"/>
      <c r="D13" s="517">
        <v>20</v>
      </c>
      <c r="E13" s="559">
        <v>1000000000</v>
      </c>
      <c r="F13" s="444">
        <f ca="1">IF(OR(B13="Khỏe Bình An",B13="Vững Tương Lai"),E13/VLOOKUP(I8,KBA!A1:C67,3,0),0)</f>
        <v>8333333.333333333</v>
      </c>
      <c r="G13" s="557">
        <f ca="1">IF(OR(B13="Khỏe Bình An",B13="Vững Tương Lai"),E13/VLOOKUP(I8,KBA!A1:C67,2,0),0)</f>
        <v>40000000</v>
      </c>
      <c r="H13" s="803">
        <v>10000000</v>
      </c>
      <c r="I13" s="803"/>
      <c r="J13" s="445" t="str">
        <f ca="1">IF(B13=0,0,IF(AND(H12=0,OR(H13=0,G13=0)),"Chưa có số phí hoặc STBH, Khỏe Bình An hay Vững Tương Lai hãy nhập STBH trước!",IF(AND(H13&lt;&gt;0,OR(H13&lt;F13,H13&gt;G13)),"Nhập số phí trong dải Min,Max, hãy xem lại!"," ")))</f>
        <v xml:space="preserve"> </v>
      </c>
      <c r="K13" s="248"/>
    </row>
    <row r="14" spans="1:11" s="4" customFormat="1" ht="15" customHeight="1">
      <c r="B14" s="757" t="s">
        <v>622</v>
      </c>
      <c r="C14" s="757"/>
      <c r="D14" s="757"/>
      <c r="E14" s="757"/>
      <c r="F14" s="757"/>
      <c r="G14" s="349">
        <v>500000000</v>
      </c>
      <c r="H14" s="764">
        <f>IF(I10=1,G14*3.37/1000,IF(I10=2,G14*4.54/1000,IF(I10=3,G14*8.37/1000,IF(I10=4,G14*12.16/1000,0))))</f>
        <v>2270000</v>
      </c>
      <c r="I14" s="764"/>
      <c r="J14" s="7"/>
      <c r="K14" s="248"/>
    </row>
    <row r="15" spans="1:11" s="4" customFormat="1" ht="15" customHeight="1">
      <c r="B15" s="765" t="s">
        <v>623</v>
      </c>
      <c r="C15" s="765"/>
      <c r="D15" s="765"/>
      <c r="E15" s="765"/>
      <c r="F15" s="765"/>
      <c r="G15" s="349">
        <v>0</v>
      </c>
      <c r="H15" s="766">
        <f>IF(G15=0,0,IF(I8=0,0,VLOOKUP(I8,TCYT!A2:B60,2,0)*'Tinh phi QL'!G15/100))</f>
        <v>0</v>
      </c>
      <c r="I15" s="766"/>
      <c r="J15" s="445" t="str">
        <f ca="1">IF(AND(G15&lt;&gt;0,I8=0),"Không bán cho 0T, hãy xem lại!"," ")</f>
        <v xml:space="preserve"> </v>
      </c>
      <c r="K15" s="248"/>
    </row>
    <row r="16" spans="1:11" s="4" customFormat="1" ht="15" customHeight="1">
      <c r="B16" s="757" t="s">
        <v>715</v>
      </c>
      <c r="C16" s="757"/>
      <c r="D16" s="757"/>
      <c r="E16" s="239" t="s">
        <v>832</v>
      </c>
      <c r="F16" s="446">
        <f ca="1">85-I8</f>
        <v>55</v>
      </c>
      <c r="G16" s="349">
        <v>300000000</v>
      </c>
      <c r="H16" s="770">
        <f ca="1">G16/1000*IF(H9="Nam",VLOOKUP(I8,BHN!$A$2:$C$87,2,0),IF(H9="Nữ",VLOOKUP(I8,BHN!$A$2:$C$87,3,0)))</f>
        <v>606000</v>
      </c>
      <c r="I16" s="770"/>
      <c r="J16" s="7"/>
      <c r="K16" s="449">
        <f>IF(G17="Cơ bản",1,IF(G17="nâng cao",2,IF(G17="toàn diện",3,IF(G17="hoàn hảo",4,0))))</f>
        <v>2</v>
      </c>
    </row>
    <row r="17" spans="2:11" s="4" customFormat="1" ht="15" customHeight="1">
      <c r="B17" s="761" t="s">
        <v>782</v>
      </c>
      <c r="C17" s="771"/>
      <c r="D17" s="771"/>
      <c r="E17" s="771"/>
      <c r="F17" s="772" t="s">
        <v>626</v>
      </c>
      <c r="G17" s="773" t="s">
        <v>625</v>
      </c>
      <c r="H17" s="769">
        <f ca="1">IF(G17=0,0,IF(AND(G17&lt;&gt;0,F17="Việt Nam"),INDEX(TTD!$B$3:$E$102,MATCH('Tinh phi QL'!I8,TTD!$A$3:$A$102,0),MATCH('Tinh phi QL'!G17,TTD!$B$2:$E$2,0)),IF(AND(G17&lt;&gt;0,F17="Toàn cầu"),INDEX(TTD!$F$3:$I$102,MATCH('Tinh phi QL'!I8,TTD!$A$3:$A$102,0),MATCH('Tinh phi QL'!G17,TTD!$F$2:$I$2,0)))))</f>
        <v>3695000</v>
      </c>
      <c r="I17" s="769"/>
      <c r="J17" s="445" t="str">
        <f ca="1">IF(AND(MAX($H$13,H12)&lt;10000000,OR(G17="Toàn diện",G17="hoàn hảo")),"Thẻ toàn diện/ hoàn hảo phí SPC tối thiểu 10 triệu, hãy xem lại!"," ")</f>
        <v xml:space="preserve"> </v>
      </c>
      <c r="K17" s="449">
        <f t="shared" ref="K17:K80" si="0">IF(G18="Cơ bản",1,IF(G18="nâng cao",2,IF(G18="toàn diện",3,IF(G18="hoàn hảo",4,0))))</f>
        <v>0</v>
      </c>
    </row>
    <row r="18" spans="2:11" s="4" customFormat="1" ht="15" customHeight="1">
      <c r="B18" s="774" t="s">
        <v>783</v>
      </c>
      <c r="C18" s="774"/>
      <c r="D18" s="774"/>
      <c r="E18" s="774"/>
      <c r="F18" s="772"/>
      <c r="G18" s="773"/>
      <c r="H18" s="769"/>
      <c r="I18" s="769"/>
      <c r="J18" s="7"/>
      <c r="K18" s="449">
        <f t="shared" si="0"/>
        <v>0</v>
      </c>
    </row>
    <row r="19" spans="2:11" s="4" customFormat="1" ht="15" customHeight="1">
      <c r="B19" s="757" t="s">
        <v>785</v>
      </c>
      <c r="C19" s="757"/>
      <c r="D19" s="757"/>
      <c r="E19" s="757"/>
      <c r="F19" s="757"/>
      <c r="G19" s="773">
        <v>0</v>
      </c>
      <c r="H19" s="797">
        <f>IF(G19=0,0,INDEX(TTD!$J$3:$M$102,MATCH('Tinh phi QL'!I8,TTD!$A$3:$A$102,0),MATCH('Tinh phi QL'!G19,TTD!$J$2:$M$2,0)))</f>
        <v>0</v>
      </c>
      <c r="I19" s="797"/>
      <c r="J19" s="445" t="str">
        <f>IF(K18&gt;K16,"Thẻ ngoại trú ko dc cao hơn nội trú, hãy xem lại!", " ")</f>
        <v xml:space="preserve"> </v>
      </c>
      <c r="K19" s="449">
        <f t="shared" si="0"/>
        <v>0</v>
      </c>
    </row>
    <row r="20" spans="2:11" s="4" customFormat="1" ht="15" customHeight="1">
      <c r="B20" s="768" t="s">
        <v>784</v>
      </c>
      <c r="C20" s="768"/>
      <c r="D20" s="768"/>
      <c r="E20" s="768"/>
      <c r="F20" s="768"/>
      <c r="G20" s="773"/>
      <c r="H20" s="797"/>
      <c r="I20" s="797"/>
      <c r="J20" s="7"/>
      <c r="K20" s="449">
        <f t="shared" si="0"/>
        <v>0</v>
      </c>
    </row>
    <row r="21" spans="2:11" s="4" customFormat="1" ht="15" customHeight="1">
      <c r="B21" s="761" t="s">
        <v>786</v>
      </c>
      <c r="C21" s="761"/>
      <c r="D21" s="761"/>
      <c r="E21" s="761"/>
      <c r="F21" s="761"/>
      <c r="G21" s="773">
        <v>0</v>
      </c>
      <c r="H21" s="769">
        <f>IF(G21=0,0,INDEX(TTD!$N$3:$Q$102,MATCH('Tinh phi QL'!I8,TTD!$A$3:$A$102,0),MATCH('Tinh phi QL'!G21,TTD!$N$2:$Q$2,0)))</f>
        <v>0</v>
      </c>
      <c r="I21" s="769"/>
      <c r="J21" s="445" t="str">
        <f>IF(K20&gt;K16,"Thẻ nha khoa ko dc cao hơn nội trú, hãy xem lại!", " ")</f>
        <v xml:space="preserve"> </v>
      </c>
      <c r="K21" s="449">
        <f t="shared" si="0"/>
        <v>0</v>
      </c>
    </row>
    <row r="22" spans="2:11" s="4" customFormat="1" ht="15" customHeight="1">
      <c r="B22" s="762" t="s">
        <v>722</v>
      </c>
      <c r="C22" s="762"/>
      <c r="D22" s="762"/>
      <c r="E22" s="762"/>
      <c r="F22" s="762"/>
      <c r="G22" s="773"/>
      <c r="H22" s="769"/>
      <c r="I22" s="769"/>
      <c r="J22" s="7"/>
      <c r="K22" s="449">
        <f t="shared" si="0"/>
        <v>0</v>
      </c>
    </row>
    <row r="23" spans="2:11" s="247" customFormat="1" ht="15" customHeight="1">
      <c r="B23" s="757" t="s">
        <v>787</v>
      </c>
      <c r="C23" s="757"/>
      <c r="D23" s="757"/>
      <c r="E23" s="757"/>
      <c r="F23" s="757"/>
      <c r="G23" s="780">
        <f>IF(OR(G17="Cơ Bản",G17="Nâng cao"),0,G17)</f>
        <v>0</v>
      </c>
      <c r="H23" s="767"/>
      <c r="I23" s="767"/>
      <c r="J23" s="248"/>
      <c r="K23" s="449">
        <f t="shared" si="0"/>
        <v>0</v>
      </c>
    </row>
    <row r="24" spans="2:11" s="247" customFormat="1" ht="15" customHeight="1">
      <c r="B24" s="768" t="s">
        <v>631</v>
      </c>
      <c r="C24" s="768"/>
      <c r="D24" s="768"/>
      <c r="E24" s="768"/>
      <c r="F24" s="768"/>
      <c r="G24" s="780"/>
      <c r="H24" s="767"/>
      <c r="I24" s="767"/>
      <c r="J24" s="248"/>
      <c r="K24" s="449">
        <f t="shared" si="0"/>
        <v>0</v>
      </c>
    </row>
    <row r="25" spans="2:11" s="247" customFormat="1" ht="15" customHeight="1">
      <c r="B25" s="765" t="s">
        <v>721</v>
      </c>
      <c r="C25" s="765"/>
      <c r="D25" s="765"/>
      <c r="E25" s="765"/>
      <c r="F25" s="765"/>
      <c r="G25" s="350">
        <v>0</v>
      </c>
      <c r="H25" s="769">
        <f ca="1">'Tinh phi QL'!G25/1000*IF(H9="Nam",VLOOKUP(I8,Tuky!$A$2:$C$86,2,0),IF(H9="Nữ",VLOOKUP(I8,Tuky!$A$2:$C$86,3,0),0))</f>
        <v>0</v>
      </c>
      <c r="I25" s="769"/>
      <c r="J25" s="248"/>
      <c r="K25" s="449">
        <f t="shared" si="0"/>
        <v>0</v>
      </c>
    </row>
    <row r="26" spans="2:11" s="4" customFormat="1" ht="16.5" customHeight="1">
      <c r="B26" s="758" t="s">
        <v>834</v>
      </c>
      <c r="C26" s="758"/>
      <c r="D26" s="758"/>
      <c r="E26" s="758"/>
      <c r="F26" s="789"/>
      <c r="G26" s="789"/>
      <c r="H26" s="760">
        <f ca="1">IF(H2="OK!",_xlfn.AGGREGATE(9,6,H12:I25),"Đang dùng lậu!")</f>
        <v>16571000</v>
      </c>
      <c r="I26" s="760"/>
      <c r="K26" s="449">
        <f t="shared" si="0"/>
        <v>0</v>
      </c>
    </row>
    <row r="27" spans="2:11" ht="15" customHeight="1">
      <c r="B27" s="782" t="s">
        <v>839</v>
      </c>
      <c r="C27" s="782"/>
      <c r="D27" s="782"/>
      <c r="E27" s="782"/>
      <c r="F27" s="782"/>
      <c r="G27" s="782"/>
      <c r="H27" s="782"/>
      <c r="I27" s="782"/>
      <c r="J27" s="795"/>
      <c r="K27" s="449">
        <f t="shared" si="0"/>
        <v>0</v>
      </c>
    </row>
    <row r="28" spans="2:11" s="4" customFormat="1" ht="13.5" customHeight="1">
      <c r="B28" s="14" t="s">
        <v>7</v>
      </c>
      <c r="C28" s="14"/>
      <c r="D28" s="14"/>
      <c r="F28" s="763" t="s">
        <v>664</v>
      </c>
      <c r="G28" s="763"/>
      <c r="H28" s="763"/>
      <c r="I28" s="763"/>
      <c r="J28" s="795"/>
      <c r="K28" s="449">
        <f t="shared" si="0"/>
        <v>0</v>
      </c>
    </row>
    <row r="29" spans="2:11" s="4" customFormat="1" ht="13.5" customHeight="1">
      <c r="B29" s="691" t="s">
        <v>8</v>
      </c>
      <c r="C29" s="691"/>
      <c r="D29" s="691"/>
      <c r="E29" s="9"/>
      <c r="F29" s="778">
        <v>45866</v>
      </c>
      <c r="G29" s="778"/>
      <c r="H29" s="13" t="s">
        <v>1</v>
      </c>
      <c r="I29" s="443">
        <f ca="1">DATEDIF(F29,NOW(),"y")</f>
        <v>0</v>
      </c>
      <c r="J29" s="795"/>
      <c r="K29" s="449">
        <f t="shared" si="0"/>
        <v>0</v>
      </c>
    </row>
    <row r="30" spans="2:11" s="4" customFormat="1" ht="13.5" customHeight="1">
      <c r="B30" s="14" t="s">
        <v>9</v>
      </c>
      <c r="C30" s="14"/>
      <c r="D30" s="14"/>
      <c r="H30" s="763" t="s">
        <v>2</v>
      </c>
      <c r="I30" s="763"/>
      <c r="J30" s="795"/>
      <c r="K30" s="449">
        <f t="shared" si="0"/>
        <v>0</v>
      </c>
    </row>
    <row r="31" spans="2:11" s="4" customFormat="1" ht="13.5" customHeight="1">
      <c r="B31" s="779" t="s">
        <v>10</v>
      </c>
      <c r="C31" s="779"/>
      <c r="D31" s="779"/>
      <c r="E31" s="779"/>
      <c r="F31" s="779"/>
      <c r="G31" s="779"/>
      <c r="H31" s="11" t="s">
        <v>11</v>
      </c>
      <c r="I31" s="464">
        <v>1</v>
      </c>
      <c r="J31" s="795"/>
      <c r="K31" s="449">
        <f t="shared" si="0"/>
        <v>0</v>
      </c>
    </row>
    <row r="32" spans="2:11" s="4" customFormat="1" ht="13.5" customHeight="1">
      <c r="B32" s="758" t="s">
        <v>3</v>
      </c>
      <c r="C32" s="758"/>
      <c r="D32" s="758"/>
      <c r="E32" s="758"/>
      <c r="F32" s="775" t="s">
        <v>4</v>
      </c>
      <c r="G32" s="775"/>
      <c r="H32" s="775" t="s">
        <v>5</v>
      </c>
      <c r="I32" s="775"/>
      <c r="J32" s="795"/>
      <c r="K32" s="449">
        <f t="shared" si="0"/>
        <v>0</v>
      </c>
    </row>
    <row r="33" spans="2:11" s="4" customFormat="1" ht="13.5" customHeight="1">
      <c r="B33" s="757" t="s">
        <v>622</v>
      </c>
      <c r="C33" s="757"/>
      <c r="D33" s="757"/>
      <c r="E33" s="757"/>
      <c r="F33" s="757"/>
      <c r="G33" s="349"/>
      <c r="H33" s="764">
        <f>IF(I31=1,G33*3.37/1000,IF(I31=2,G33*4.54/1000,IF(I31=3,G33*8.37/1000,IF(I31=4,G33*12.16/1000,0))))</f>
        <v>0</v>
      </c>
      <c r="I33" s="764"/>
      <c r="J33" s="456"/>
      <c r="K33" s="449">
        <f t="shared" si="0"/>
        <v>0</v>
      </c>
    </row>
    <row r="34" spans="2:11" s="4" customFormat="1" ht="13.5" customHeight="1">
      <c r="B34" s="765" t="s">
        <v>623</v>
      </c>
      <c r="C34" s="765"/>
      <c r="D34" s="765"/>
      <c r="E34" s="765"/>
      <c r="F34" s="765"/>
      <c r="G34" s="349"/>
      <c r="H34" s="766">
        <f>IF(G34=0,0,IF(I29=0,0,VLOOKUP(I29,TCYT!A2:B60,2,0)*'Tinh phi QL'!G34/100))</f>
        <v>0</v>
      </c>
      <c r="I34" s="766"/>
      <c r="J34" s="445" t="str">
        <f ca="1">IF(AND(G34&lt;&gt;0,I29=0),"Không bán cho 0T, hãy xem lại!"," ")</f>
        <v xml:space="preserve"> </v>
      </c>
      <c r="K34" s="449">
        <f t="shared" si="0"/>
        <v>0</v>
      </c>
    </row>
    <row r="35" spans="2:11" s="4" customFormat="1" ht="13.5" customHeight="1">
      <c r="B35" s="757" t="s">
        <v>715</v>
      </c>
      <c r="C35" s="757"/>
      <c r="D35" s="757"/>
      <c r="E35" s="239" t="s">
        <v>832</v>
      </c>
      <c r="F35" s="446">
        <f>85-I28</f>
        <v>85</v>
      </c>
      <c r="G35" s="349"/>
      <c r="H35" s="770">
        <f ca="1">G35/1000*IF(H30="Nam",VLOOKUP(I29,BHN!$A$2:$C$87,2,0),IF(H30="Nữ",VLOOKUP(I29,BHN!$A$2:$C$87,3,0)))</f>
        <v>0</v>
      </c>
      <c r="I35" s="770"/>
      <c r="J35" s="456"/>
      <c r="K35" s="449">
        <f t="shared" si="0"/>
        <v>0</v>
      </c>
    </row>
    <row r="36" spans="2:11" s="4" customFormat="1" ht="13.5" customHeight="1">
      <c r="B36" s="761" t="s">
        <v>782</v>
      </c>
      <c r="C36" s="771"/>
      <c r="D36" s="771"/>
      <c r="E36" s="771"/>
      <c r="F36" s="772" t="s">
        <v>626</v>
      </c>
      <c r="G36" s="773">
        <v>0</v>
      </c>
      <c r="H36" s="769">
        <f>IF(G36=0,0,IF(AND(G36&lt;&gt;0,F36="Việt Nam"),INDEX(TTD!$B$3:$E$102,MATCH('Tinh phi QL'!I29,TTD!$A$3:$A$102,0),MATCH('Tinh phi QL'!G36,TTD!$B$2:$E$2,0)),IF(AND(G36&lt;&gt;0,F36="Toàn cầu"),INDEX(TTD!$F$3:$I$102,MATCH('Tinh phi QL'!I29,TTD!$A$3:$A$102,0),MATCH('Tinh phi QL'!G36,TTD!$F$2:$I$2,0)))))</f>
        <v>0</v>
      </c>
      <c r="I36" s="769"/>
      <c r="J36" s="445" t="str">
        <f ca="1">IF(AND(MAX($H$13,H12)&lt;10000000,OR(G36="Toàn diện",G36="hoàn hảo")),"Thẻ toàn diện/ hoàn hảo phí SPC tối thiểu 10 triệu, hãy xem lại!"," ")</f>
        <v xml:space="preserve"> </v>
      </c>
      <c r="K36" s="449">
        <f t="shared" si="0"/>
        <v>0</v>
      </c>
    </row>
    <row r="37" spans="2:11" s="4" customFormat="1" ht="13.5" customHeight="1">
      <c r="B37" s="774" t="s">
        <v>783</v>
      </c>
      <c r="C37" s="774"/>
      <c r="D37" s="774"/>
      <c r="E37" s="774"/>
      <c r="F37" s="772"/>
      <c r="G37" s="773"/>
      <c r="H37" s="769"/>
      <c r="I37" s="769"/>
      <c r="J37" s="456"/>
      <c r="K37" s="449">
        <f t="shared" si="0"/>
        <v>0</v>
      </c>
    </row>
    <row r="38" spans="2:11" s="4" customFormat="1" ht="13.5" customHeight="1">
      <c r="B38" s="757" t="s">
        <v>785</v>
      </c>
      <c r="C38" s="757"/>
      <c r="D38" s="757"/>
      <c r="E38" s="757"/>
      <c r="F38" s="757"/>
      <c r="G38" s="773"/>
      <c r="H38" s="797">
        <f>IF(G38=0,0,INDEX(TTD!$J$3:$M$102,MATCH('Tinh phi QL'!I29,TTD!$A$3:$A$102,0),MATCH('Tinh phi QL'!G38,TTD!$J$2:$M$2,0)))</f>
        <v>0</v>
      </c>
      <c r="I38" s="797"/>
      <c r="J38" s="445" t="str">
        <f>IF(K37&gt;K35,"Thẻ ngoại trú ko dc cao hơn nội trú, hãy xem lại!", " ")</f>
        <v xml:space="preserve"> </v>
      </c>
      <c r="K38" s="449">
        <f t="shared" si="0"/>
        <v>0</v>
      </c>
    </row>
    <row r="39" spans="2:11" s="247" customFormat="1" ht="13.5" customHeight="1">
      <c r="B39" s="768" t="s">
        <v>784</v>
      </c>
      <c r="C39" s="768"/>
      <c r="D39" s="768"/>
      <c r="E39" s="768"/>
      <c r="F39" s="768"/>
      <c r="G39" s="773"/>
      <c r="H39" s="797"/>
      <c r="I39" s="797"/>
      <c r="J39" s="7"/>
      <c r="K39" s="449">
        <f t="shared" si="0"/>
        <v>0</v>
      </c>
    </row>
    <row r="40" spans="2:11" s="247" customFormat="1" ht="13.5" customHeight="1">
      <c r="B40" s="761" t="s">
        <v>786</v>
      </c>
      <c r="C40" s="761"/>
      <c r="D40" s="761"/>
      <c r="E40" s="761"/>
      <c r="F40" s="761"/>
      <c r="G40" s="773"/>
      <c r="H40" s="769">
        <f>IF(G40=0,0,INDEX(TTD!$N$3:$Q$102,MATCH('Tinh phi QL'!I29,TTD!$A$3:$A$102,0),MATCH('Tinh phi QL'!G40,TTD!$N$2:$Q$2,0)))</f>
        <v>0</v>
      </c>
      <c r="I40" s="769"/>
      <c r="J40" s="445" t="str">
        <f>IF(K39&gt;K35,"Thẻ nha khoa ko dc cao hơn nội trú, hãy xem lại!", " ")</f>
        <v xml:space="preserve"> </v>
      </c>
      <c r="K40" s="449">
        <f t="shared" si="0"/>
        <v>0</v>
      </c>
    </row>
    <row r="41" spans="2:11" s="247" customFormat="1" ht="13.5" customHeight="1">
      <c r="B41" s="762" t="s">
        <v>722</v>
      </c>
      <c r="C41" s="762"/>
      <c r="D41" s="762"/>
      <c r="E41" s="762"/>
      <c r="F41" s="762"/>
      <c r="G41" s="773"/>
      <c r="H41" s="769"/>
      <c r="I41" s="769"/>
      <c r="J41" s="7"/>
      <c r="K41" s="449">
        <f t="shared" si="0"/>
        <v>0</v>
      </c>
    </row>
    <row r="42" spans="2:11" s="247" customFormat="1" ht="13.5" customHeight="1">
      <c r="B42" s="757" t="s">
        <v>787</v>
      </c>
      <c r="C42" s="757"/>
      <c r="D42" s="757"/>
      <c r="E42" s="757"/>
      <c r="F42" s="757"/>
      <c r="G42" s="780">
        <f>IF(OR(G36="Cơ Bản",G36="Nâng cao"),0,G36)</f>
        <v>0</v>
      </c>
      <c r="H42" s="767"/>
      <c r="I42" s="767"/>
      <c r="J42" s="7"/>
      <c r="K42" s="449">
        <f t="shared" si="0"/>
        <v>0</v>
      </c>
    </row>
    <row r="43" spans="2:11" s="247" customFormat="1" ht="13.5" customHeight="1">
      <c r="B43" s="768" t="s">
        <v>631</v>
      </c>
      <c r="C43" s="768"/>
      <c r="D43" s="768"/>
      <c r="E43" s="768"/>
      <c r="F43" s="768"/>
      <c r="G43" s="780"/>
      <c r="H43" s="767"/>
      <c r="I43" s="767"/>
      <c r="J43" s="7"/>
      <c r="K43" s="449">
        <f t="shared" si="0"/>
        <v>0</v>
      </c>
    </row>
    <row r="44" spans="2:11" s="247" customFormat="1" ht="13.5" customHeight="1">
      <c r="B44" s="765" t="s">
        <v>721</v>
      </c>
      <c r="C44" s="765"/>
      <c r="D44" s="765"/>
      <c r="E44" s="765"/>
      <c r="F44" s="765"/>
      <c r="G44" s="350"/>
      <c r="H44" s="769">
        <f ca="1">'Tinh phi QL'!G44/1000*IF(H30="Nam",VLOOKUP(I29,Tuky!$A$2:$C$86,2,0),IF(H30="Nữ",VLOOKUP(I29,Tuky!$A$2:$C$86,3,0),0))</f>
        <v>0</v>
      </c>
      <c r="I44" s="769"/>
      <c r="J44" s="7"/>
      <c r="K44" s="449">
        <f t="shared" si="0"/>
        <v>0</v>
      </c>
    </row>
    <row r="45" spans="2:11" s="4" customFormat="1" ht="15.75" customHeight="1">
      <c r="B45" s="777" t="s">
        <v>723</v>
      </c>
      <c r="C45" s="777"/>
      <c r="D45" s="690"/>
      <c r="E45" s="447">
        <f ca="1">65-I29</f>
        <v>65</v>
      </c>
      <c r="F45" s="416" t="s">
        <v>762</v>
      </c>
      <c r="G45" s="448">
        <f>IF(F45="Có",IFERROR(H26,0)+IFERROR(SUM(H33:I44),0)+IFERROR(H65,0)+IFERROR(H84,0),0)</f>
        <v>0</v>
      </c>
      <c r="H45" s="776">
        <f>IF(F45="Không",0,ROUND(G45/1000*IF(H30="Nam",INDEX(MTPNam!B2:AR44,MATCH('Tinh phi QL'!I29,MTPNam!A2:A44,0),MATCH('Tinh phi QL'!E45,MTPNam!B1:AR1,0)),INDEX(MTPNu!B2:AR44,MATCH('Tinh phi QL'!I29,MTPNu!A2:A44,0),MATCH('Tinh phi QL'!E45,MTPNu!B1:AR1,0))),-3))</f>
        <v>0</v>
      </c>
      <c r="I45" s="776"/>
      <c r="J45" s="445" t="str">
        <f ca="1">IF(AND(G45&lt;&gt;0,I29&lt;18),"Không bán cho người dưới 18T, hãy xem lại!"," ")</f>
        <v xml:space="preserve"> </v>
      </c>
      <c r="K45" s="449">
        <f t="shared" si="0"/>
        <v>0</v>
      </c>
    </row>
    <row r="46" spans="2:11" s="4" customFormat="1" ht="18" customHeight="1">
      <c r="B46" s="758" t="s">
        <v>835</v>
      </c>
      <c r="C46" s="758"/>
      <c r="D46" s="758"/>
      <c r="E46" s="758"/>
      <c r="F46" s="789"/>
      <c r="G46" s="789"/>
      <c r="H46" s="760">
        <f ca="1">_xlfn.AGGREGATE(9,6,H33:I45)</f>
        <v>0</v>
      </c>
      <c r="I46" s="760"/>
      <c r="K46" s="449">
        <f t="shared" si="0"/>
        <v>0</v>
      </c>
    </row>
    <row r="47" spans="2:11" s="4" customFormat="1" ht="19.5" customHeight="1">
      <c r="B47" s="781" t="s">
        <v>838</v>
      </c>
      <c r="C47" s="781"/>
      <c r="D47" s="781"/>
      <c r="E47" s="781"/>
      <c r="F47" s="781"/>
      <c r="G47" s="781"/>
      <c r="H47" s="781"/>
      <c r="I47" s="781"/>
      <c r="J47" s="251" t="s">
        <v>12</v>
      </c>
      <c r="K47" s="449">
        <f t="shared" si="0"/>
        <v>0</v>
      </c>
    </row>
    <row r="48" spans="2:11" s="4" customFormat="1" ht="12.75" customHeight="1">
      <c r="B48" s="14" t="s">
        <v>7</v>
      </c>
      <c r="C48" s="14"/>
      <c r="D48" s="14"/>
      <c r="F48" s="763" t="s">
        <v>164</v>
      </c>
      <c r="G48" s="763"/>
      <c r="H48" s="763"/>
      <c r="I48" s="763"/>
      <c r="J48" s="251"/>
      <c r="K48" s="449">
        <f t="shared" si="0"/>
        <v>0</v>
      </c>
    </row>
    <row r="49" spans="2:11" s="4" customFormat="1" ht="12.75" customHeight="1">
      <c r="B49" s="691" t="s">
        <v>8</v>
      </c>
      <c r="C49" s="691"/>
      <c r="D49" s="691"/>
      <c r="E49" s="9"/>
      <c r="F49" s="778">
        <v>42838</v>
      </c>
      <c r="G49" s="778"/>
      <c r="H49" s="10" t="s">
        <v>1</v>
      </c>
      <c r="I49" s="443">
        <f ca="1">DATEDIF(F49,NOW(),"y")</f>
        <v>9</v>
      </c>
      <c r="J49" s="251"/>
      <c r="K49" s="449">
        <f t="shared" si="0"/>
        <v>0</v>
      </c>
    </row>
    <row r="50" spans="2:11" s="4" customFormat="1" ht="12.75" customHeight="1">
      <c r="B50" s="14" t="s">
        <v>9</v>
      </c>
      <c r="C50" s="14"/>
      <c r="D50" s="14"/>
      <c r="H50" s="763" t="s">
        <v>0</v>
      </c>
      <c r="I50" s="763"/>
      <c r="J50" s="251"/>
      <c r="K50" s="449">
        <f t="shared" si="0"/>
        <v>0</v>
      </c>
    </row>
    <row r="51" spans="2:11" s="4" customFormat="1" ht="12.75" customHeight="1">
      <c r="B51" s="779" t="s">
        <v>10</v>
      </c>
      <c r="C51" s="779"/>
      <c r="D51" s="779"/>
      <c r="E51" s="779"/>
      <c r="F51" s="779"/>
      <c r="G51" s="779"/>
      <c r="H51" s="6" t="s">
        <v>11</v>
      </c>
      <c r="I51" s="464">
        <v>1</v>
      </c>
      <c r="J51" s="251"/>
      <c r="K51" s="449">
        <f t="shared" si="0"/>
        <v>0</v>
      </c>
    </row>
    <row r="52" spans="2:11" s="4" customFormat="1" ht="13.5" customHeight="1">
      <c r="B52" s="758" t="s">
        <v>3</v>
      </c>
      <c r="C52" s="758"/>
      <c r="D52" s="758"/>
      <c r="E52" s="758"/>
      <c r="F52" s="775" t="s">
        <v>4</v>
      </c>
      <c r="G52" s="775"/>
      <c r="H52" s="775" t="s">
        <v>5</v>
      </c>
      <c r="I52" s="775"/>
      <c r="J52" s="251"/>
      <c r="K52" s="449">
        <f t="shared" si="0"/>
        <v>0</v>
      </c>
    </row>
    <row r="53" spans="2:11" s="4" customFormat="1" ht="13.5" customHeight="1">
      <c r="B53" s="757" t="s">
        <v>622</v>
      </c>
      <c r="C53" s="757"/>
      <c r="D53" s="757"/>
      <c r="E53" s="757"/>
      <c r="F53" s="757"/>
      <c r="G53" s="349"/>
      <c r="H53" s="764">
        <f>IF(I51=1,G53*3.37/1000,IF(I51=2,G53*4.54/1000,IF(I51=3,G53*8.37/1000,IF(I51=4,G53*12.16/1000,0))))</f>
        <v>0</v>
      </c>
      <c r="I53" s="764"/>
      <c r="J53" s="251"/>
      <c r="K53" s="449">
        <f t="shared" si="0"/>
        <v>0</v>
      </c>
    </row>
    <row r="54" spans="2:11" s="4" customFormat="1" ht="13.5" customHeight="1">
      <c r="B54" s="765" t="s">
        <v>623</v>
      </c>
      <c r="C54" s="765"/>
      <c r="D54" s="765"/>
      <c r="E54" s="765"/>
      <c r="F54" s="765"/>
      <c r="G54" s="349"/>
      <c r="H54" s="766">
        <f>IF(G54=0,0,IF(I49=0,0,VLOOKUP(I49,TCYT!A2:B60,2,0)*'Tinh phi QL'!G54/100))</f>
        <v>0</v>
      </c>
      <c r="I54" s="766"/>
      <c r="J54" s="445" t="str">
        <f ca="1">IF(AND(G54&lt;&gt;0,I49=0),"Không bán cho 0T, hãy xem lại!"," ")</f>
        <v xml:space="preserve"> </v>
      </c>
      <c r="K54" s="449">
        <f t="shared" si="0"/>
        <v>0</v>
      </c>
    </row>
    <row r="55" spans="2:11" s="4" customFormat="1" ht="13.5" customHeight="1">
      <c r="B55" s="757" t="s">
        <v>715</v>
      </c>
      <c r="C55" s="757"/>
      <c r="D55" s="757"/>
      <c r="E55" s="239" t="s">
        <v>832</v>
      </c>
      <c r="F55" s="446">
        <f>85-I48</f>
        <v>85</v>
      </c>
      <c r="G55" s="349"/>
      <c r="H55" s="770">
        <f ca="1">G55/1000*IF(H50="Nam",VLOOKUP(I49,BHN!$A$2:$C$87,2,0),IF(H50="Nữ",VLOOKUP(I49,BHN!$A$2:$C$87,3,0)))</f>
        <v>0</v>
      </c>
      <c r="I55" s="770"/>
      <c r="J55" s="251"/>
      <c r="K55" s="449">
        <f t="shared" si="0"/>
        <v>0</v>
      </c>
    </row>
    <row r="56" spans="2:11" s="4" customFormat="1" ht="13.5" customHeight="1">
      <c r="B56" s="761" t="s">
        <v>782</v>
      </c>
      <c r="C56" s="771"/>
      <c r="D56" s="771"/>
      <c r="E56" s="771"/>
      <c r="F56" s="772" t="s">
        <v>626</v>
      </c>
      <c r="G56" s="773"/>
      <c r="H56" s="769">
        <f>IF(G56=0,0,IF(AND(G56&lt;&gt;0,F56="Việt Nam"),INDEX(TTD!$B$3:$E$102,MATCH('Tinh phi QL'!I49,TTD!$A$3:$A$102,0),MATCH('Tinh phi QL'!G56,TTD!$B$2:$E$2,0)),IF(AND(G56&lt;&gt;0,F56="Toàn cầu"),INDEX(TTD!$F$3:$I$102,MATCH('Tinh phi QL'!I49,TTD!$A$3:$A$102,0),MATCH('Tinh phi QL'!G56,TTD!$F$2:$I$2,0)))))</f>
        <v>0</v>
      </c>
      <c r="I56" s="769"/>
      <c r="J56" s="445" t="str">
        <f ca="1">IF(AND(MAX($H$13,H12)&lt;10000000,OR(G56="Toàn diện",G56="hoàn hảo")),"Thẻ toàn diện/ hoàn hảo phí SPC tối thiểu 10 triệu, hãy xem lại!"," ")</f>
        <v xml:space="preserve"> </v>
      </c>
      <c r="K56" s="449">
        <f t="shared" si="0"/>
        <v>0</v>
      </c>
    </row>
    <row r="57" spans="2:11" s="4" customFormat="1" ht="13.5" customHeight="1">
      <c r="B57" s="774" t="s">
        <v>783</v>
      </c>
      <c r="C57" s="774"/>
      <c r="D57" s="774"/>
      <c r="E57" s="774"/>
      <c r="F57" s="772"/>
      <c r="G57" s="773"/>
      <c r="H57" s="769"/>
      <c r="I57" s="769"/>
      <c r="J57" s="251"/>
      <c r="K57" s="449">
        <f t="shared" si="0"/>
        <v>0</v>
      </c>
    </row>
    <row r="58" spans="2:11" s="4" customFormat="1" ht="13.5" customHeight="1">
      <c r="B58" s="757" t="s">
        <v>785</v>
      </c>
      <c r="C58" s="757"/>
      <c r="D58" s="757"/>
      <c r="E58" s="757"/>
      <c r="F58" s="757"/>
      <c r="G58" s="773"/>
      <c r="H58" s="797">
        <f>IF(G58=0,0,INDEX(TTD!$J$3:$M$102,MATCH('Tinh phi QL'!I49,TTD!$A$3:$A$102,0),MATCH('Tinh phi QL'!G58,TTD!$J$2:$M$2,0)))</f>
        <v>0</v>
      </c>
      <c r="I58" s="797"/>
      <c r="J58" s="445" t="str">
        <f>IF(K57&gt;K55,"Thẻ ngoại trú ko dc cao hơn nội trú, hãy xem lại!", " ")</f>
        <v xml:space="preserve"> </v>
      </c>
      <c r="K58" s="449">
        <f t="shared" si="0"/>
        <v>0</v>
      </c>
    </row>
    <row r="59" spans="2:11" s="247" customFormat="1" ht="13.5" customHeight="1">
      <c r="B59" s="768" t="s">
        <v>784</v>
      </c>
      <c r="C59" s="768"/>
      <c r="D59" s="768"/>
      <c r="E59" s="768"/>
      <c r="F59" s="768"/>
      <c r="G59" s="773"/>
      <c r="H59" s="797"/>
      <c r="I59" s="797"/>
      <c r="J59" s="7"/>
      <c r="K59" s="449">
        <f t="shared" si="0"/>
        <v>0</v>
      </c>
    </row>
    <row r="60" spans="2:11" s="247" customFormat="1" ht="13.5" customHeight="1">
      <c r="B60" s="761" t="s">
        <v>786</v>
      </c>
      <c r="C60" s="761"/>
      <c r="D60" s="761"/>
      <c r="E60" s="761"/>
      <c r="F60" s="761"/>
      <c r="G60" s="773"/>
      <c r="H60" s="769">
        <f>IF(G60=0,0,INDEX(TTD!$N$3:$Q$102,MATCH('Tinh phi QL'!I49,TTD!$A$3:$A$102,0),MATCH('Tinh phi QL'!G60,TTD!$N$2:$Q$2,0)))</f>
        <v>0</v>
      </c>
      <c r="I60" s="769"/>
      <c r="J60" s="445" t="str">
        <f>IF(K59&gt;K55,"Thẻ nha khoa ko dc cao hơn nội trú, hãy xem lại!", " ")</f>
        <v xml:space="preserve"> </v>
      </c>
      <c r="K60" s="449">
        <f t="shared" si="0"/>
        <v>0</v>
      </c>
    </row>
    <row r="61" spans="2:11" s="247" customFormat="1" ht="13.5" customHeight="1">
      <c r="B61" s="762" t="s">
        <v>722</v>
      </c>
      <c r="C61" s="762"/>
      <c r="D61" s="762"/>
      <c r="E61" s="762"/>
      <c r="F61" s="762"/>
      <c r="G61" s="773"/>
      <c r="H61" s="769"/>
      <c r="I61" s="769"/>
      <c r="J61" s="7"/>
      <c r="K61" s="449">
        <f t="shared" si="0"/>
        <v>0</v>
      </c>
    </row>
    <row r="62" spans="2:11" s="247" customFormat="1" ht="13.5" customHeight="1">
      <c r="B62" s="757" t="s">
        <v>787</v>
      </c>
      <c r="C62" s="757"/>
      <c r="D62" s="757"/>
      <c r="E62" s="757"/>
      <c r="F62" s="757"/>
      <c r="G62" s="780">
        <f>IF(OR(G56="Cơ Bản",G56="Nâng cao"),0,G56)</f>
        <v>0</v>
      </c>
      <c r="H62" s="767"/>
      <c r="I62" s="767"/>
      <c r="J62" s="7"/>
      <c r="K62" s="449">
        <f t="shared" si="0"/>
        <v>0</v>
      </c>
    </row>
    <row r="63" spans="2:11" s="247" customFormat="1" ht="13.5" customHeight="1">
      <c r="B63" s="768" t="s">
        <v>631</v>
      </c>
      <c r="C63" s="768"/>
      <c r="D63" s="768"/>
      <c r="E63" s="768"/>
      <c r="F63" s="768"/>
      <c r="G63" s="780"/>
      <c r="H63" s="767"/>
      <c r="I63" s="767"/>
      <c r="J63" s="7"/>
      <c r="K63" s="449">
        <f t="shared" si="0"/>
        <v>0</v>
      </c>
    </row>
    <row r="64" spans="2:11" s="247" customFormat="1" ht="13.5" customHeight="1">
      <c r="B64" s="765" t="s">
        <v>721</v>
      </c>
      <c r="C64" s="765"/>
      <c r="D64" s="765"/>
      <c r="E64" s="765"/>
      <c r="F64" s="765"/>
      <c r="G64" s="350"/>
      <c r="H64" s="769">
        <f ca="1">'Tinh phi QL'!G64/1000*IF(H50="Nam",VLOOKUP(I49,Tuky!$A$2:$C$86,2,0),IF(H50="Nữ",VLOOKUP(I49,Tuky!$A$2:$C$86,3,0),0))</f>
        <v>0</v>
      </c>
      <c r="I64" s="769"/>
      <c r="J64" s="7"/>
      <c r="K64" s="449">
        <f t="shared" si="0"/>
        <v>0</v>
      </c>
    </row>
    <row r="65" spans="2:11" s="4" customFormat="1" ht="18" customHeight="1">
      <c r="B65" s="758" t="s">
        <v>836</v>
      </c>
      <c r="C65" s="758"/>
      <c r="D65" s="758"/>
      <c r="E65" s="758"/>
      <c r="F65" s="759"/>
      <c r="G65" s="759"/>
      <c r="H65" s="760">
        <f ca="1">_xlfn.AGGREGATE(9,6,H53:I64)</f>
        <v>0</v>
      </c>
      <c r="I65" s="760"/>
      <c r="K65" s="449">
        <f t="shared" si="0"/>
        <v>0</v>
      </c>
    </row>
    <row r="66" spans="2:11" s="4" customFormat="1" ht="15.75" customHeight="1">
      <c r="B66" s="782" t="s">
        <v>840</v>
      </c>
      <c r="C66" s="782"/>
      <c r="D66" s="782"/>
      <c r="E66" s="782"/>
      <c r="F66" s="782"/>
      <c r="G66" s="782"/>
      <c r="H66" s="782"/>
      <c r="I66" s="782"/>
      <c r="J66" s="796" t="s">
        <v>12</v>
      </c>
      <c r="K66" s="449">
        <f t="shared" si="0"/>
        <v>0</v>
      </c>
    </row>
    <row r="67" spans="2:11" s="4" customFormat="1" ht="14.25" customHeight="1">
      <c r="B67" s="14" t="s">
        <v>7</v>
      </c>
      <c r="C67" s="14"/>
      <c r="D67" s="14"/>
      <c r="F67" s="763" t="s">
        <v>165</v>
      </c>
      <c r="G67" s="763"/>
      <c r="H67" s="763"/>
      <c r="I67" s="763"/>
      <c r="J67" s="796"/>
      <c r="K67" s="449">
        <f t="shared" si="0"/>
        <v>0</v>
      </c>
    </row>
    <row r="68" spans="2:11" s="4" customFormat="1" ht="14.25" customHeight="1">
      <c r="B68" s="691" t="s">
        <v>8</v>
      </c>
      <c r="C68" s="691"/>
      <c r="D68" s="691"/>
      <c r="E68" s="9"/>
      <c r="F68" s="778">
        <v>44583</v>
      </c>
      <c r="G68" s="778"/>
      <c r="H68" s="10" t="s">
        <v>1</v>
      </c>
      <c r="I68" s="443">
        <f ca="1">DATEDIF(F68,NOW(),"y")</f>
        <v>4</v>
      </c>
      <c r="J68" s="796"/>
      <c r="K68" s="449">
        <f t="shared" si="0"/>
        <v>0</v>
      </c>
    </row>
    <row r="69" spans="2:11" s="4" customFormat="1" ht="14.25" customHeight="1">
      <c r="B69" s="14" t="s">
        <v>9</v>
      </c>
      <c r="C69" s="14"/>
      <c r="D69" s="14"/>
      <c r="H69" s="763" t="s">
        <v>0</v>
      </c>
      <c r="I69" s="763"/>
      <c r="J69" s="796"/>
      <c r="K69" s="449">
        <f t="shared" si="0"/>
        <v>0</v>
      </c>
    </row>
    <row r="70" spans="2:11" s="4" customFormat="1" ht="14.25" customHeight="1">
      <c r="B70" s="779" t="s">
        <v>10</v>
      </c>
      <c r="C70" s="779"/>
      <c r="D70" s="779"/>
      <c r="E70" s="779"/>
      <c r="F70" s="779"/>
      <c r="G70" s="779"/>
      <c r="H70" s="12" t="s">
        <v>11</v>
      </c>
      <c r="I70" s="464">
        <v>1</v>
      </c>
      <c r="J70" s="796"/>
      <c r="K70" s="449">
        <f t="shared" si="0"/>
        <v>0</v>
      </c>
    </row>
    <row r="71" spans="2:11" s="4" customFormat="1" ht="13.5" customHeight="1">
      <c r="B71" s="758" t="s">
        <v>3</v>
      </c>
      <c r="C71" s="758"/>
      <c r="D71" s="758"/>
      <c r="E71" s="758"/>
      <c r="F71" s="775" t="s">
        <v>4</v>
      </c>
      <c r="G71" s="775"/>
      <c r="H71" s="775" t="s">
        <v>5</v>
      </c>
      <c r="I71" s="775"/>
      <c r="J71" s="796"/>
      <c r="K71" s="449">
        <f t="shared" si="0"/>
        <v>0</v>
      </c>
    </row>
    <row r="72" spans="2:11" s="4" customFormat="1" ht="13.5" customHeight="1">
      <c r="B72" s="757" t="s">
        <v>622</v>
      </c>
      <c r="C72" s="757"/>
      <c r="D72" s="757"/>
      <c r="E72" s="757"/>
      <c r="F72" s="757"/>
      <c r="G72" s="349"/>
      <c r="H72" s="764">
        <f>IF(I70=1,G72*3.37/1000,IF(I70=2,G72*4.54/1000,IF(I70=3,G72*8.37/1000,IF(I70=4,G72*12.16/1000,0))))</f>
        <v>0</v>
      </c>
      <c r="I72" s="764"/>
      <c r="J72" s="693"/>
      <c r="K72" s="449">
        <f t="shared" si="0"/>
        <v>0</v>
      </c>
    </row>
    <row r="73" spans="2:11" s="4" customFormat="1" ht="13.5" customHeight="1">
      <c r="B73" s="765" t="s">
        <v>623</v>
      </c>
      <c r="C73" s="765"/>
      <c r="D73" s="765"/>
      <c r="E73" s="765"/>
      <c r="F73" s="765"/>
      <c r="G73" s="349"/>
      <c r="H73" s="766">
        <f>IF(G73=0,0,IF(I68=0,0,VLOOKUP(I68,TCYT!A2:B60,2,0)*'Tinh phi QL'!G73/100))</f>
        <v>0</v>
      </c>
      <c r="I73" s="766"/>
      <c r="J73" s="445" t="str">
        <f ca="1">IF(AND(G73&lt;&gt;0,I68=0),"Không bán cho 0T, hãy xem lại!"," ")</f>
        <v xml:space="preserve"> </v>
      </c>
      <c r="K73" s="449">
        <f t="shared" si="0"/>
        <v>0</v>
      </c>
    </row>
    <row r="74" spans="2:11" s="4" customFormat="1" ht="13.5" customHeight="1">
      <c r="B74" s="757" t="s">
        <v>715</v>
      </c>
      <c r="C74" s="757"/>
      <c r="D74" s="757"/>
      <c r="E74" s="239" t="s">
        <v>832</v>
      </c>
      <c r="F74" s="446">
        <f>85-I67</f>
        <v>85</v>
      </c>
      <c r="G74" s="349"/>
      <c r="H74" s="770">
        <f ca="1">G74/1000*IF(H69="Nam",VLOOKUP(I68,BHN!$A$2:$C$87,2,0),IF(H69="Nữ",VLOOKUP(I68,BHN!$A$2:$C$87,3,0)))</f>
        <v>0</v>
      </c>
      <c r="I74" s="770"/>
      <c r="J74" s="693"/>
      <c r="K74" s="449">
        <f t="shared" si="0"/>
        <v>0</v>
      </c>
    </row>
    <row r="75" spans="2:11" s="4" customFormat="1" ht="13.5" customHeight="1">
      <c r="B75" s="761" t="s">
        <v>782</v>
      </c>
      <c r="C75" s="771"/>
      <c r="D75" s="771"/>
      <c r="E75" s="771"/>
      <c r="F75" s="772" t="s">
        <v>626</v>
      </c>
      <c r="G75" s="773"/>
      <c r="H75" s="769">
        <f>IF(G75=0,0,IF(AND(G75&lt;&gt;0,F75="Việt Nam"),INDEX(TTD!$B$3:$E$102,MATCH('Tinh phi QL'!I68,TTD!$A$3:$A$102,0),MATCH('Tinh phi QL'!G75,TTD!$B$2:$E$2,0)),IF(AND(G75&lt;&gt;0,F75="Toàn cầu"),INDEX(TTD!$F$3:$I$102,MATCH('Tinh phi QL'!I68,TTD!$A$3:$A$102,0),MATCH('Tinh phi QL'!G75,TTD!$F$2:$I$2,0)))))</f>
        <v>0</v>
      </c>
      <c r="I75" s="769"/>
      <c r="J75" s="445" t="str">
        <f ca="1">IF(AND(MAX($H$13,H12)&lt;10000000,OR(G75="Toàn diện",G75="hoàn hảo")),"Thẻ toàn diện/ hoàn hảo phí SPC tối thiểu 10 triệu, hãy xem lại!"," ")</f>
        <v xml:space="preserve"> </v>
      </c>
      <c r="K75" s="449">
        <f t="shared" si="0"/>
        <v>0</v>
      </c>
    </row>
    <row r="76" spans="2:11" s="4" customFormat="1" ht="13.5" customHeight="1">
      <c r="B76" s="774" t="s">
        <v>783</v>
      </c>
      <c r="C76" s="774"/>
      <c r="D76" s="774"/>
      <c r="E76" s="774"/>
      <c r="F76" s="772"/>
      <c r="G76" s="773"/>
      <c r="H76" s="769"/>
      <c r="I76" s="769"/>
      <c r="J76" s="693"/>
      <c r="K76" s="449">
        <f t="shared" si="0"/>
        <v>0</v>
      </c>
    </row>
    <row r="77" spans="2:11" s="4" customFormat="1" ht="13.5" customHeight="1">
      <c r="B77" s="757" t="s">
        <v>785</v>
      </c>
      <c r="C77" s="757"/>
      <c r="D77" s="757"/>
      <c r="E77" s="757"/>
      <c r="F77" s="757"/>
      <c r="G77" s="773"/>
      <c r="H77" s="797">
        <f>IF(G77=0,0,INDEX(TTD!$J$3:$M$102,MATCH('Tinh phi QL'!I68,TTD!$A$3:$A$102,0),MATCH('Tinh phi QL'!G77,TTD!$J$2:$M$2,0)))</f>
        <v>0</v>
      </c>
      <c r="I77" s="797"/>
      <c r="J77" s="445" t="str">
        <f>IF(K76&gt;K74,"Thẻ ngoại trú ko dc cao hơn nội trú, hãy xem lại!", " ")</f>
        <v xml:space="preserve"> </v>
      </c>
      <c r="K77" s="449">
        <f t="shared" si="0"/>
        <v>0</v>
      </c>
    </row>
    <row r="78" spans="2:11" s="4" customFormat="1" ht="13.5" customHeight="1">
      <c r="B78" s="768" t="s">
        <v>784</v>
      </c>
      <c r="C78" s="768"/>
      <c r="D78" s="768"/>
      <c r="E78" s="768"/>
      <c r="F78" s="768"/>
      <c r="G78" s="773"/>
      <c r="H78" s="797"/>
      <c r="I78" s="797"/>
      <c r="J78" s="7"/>
      <c r="K78" s="449">
        <f t="shared" si="0"/>
        <v>0</v>
      </c>
    </row>
    <row r="79" spans="2:11" s="247" customFormat="1" ht="13.5" customHeight="1">
      <c r="B79" s="761" t="s">
        <v>786</v>
      </c>
      <c r="C79" s="761"/>
      <c r="D79" s="761"/>
      <c r="E79" s="761"/>
      <c r="F79" s="761"/>
      <c r="G79" s="773"/>
      <c r="H79" s="769">
        <f>IF(G79=0,0,INDEX(TTD!$N$3:$Q$102,MATCH('Tinh phi QL'!I68,TTD!$A$3:$A$102,0),MATCH('Tinh phi QL'!G79,TTD!$N$2:$Q$2,0)))</f>
        <v>0</v>
      </c>
      <c r="I79" s="769"/>
      <c r="J79" s="445" t="str">
        <f>IF(K78&gt;K74,"Thẻ nha khoa ko dc cao hơn nội trú, hãy xem lại!", " ")</f>
        <v xml:space="preserve"> </v>
      </c>
      <c r="K79" s="449">
        <f t="shared" si="0"/>
        <v>0</v>
      </c>
    </row>
    <row r="80" spans="2:11" s="247" customFormat="1" ht="13.5" customHeight="1">
      <c r="B80" s="762" t="s">
        <v>722</v>
      </c>
      <c r="C80" s="762"/>
      <c r="D80" s="762"/>
      <c r="E80" s="762"/>
      <c r="F80" s="762"/>
      <c r="G80" s="773"/>
      <c r="H80" s="769"/>
      <c r="I80" s="769"/>
      <c r="J80" s="7"/>
      <c r="K80" s="449">
        <f t="shared" si="0"/>
        <v>0</v>
      </c>
    </row>
    <row r="81" spans="2:11" s="247" customFormat="1" ht="13.5" customHeight="1">
      <c r="B81" s="757" t="s">
        <v>787</v>
      </c>
      <c r="C81" s="757"/>
      <c r="D81" s="757"/>
      <c r="E81" s="757"/>
      <c r="F81" s="757"/>
      <c r="G81" s="780">
        <f>IF(OR(G75="Cơ Bản",G75="Nâng cao"),0,G75)</f>
        <v>0</v>
      </c>
      <c r="H81" s="767"/>
      <c r="I81" s="767"/>
      <c r="J81" s="7"/>
      <c r="K81" s="449">
        <f t="shared" ref="K81:K84" si="1">IF(G82="Cơ bản",1,IF(G82="nâng cao",2,IF(G82="toàn diện",3,IF(G82="hoàn hảo",4,0))))</f>
        <v>0</v>
      </c>
    </row>
    <row r="82" spans="2:11" s="247" customFormat="1" ht="13.5" customHeight="1">
      <c r="B82" s="768" t="s">
        <v>631</v>
      </c>
      <c r="C82" s="768"/>
      <c r="D82" s="768"/>
      <c r="E82" s="768"/>
      <c r="F82" s="768"/>
      <c r="G82" s="780"/>
      <c r="H82" s="767"/>
      <c r="I82" s="767"/>
      <c r="J82" s="7"/>
      <c r="K82" s="449">
        <f t="shared" si="1"/>
        <v>0</v>
      </c>
    </row>
    <row r="83" spans="2:11" s="247" customFormat="1" ht="13.5" customHeight="1">
      <c r="B83" s="765" t="s">
        <v>721</v>
      </c>
      <c r="C83" s="765"/>
      <c r="D83" s="765"/>
      <c r="E83" s="765"/>
      <c r="F83" s="765"/>
      <c r="G83" s="350"/>
      <c r="H83" s="769">
        <f ca="1">'Tinh phi QL'!G83/1000*IF(H69="Nam",VLOOKUP(I68,Tuky!$A$2:$C$86,2,0),IF(H69="Nữ",VLOOKUP(I68,Tuky!$A$2:$C$86,3,0),0))</f>
        <v>0</v>
      </c>
      <c r="I83" s="769"/>
      <c r="J83" s="7"/>
      <c r="K83" s="449">
        <f t="shared" si="1"/>
        <v>0</v>
      </c>
    </row>
    <row r="84" spans="2:11" s="4" customFormat="1" ht="17.25" customHeight="1">
      <c r="B84" s="758" t="s">
        <v>837</v>
      </c>
      <c r="C84" s="758"/>
      <c r="D84" s="758"/>
      <c r="E84" s="758"/>
      <c r="F84" s="759"/>
      <c r="G84" s="759"/>
      <c r="H84" s="760">
        <f ca="1">_xlfn.AGGREGATE(9,6,H72:I83)</f>
        <v>0</v>
      </c>
      <c r="I84" s="760"/>
      <c r="K84" s="449">
        <f t="shared" si="1"/>
        <v>0</v>
      </c>
    </row>
  </sheetData>
  <sheetProtection algorithmName="SHA-512" hashValue="oVG2ITdpk8NgaW0CUNRX/Tx6M1KZSjKtnHNIHxVM5AYwceGnmbrHLtMoWm9Cg+XnnH+eL5HKuA5biWg0lGGTYg==" saltValue="s7yul3ml2eHtzKdM36r2/w==" spinCount="100000" sheet="1" formatCells="0" formatColumns="0" formatRows="0"/>
  <mergeCells count="164">
    <mergeCell ref="G77:G78"/>
    <mergeCell ref="H77:I78"/>
    <mergeCell ref="B78:F78"/>
    <mergeCell ref="G79:G80"/>
    <mergeCell ref="H79:I80"/>
    <mergeCell ref="B81:F81"/>
    <mergeCell ref="G81:G82"/>
    <mergeCell ref="G40:G41"/>
    <mergeCell ref="H40:I41"/>
    <mergeCell ref="B41:F41"/>
    <mergeCell ref="B42:F42"/>
    <mergeCell ref="B43:F43"/>
    <mergeCell ref="H44:I44"/>
    <mergeCell ref="B44:F44"/>
    <mergeCell ref="B60:F60"/>
    <mergeCell ref="G60:G61"/>
    <mergeCell ref="H60:I61"/>
    <mergeCell ref="B61:F61"/>
    <mergeCell ref="H58:I59"/>
    <mergeCell ref="F56:F57"/>
    <mergeCell ref="G56:G57"/>
    <mergeCell ref="B58:F58"/>
    <mergeCell ref="G58:G59"/>
    <mergeCell ref="H42:I43"/>
    <mergeCell ref="B38:F38"/>
    <mergeCell ref="G38:G39"/>
    <mergeCell ref="H38:I39"/>
    <mergeCell ref="H52:I52"/>
    <mergeCell ref="B39:F39"/>
    <mergeCell ref="B1:I1"/>
    <mergeCell ref="B33:F33"/>
    <mergeCell ref="H33:I33"/>
    <mergeCell ref="B34:F34"/>
    <mergeCell ref="H34:I34"/>
    <mergeCell ref="H35:I35"/>
    <mergeCell ref="B36:E36"/>
    <mergeCell ref="F36:F37"/>
    <mergeCell ref="G36:G37"/>
    <mergeCell ref="H36:I37"/>
    <mergeCell ref="B37:E37"/>
    <mergeCell ref="H17:I18"/>
    <mergeCell ref="H11:I11"/>
    <mergeCell ref="F7:I7"/>
    <mergeCell ref="B18:E18"/>
    <mergeCell ref="B27:I27"/>
    <mergeCell ref="H13:I13"/>
    <mergeCell ref="H16:I16"/>
    <mergeCell ref="H23:I24"/>
    <mergeCell ref="B24:F24"/>
    <mergeCell ref="G23:G24"/>
    <mergeCell ref="G21:G22"/>
    <mergeCell ref="C2:D2"/>
    <mergeCell ref="H21:I22"/>
    <mergeCell ref="B21:F21"/>
    <mergeCell ref="H12:I12"/>
    <mergeCell ref="B12:C12"/>
    <mergeCell ref="G17:G18"/>
    <mergeCell ref="G19:G20"/>
    <mergeCell ref="F17:F18"/>
    <mergeCell ref="B13:C13"/>
    <mergeCell ref="B16:D16"/>
    <mergeCell ref="J27:J32"/>
    <mergeCell ref="J66:J71"/>
    <mergeCell ref="B22:F22"/>
    <mergeCell ref="B17:E17"/>
    <mergeCell ref="H19:I20"/>
    <mergeCell ref="B19:F19"/>
    <mergeCell ref="B20:F20"/>
    <mergeCell ref="F49:G49"/>
    <mergeCell ref="H50:I50"/>
    <mergeCell ref="B46:E46"/>
    <mergeCell ref="F46:G46"/>
    <mergeCell ref="H46:I46"/>
    <mergeCell ref="F48:I48"/>
    <mergeCell ref="B23:F23"/>
    <mergeCell ref="F29:G29"/>
    <mergeCell ref="H30:I30"/>
    <mergeCell ref="B26:E26"/>
    <mergeCell ref="F26:G26"/>
    <mergeCell ref="B32:E32"/>
    <mergeCell ref="G42:G43"/>
    <mergeCell ref="B40:F40"/>
    <mergeCell ref="H25:I25"/>
    <mergeCell ref="F32:G32"/>
    <mergeCell ref="H32:I32"/>
    <mergeCell ref="J2:J3"/>
    <mergeCell ref="J4:J5"/>
    <mergeCell ref="J6:J11"/>
    <mergeCell ref="F4:G4"/>
    <mergeCell ref="H4:I4"/>
    <mergeCell ref="B3:E3"/>
    <mergeCell ref="F3:G3"/>
    <mergeCell ref="H3:I3"/>
    <mergeCell ref="B4:C4"/>
    <mergeCell ref="H2:I2"/>
    <mergeCell ref="B5:I5"/>
    <mergeCell ref="H9:I9"/>
    <mergeCell ref="F8:G8"/>
    <mergeCell ref="B6:I6"/>
    <mergeCell ref="B11:C11"/>
    <mergeCell ref="B10:G10"/>
    <mergeCell ref="B62:F62"/>
    <mergeCell ref="G62:G63"/>
    <mergeCell ref="H62:I63"/>
    <mergeCell ref="B47:I47"/>
    <mergeCell ref="H69:I69"/>
    <mergeCell ref="B63:F63"/>
    <mergeCell ref="B64:F64"/>
    <mergeCell ref="H64:I64"/>
    <mergeCell ref="F65:G65"/>
    <mergeCell ref="H65:I65"/>
    <mergeCell ref="B66:I66"/>
    <mergeCell ref="B59:F59"/>
    <mergeCell ref="H55:I55"/>
    <mergeCell ref="B56:E56"/>
    <mergeCell ref="H56:I57"/>
    <mergeCell ref="B76:E76"/>
    <mergeCell ref="B77:F77"/>
    <mergeCell ref="B14:F14"/>
    <mergeCell ref="H14:I14"/>
    <mergeCell ref="B15:F15"/>
    <mergeCell ref="H15:I15"/>
    <mergeCell ref="F28:I28"/>
    <mergeCell ref="H26:I26"/>
    <mergeCell ref="B25:F25"/>
    <mergeCell ref="H71:I71"/>
    <mergeCell ref="H45:I45"/>
    <mergeCell ref="B45:C45"/>
    <mergeCell ref="B53:F53"/>
    <mergeCell ref="B54:F54"/>
    <mergeCell ref="H54:I54"/>
    <mergeCell ref="B52:E52"/>
    <mergeCell ref="F52:G52"/>
    <mergeCell ref="H53:I53"/>
    <mergeCell ref="F68:G68"/>
    <mergeCell ref="F71:G71"/>
    <mergeCell ref="B31:G31"/>
    <mergeCell ref="B51:G51"/>
    <mergeCell ref="B70:G70"/>
    <mergeCell ref="B57:E57"/>
    <mergeCell ref="B35:D35"/>
    <mergeCell ref="B55:D55"/>
    <mergeCell ref="B74:D74"/>
    <mergeCell ref="B84:E84"/>
    <mergeCell ref="F84:G84"/>
    <mergeCell ref="H84:I84"/>
    <mergeCell ref="B79:F79"/>
    <mergeCell ref="B80:F80"/>
    <mergeCell ref="B71:E71"/>
    <mergeCell ref="F67:I67"/>
    <mergeCell ref="B65:E65"/>
    <mergeCell ref="B72:F72"/>
    <mergeCell ref="H72:I72"/>
    <mergeCell ref="B73:F73"/>
    <mergeCell ref="H73:I73"/>
    <mergeCell ref="H81:I82"/>
    <mergeCell ref="B82:F82"/>
    <mergeCell ref="B83:F83"/>
    <mergeCell ref="H83:I83"/>
    <mergeCell ref="H74:I74"/>
    <mergeCell ref="B75:E75"/>
    <mergeCell ref="F75:F76"/>
    <mergeCell ref="G75:G76"/>
    <mergeCell ref="H75:I76"/>
  </mergeCells>
  <phoneticPr fontId="36" type="noConversion"/>
  <conditionalFormatting sqref="H2:I2">
    <cfRule type="containsText" dxfId="384" priority="107" operator="containsText" text="OK">
      <formula>NOT(ISERROR(SEARCH("OK",H2)))</formula>
    </cfRule>
    <cfRule type="containsText" dxfId="383" priority="106" operator="containsText" text="lậu">
      <formula>NOT(ISERROR(SEARCH("lậu",H2)))</formula>
    </cfRule>
  </conditionalFormatting>
  <conditionalFormatting sqref="H13:I15 H16">
    <cfRule type="containsText" dxfId="382" priority="95" operator="containsText" text="lậu">
      <formula>NOT(ISERROR(SEARCH("lậu",H13)))</formula>
    </cfRule>
  </conditionalFormatting>
  <conditionalFormatting sqref="H15:I15">
    <cfRule type="containsText" dxfId="381" priority="44" operator="containsText" text="không">
      <formula>NOT(ISERROR(SEARCH("không",H15)))</formula>
    </cfRule>
  </conditionalFormatting>
  <conditionalFormatting sqref="H26:I26">
    <cfRule type="containsText" dxfId="380" priority="96" operator="containsText" text="lậu">
      <formula>NOT(ISERROR(SEARCH("lậu",H26)))</formula>
    </cfRule>
  </conditionalFormatting>
  <conditionalFormatting sqref="H33:I34 H35">
    <cfRule type="containsText" dxfId="379" priority="22" operator="containsText" text="lậu">
      <formula>NOT(ISERROR(SEARCH("lậu",H33)))</formula>
    </cfRule>
  </conditionalFormatting>
  <conditionalFormatting sqref="H34:I34">
    <cfRule type="containsText" dxfId="378" priority="21" operator="containsText" text="không">
      <formula>NOT(ISERROR(SEARCH("không",H34)))</formula>
    </cfRule>
  </conditionalFormatting>
  <conditionalFormatting sqref="H46:I46">
    <cfRule type="containsText" dxfId="377" priority="94" operator="containsText" text="lậu">
      <formula>NOT(ISERROR(SEARCH("lậu",H46)))</formula>
    </cfRule>
  </conditionalFormatting>
  <conditionalFormatting sqref="H53:I54 H55">
    <cfRule type="containsText" dxfId="376" priority="20" operator="containsText" text="lậu">
      <formula>NOT(ISERROR(SEARCH("lậu",H53)))</formula>
    </cfRule>
  </conditionalFormatting>
  <conditionalFormatting sqref="H54:I54">
    <cfRule type="containsText" dxfId="375" priority="19" operator="containsText" text="không">
      <formula>NOT(ISERROR(SEARCH("không",H54)))</formula>
    </cfRule>
  </conditionalFormatting>
  <conditionalFormatting sqref="H65:I65">
    <cfRule type="containsText" dxfId="374" priority="93" operator="containsText" text="lậu">
      <formula>NOT(ISERROR(SEARCH("lậu",H65)))</formula>
    </cfRule>
  </conditionalFormatting>
  <conditionalFormatting sqref="H72:I73 H74">
    <cfRule type="containsText" dxfId="373" priority="18" operator="containsText" text="lậu">
      <formula>NOT(ISERROR(SEARCH("lậu",H72)))</formula>
    </cfRule>
  </conditionalFormatting>
  <conditionalFormatting sqref="H73:I73">
    <cfRule type="containsText" dxfId="372" priority="17" operator="containsText" text="không">
      <formula>NOT(ISERROR(SEARCH("không",H73)))</formula>
    </cfRule>
  </conditionalFormatting>
  <conditionalFormatting sqref="H84:I84">
    <cfRule type="containsText" dxfId="371" priority="92" operator="containsText" text="Lậu">
      <formula>NOT(ISERROR(SEARCH("Lậu",H84)))</formula>
    </cfRule>
  </conditionalFormatting>
  <conditionalFormatting sqref="J12">
    <cfRule type="containsText" dxfId="370" priority="1" operator="containsText" text="xem lại">
      <formula>NOT(ISERROR(SEARCH("xem lại",J12)))</formula>
    </cfRule>
  </conditionalFormatting>
  <conditionalFormatting sqref="J13:J16 J61">
    <cfRule type="containsText" dxfId="369" priority="70" operator="containsText" text="nhập">
      <formula>NOT(ISERROR(SEARCH("nhập",J13)))</formula>
    </cfRule>
    <cfRule type="containsText" dxfId="368" priority="111" operator="containsText" text="tăng">
      <formula>NOT(ISERROR(SEARCH("tăng",J13)))</formula>
    </cfRule>
  </conditionalFormatting>
  <conditionalFormatting sqref="J34">
    <cfRule type="containsText" dxfId="367" priority="10" operator="containsText" text="tăng">
      <formula>NOT(ISERROR(SEARCH("tăng",J34)))</formula>
    </cfRule>
    <cfRule type="containsText" dxfId="366" priority="9" operator="containsText" text="nhập">
      <formula>NOT(ISERROR(SEARCH("nhập",J34)))</formula>
    </cfRule>
    <cfRule type="containsText" dxfId="365" priority="8" operator="containsText" text="xem lại">
      <formula>NOT(ISERROR(SEARCH("xem lại",J34)))</formula>
    </cfRule>
  </conditionalFormatting>
  <conditionalFormatting sqref="J36">
    <cfRule type="containsText" dxfId="364" priority="16" operator="containsText" text="xem lại">
      <formula>NOT(ISERROR(SEARCH("xem lại",J36)))</formula>
    </cfRule>
  </conditionalFormatting>
  <conditionalFormatting sqref="J38:J45">
    <cfRule type="containsText" dxfId="363" priority="13" operator="containsText" text="xem lại">
      <formula>NOT(ISERROR(SEARCH("xem lại",J38)))</formula>
    </cfRule>
  </conditionalFormatting>
  <conditionalFormatting sqref="J41">
    <cfRule type="containsText" dxfId="362" priority="28" operator="containsText" text="nhập">
      <formula>NOT(ISERROR(SEARCH("nhập",J41)))</formula>
    </cfRule>
    <cfRule type="containsText" dxfId="361" priority="29" operator="containsText" text="tăng">
      <formula>NOT(ISERROR(SEARCH("tăng",J41)))</formula>
    </cfRule>
  </conditionalFormatting>
  <conditionalFormatting sqref="J54">
    <cfRule type="containsText" dxfId="360" priority="5" operator="containsText" text="xem lại">
      <formula>NOT(ISERROR(SEARCH("xem lại",J54)))</formula>
    </cfRule>
    <cfRule type="containsText" dxfId="359" priority="7" operator="containsText" text="tăng">
      <formula>NOT(ISERROR(SEARCH("tăng",J54)))</formula>
    </cfRule>
    <cfRule type="containsText" dxfId="358" priority="6" operator="containsText" text="nhập">
      <formula>NOT(ISERROR(SEARCH("nhập",J54)))</formula>
    </cfRule>
  </conditionalFormatting>
  <conditionalFormatting sqref="J56">
    <cfRule type="containsText" dxfId="357" priority="15" operator="containsText" text="xem lại">
      <formula>NOT(ISERROR(SEARCH("xem lại",J56)))</formula>
    </cfRule>
  </conditionalFormatting>
  <conditionalFormatting sqref="J58:J64">
    <cfRule type="containsText" dxfId="356" priority="12" operator="containsText" text="xem lại">
      <formula>NOT(ISERROR(SEARCH("xem lại",J58)))</formula>
    </cfRule>
  </conditionalFormatting>
  <conditionalFormatting sqref="J73">
    <cfRule type="containsText" dxfId="355" priority="2" operator="containsText" text="xem lại">
      <formula>NOT(ISERROR(SEARCH("xem lại",J73)))</formula>
    </cfRule>
    <cfRule type="containsText" dxfId="354" priority="3" operator="containsText" text="nhập">
      <formula>NOT(ISERROR(SEARCH("nhập",J73)))</formula>
    </cfRule>
    <cfRule type="containsText" dxfId="353" priority="4" operator="containsText" text="tăng">
      <formula>NOT(ISERROR(SEARCH("tăng",J73)))</formula>
    </cfRule>
  </conditionalFormatting>
  <conditionalFormatting sqref="J75">
    <cfRule type="containsText" dxfId="352" priority="14" operator="containsText" text="xem lại">
      <formula>NOT(ISERROR(SEARCH("xem lại",J75)))</formula>
    </cfRule>
  </conditionalFormatting>
  <conditionalFormatting sqref="J77:J83">
    <cfRule type="containsText" dxfId="351" priority="11" operator="containsText" text="xem lại">
      <formula>NOT(ISERROR(SEARCH("xem lại",J77)))</formula>
    </cfRule>
  </conditionalFormatting>
  <conditionalFormatting sqref="J80:J81">
    <cfRule type="containsText" dxfId="350" priority="25" operator="containsText" text="nhập">
      <formula>NOT(ISERROR(SEARCH("nhập",J80)))</formula>
    </cfRule>
    <cfRule type="containsText" dxfId="349" priority="26" operator="containsText" text="tăng">
      <formula>NOT(ISERROR(SEARCH("tăng",J80)))</formula>
    </cfRule>
  </conditionalFormatting>
  <conditionalFormatting sqref="J13:K16 J17:J25 K17:K84">
    <cfRule type="containsText" dxfId="348" priority="69" operator="containsText" text="xem lại">
      <formula>NOT(ISERROR(SEARCH("xem lại",J13)))</formula>
    </cfRule>
  </conditionalFormatting>
  <dataValidations count="9">
    <dataValidation type="list" allowBlank="1" showInputMessage="1" showErrorMessage="1" sqref="H30:I30 H69:I69 H50:I50" xr:uid="{BD0E928C-8B02-4910-80D2-9343B4BFA0BC}">
      <formula1>"Nam, Nữ"</formula1>
    </dataValidation>
    <dataValidation type="list" allowBlank="1" showInputMessage="1" showErrorMessage="1" sqref="B13:C13" xr:uid="{3C36BBD2-5390-4942-98D3-676C8EBF5391}">
      <formula1>"0,Khỏe Bình An, Vững Tương Lai"</formula1>
    </dataValidation>
    <dataValidation type="list" allowBlank="1" showInputMessage="1" showErrorMessage="1" sqref="F17 F56 F36 F75" xr:uid="{0EB268CB-47BC-468C-9F29-D9D37CEC6178}">
      <formula1>"Việt Nam, Toàn cầu"</formula1>
    </dataValidation>
    <dataValidation type="list" allowBlank="1" showInputMessage="1" showErrorMessage="1" sqref="G17 G19:G22 G56 G58:G61 G36 G38:G41 G75 G77:G80" xr:uid="{B7B7124D-05A6-4746-8A04-5542047DE2A1}">
      <formula1>"0,Cơ bản, Nâng cao, Toàn Diện, Hoàn Hảo"</formula1>
    </dataValidation>
    <dataValidation type="list" allowBlank="1" showInputMessage="1" showErrorMessage="1" sqref="I10 I31 I51 I70" xr:uid="{113D158C-E05A-460F-8F19-30B55A8039E8}">
      <formula1>"1,2,3,4,5"</formula1>
    </dataValidation>
    <dataValidation type="list" allowBlank="1" showInputMessage="1" showErrorMessage="1" sqref="F45" xr:uid="{1EEE38E8-BA68-415A-BC13-ACBCA497D68C}">
      <formula1>"Có, Không"</formula1>
    </dataValidation>
    <dataValidation type="list" allowBlank="1" showInputMessage="1" showErrorMessage="1" sqref="B12:C12" xr:uid="{3A33C176-98C1-4E78-A49F-75C4D277B59A}">
      <formula1>"Khỏe Trọn Vẹn - Bền Vững, Khỏe Trọn Vẹn - Toàn Diện, Khỏe Trọn Vẹn - Trọn Đời,Khỏe Trọn Vẹn - Tối Ưu"</formula1>
    </dataValidation>
    <dataValidation type="list" allowBlank="1" showInputMessage="1" showErrorMessage="1" sqref="D13" xr:uid="{E56741D4-D489-47C4-8BF6-635322E19499}">
      <formula1>"5,10,15,20"</formula1>
    </dataValidation>
    <dataValidation type="list" allowBlank="1" showInputMessage="1" showErrorMessage="1" sqref="D12" xr:uid="{917A5957-8577-41CF-A782-EB2B3818CFE8}">
      <formula1>"1,5,10,15,20"</formula1>
    </dataValidation>
  </dataValidations>
  <pageMargins left="0.25" right="0.25" top="0.75" bottom="0.75" header="0.3" footer="0.3"/>
  <pageSetup paperSize="9" orientation="landscape" verticalDpi="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DADD8-2E1A-4093-A502-14EFD7283928}">
  <dimension ref="B1:R22"/>
  <sheetViews>
    <sheetView showGridLines="0" zoomScaleNormal="100" workbookViewId="0">
      <selection activeCell="B1" sqref="B1:Q1"/>
    </sheetView>
  </sheetViews>
  <sheetFormatPr defaultColWidth="9.296875" defaultRowHeight="14.5"/>
  <cols>
    <col min="1" max="1" width="2.19921875" style="649" customWidth="1"/>
    <col min="2" max="2" width="5.296875" style="649" customWidth="1"/>
    <col min="3" max="3" width="11.796875" style="649" customWidth="1"/>
    <col min="4" max="4" width="17.796875" style="649" bestFit="1" customWidth="1"/>
    <col min="5" max="5" width="17.796875" style="649" customWidth="1"/>
    <col min="6" max="6" width="17.69921875" style="649" customWidth="1"/>
    <col min="7" max="16384" width="9.296875" style="649"/>
  </cols>
  <sheetData>
    <row r="1" spans="2:18" ht="29.25" customHeight="1">
      <c r="B1" s="804" t="s">
        <v>928</v>
      </c>
      <c r="C1" s="804"/>
      <c r="D1" s="804"/>
      <c r="E1" s="804"/>
      <c r="F1" s="804"/>
      <c r="G1" s="804"/>
      <c r="H1" s="804"/>
      <c r="I1" s="804"/>
      <c r="J1" s="804"/>
      <c r="K1" s="804"/>
      <c r="L1" s="804"/>
      <c r="M1" s="804"/>
      <c r="N1" s="804"/>
      <c r="O1" s="804"/>
      <c r="P1" s="804"/>
      <c r="Q1" s="804"/>
    </row>
    <row r="2" spans="2:18" ht="37.5" customHeight="1">
      <c r="B2" s="653" t="s">
        <v>670</v>
      </c>
      <c r="C2" s="653" t="s">
        <v>929</v>
      </c>
      <c r="D2" s="654" t="s">
        <v>930</v>
      </c>
      <c r="E2" s="654" t="s">
        <v>931</v>
      </c>
      <c r="F2" s="655" t="s">
        <v>932</v>
      </c>
    </row>
    <row r="3" spans="2:18" ht="12.75" customHeight="1">
      <c r="B3" s="650">
        <v>1</v>
      </c>
      <c r="C3" s="650">
        <f ca="1">IF(AND('Tinh phi QL'!$H$13=0,'Tinh phi QL'!$H$12&lt;&gt;0),IF(ROW(A1)&gt;'Tinh phi QL'!$D$12,"",ROW(A1)),IF(ROW(A1)&gt;'Tinh phi QL'!$D$12,"",ROW(A1)))</f>
        <v>1</v>
      </c>
      <c r="D3" s="651">
        <f ca="1">IF(IFERROR(--TRIM(C3),0)=0,0,IF(AND('Tinh phi QL'!$H$13=0,'Tinh phi QL'!$H$12&lt;&gt;0),'Tinh phi QL'!$H$12/1000,'Tinh phi QL'!$H$13/1000))</f>
        <v>10000</v>
      </c>
      <c r="E3" s="651">
        <f ca="1">IF(AND('Tinh phi QL'!$B$12="Khỏe trọn vẹn - Tối ưu",'Tinh phi QL'!$E$13=0),KTVTUGTTKcamket!M7,IF(AND('Tinh phi QL'!$B$12="Khỏe trọn vẹn - bền vững",'Tinh phi QL'!$E$13=0),KTVBVGTTKcamket!M7,IF(AND('Tinh phi QL'!$B$12="Khỏe trọn vẹn - trọn đời",'Tinh phi QL'!$E$13=0),KTVTRDGTTKcamket!M7,IF(AND('Tinh phi QL'!$B$12="Khỏe trọn vẹn - toàn diện",'Tinh phi QL'!$E$13=0),KTVTDGTTKcamket!M7,IF(AND('Tinh phi QL'!$H$12=0,'Tinh phi QL'!$B$13="Khỏe Bình An"),KBAGTTKcamket!M7,IF(AND('Tinh phi QL'!$H$12=0,'Tinh phi QL'!$B$13="Vững Tương Lai"),VTLGTTKcamket!M7,0))))))</f>
        <v>0</v>
      </c>
      <c r="F3" s="651">
        <f ca="1">IF(AND('Tinh phi QL'!$B$12="Khỏe trọn vẹn - Tối ưu",'Tinh phi QL'!$E$13=0),KTVTUGTTKMH!M7,IF(AND('Tinh phi QL'!$B$12="Khỏe trọn vẹn - bền vững",'Tinh phi QL'!$E$13=0),KTVBVGTTKMH!M7,IF(AND('Tinh phi QL'!$B$12="Khỏe trọn vẹn - trọn đời",'Tinh phi QL'!$E$13=0),KTVTRDGTTKMH!M7,IF(AND('Tinh phi QL'!$B$12="Khỏe trọn vẹn - toàn diện",'Tinh phi QL'!$E$13=0),KTVTDGTTKMH!M7,IF(AND('Tinh phi QL'!$H$12=0,'Tinh phi QL'!$B$13="Khỏe Bình An"),KBAGTTKMH!M7,IF(AND('Tinh phi QL'!$H$12=0,'Tinh phi QL'!$B$13="Vững Tương Lai"),VTLGTTKMH!M7,0))))))</f>
        <v>0</v>
      </c>
      <c r="G3" s="652"/>
    </row>
    <row r="4" spans="2:18" ht="12.75" customHeight="1">
      <c r="B4" s="650">
        <v>2</v>
      </c>
      <c r="C4" s="650">
        <f ca="1">IF(AND('Tinh phi QL'!$H$13=0,'Tinh phi QL'!$H$12&lt;&gt;0),IF(ROW(A2)&gt;'Tinh phi QL'!$D$12,"",ROW(A2)),IF(ROW(A2)&gt;'Tinh phi QL'!$D$12,"",ROW(A2)))</f>
        <v>2</v>
      </c>
      <c r="D4" s="651">
        <f ca="1">MAX(IF(IFERROR(--TRIM(C4),0)=0,0,C4*IF(AND('Tinh phi QL'!$H$13=0,'Tinh phi QL'!$H$12&lt;&gt;0),'Tinh phi QL'!$H$12/1000,'Tinh phi QL'!$H$13/1000)),D3)</f>
        <v>20000</v>
      </c>
      <c r="E4" s="651">
        <f ca="1">IF(AND('Tinh phi QL'!$B$12="Khỏe trọn vẹn - Tối ưu",'Tinh phi QL'!$E$13=0),KTVTUGTTKcamket!M8,IF(AND('Tinh phi QL'!$B$12="Khỏe trọn vẹn - bền vững",'Tinh phi QL'!$E$13=0),KTVBVGTTKcamket!M8,IF(AND('Tinh phi QL'!$B$12="Khỏe trọn vẹn - trọn đời",'Tinh phi QL'!$E$13=0),KTVTRDGTTKcamket!M8,IF(AND('Tinh phi QL'!$B$12="Khỏe trọn vẹn - toàn diện",'Tinh phi QL'!$E$13=0),KTVTDGTTKcamket!M8,IF(AND('Tinh phi QL'!$H$12=0,'Tinh phi QL'!$B$13="Khỏe Bình An"),KBAGTTKcamket!M8,IF(AND('Tinh phi QL'!$H$12=0,'Tinh phi QL'!$B$13="Vững Tương Lai"),VTLGTTKcamket!M8,0))))))</f>
        <v>0</v>
      </c>
      <c r="F4" s="651">
        <f ca="1">IF(AND('Tinh phi QL'!$B$12="Khỏe trọn vẹn - Tối ưu",'Tinh phi QL'!$E$13=0),KTVTUGTTKMH!M8,IF(AND('Tinh phi QL'!$B$12="Khỏe trọn vẹn - bền vững",'Tinh phi QL'!$E$13=0),KTVBVGTTKMH!M8,IF(AND('Tinh phi QL'!$B$12="Khỏe trọn vẹn - trọn đời",'Tinh phi QL'!$E$13=0),KTVTRDGTTKMH!M8,IF(AND('Tinh phi QL'!$B$12="Khỏe trọn vẹn - toàn diện",'Tinh phi QL'!$E$13=0),KTVTDGTTKMH!M8,IF(AND('Tinh phi QL'!$H$12=0,'Tinh phi QL'!$B$13="Khỏe Bình An"),KBAGTTKMH!M8,IF(AND('Tinh phi QL'!$H$12=0,'Tinh phi QL'!$B$13="Vững Tương Lai"),VTLGTTKMH!M8,0))))))</f>
        <v>0</v>
      </c>
      <c r="R4" s="652" t="str">
        <f>D2</f>
        <v>Số phí sản phẩm chính lũy kế</v>
      </c>
    </row>
    <row r="5" spans="2:18" ht="12.75" customHeight="1">
      <c r="B5" s="650">
        <v>3</v>
      </c>
      <c r="C5" s="650">
        <f ca="1">IF(AND('Tinh phi QL'!$H$13=0,'Tinh phi QL'!$H$12&lt;&gt;0),IF(ROW(A3)&gt;'Tinh phi QL'!$D$12,"",ROW(A3)),IF(ROW(A3)&gt;'Tinh phi QL'!$D$12,"",ROW(A3)))</f>
        <v>3</v>
      </c>
      <c r="D5" s="651">
        <f ca="1">MAX(IF(IFERROR(--TRIM(C5),0)=0,0,C5*IF(AND('Tinh phi QL'!$H$13=0,'Tinh phi QL'!$H$12&lt;&gt;0),'Tinh phi QL'!$H$12/1000,'Tinh phi QL'!$H$13/1000)),D4)</f>
        <v>30000</v>
      </c>
      <c r="E5" s="651">
        <f ca="1">IF(AND('Tinh phi QL'!$B$12="Khỏe trọn vẹn - Tối ưu",'Tinh phi QL'!$E$13=0),KTVTUGTTKcamket!M9,IF(AND('Tinh phi QL'!$B$12="Khỏe trọn vẹn - bền vững",'Tinh phi QL'!$E$13=0),KTVBVGTTKcamket!M9,IF(AND('Tinh phi QL'!$B$12="Khỏe trọn vẹn - trọn đời",'Tinh phi QL'!$E$13=0),KTVTRDGTTKcamket!M9,IF(AND('Tinh phi QL'!$B$12="Khỏe trọn vẹn - toàn diện",'Tinh phi QL'!$E$13=0),KTVTDGTTKcamket!M9,IF(AND('Tinh phi QL'!$H$12=0,'Tinh phi QL'!$B$13="Khỏe Bình An"),KBAGTTKcamket!M9,IF(AND('Tinh phi QL'!$H$12=0,'Tinh phi QL'!$B$13="Vững Tương Lai"),VTLGTTKcamket!M9,0))))))</f>
        <v>10424.153925772907</v>
      </c>
      <c r="F5" s="651">
        <f ca="1">IF(AND('Tinh phi QL'!$B$12="Khỏe trọn vẹn - Tối ưu",'Tinh phi QL'!$E$13=0),KTVTUGTTKMH!M9,IF(AND('Tinh phi QL'!$B$12="Khỏe trọn vẹn - bền vững",'Tinh phi QL'!$E$13=0),KTVBVGTTKMH!M9,IF(AND('Tinh phi QL'!$B$12="Khỏe trọn vẹn - trọn đời",'Tinh phi QL'!$E$13=0),KTVTRDGTTKMH!M9,IF(AND('Tinh phi QL'!$B$12="Khỏe trọn vẹn - toàn diện",'Tinh phi QL'!$E$13=0),KTVTDGTTKMH!M9,IF(AND('Tinh phi QL'!$H$12=0,'Tinh phi QL'!$B$13="Khỏe Bình An"),KBAGTTKMH!M9,IF(AND('Tinh phi QL'!$H$12=0,'Tinh phi QL'!$B$13="Vững Tương Lai"),VTLGTTKMH!M9,0))))))</f>
        <v>10874.0267946655</v>
      </c>
      <c r="R5" s="652" t="str">
        <f>E2</f>
        <v>Giá trị hoàn lại LS cam kết</v>
      </c>
    </row>
    <row r="6" spans="2:18" ht="12.75" customHeight="1">
      <c r="B6" s="650">
        <v>4</v>
      </c>
      <c r="C6" s="650">
        <f ca="1">IF(AND('Tinh phi QL'!$H$13=0,'Tinh phi QL'!$H$12&lt;&gt;0),IF(ROW(A4)&gt;'Tinh phi QL'!$D$12,"",ROW(A4)),IF(ROW(A4)&gt;'Tinh phi QL'!$D$12,"",ROW(A4)))</f>
        <v>4</v>
      </c>
      <c r="D6" s="651">
        <f ca="1">MAX(IF(IFERROR(--TRIM(C6),0)=0,0,C6*IF(AND('Tinh phi QL'!$H$13=0,'Tinh phi QL'!$H$12&lt;&gt;0),'Tinh phi QL'!$H$12/1000,'Tinh phi QL'!$H$13/1000)),D5)</f>
        <v>40000</v>
      </c>
      <c r="E6" s="651">
        <f ca="1">IF(AND('Tinh phi QL'!$B$12="Khỏe trọn vẹn - Tối ưu",'Tinh phi QL'!$E$13=0),KTVTUGTTKcamket!M10,IF(AND('Tinh phi QL'!$B$12="Khỏe trọn vẹn - bền vững",'Tinh phi QL'!$E$13=0),KTVBVGTTKcamket!M10,IF(AND('Tinh phi QL'!$B$12="Khỏe trọn vẹn - trọn đời",'Tinh phi QL'!$E$13=0),KTVTRDGTTKcamket!M10,IF(AND('Tinh phi QL'!$B$12="Khỏe trọn vẹn - toàn diện",'Tinh phi QL'!$E$13=0),KTVTDGTTKcamket!M10,IF(AND('Tinh phi QL'!$H$12=0,'Tinh phi QL'!$B$13="Khỏe Bình An"),KBAGTTKcamket!M10,IF(AND('Tinh phi QL'!$H$12=0,'Tinh phi QL'!$B$13="Vững Tương Lai"),VTLGTTKcamket!M10,0))))))</f>
        <v>18058.562034943792</v>
      </c>
      <c r="F6" s="651">
        <f ca="1">IF(AND('Tinh phi QL'!$B$12="Khỏe trọn vẹn - Tối ưu",'Tinh phi QL'!$E$13=0),KTVTUGTTKMH!M10,IF(AND('Tinh phi QL'!$B$12="Khỏe trọn vẹn - bền vững",'Tinh phi QL'!$E$13=0),KTVBVGTTKMH!M10,IF(AND('Tinh phi QL'!$B$12="Khỏe trọn vẹn - trọn đời",'Tinh phi QL'!$E$13=0),KTVTRDGTTKMH!M10,IF(AND('Tinh phi QL'!$B$12="Khỏe trọn vẹn - toàn diện",'Tinh phi QL'!$E$13=0),KTVTDGTTKMH!M10,IF(AND('Tinh phi QL'!$H$12=0,'Tinh phi QL'!$B$13="Khỏe Bình An"),KBAGTTKMH!M10,IF(AND('Tinh phi QL'!$H$12=0,'Tinh phi QL'!$B$13="Vững Tương Lai"),VTLGTTKMH!M10,0))))))</f>
        <v>19094.63519360873</v>
      </c>
      <c r="R6" s="649" t="str">
        <f>F2</f>
        <v>Giá trị hoàn lại LS minh họa</v>
      </c>
    </row>
    <row r="7" spans="2:18" ht="12.75" customHeight="1">
      <c r="B7" s="650">
        <v>5</v>
      </c>
      <c r="C7" s="650">
        <f ca="1">IF(AND('Tinh phi QL'!$H$13=0,'Tinh phi QL'!$H$12&lt;&gt;0),IF(ROW(A5)&gt;'Tinh phi QL'!$D$12,"",ROW(A5)),IF(ROW(A5)&gt;'Tinh phi QL'!$D$12,"",ROW(A5)))</f>
        <v>5</v>
      </c>
      <c r="D7" s="651">
        <f ca="1">MAX(IF(IFERROR(--TRIM(C7),0)=0,0,C7*IF(AND('Tinh phi QL'!$H$13=0,'Tinh phi QL'!$H$12&lt;&gt;0),'Tinh phi QL'!$H$12/1000,'Tinh phi QL'!$H$13/1000)),D6)</f>
        <v>50000</v>
      </c>
      <c r="E7" s="651">
        <f ca="1">IF(AND('Tinh phi QL'!$B$12="Khỏe trọn vẹn - Tối ưu",'Tinh phi QL'!$E$13=0),KTVTUGTTKcamket!M11,IF(AND('Tinh phi QL'!$B$12="Khỏe trọn vẹn - bền vững",'Tinh phi QL'!$E$13=0),KTVBVGTTKcamket!M11,IF(AND('Tinh phi QL'!$B$12="Khỏe trọn vẹn - trọn đời",'Tinh phi QL'!$E$13=0),KTVTRDGTTKcamket!M11,IF(AND('Tinh phi QL'!$B$12="Khỏe trọn vẹn - toàn diện",'Tinh phi QL'!$E$13=0),KTVTDGTTKcamket!M11,IF(AND('Tinh phi QL'!$H$12=0,'Tinh phi QL'!$B$13="Khỏe Bình An"),KBAGTTKcamket!M11,IF(AND('Tinh phi QL'!$H$12=0,'Tinh phi QL'!$B$13="Vững Tương Lai"),VTLGTTKcamket!M11,0))))))</f>
        <v>25390.684160707406</v>
      </c>
      <c r="F7" s="651">
        <f ca="1">IF(AND('Tinh phi QL'!$B$12="Khỏe trọn vẹn - Tối ưu",'Tinh phi QL'!$E$13=0),KTVTUGTTKMH!M11,IF(AND('Tinh phi QL'!$B$12="Khỏe trọn vẹn - bền vững",'Tinh phi QL'!$E$13=0),KTVBVGTTKMH!M11,IF(AND('Tinh phi QL'!$B$12="Khỏe trọn vẹn - trọn đời",'Tinh phi QL'!$E$13=0),KTVTRDGTTKMH!M11,IF(AND('Tinh phi QL'!$B$12="Khỏe trọn vẹn - toàn diện",'Tinh phi QL'!$E$13=0),KTVTDGTTKMH!M11,IF(AND('Tinh phi QL'!$H$12=0,'Tinh phi QL'!$B$13="Khỏe Bình An"),KBAGTTKMH!M11,IF(AND('Tinh phi QL'!$H$12=0,'Tinh phi QL'!$B$13="Vững Tương Lai"),VTLGTTKMH!M11,0))))))</f>
        <v>27197.111385214012</v>
      </c>
    </row>
    <row r="8" spans="2:18" ht="12.75" customHeight="1">
      <c r="B8" s="650">
        <v>6</v>
      </c>
      <c r="C8" s="650">
        <f ca="1">IF(AND('Tinh phi QL'!$H$13=0,'Tinh phi QL'!$H$12&lt;&gt;0),IF(ROW(A6)&gt;'Tinh phi QL'!$D$12,"",ROW(A6)),IF(ROW(A6)&gt;'Tinh phi QL'!$D$12,"",ROW(A6)))</f>
        <v>6</v>
      </c>
      <c r="D8" s="651">
        <f ca="1">MAX(IF(IFERROR(--TRIM(C8),0)=0,0,C8*IF(AND('Tinh phi QL'!$H$13=0,'Tinh phi QL'!$H$12&lt;&gt;0),'Tinh phi QL'!$H$12/1000,'Tinh phi QL'!$H$13/1000)),D7)</f>
        <v>60000</v>
      </c>
      <c r="E8" s="651">
        <f ca="1">IF(AND('Tinh phi QL'!$B$12="Khỏe trọn vẹn - Tối ưu",'Tinh phi QL'!$E$13=0),KTVTUGTTKcamket!M12,IF(AND('Tinh phi QL'!$B$12="Khỏe trọn vẹn - bền vững",'Tinh phi QL'!$E$13=0),KTVBVGTTKcamket!M12,IF(AND('Tinh phi QL'!$B$12="Khỏe trọn vẹn - trọn đời",'Tinh phi QL'!$E$13=0),KTVTRDGTTKcamket!M12,IF(AND('Tinh phi QL'!$B$12="Khỏe trọn vẹn - toàn diện",'Tinh phi QL'!$E$13=0),KTVTDGTTKcamket!M12,IF(AND('Tinh phi QL'!$H$12=0,'Tinh phi QL'!$B$13="Khỏe Bình An"),KBAGTTKcamket!M12,IF(AND('Tinh phi QL'!$H$12=0,'Tinh phi QL'!$B$13="Vững Tương Lai"),VTLGTTKcamket!M12,0))))))</f>
        <v>35319.444093877682</v>
      </c>
      <c r="F8" s="651">
        <f ca="1">IF(AND('Tinh phi QL'!$B$12="Khỏe trọn vẹn - Tối ưu",'Tinh phi QL'!$E$13=0),KTVTUGTTKMH!M12,IF(AND('Tinh phi QL'!$B$12="Khỏe trọn vẹn - bền vững",'Tinh phi QL'!$E$13=0),KTVBVGTTKMH!M12,IF(AND('Tinh phi QL'!$B$12="Khỏe trọn vẹn - trọn đời",'Tinh phi QL'!$E$13=0),KTVTRDGTTKMH!M12,IF(AND('Tinh phi QL'!$B$12="Khỏe trọn vẹn - toàn diện",'Tinh phi QL'!$E$13=0),KTVTDGTTKMH!M12,IF(AND('Tinh phi QL'!$H$12=0,'Tinh phi QL'!$B$13="Khỏe Bình An"),KBAGTTKMH!M12,IF(AND('Tinh phi QL'!$H$12=0,'Tinh phi QL'!$B$13="Vững Tương Lai"),VTLGTTKMH!M12,0))))))</f>
        <v>38321.025084131237</v>
      </c>
    </row>
    <row r="9" spans="2:18" ht="12.75" customHeight="1">
      <c r="B9" s="650">
        <v>7</v>
      </c>
      <c r="C9" s="650">
        <f ca="1">IF(AND('Tinh phi QL'!$H$13=0,'Tinh phi QL'!$H$12&lt;&gt;0),IF(ROW(A7)&gt;'Tinh phi QL'!$D$12,"",ROW(A7)),IF(ROW(A7)&gt;'Tinh phi QL'!$D$12,"",ROW(A7)))</f>
        <v>7</v>
      </c>
      <c r="D9" s="651">
        <f ca="1">MAX(IF(IFERROR(--TRIM(C9),0)=0,0,C9*IF(AND('Tinh phi QL'!$H$13=0,'Tinh phi QL'!$H$12&lt;&gt;0),'Tinh phi QL'!$H$12/1000,'Tinh phi QL'!$H$13/1000)),D8)</f>
        <v>70000</v>
      </c>
      <c r="E9" s="651">
        <f ca="1">IF(AND('Tinh phi QL'!$B$12="Khỏe trọn vẹn - Tối ưu",'Tinh phi QL'!$E$13=0),KTVTUGTTKcamket!M13,IF(AND('Tinh phi QL'!$B$12="Khỏe trọn vẹn - bền vững",'Tinh phi QL'!$E$13=0),KTVBVGTTKcamket!M13,IF(AND('Tinh phi QL'!$B$12="Khỏe trọn vẹn - trọn đời",'Tinh phi QL'!$E$13=0),KTVTRDGTTKcamket!M13,IF(AND('Tinh phi QL'!$B$12="Khỏe trọn vẹn - toàn diện",'Tinh phi QL'!$E$13=0),KTVTDGTTKcamket!M13,IF(AND('Tinh phi QL'!$H$12=0,'Tinh phi QL'!$B$13="Khỏe Bình An"),KBAGTTKcamket!M13,IF(AND('Tinh phi QL'!$H$12=0,'Tinh phi QL'!$B$13="Vững Tương Lai"),VTLGTTKcamket!M13,0))))))</f>
        <v>43141.49064393634</v>
      </c>
      <c r="F9" s="651">
        <f ca="1">IF(AND('Tinh phi QL'!$B$12="Khỏe trọn vẹn - Tối ưu",'Tinh phi QL'!$E$13=0),KTVTUGTTKMH!M13,IF(AND('Tinh phi QL'!$B$12="Khỏe trọn vẹn - bền vững",'Tinh phi QL'!$E$13=0),KTVBVGTTKMH!M13,IF(AND('Tinh phi QL'!$B$12="Khỏe trọn vẹn - trọn đời",'Tinh phi QL'!$E$13=0),KTVTRDGTTKMH!M13,IF(AND('Tinh phi QL'!$B$12="Khỏe trọn vẹn - toàn diện",'Tinh phi QL'!$E$13=0),KTVTDGTTKMH!M13,IF(AND('Tinh phi QL'!$H$12=0,'Tinh phi QL'!$B$13="Khỏe Bình An"),KBAGTTKMH!M13,IF(AND('Tinh phi QL'!$H$12=0,'Tinh phi QL'!$B$13="Vững Tương Lai"),VTLGTTKMH!M13,0))))))</f>
        <v>47638.090590096042</v>
      </c>
    </row>
    <row r="10" spans="2:18" ht="12.75" customHeight="1">
      <c r="B10" s="650">
        <v>8</v>
      </c>
      <c r="C10" s="650">
        <f ca="1">IF(AND('Tinh phi QL'!$H$13=0,'Tinh phi QL'!$H$12&lt;&gt;0),IF(ROW(A8)&gt;'Tinh phi QL'!$D$12,"",ROW(A8)),IF(ROW(A8)&gt;'Tinh phi QL'!$D$12,"",ROW(A8)))</f>
        <v>8</v>
      </c>
      <c r="D10" s="651">
        <f ca="1">MAX(IF(IFERROR(--TRIM(C10),0)=0,0,C10*IF(AND('Tinh phi QL'!$H$13=0,'Tinh phi QL'!$H$12&lt;&gt;0),'Tinh phi QL'!$H$12/1000,'Tinh phi QL'!$H$13/1000)),D9)</f>
        <v>80000</v>
      </c>
      <c r="E10" s="651">
        <f ca="1">IF(AND('Tinh phi QL'!$B$12="Khỏe trọn vẹn - Tối ưu",'Tinh phi QL'!$E$13=0),KTVTUGTTKcamket!M14,IF(AND('Tinh phi QL'!$B$12="Khỏe trọn vẹn - bền vững",'Tinh phi QL'!$E$13=0),KTVBVGTTKcamket!M14,IF(AND('Tinh phi QL'!$B$12="Khỏe trọn vẹn - trọn đời",'Tinh phi QL'!$E$13=0),KTVTRDGTTKcamket!M14,IF(AND('Tinh phi QL'!$B$12="Khỏe trọn vẹn - toàn diện",'Tinh phi QL'!$E$13=0),KTVTDGTTKcamket!M14,IF(AND('Tinh phi QL'!$H$12=0,'Tinh phi QL'!$B$13="Khỏe Bình An"),KBAGTTKcamket!M14,IF(AND('Tinh phi QL'!$H$12=0,'Tinh phi QL'!$B$13="Vững Tương Lai"),VTLGTTKcamket!M14,0))))))</f>
        <v>50823.850962158285</v>
      </c>
      <c r="F10" s="651">
        <f ca="1">IF(AND('Tinh phi QL'!$B$12="Khỏe trọn vẹn - Tối ưu",'Tinh phi QL'!$E$13=0),KTVTUGTTKMH!M14,IF(AND('Tinh phi QL'!$B$12="Khỏe trọn vẹn - bền vững",'Tinh phi QL'!$E$13=0),KTVBVGTTKMH!M14,IF(AND('Tinh phi QL'!$B$12="Khỏe trọn vẹn - trọn đời",'Tinh phi QL'!$E$13=0),KTVTRDGTTKMH!M14,IF(AND('Tinh phi QL'!$B$12="Khỏe trọn vẹn - toàn diện",'Tinh phi QL'!$E$13=0),KTVTDGTTKMH!M14,IF(AND('Tinh phi QL'!$H$12=0,'Tinh phi QL'!$B$13="Khỏe Bình An"),KBAGTTKMH!M14,IF(AND('Tinh phi QL'!$H$12=0,'Tinh phi QL'!$B$13="Vững Tương Lai"),VTLGTTKMH!M14,0))))))</f>
        <v>57126.335059917219</v>
      </c>
    </row>
    <row r="11" spans="2:18" ht="12.75" customHeight="1">
      <c r="B11" s="650">
        <v>9</v>
      </c>
      <c r="C11" s="650">
        <f ca="1">IF(AND('Tinh phi QL'!$H$13=0,'Tinh phi QL'!$H$12&lt;&gt;0),IF(ROW(A9)&gt;'Tinh phi QL'!$D$12,"",ROW(A9)),IF(ROW(A9)&gt;'Tinh phi QL'!$D$12,"",ROW(A9)))</f>
        <v>9</v>
      </c>
      <c r="D11" s="651">
        <f ca="1">MAX(IF(IFERROR(--TRIM(C11),0)=0,0,C11*IF(AND('Tinh phi QL'!$H$13=0,'Tinh phi QL'!$H$12&lt;&gt;0),'Tinh phi QL'!$H$12/1000,'Tinh phi QL'!$H$13/1000)),D10)</f>
        <v>90000</v>
      </c>
      <c r="E11" s="651">
        <f ca="1">IF(AND('Tinh phi QL'!$B$12="Khỏe trọn vẹn - Tối ưu",'Tinh phi QL'!$E$13=0),KTVTUGTTKcamket!M15,IF(AND('Tinh phi QL'!$B$12="Khỏe trọn vẹn - bền vững",'Tinh phi QL'!$E$13=0),KTVBVGTTKcamket!M15,IF(AND('Tinh phi QL'!$B$12="Khỏe trọn vẹn - trọn đời",'Tinh phi QL'!$E$13=0),KTVTRDGTTKcamket!M15,IF(AND('Tinh phi QL'!$B$12="Khỏe trọn vẹn - toàn diện",'Tinh phi QL'!$E$13=0),KTVTDGTTKcamket!M15,IF(AND('Tinh phi QL'!$H$12=0,'Tinh phi QL'!$B$13="Khỏe Bình An"),KBAGTTKcamket!M15,IF(AND('Tinh phi QL'!$H$12=0,'Tinh phi QL'!$B$13="Vững Tương Lai"),VTLGTTKcamket!M15,0))))))</f>
        <v>58270.601403891946</v>
      </c>
      <c r="F11" s="651">
        <f ca="1">IF(AND('Tinh phi QL'!$B$12="Khỏe trọn vẹn - Tối ưu",'Tinh phi QL'!$E$13=0),KTVTUGTTKMH!M15,IF(AND('Tinh phi QL'!$B$12="Khỏe trọn vẹn - bền vững",'Tinh phi QL'!$E$13=0),KTVBVGTTKMH!M15,IF(AND('Tinh phi QL'!$B$12="Khỏe trọn vẹn - trọn đời",'Tinh phi QL'!$E$13=0),KTVTRDGTTKMH!M15,IF(AND('Tinh phi QL'!$B$12="Khỏe trọn vẹn - toàn diện",'Tinh phi QL'!$E$13=0),KTVTDGTTKMH!M15,IF(AND('Tinh phi QL'!$H$12=0,'Tinh phi QL'!$B$13="Khỏe Bình An"),KBAGTTKMH!M15,IF(AND('Tinh phi QL'!$H$12=0,'Tinh phi QL'!$B$13="Vững Tương Lai"),VTLGTTKMH!M15,0))))))</f>
        <v>66699.982233514587</v>
      </c>
    </row>
    <row r="12" spans="2:18" ht="12.75" customHeight="1">
      <c r="B12" s="650">
        <v>10</v>
      </c>
      <c r="C12" s="650">
        <f ca="1">IF(AND('Tinh phi QL'!$H$13=0,'Tinh phi QL'!$H$12&lt;&gt;0),IF(ROW(A10)&gt;'Tinh phi QL'!$D$12,"",ROW(A10)),IF(ROW(A10)&gt;'Tinh phi QL'!$D$12,"",ROW(A10)))</f>
        <v>10</v>
      </c>
      <c r="D12" s="651">
        <f ca="1">MAX(IF(IFERROR(--TRIM(C12),0)=0,0,C12*IF(AND('Tinh phi QL'!$H$13=0,'Tinh phi QL'!$H$12&lt;&gt;0),'Tinh phi QL'!$H$12/1000,'Tinh phi QL'!$H$13/1000)),D11)</f>
        <v>100000</v>
      </c>
      <c r="E12" s="651">
        <f ca="1">IF(AND('Tinh phi QL'!$B$12="Khỏe trọn vẹn - Tối ưu",'Tinh phi QL'!$E$13=0),KTVTUGTTKcamket!M16,IF(AND('Tinh phi QL'!$B$12="Khỏe trọn vẹn - bền vững",'Tinh phi QL'!$E$13=0),KTVBVGTTKcamket!M16,IF(AND('Tinh phi QL'!$B$12="Khỏe trọn vẹn - trọn đời",'Tinh phi QL'!$E$13=0),KTVTRDGTTKcamket!M16,IF(AND('Tinh phi QL'!$B$12="Khỏe trọn vẹn - toàn diện",'Tinh phi QL'!$E$13=0),KTVTDGTTKcamket!M16,IF(AND('Tinh phi QL'!$H$12=0,'Tinh phi QL'!$B$13="Khỏe Bình An"),KBAGTTKcamket!M16,IF(AND('Tinh phi QL'!$H$12=0,'Tinh phi QL'!$B$13="Vững Tương Lai"),VTLGTTKcamket!M16,0))))))</f>
        <v>65430.624150168114</v>
      </c>
      <c r="F12" s="651">
        <f ca="1">IF(AND('Tinh phi QL'!$B$12="Khỏe trọn vẹn - Tối ưu",'Tinh phi QL'!$E$13=0),KTVTUGTTKMH!M16,IF(AND('Tinh phi QL'!$B$12="Khỏe trọn vẹn - bền vững",'Tinh phi QL'!$E$13=0),KTVBVGTTKMH!M16,IF(AND('Tinh phi QL'!$B$12="Khỏe trọn vẹn - trọn đời",'Tinh phi QL'!$E$13=0),KTVTRDGTTKMH!M16,IF(AND('Tinh phi QL'!$B$12="Khỏe trọn vẹn - toàn diện",'Tinh phi QL'!$E$13=0),KTVTDGTTKMH!M16,IF(AND('Tinh phi QL'!$H$12=0,'Tinh phi QL'!$B$13="Khỏe Bình An"),KBAGTTKMH!M16,IF(AND('Tinh phi QL'!$H$12=0,'Tinh phi QL'!$B$13="Vững Tương Lai"),VTLGTTKMH!M16,0))))))</f>
        <v>76315.273322140041</v>
      </c>
    </row>
    <row r="13" spans="2:18" ht="12.75" customHeight="1">
      <c r="B13" s="650">
        <v>11</v>
      </c>
      <c r="C13" s="650">
        <f ca="1">IF(AND('Tinh phi QL'!$H$13=0,'Tinh phi QL'!$H$12&lt;&gt;0),IF(ROW(A11)&gt;'Tinh phi QL'!$D$12,"",ROW(A11)),IF(ROW(A11)&gt;'Tinh phi QL'!$D$12,"",ROW(A11)))</f>
        <v>11</v>
      </c>
      <c r="D13" s="651">
        <f ca="1">MAX(IF(IFERROR(--TRIM(C13),0)=0,0,C13*IF(AND('Tinh phi QL'!$H$13=0,'Tinh phi QL'!$H$12&lt;&gt;0),'Tinh phi QL'!$H$12/1000,'Tinh phi QL'!$H$13/1000)),D12)</f>
        <v>110000</v>
      </c>
      <c r="E13" s="651">
        <f ca="1">IF(AND('Tinh phi QL'!$B$12="Khỏe trọn vẹn - Tối ưu",'Tinh phi QL'!$E$13=0),KTVTUGTTKcamket!M17,IF(AND('Tinh phi QL'!$B$12="Khỏe trọn vẹn - bền vững",'Tinh phi QL'!$E$13=0),KTVBVGTTKcamket!M17,IF(AND('Tinh phi QL'!$B$12="Khỏe trọn vẹn - trọn đời",'Tinh phi QL'!$E$13=0),KTVTRDGTTKcamket!M17,IF(AND('Tinh phi QL'!$B$12="Khỏe trọn vẹn - toàn diện",'Tinh phi QL'!$E$13=0),KTVTDGTTKcamket!M17,IF(AND('Tinh phi QL'!$H$12=0,'Tinh phi QL'!$B$13="Khỏe Bình An"),KBAGTTKcamket!M17,IF(AND('Tinh phi QL'!$H$12=0,'Tinh phi QL'!$B$13="Vững Tương Lai"),VTLGTTKcamket!M17,0))))))</f>
        <v>72147.561701864208</v>
      </c>
      <c r="F13" s="651">
        <f ca="1">IF(AND('Tinh phi QL'!$B$12="Khỏe trọn vẹn - Tối ưu",'Tinh phi QL'!$E$13=0),KTVTUGTTKMH!M17,IF(AND('Tinh phi QL'!$B$12="Khỏe trọn vẹn - bền vững",'Tinh phi QL'!$E$13=0),KTVBVGTTKMH!M17,IF(AND('Tinh phi QL'!$B$12="Khỏe trọn vẹn - trọn đời",'Tinh phi QL'!$E$13=0),KTVTRDGTTKMH!M17,IF(AND('Tinh phi QL'!$B$12="Khỏe trọn vẹn - toàn diện",'Tinh phi QL'!$E$13=0),KTVTDGTTKMH!M17,IF(AND('Tinh phi QL'!$H$12=0,'Tinh phi QL'!$B$13="Khỏe Bình An"),KBAGTTKMH!M17,IF(AND('Tinh phi QL'!$H$12=0,'Tinh phi QL'!$B$13="Vững Tương Lai"),VTLGTTKMH!M17,0))))))</f>
        <v>86196.831259256389</v>
      </c>
    </row>
    <row r="14" spans="2:18" ht="12.75" customHeight="1">
      <c r="B14" s="650">
        <v>12</v>
      </c>
      <c r="C14" s="650">
        <f ca="1">IF(AND('Tinh phi QL'!$H$13=0,'Tinh phi QL'!$H$12&lt;&gt;0),IF(ROW(A12)&gt;'Tinh phi QL'!$D$12,"",ROW(A12)),IF(ROW(A12)&gt;'Tinh phi QL'!$D$12,"",ROW(A12)))</f>
        <v>12</v>
      </c>
      <c r="D14" s="651">
        <f ca="1">MAX(IF(IFERROR(--TRIM(C14),0)=0,0,C14*IF(AND('Tinh phi QL'!$H$13=0,'Tinh phi QL'!$H$12&lt;&gt;0),'Tinh phi QL'!$H$12/1000,'Tinh phi QL'!$H$13/1000)),D13)</f>
        <v>120000</v>
      </c>
      <c r="E14" s="651">
        <f ca="1">IF(AND('Tinh phi QL'!$B$12="Khỏe trọn vẹn - Tối ưu",'Tinh phi QL'!$E$13=0),KTVTUGTTKcamket!M18,IF(AND('Tinh phi QL'!$B$12="Khỏe trọn vẹn - bền vững",'Tinh phi QL'!$E$13=0),KTVBVGTTKcamket!M18,IF(AND('Tinh phi QL'!$B$12="Khỏe trọn vẹn - trọn đời",'Tinh phi QL'!$E$13=0),KTVTRDGTTKcamket!M18,IF(AND('Tinh phi QL'!$B$12="Khỏe trọn vẹn - toàn diện",'Tinh phi QL'!$E$13=0),KTVTDGTTKcamket!M18,IF(AND('Tinh phi QL'!$H$12=0,'Tinh phi QL'!$B$13="Khỏe Bình An"),KBAGTTKcamket!M18,IF(AND('Tinh phi QL'!$H$12=0,'Tinh phi QL'!$B$13="Vững Tương Lai"),VTLGTTKcamket!M18,0))))))</f>
        <v>78640.137628816097</v>
      </c>
      <c r="F14" s="651">
        <f ca="1">IF(AND('Tinh phi QL'!$B$12="Khỏe trọn vẹn - Tối ưu",'Tinh phi QL'!$E$13=0),KTVTUGTTKMH!M18,IF(AND('Tinh phi QL'!$B$12="Khỏe trọn vẹn - bền vững",'Tinh phi QL'!$E$13=0),KTVBVGTTKMH!M18,IF(AND('Tinh phi QL'!$B$12="Khỏe trọn vẹn - trọn đời",'Tinh phi QL'!$E$13=0),KTVTRDGTTKMH!M18,IF(AND('Tinh phi QL'!$B$12="Khỏe trọn vẹn - toàn diện",'Tinh phi QL'!$E$13=0),KTVTDGTTKMH!M18,IF(AND('Tinh phi QL'!$H$12=0,'Tinh phi QL'!$B$13="Khỏe Bình An"),KBAGTTKMH!M18,IF(AND('Tinh phi QL'!$H$12=0,'Tinh phi QL'!$B$13="Vững Tương Lai"),VTLGTTKMH!M18,0))))))</f>
        <v>96247.906215466035</v>
      </c>
    </row>
    <row r="15" spans="2:18" ht="12.75" customHeight="1">
      <c r="B15" s="650">
        <v>13</v>
      </c>
      <c r="C15" s="650">
        <f ca="1">IF(AND('Tinh phi QL'!$H$13=0,'Tinh phi QL'!$H$12&lt;&gt;0),IF(ROW(A13)&gt;'Tinh phi QL'!$D$12,"",ROW(A13)),IF(ROW(A13)&gt;'Tinh phi QL'!$D$12,"",ROW(A13)))</f>
        <v>13</v>
      </c>
      <c r="D15" s="651">
        <f ca="1">MAX(IF(IFERROR(--TRIM(C15),0)=0,0,C15*IF(AND('Tinh phi QL'!$H$13=0,'Tinh phi QL'!$H$12&lt;&gt;0),'Tinh phi QL'!$H$12/1000,'Tinh phi QL'!$H$13/1000)),D14)</f>
        <v>130000</v>
      </c>
      <c r="E15" s="651">
        <f ca="1">IF(AND('Tinh phi QL'!$B$12="Khỏe trọn vẹn - Tối ưu",'Tinh phi QL'!$E$13=0),KTVTUGTTKcamket!M19,IF(AND('Tinh phi QL'!$B$12="Khỏe trọn vẹn - bền vững",'Tinh phi QL'!$E$13=0),KTVBVGTTKcamket!M19,IF(AND('Tinh phi QL'!$B$12="Khỏe trọn vẹn - trọn đời",'Tinh phi QL'!$E$13=0),KTVTRDGTTKcamket!M19,IF(AND('Tinh phi QL'!$B$12="Khỏe trọn vẹn - toàn diện",'Tinh phi QL'!$E$13=0),KTVTDGTTKcamket!M19,IF(AND('Tinh phi QL'!$H$12=0,'Tinh phi QL'!$B$13="Khỏe Bình An"),KBAGTTKcamket!M19,IF(AND('Tinh phi QL'!$H$12=0,'Tinh phi QL'!$B$13="Vững Tương Lai"),VTLGTTKcamket!M19,0))))))</f>
        <v>84885.55086458796</v>
      </c>
      <c r="F15" s="651">
        <f ca="1">IF(AND('Tinh phi QL'!$B$12="Khỏe trọn vẹn - Tối ưu",'Tinh phi QL'!$E$13=0),KTVTUGTTKMH!M19,IF(AND('Tinh phi QL'!$B$12="Khỏe trọn vẹn - bền vững",'Tinh phi QL'!$E$13=0),KTVBVGTTKMH!M19,IF(AND('Tinh phi QL'!$B$12="Khỏe trọn vẹn - trọn đời",'Tinh phi QL'!$E$13=0),KTVTRDGTTKMH!M19,IF(AND('Tinh phi QL'!$B$12="Khỏe trọn vẹn - toàn diện",'Tinh phi QL'!$E$13=0),KTVTDGTTKMH!M19,IF(AND('Tinh phi QL'!$H$12=0,'Tinh phi QL'!$B$13="Khỏe Bình An"),KBAGTTKMH!M19,IF(AND('Tinh phi QL'!$H$12=0,'Tinh phi QL'!$B$13="Vững Tương Lai"),VTLGTTKMH!M19,0))))))</f>
        <v>106458.35068988416</v>
      </c>
    </row>
    <row r="16" spans="2:18" ht="12.75" customHeight="1">
      <c r="B16" s="650">
        <v>14</v>
      </c>
      <c r="C16" s="650">
        <f ca="1">IF(AND('Tinh phi QL'!$H$13=0,'Tinh phi QL'!$H$12&lt;&gt;0),IF(ROW(A14)&gt;'Tinh phi QL'!$D$12,"",ROW(A14)),IF(ROW(A14)&gt;'Tinh phi QL'!$D$12,"",ROW(A14)))</f>
        <v>14</v>
      </c>
      <c r="D16" s="651">
        <f ca="1">MAX(IF(IFERROR(--TRIM(C16),0)=0,0,C16*IF(AND('Tinh phi QL'!$H$13=0,'Tinh phi QL'!$H$12&lt;&gt;0),'Tinh phi QL'!$H$12/1000,'Tinh phi QL'!$H$13/1000)),D15)</f>
        <v>140000</v>
      </c>
      <c r="E16" s="651">
        <f ca="1">IF(AND('Tinh phi QL'!$B$12="Khỏe trọn vẹn - Tối ưu",'Tinh phi QL'!$E$13=0),KTVTUGTTKcamket!M20,IF(AND('Tinh phi QL'!$B$12="Khỏe trọn vẹn - bền vững",'Tinh phi QL'!$E$13=0),KTVBVGTTKcamket!M20,IF(AND('Tinh phi QL'!$B$12="Khỏe trọn vẹn - trọn đời",'Tinh phi QL'!$E$13=0),KTVTRDGTTKcamket!M20,IF(AND('Tinh phi QL'!$B$12="Khỏe trọn vẹn - toàn diện",'Tinh phi QL'!$E$13=0),KTVTDGTTKcamket!M20,IF(AND('Tinh phi QL'!$H$12=0,'Tinh phi QL'!$B$13="Khỏe Bình An"),KBAGTTKcamket!M20,IF(AND('Tinh phi QL'!$H$12=0,'Tinh phi QL'!$B$13="Vững Tương Lai"),VTLGTTKcamket!M20,0))))))</f>
        <v>90849.507648408777</v>
      </c>
      <c r="F16" s="651">
        <f ca="1">IF(AND('Tinh phi QL'!$B$12="Khỏe trọn vẹn - Tối ưu",'Tinh phi QL'!$E$13=0),KTVTUGTTKMH!M20,IF(AND('Tinh phi QL'!$B$12="Khỏe trọn vẹn - bền vững",'Tinh phi QL'!$E$13=0),KTVBVGTTKMH!M20,IF(AND('Tinh phi QL'!$B$12="Khỏe trọn vẹn - trọn đời",'Tinh phi QL'!$E$13=0),KTVTRDGTTKMH!M20,IF(AND('Tinh phi QL'!$B$12="Khỏe trọn vẹn - toàn diện",'Tinh phi QL'!$E$13=0),KTVTDGTTKMH!M20,IF(AND('Tinh phi QL'!$H$12=0,'Tinh phi QL'!$B$13="Khỏe Bình An"),KBAGTTKMH!M20,IF(AND('Tinh phi QL'!$H$12=0,'Tinh phi QL'!$B$13="Vững Tương Lai"),VTLGTTKMH!M20,0))))))</f>
        <v>116806.77377206816</v>
      </c>
    </row>
    <row r="17" spans="2:6" ht="12.75" customHeight="1">
      <c r="B17" s="650">
        <v>15</v>
      </c>
      <c r="C17" s="650">
        <f ca="1">IF(AND('Tinh phi QL'!$H$13=0,'Tinh phi QL'!$H$12&lt;&gt;0),IF(ROW(A15)&gt;'Tinh phi QL'!$D$12,"",ROW(A15)),IF(ROW(A15)&gt;'Tinh phi QL'!$D$12,"",ROW(A15)))</f>
        <v>15</v>
      </c>
      <c r="D17" s="651">
        <f ca="1">MAX(IF(IFERROR(--TRIM(C17),0)=0,0,C17*IF(AND('Tinh phi QL'!$H$13=0,'Tinh phi QL'!$H$12&lt;&gt;0),'Tinh phi QL'!$H$12/1000,'Tinh phi QL'!$H$13/1000)),D16)</f>
        <v>150000</v>
      </c>
      <c r="E17" s="651">
        <f ca="1">IF(AND('Tinh phi QL'!$B$12="Khỏe trọn vẹn - Tối ưu",'Tinh phi QL'!$E$13=0),KTVTUGTTKcamket!M21,IF(AND('Tinh phi QL'!$B$12="Khỏe trọn vẹn - bền vững",'Tinh phi QL'!$E$13=0),KTVBVGTTKcamket!M21,IF(AND('Tinh phi QL'!$B$12="Khỏe trọn vẹn - trọn đời",'Tinh phi QL'!$E$13=0),KTVTRDGTTKcamket!M21,IF(AND('Tinh phi QL'!$B$12="Khỏe trọn vẹn - toàn diện",'Tinh phi QL'!$E$13=0),KTVTDGTTKcamket!M21,IF(AND('Tinh phi QL'!$H$12=0,'Tinh phi QL'!$B$13="Khỏe Bình An"),KBAGTTKcamket!M21,IF(AND('Tinh phi QL'!$H$12=0,'Tinh phi QL'!$B$13="Vững Tương Lai"),VTLGTTKcamket!M21,0))))))</f>
        <v>96508.778926331695</v>
      </c>
      <c r="F17" s="651">
        <f ca="1">IF(AND('Tinh phi QL'!$B$12="Khỏe trọn vẹn - Tối ưu",'Tinh phi QL'!$E$13=0),KTVTUGTTKMH!M21,IF(AND('Tinh phi QL'!$B$12="Khỏe trọn vẹn - bền vững",'Tinh phi QL'!$E$13=0),KTVBVGTTKMH!M21,IF(AND('Tinh phi QL'!$B$12="Khỏe trọn vẹn - trọn đời",'Tinh phi QL'!$E$13=0),KTVTRDGTTKMH!M21,IF(AND('Tinh phi QL'!$B$12="Khỏe trọn vẹn - toàn diện",'Tinh phi QL'!$E$13=0),KTVTDGTTKMH!M21,IF(AND('Tinh phi QL'!$H$12=0,'Tinh phi QL'!$B$13="Khỏe Bình An"),KBAGTTKMH!M21,IF(AND('Tinh phi QL'!$H$12=0,'Tinh phi QL'!$B$13="Vững Tương Lai"),VTLGTTKMH!M21,0))))))</f>
        <v>127282.87420914335</v>
      </c>
    </row>
    <row r="18" spans="2:6" ht="12.75" customHeight="1">
      <c r="B18" s="650">
        <v>16</v>
      </c>
      <c r="C18" s="650" t="str">
        <f ca="1">IF(AND('Tinh phi QL'!$H$13=0,'Tinh phi QL'!$H$12&lt;&gt;0),IF(ROW(A16)&gt;'Tinh phi QL'!$D$12,"",ROW(A16)),IF(ROW(A16)&gt;'Tinh phi QL'!$D$12,"",ROW(A16)))</f>
        <v/>
      </c>
      <c r="D18" s="651">
        <f ca="1">MAX(IF(IFERROR(--TRIM(C18),0)=0,0,C18*IF(AND('Tinh phi QL'!$H$13=0,'Tinh phi QL'!$H$12&lt;&gt;0),'Tinh phi QL'!$H$12/1000,'Tinh phi QL'!$H$13/1000)),D17)</f>
        <v>150000</v>
      </c>
      <c r="E18" s="651">
        <f ca="1">IF(AND('Tinh phi QL'!$B$12="Khỏe trọn vẹn - Tối ưu",'Tinh phi QL'!$E$13=0),KTVTUGTTKcamket!M22,IF(AND('Tinh phi QL'!$B$12="Khỏe trọn vẹn - bền vững",'Tinh phi QL'!$E$13=0),KTVBVGTTKcamket!M22,IF(AND('Tinh phi QL'!$B$12="Khỏe trọn vẹn - trọn đời",'Tinh phi QL'!$E$13=0),KTVTRDGTTKcamket!M22,IF(AND('Tinh phi QL'!$B$12="Khỏe trọn vẹn - toàn diện",'Tinh phi QL'!$E$13=0),KTVTDGTTKcamket!M22,IF(AND('Tinh phi QL'!$H$12=0,'Tinh phi QL'!$B$13="Khỏe Bình An"),KBAGTTKcamket!M22,IF(AND('Tinh phi QL'!$H$12=0,'Tinh phi QL'!$B$13="Vững Tương Lai"),VTLGTTKcamket!M22,0))))))</f>
        <v>101322.61655893427</v>
      </c>
      <c r="F18" s="651">
        <f ca="1">IF(AND('Tinh phi QL'!$B$12="Khỏe trọn vẹn - Tối ưu",'Tinh phi QL'!$E$13=0),KTVTUGTTKMH!M22,IF(AND('Tinh phi QL'!$B$12="Khỏe trọn vẹn - bền vững",'Tinh phi QL'!$E$13=0),KTVBVGTTKMH!M22,IF(AND('Tinh phi QL'!$B$12="Khỏe trọn vẹn - trọn đời",'Tinh phi QL'!$E$13=0),KTVTRDGTTKMH!M22,IF(AND('Tinh phi QL'!$B$12="Khỏe trọn vẹn - toàn diện",'Tinh phi QL'!$E$13=0),KTVTDGTTKMH!M22,IF(AND('Tinh phi QL'!$H$12=0,'Tinh phi QL'!$B$13="Khỏe Bình An"),KBAGTTKMH!M22,IF(AND('Tinh phi QL'!$H$12=0,'Tinh phi QL'!$B$13="Vững Tương Lai"),VTLGTTKMH!M22,0))))))</f>
        <v>137876.4604744596</v>
      </c>
    </row>
    <row r="19" spans="2:6" ht="12.75" customHeight="1">
      <c r="B19" s="650">
        <v>17</v>
      </c>
      <c r="C19" s="650" t="str">
        <f ca="1">IF(AND('Tinh phi QL'!$H$13=0,'Tinh phi QL'!$H$12&lt;&gt;0),IF(ROW(A17)&gt;'Tinh phi QL'!$D$12,"",ROW(A17)),IF(ROW(A17)&gt;'Tinh phi QL'!$D$12,"",ROW(A17)))</f>
        <v/>
      </c>
      <c r="D19" s="651">
        <f ca="1">MAX(IF(IFERROR(--TRIM(C19),0)=0,0,C19*IF(AND('Tinh phi QL'!$H$13=0,'Tinh phi QL'!$H$12&lt;&gt;0),'Tinh phi QL'!$H$12/1000,'Tinh phi QL'!$H$13/1000)),D18)</f>
        <v>150000</v>
      </c>
      <c r="E19" s="651">
        <f ca="1">IF(AND('Tinh phi QL'!$B$12="Khỏe trọn vẹn - Tối ưu",'Tinh phi QL'!$E$13=0),KTVTUGTTKcamket!M23,IF(AND('Tinh phi QL'!$B$12="Khỏe trọn vẹn - bền vững",'Tinh phi QL'!$E$13=0),KTVBVGTTKcamket!M23,IF(AND('Tinh phi QL'!$B$12="Khỏe trọn vẹn - trọn đời",'Tinh phi QL'!$E$13=0),KTVTRDGTTKcamket!M23,IF(AND('Tinh phi QL'!$B$12="Khỏe trọn vẹn - toàn diện",'Tinh phi QL'!$E$13=0),KTVTDGTTKcamket!M23,IF(AND('Tinh phi QL'!$H$12=0,'Tinh phi QL'!$B$13="Khỏe Bình An"),KBAGTTKcamket!M23,IF(AND('Tinh phi QL'!$H$12=0,'Tinh phi QL'!$B$13="Vững Tương Lai"),VTLGTTKcamket!M23,0))))))</f>
        <v>105742.82515604857</v>
      </c>
      <c r="F19" s="651">
        <f ca="1">IF(AND('Tinh phi QL'!$B$12="Khỏe trọn vẹn - Tối ưu",'Tinh phi QL'!$E$13=0),KTVTUGTTKMH!M23,IF(AND('Tinh phi QL'!$B$12="Khỏe trọn vẹn - bền vững",'Tinh phi QL'!$E$13=0),KTVBVGTTKMH!M23,IF(AND('Tinh phi QL'!$B$12="Khỏe trọn vẹn - trọn đời",'Tinh phi QL'!$E$13=0),KTVTRDGTTKMH!M23,IF(AND('Tinh phi QL'!$B$12="Khỏe trọn vẹn - toàn diện",'Tinh phi QL'!$E$13=0),KTVTDGTTKMH!M23,IF(AND('Tinh phi QL'!$H$12=0,'Tinh phi QL'!$B$13="Khỏe Bình An"),KBAGTTKMH!M23,IF(AND('Tinh phi QL'!$H$12=0,'Tinh phi QL'!$B$13="Vững Tương Lai"),VTLGTTKMH!M23,0))))))</f>
        <v>148566.35244853562</v>
      </c>
    </row>
    <row r="20" spans="2:6" ht="12.75" customHeight="1">
      <c r="B20" s="650">
        <v>18</v>
      </c>
      <c r="C20" s="650" t="str">
        <f ca="1">IF(AND('Tinh phi QL'!$H$13=0,'Tinh phi QL'!$H$12&lt;&gt;0),IF(ROW(A18)&gt;'Tinh phi QL'!$D$12,"",ROW(A18)),IF(ROW(A18)&gt;'Tinh phi QL'!$D$12,"",ROW(A18)))</f>
        <v/>
      </c>
      <c r="D20" s="651">
        <f ca="1">MAX(IF(IFERROR(--TRIM(C20),0)=0,0,C20*IF(AND('Tinh phi QL'!$H$13=0,'Tinh phi QL'!$H$12&lt;&gt;0),'Tinh phi QL'!$H$12/1000,'Tinh phi QL'!$H$13/1000)),D19)</f>
        <v>150000</v>
      </c>
      <c r="E20" s="651">
        <f ca="1">IF(AND('Tinh phi QL'!$B$12="Khỏe trọn vẹn - Tối ưu",'Tinh phi QL'!$E$13=0),KTVTUGTTKcamket!M24,IF(AND('Tinh phi QL'!$B$12="Khỏe trọn vẹn - bền vững",'Tinh phi QL'!$E$13=0),KTVBVGTTKcamket!M24,IF(AND('Tinh phi QL'!$B$12="Khỏe trọn vẹn - trọn đời",'Tinh phi QL'!$E$13=0),KTVTRDGTTKcamket!M24,IF(AND('Tinh phi QL'!$B$12="Khỏe trọn vẹn - toàn diện",'Tinh phi QL'!$E$13=0),KTVTDGTTKcamket!M24,IF(AND('Tinh phi QL'!$H$12=0,'Tinh phi QL'!$B$13="Khỏe Bình An"),KBAGTTKcamket!M24,IF(AND('Tinh phi QL'!$H$12=0,'Tinh phi QL'!$B$13="Vững Tương Lai"),VTLGTTKcamket!M24,0))))))</f>
        <v>109746.29541721228</v>
      </c>
      <c r="F20" s="651">
        <f ca="1">IF(AND('Tinh phi QL'!$B$12="Khỏe trọn vẹn - Tối ưu",'Tinh phi QL'!$E$13=0),KTVTUGTTKMH!M24,IF(AND('Tinh phi QL'!$B$12="Khỏe trọn vẹn - bền vững",'Tinh phi QL'!$E$13=0),KTVBVGTTKMH!M24,IF(AND('Tinh phi QL'!$B$12="Khỏe trọn vẹn - trọn đời",'Tinh phi QL'!$E$13=0),KTVTRDGTTKMH!M24,IF(AND('Tinh phi QL'!$B$12="Khỏe trọn vẹn - toàn diện",'Tinh phi QL'!$E$13=0),KTVTDGTTKMH!M24,IF(AND('Tinh phi QL'!$H$12=0,'Tinh phi QL'!$B$13="Khỏe Bình An"),KBAGTTKMH!M24,IF(AND('Tinh phi QL'!$H$12=0,'Tinh phi QL'!$B$13="Vững Tương Lai"),VTLGTTKMH!M24,0))))))</f>
        <v>159342.20531930175</v>
      </c>
    </row>
    <row r="21" spans="2:6" ht="12.75" customHeight="1">
      <c r="B21" s="650">
        <v>19</v>
      </c>
      <c r="C21" s="650" t="str">
        <f ca="1">IF(AND('Tinh phi QL'!$H$13=0,'Tinh phi QL'!$H$12&lt;&gt;0),IF(ROW(A19)&gt;'Tinh phi QL'!$D$12,"",ROW(A19)),IF(ROW(A19)&gt;'Tinh phi QL'!$D$12,"",ROW(A19)))</f>
        <v/>
      </c>
      <c r="D21" s="651">
        <f ca="1">MAX(IF(IFERROR(--TRIM(C21),0)=0,0,C21*IF(AND('Tinh phi QL'!$H$13=0,'Tinh phi QL'!$H$12&lt;&gt;0),'Tinh phi QL'!$H$12/1000,'Tinh phi QL'!$H$13/1000)),D20)</f>
        <v>150000</v>
      </c>
      <c r="E21" s="651">
        <f ca="1">IF(AND('Tinh phi QL'!$B$12="Khỏe trọn vẹn - Tối ưu",'Tinh phi QL'!$E$13=0),KTVTUGTTKcamket!M25,IF(AND('Tinh phi QL'!$B$12="Khỏe trọn vẹn - bền vững",'Tinh phi QL'!$E$13=0),KTVBVGTTKcamket!M25,IF(AND('Tinh phi QL'!$B$12="Khỏe trọn vẹn - trọn đời",'Tinh phi QL'!$E$13=0),KTVTRDGTTKcamket!M25,IF(AND('Tinh phi QL'!$B$12="Khỏe trọn vẹn - toàn diện",'Tinh phi QL'!$E$13=0),KTVTDGTTKcamket!M25,IF(AND('Tinh phi QL'!$H$12=0,'Tinh phi QL'!$B$13="Khỏe Bình An"),KBAGTTKcamket!M25,IF(AND('Tinh phi QL'!$H$12=0,'Tinh phi QL'!$B$13="Vững Tương Lai"),VTLGTTKcamket!M25,0))))))</f>
        <v>113298.37497677418</v>
      </c>
      <c r="F21" s="651">
        <f ca="1">IF(AND('Tinh phi QL'!$B$12="Khỏe trọn vẹn - Tối ưu",'Tinh phi QL'!$E$13=0),KTVTUGTTKMH!M25,IF(AND('Tinh phi QL'!$B$12="Khỏe trọn vẹn - bền vững",'Tinh phi QL'!$E$13=0),KTVBVGTTKMH!M25,IF(AND('Tinh phi QL'!$B$12="Khỏe trọn vẹn - trọn đời",'Tinh phi QL'!$E$13=0),KTVTRDGTTKMH!M25,IF(AND('Tinh phi QL'!$B$12="Khỏe trọn vẹn - toàn diện",'Tinh phi QL'!$E$13=0),KTVTDGTTKMH!M25,IF(AND('Tinh phi QL'!$H$12=0,'Tinh phi QL'!$B$13="Khỏe Bình An"),KBAGTTKMH!M25,IF(AND('Tinh phi QL'!$H$12=0,'Tinh phi QL'!$B$13="Vững Tương Lai"),VTLGTTKMH!M25,0))))))</f>
        <v>170182.83744926125</v>
      </c>
    </row>
    <row r="22" spans="2:6" ht="12.75" customHeight="1">
      <c r="B22" s="650">
        <v>20</v>
      </c>
      <c r="C22" s="650" t="str">
        <f ca="1">IF(AND('Tinh phi QL'!$H$13=0,'Tinh phi QL'!$H$12&lt;&gt;0),IF(ROW(A20)&gt;'Tinh phi QL'!$D$12,"",ROW(A20)),IF(ROW(A20)&gt;'Tinh phi QL'!$D$12,"",ROW(A20)))</f>
        <v/>
      </c>
      <c r="D22" s="651">
        <f ca="1">MAX(IF(IFERROR(--TRIM(C22),0)=0,0,C22*IF(AND('Tinh phi QL'!$H$13=0,'Tinh phi QL'!$H$12&lt;&gt;0),'Tinh phi QL'!$H$12/1000,'Tinh phi QL'!$H$13/1000)),D21)</f>
        <v>150000</v>
      </c>
      <c r="E22" s="651">
        <f ca="1">IF(AND('Tinh phi QL'!$B$12="Khỏe trọn vẹn - Tối ưu",'Tinh phi QL'!$E$13=0),KTVTUGTTKcamket!M26,IF(AND('Tinh phi QL'!$B$12="Khỏe trọn vẹn - bền vững",'Tinh phi QL'!$E$13=0),KTVBVGTTKcamket!M26,IF(AND('Tinh phi QL'!$B$12="Khỏe trọn vẹn - trọn đời",'Tinh phi QL'!$E$13=0),KTVTRDGTTKcamket!M26,IF(AND('Tinh phi QL'!$B$12="Khỏe trọn vẹn - toàn diện",'Tinh phi QL'!$E$13=0),KTVTDGTTKcamket!M26,IF(AND('Tinh phi QL'!$H$12=0,'Tinh phi QL'!$B$13="Khỏe Bình An"),KBAGTTKcamket!M26,IF(AND('Tinh phi QL'!$H$12=0,'Tinh phi QL'!$B$13="Vững Tương Lai"),VTLGTTKcamket!M26,0))))))</f>
        <v>116341.68169764412</v>
      </c>
      <c r="F22" s="651">
        <f ca="1">IF(AND('Tinh phi QL'!$B$12="Khỏe trọn vẹn - Tối ưu",'Tinh phi QL'!$E$13=0),KTVTUGTTKMH!M26,IF(AND('Tinh phi QL'!$B$12="Khỏe trọn vẹn - bền vững",'Tinh phi QL'!$E$13=0),KTVBVGTTKMH!M26,IF(AND('Tinh phi QL'!$B$12="Khỏe trọn vẹn - trọn đời",'Tinh phi QL'!$E$13=0),KTVTRDGTTKMH!M26,IF(AND('Tinh phi QL'!$B$12="Khỏe trọn vẹn - toàn diện",'Tinh phi QL'!$E$13=0),KTVTDGTTKMH!M26,IF(AND('Tinh phi QL'!$H$12=0,'Tinh phi QL'!$B$13="Khỏe Bình An"),KBAGTTKMH!M26,IF(AND('Tinh phi QL'!$H$12=0,'Tinh phi QL'!$B$13="Vững Tương Lai"),VTLGTTKMH!M26,0))))))</f>
        <v>181045.17337995843</v>
      </c>
    </row>
  </sheetData>
  <mergeCells count="1">
    <mergeCell ref="B1:Q1"/>
  </mergeCells>
  <conditionalFormatting sqref="B3:F22">
    <cfRule type="expression" dxfId="347" priority="1">
      <formula>MOD(ROW(),2)&gt;0</formula>
    </cfRule>
    <cfRule type="expression" dxfId="346" priority="2">
      <formula>MOD(row0,2)&gt;0</formula>
    </cfRule>
  </conditionalFormatting>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00F332-71FA-4C0E-A027-4170412E9FF1}">
  <sheetPr codeName="Sheet10"/>
  <dimension ref="B1:G89"/>
  <sheetViews>
    <sheetView showGridLines="0" zoomScale="85" zoomScaleNormal="85" workbookViewId="0">
      <selection activeCell="G81" sqref="G81"/>
    </sheetView>
  </sheetViews>
  <sheetFormatPr defaultColWidth="9.296875" defaultRowHeight="13"/>
  <cols>
    <col min="1" max="1" width="2.296875" style="189" customWidth="1"/>
    <col min="2" max="2" width="35.69921875" style="189" customWidth="1"/>
    <col min="3" max="3" width="40.09765625" style="189" customWidth="1"/>
    <col min="4" max="4" width="28.3984375" style="658" customWidth="1"/>
    <col min="5" max="5" width="14.69921875" style="658" customWidth="1"/>
    <col min="6" max="7" width="17" style="658" customWidth="1"/>
    <col min="8" max="16384" width="9.296875" style="189"/>
  </cols>
  <sheetData>
    <row r="1" spans="2:7" ht="13.5" customHeight="1">
      <c r="B1" s="657" t="s">
        <v>853</v>
      </c>
      <c r="D1" s="671" t="str">
        <f>'Tinh phi QL'!F7</f>
        <v xml:space="preserve">TRAN VAN HUY    </v>
      </c>
    </row>
    <row r="2" spans="2:7" s="662" customFormat="1" ht="13.5" customHeight="1">
      <c r="B2" s="659" t="s">
        <v>843</v>
      </c>
      <c r="C2" s="849">
        <f ca="1">'Tinh phi QL'!H3</f>
        <v>16571000</v>
      </c>
      <c r="D2" s="849"/>
      <c r="E2" s="660"/>
      <c r="F2" s="661"/>
      <c r="G2" s="661"/>
    </row>
    <row r="3" spans="2:7" ht="13.5" customHeight="1">
      <c r="B3" s="659" t="s">
        <v>163</v>
      </c>
      <c r="C3" s="850" t="str">
        <f>'Tinh phi QL'!C2</f>
        <v>Phạm Quang Hà</v>
      </c>
      <c r="D3" s="850"/>
      <c r="E3" s="663"/>
    </row>
    <row r="4" spans="2:7" ht="13.5" customHeight="1">
      <c r="B4" s="659" t="s">
        <v>124</v>
      </c>
      <c r="C4" s="851" t="str">
        <f>'Tinh phi QL'!F2</f>
        <v>101012337</v>
      </c>
      <c r="D4" s="851"/>
      <c r="E4" s="664"/>
    </row>
    <row r="5" spans="2:7" ht="13.5" customHeight="1">
      <c r="B5" s="659" t="s">
        <v>19</v>
      </c>
      <c r="C5" s="850" t="str">
        <f>Start!C3</f>
        <v>0981984554</v>
      </c>
      <c r="D5" s="850"/>
      <c r="E5" s="663"/>
    </row>
    <row r="6" spans="2:7" ht="13.5" customHeight="1">
      <c r="B6" s="659" t="s">
        <v>24</v>
      </c>
      <c r="C6" s="852" t="str">
        <f>Start!D3</f>
        <v>quangha1659@gmail.com</v>
      </c>
      <c r="D6" s="852"/>
      <c r="E6" s="665"/>
    </row>
    <row r="7" spans="2:7" ht="19.5" customHeight="1">
      <c r="B7" s="820" t="s">
        <v>21</v>
      </c>
      <c r="C7" s="821"/>
      <c r="D7" s="681" t="str">
        <f ca="1">IF(AND('Tinh phi QL'!H12&lt;&gt;0,'Tinh phi QL'!H13=0),'Tinh phi QL'!B12,'Tinh phi QL'!B13)</f>
        <v>Khỏe Bình An</v>
      </c>
      <c r="E7" s="666"/>
      <c r="F7" s="666"/>
      <c r="G7" s="666"/>
    </row>
    <row r="8" spans="2:7" s="667" customFormat="1" ht="15" customHeight="1">
      <c r="B8" s="825" t="s">
        <v>3</v>
      </c>
      <c r="C8" s="825"/>
      <c r="D8" s="682" t="str">
        <f>'Tinh phi QL'!F7</f>
        <v xml:space="preserve">TRAN VAN HUY    </v>
      </c>
      <c r="E8" s="672" t="str">
        <f>'Tinh phi QL'!F28</f>
        <v>Đỗ Thị X</v>
      </c>
      <c r="F8" s="672" t="str">
        <f>'Tinh phi QL'!F48</f>
        <v>Trần Huy A</v>
      </c>
      <c r="G8" s="672" t="str">
        <f>'Tinh phi QL'!F67</f>
        <v>Trần Huy B</v>
      </c>
    </row>
    <row r="9" spans="2:7" s="667" customFormat="1" ht="18.75" customHeight="1">
      <c r="B9" s="826" t="s">
        <v>764</v>
      </c>
      <c r="C9" s="826"/>
      <c r="D9" s="683">
        <f>MAX('Tinh phi QL'!E12,'Tinh phi QL'!E13)</f>
        <v>1000000000</v>
      </c>
      <c r="E9" s="668"/>
      <c r="F9" s="668"/>
      <c r="G9" s="668"/>
    </row>
    <row r="10" spans="2:7" s="667" customFormat="1" ht="24.5" customHeight="1">
      <c r="B10" s="827" t="s">
        <v>941</v>
      </c>
      <c r="C10" s="831"/>
      <c r="D10" s="828"/>
      <c r="E10" s="668"/>
      <c r="F10" s="668"/>
      <c r="G10" s="668"/>
    </row>
    <row r="11" spans="2:7" s="667" customFormat="1" ht="20" customHeight="1">
      <c r="B11" s="832" t="s">
        <v>765</v>
      </c>
      <c r="C11" s="833"/>
      <c r="D11" s="834"/>
      <c r="E11" s="668"/>
      <c r="F11" s="668"/>
      <c r="G11" s="668"/>
    </row>
    <row r="12" spans="2:7" s="667" customFormat="1" ht="20" customHeight="1">
      <c r="B12" s="829" t="s">
        <v>934</v>
      </c>
      <c r="C12" s="830"/>
      <c r="D12" s="683">
        <f>MIN(D9*10%,200000000)</f>
        <v>100000000</v>
      </c>
      <c r="E12" s="668"/>
      <c r="F12" s="668"/>
      <c r="G12" s="668"/>
    </row>
    <row r="13" spans="2:7" s="667" customFormat="1" ht="58.5" customHeight="1">
      <c r="B13" s="829" t="s">
        <v>935</v>
      </c>
      <c r="C13" s="830"/>
      <c r="D13" s="688" t="s">
        <v>936</v>
      </c>
      <c r="E13" s="668"/>
      <c r="F13" s="668"/>
      <c r="G13" s="668"/>
    </row>
    <row r="14" spans="2:7" s="667" customFormat="1" ht="33" customHeight="1">
      <c r="B14" s="832" t="s">
        <v>937</v>
      </c>
      <c r="C14" s="833"/>
      <c r="D14" s="688" t="s">
        <v>938</v>
      </c>
      <c r="E14" s="668"/>
      <c r="F14" s="668"/>
      <c r="G14" s="668"/>
    </row>
    <row r="15" spans="2:7" s="667" customFormat="1" ht="30.5" customHeight="1">
      <c r="B15" s="827" t="s">
        <v>940</v>
      </c>
      <c r="C15" s="828"/>
      <c r="D15" s="688" t="s">
        <v>939</v>
      </c>
      <c r="E15" s="668"/>
      <c r="F15" s="668"/>
      <c r="G15" s="668"/>
    </row>
    <row r="16" spans="2:7" s="667" customFormat="1" ht="18.75" customHeight="1">
      <c r="B16" s="819" t="str">
        <f>'Tinh phi QL'!B14</f>
        <v>Bảo hiểm Tử vong và thương tật do tai nạn</v>
      </c>
      <c r="C16" s="819"/>
      <c r="D16" s="673">
        <f>'Tinh phi QL'!G14</f>
        <v>500000000</v>
      </c>
      <c r="E16" s="673">
        <f>'Tinh phi QL'!G33</f>
        <v>0</v>
      </c>
      <c r="F16" s="673">
        <f>'Tinh phi QL'!G53</f>
        <v>0</v>
      </c>
      <c r="G16" s="673">
        <f>'Tinh phi QL'!G72</f>
        <v>0</v>
      </c>
    </row>
    <row r="17" spans="2:7" s="667" customFormat="1" ht="12.75" customHeight="1">
      <c r="B17" s="818" t="s">
        <v>632</v>
      </c>
      <c r="C17" s="818"/>
      <c r="D17" s="674">
        <f>D16</f>
        <v>500000000</v>
      </c>
      <c r="E17" s="674">
        <f t="shared" ref="E17:G17" si="0">E16</f>
        <v>0</v>
      </c>
      <c r="F17" s="674">
        <f t="shared" si="0"/>
        <v>0</v>
      </c>
      <c r="G17" s="674">
        <f t="shared" si="0"/>
        <v>0</v>
      </c>
    </row>
    <row r="18" spans="2:7" s="667" customFormat="1" ht="12.75" customHeight="1">
      <c r="B18" s="818" t="s">
        <v>633</v>
      </c>
      <c r="C18" s="818"/>
      <c r="D18" s="674">
        <f>D16</f>
        <v>500000000</v>
      </c>
      <c r="E18" s="674">
        <f>E16</f>
        <v>0</v>
      </c>
      <c r="F18" s="674">
        <f>F16</f>
        <v>0</v>
      </c>
      <c r="G18" s="674">
        <f>G16</f>
        <v>0</v>
      </c>
    </row>
    <row r="19" spans="2:7" s="667" customFormat="1" ht="12.75" customHeight="1">
      <c r="B19" s="818" t="s">
        <v>634</v>
      </c>
      <c r="C19" s="818"/>
      <c r="D19" s="674">
        <f>D18*2</f>
        <v>1000000000</v>
      </c>
      <c r="E19" s="674">
        <f>E18*2</f>
        <v>0</v>
      </c>
      <c r="F19" s="674">
        <f>F18*2</f>
        <v>0</v>
      </c>
      <c r="G19" s="674">
        <f>G18*2</f>
        <v>0</v>
      </c>
    </row>
    <row r="20" spans="2:7" s="667" customFormat="1" ht="18.75" customHeight="1">
      <c r="B20" s="819" t="str">
        <f>'Tinh phi QL'!B15</f>
        <v>Bảo hiểm Hỗ trợ chi phí nằm viện</v>
      </c>
      <c r="C20" s="819"/>
      <c r="D20" s="687">
        <f>'Tinh phi QL'!G15</f>
        <v>0</v>
      </c>
      <c r="E20" s="687">
        <f>'Tinh phi QL'!G34</f>
        <v>0</v>
      </c>
      <c r="F20" s="687">
        <f>'Tinh phi QL'!G54</f>
        <v>0</v>
      </c>
      <c r="G20" s="687">
        <f>'Tinh phi QL'!G73</f>
        <v>0</v>
      </c>
    </row>
    <row r="21" spans="2:7" s="667" customFormat="1" ht="38.25" customHeight="1">
      <c r="B21" s="817" t="s">
        <v>766</v>
      </c>
      <c r="C21" s="818"/>
      <c r="D21" s="674">
        <f>D20</f>
        <v>0</v>
      </c>
      <c r="E21" s="674">
        <f t="shared" ref="E21:G21" si="1">E20</f>
        <v>0</v>
      </c>
      <c r="F21" s="674">
        <f t="shared" si="1"/>
        <v>0</v>
      </c>
      <c r="G21" s="674">
        <f t="shared" si="1"/>
        <v>0</v>
      </c>
    </row>
    <row r="22" spans="2:7" s="667" customFormat="1" ht="24.75" customHeight="1">
      <c r="B22" s="817" t="s">
        <v>767</v>
      </c>
      <c r="C22" s="818"/>
      <c r="D22" s="674">
        <f>D21/2</f>
        <v>0</v>
      </c>
      <c r="E22" s="674">
        <f t="shared" ref="E22:G22" si="2">E21/2</f>
        <v>0</v>
      </c>
      <c r="F22" s="674">
        <f t="shared" si="2"/>
        <v>0</v>
      </c>
      <c r="G22" s="674">
        <f t="shared" si="2"/>
        <v>0</v>
      </c>
    </row>
    <row r="23" spans="2:7" s="667" customFormat="1" ht="23.25" customHeight="1">
      <c r="B23" s="817" t="s">
        <v>768</v>
      </c>
      <c r="C23" s="817"/>
      <c r="D23" s="674">
        <f>D20*2</f>
        <v>0</v>
      </c>
      <c r="E23" s="674">
        <f t="shared" ref="E23:G23" si="3">E20*2</f>
        <v>0</v>
      </c>
      <c r="F23" s="674">
        <f t="shared" si="3"/>
        <v>0</v>
      </c>
      <c r="G23" s="674">
        <f t="shared" si="3"/>
        <v>0</v>
      </c>
    </row>
    <row r="24" spans="2:7" s="667" customFormat="1" ht="15.75" customHeight="1">
      <c r="B24" s="819" t="str">
        <f>'Tinh phi QL'!B35</f>
        <v>Bảo hiểm Toàn diện Bệnh hiểm nghèo 2.0</v>
      </c>
      <c r="C24" s="819"/>
      <c r="D24" s="673">
        <f>'Tinh phi QL'!G16</f>
        <v>300000000</v>
      </c>
      <c r="E24" s="673">
        <f>'Tinh phi QL'!G35</f>
        <v>0</v>
      </c>
      <c r="F24" s="673">
        <f>'Tinh phi QL'!G55</f>
        <v>0</v>
      </c>
      <c r="G24" s="673">
        <f>'Tinh phi QL'!G74</f>
        <v>0</v>
      </c>
    </row>
    <row r="25" spans="2:7" s="667" customFormat="1" ht="13.5" customHeight="1">
      <c r="B25" s="818" t="s">
        <v>769</v>
      </c>
      <c r="C25" s="818"/>
      <c r="D25" s="674">
        <f>D24*0.3</f>
        <v>90000000</v>
      </c>
      <c r="E25" s="674">
        <f t="shared" ref="E25:G25" si="4">E24*0.3</f>
        <v>0</v>
      </c>
      <c r="F25" s="674">
        <f t="shared" si="4"/>
        <v>0</v>
      </c>
      <c r="G25" s="674">
        <f t="shared" si="4"/>
        <v>0</v>
      </c>
    </row>
    <row r="26" spans="2:7" s="667" customFormat="1" ht="13.5" customHeight="1">
      <c r="B26" s="818" t="s">
        <v>770</v>
      </c>
      <c r="C26" s="818"/>
      <c r="D26" s="674">
        <f>D24*0.6</f>
        <v>180000000</v>
      </c>
      <c r="E26" s="674">
        <f t="shared" ref="E26:G26" si="5">E24*0.6</f>
        <v>0</v>
      </c>
      <c r="F26" s="674">
        <f t="shared" si="5"/>
        <v>0</v>
      </c>
      <c r="G26" s="674">
        <f t="shared" si="5"/>
        <v>0</v>
      </c>
    </row>
    <row r="27" spans="2:7" s="667" customFormat="1" ht="13.5" customHeight="1">
      <c r="B27" s="818" t="s">
        <v>771</v>
      </c>
      <c r="C27" s="818"/>
      <c r="D27" s="674">
        <f>D24</f>
        <v>300000000</v>
      </c>
      <c r="E27" s="674">
        <f t="shared" ref="E27:G27" si="6">E24</f>
        <v>0</v>
      </c>
      <c r="F27" s="674">
        <f t="shared" si="6"/>
        <v>0</v>
      </c>
      <c r="G27" s="674">
        <f t="shared" si="6"/>
        <v>0</v>
      </c>
    </row>
    <row r="28" spans="2:7" s="667" customFormat="1" ht="13.5" customHeight="1">
      <c r="B28" s="818" t="s">
        <v>772</v>
      </c>
      <c r="C28" s="818"/>
      <c r="D28" s="674">
        <f>D26</f>
        <v>180000000</v>
      </c>
      <c r="E28" s="674">
        <f t="shared" ref="E28:G28" si="7">E26</f>
        <v>0</v>
      </c>
      <c r="F28" s="674">
        <f t="shared" si="7"/>
        <v>0</v>
      </c>
      <c r="G28" s="674">
        <f t="shared" si="7"/>
        <v>0</v>
      </c>
    </row>
    <row r="29" spans="2:7" s="667" customFormat="1" ht="13.5" customHeight="1">
      <c r="B29" s="818" t="s">
        <v>773</v>
      </c>
      <c r="C29" s="818"/>
      <c r="D29" s="675">
        <f>D24*0.2</f>
        <v>60000000</v>
      </c>
      <c r="E29" s="675">
        <f t="shared" ref="E29:G29" si="8">E24*0.2</f>
        <v>0</v>
      </c>
      <c r="F29" s="675">
        <f t="shared" si="8"/>
        <v>0</v>
      </c>
      <c r="G29" s="675">
        <f t="shared" si="8"/>
        <v>0</v>
      </c>
    </row>
    <row r="30" spans="2:7" s="667" customFormat="1" ht="17.25" customHeight="1">
      <c r="B30" s="819" t="str">
        <f>'Tinh phi QL'!B25</f>
        <v>Bảo hiểm tử kỳ gia hạn hàng năm</v>
      </c>
      <c r="C30" s="819"/>
      <c r="D30" s="673">
        <f>'Tinh phi QL'!G25</f>
        <v>0</v>
      </c>
      <c r="E30" s="673">
        <f>'Tinh phi QL'!G44</f>
        <v>0</v>
      </c>
      <c r="F30" s="673">
        <f>'Tinh phi QL'!G64</f>
        <v>0</v>
      </c>
      <c r="G30" s="673">
        <f>'Tinh phi QL'!G83</f>
        <v>0</v>
      </c>
    </row>
    <row r="31" spans="2:7" s="667" customFormat="1" ht="17.25" customHeight="1">
      <c r="B31" s="839" t="s">
        <v>788</v>
      </c>
      <c r="C31" s="826"/>
      <c r="D31" s="673" t="str">
        <f>'Tinh phi QL'!G17</f>
        <v>Nâng cao</v>
      </c>
      <c r="E31" s="673">
        <f>'Tinh phi QL'!G36</f>
        <v>0</v>
      </c>
      <c r="F31" s="673">
        <f>'Tinh phi QL'!G56</f>
        <v>0</v>
      </c>
      <c r="G31" s="673">
        <f>'Tinh phi QL'!G75</f>
        <v>0</v>
      </c>
    </row>
    <row r="32" spans="2:7" s="667" customFormat="1" ht="27" customHeight="1">
      <c r="B32" s="835" t="s">
        <v>774</v>
      </c>
      <c r="C32" s="836"/>
      <c r="D32" s="673">
        <f>IF(D31=0,0,VLOOKUP('Tinh phi QL'!$G$17,The!$A$6:$R$9,2,0))</f>
        <v>350000000</v>
      </c>
      <c r="E32" s="673">
        <f>IF(E31=0,0,VLOOKUP('Tinh phi QL'!$G$36,The!$A$6:$R$9,2,0))</f>
        <v>0</v>
      </c>
      <c r="F32" s="673">
        <f>IF(F31=0,0,VLOOKUP('Tinh phi QL'!$G$56,The!$A$6:$R$9,2,0))</f>
        <v>0</v>
      </c>
      <c r="G32" s="673">
        <f>IF(G31=0,0,VLOOKUP('Tinh phi QL'!$G$75,The!$A$6:$R$9,2,0))</f>
        <v>0</v>
      </c>
    </row>
    <row r="33" spans="2:7" s="667" customFormat="1" ht="11.25" customHeight="1">
      <c r="B33" s="818" t="s">
        <v>790</v>
      </c>
      <c r="C33" s="818"/>
      <c r="D33" s="675">
        <f>IF(D31=0,0,VLOOKUP('Tinh phi QL'!$G$17,The!$A$6:$R$9,3,0))</f>
        <v>2000000</v>
      </c>
      <c r="E33" s="675">
        <f>IF(E31=0,0,VLOOKUP('Tinh phi QL'!$G$36,The!$A$6:$R$9,3,0))</f>
        <v>0</v>
      </c>
      <c r="F33" s="675">
        <f>IF(F31=0,0,VLOOKUP('Tinh phi QL'!$G$56,The!$A$6:$R$9,3,0))</f>
        <v>0</v>
      </c>
      <c r="G33" s="675">
        <f>IF(G31=0,0,VLOOKUP('Tinh phi QL'!$G$75,The!$A$6:$R$9,3,0))</f>
        <v>0</v>
      </c>
    </row>
    <row r="34" spans="2:7" s="667" customFormat="1" ht="11.25" customHeight="1">
      <c r="B34" s="840" t="s">
        <v>789</v>
      </c>
      <c r="C34" s="840"/>
      <c r="D34" s="676" t="str">
        <f>IF(D31=0,0,VLOOKUP('Tinh phi QL'!$G$17,The!$A$6:$R$9,4,0))</f>
        <v>Chi phí thực tế</v>
      </c>
      <c r="E34" s="676">
        <f>IF(E31=0,0,VLOOKUP('Tinh phi QL'!$G$36,The!$A$6:$R$9,4,0))</f>
        <v>0</v>
      </c>
      <c r="F34" s="676">
        <f>IF(F31=0,0,VLOOKUP('Tinh phi QL'!$G$56,The!$A$6:$R$9,4,0))</f>
        <v>0</v>
      </c>
      <c r="G34" s="676">
        <f>IF(G31=0,0,VLOOKUP('Tinh phi QL'!$G$75,The!$A$6:$R$9,4,0))</f>
        <v>0</v>
      </c>
    </row>
    <row r="35" spans="2:7" s="667" customFormat="1" ht="24.75" customHeight="1">
      <c r="B35" s="817" t="s">
        <v>791</v>
      </c>
      <c r="C35" s="817"/>
      <c r="D35" s="675">
        <f>IF(D31=0,0,VLOOKUP('Tinh phi QL'!$G$17,The!$A$6:$R$9,5,0))</f>
        <v>250000</v>
      </c>
      <c r="E35" s="675">
        <f>IF(E31=0,0,VLOOKUP('Tinh phi QL'!$G$36,The!$A$6:$R$9,5,0))</f>
        <v>0</v>
      </c>
      <c r="F35" s="675">
        <f>IF(F31=0,0,VLOOKUP('Tinh phi QL'!$G$56,The!$A$6:$R$9,5,0))</f>
        <v>0</v>
      </c>
      <c r="G35" s="675">
        <f>IF(G31=0,0,VLOOKUP('Tinh phi QL'!$G$75,The!$A$6:$R$9,5,0))</f>
        <v>0</v>
      </c>
    </row>
    <row r="36" spans="2:7" s="667" customFormat="1" ht="13.5" customHeight="1">
      <c r="B36" s="817" t="s">
        <v>792</v>
      </c>
      <c r="C36" s="817"/>
      <c r="D36" s="675">
        <f>IF(D31="cơ bản",150000,IF(D31="nâng cao",250000,IF(D31="toàn diện",400000,IF(D31="Hoàn hảo",600000,0))))</f>
        <v>250000</v>
      </c>
      <c r="E36" s="675">
        <f t="shared" ref="E36:G36" si="9">IF(E31="cơ bản",150000,IF(E31="nâng cao",250000,IF(E31="toàn diện",400000,IF(E31="Hoàn hảo",600000,0))))</f>
        <v>0</v>
      </c>
      <c r="F36" s="675">
        <f t="shared" si="9"/>
        <v>0</v>
      </c>
      <c r="G36" s="675">
        <f t="shared" si="9"/>
        <v>0</v>
      </c>
    </row>
    <row r="37" spans="2:7" s="667" customFormat="1" ht="11.25" customHeight="1">
      <c r="B37" s="840" t="s">
        <v>793</v>
      </c>
      <c r="C37" s="840"/>
      <c r="D37" s="676" t="str">
        <f>IF(D31=0,0,VLOOKUP('Tinh phi QL'!$G$17,The!$A$6:$R$9,6,0))</f>
        <v>Chi phí thực tế</v>
      </c>
      <c r="E37" s="676">
        <f>IF(E31=0,0,VLOOKUP('Tinh phi QL'!$G$36,The!$A$6:$R$9,6,0))</f>
        <v>0</v>
      </c>
      <c r="F37" s="676">
        <f>IF(F31=0,0,VLOOKUP('Tinh phi QL'!$G$56,The!$A$6:$R$9,6,0))</f>
        <v>0</v>
      </c>
      <c r="G37" s="676">
        <f>IF(G31=0,0,VLOOKUP('Tinh phi QL'!$G$75,The!$A$6:$R$9,6,0))</f>
        <v>0</v>
      </c>
    </row>
    <row r="38" spans="2:7" s="667" customFormat="1" ht="11.25" customHeight="1">
      <c r="B38" s="840" t="s">
        <v>794</v>
      </c>
      <c r="C38" s="840"/>
      <c r="D38" s="676" t="str">
        <f>IF(D31=0,0,VLOOKUP('Tinh phi QL'!$G$17,The!$A$6:$R$9,7,0))</f>
        <v>Chi phí thực tế</v>
      </c>
      <c r="E38" s="676">
        <f>IF(E31=0,0,VLOOKUP('Tinh phi QL'!$G$36,The!$A$6:$R$9,7,0))</f>
        <v>0</v>
      </c>
      <c r="F38" s="676">
        <f>IF(F31=0,0,VLOOKUP('Tinh phi QL'!$G$56,The!$A$6:$R$9,7,0))</f>
        <v>0</v>
      </c>
      <c r="G38" s="676">
        <f>IF(G31=0,0,VLOOKUP('Tinh phi QL'!$G$75,The!$A$6:$R$9,7,0))</f>
        <v>0</v>
      </c>
    </row>
    <row r="39" spans="2:7" s="667" customFormat="1" ht="11.25" customHeight="1">
      <c r="B39" s="840" t="s">
        <v>641</v>
      </c>
      <c r="C39" s="840"/>
      <c r="D39" s="676" t="str">
        <f>IF(D31=0,0,VLOOKUP('Tinh phi QL'!$G$17,The!$A$6:$R$9,8,0))</f>
        <v>Chi phí thực tế</v>
      </c>
      <c r="E39" s="676">
        <f>IF(E31=0,0,VLOOKUP('Tinh phi QL'!$G$36,The!$A$6:$R$9,8,0))</f>
        <v>0</v>
      </c>
      <c r="F39" s="676">
        <f>IF(F31=0,0,VLOOKUP('Tinh phi QL'!$G$56,The!$A$6:$R$9,8,0))</f>
        <v>0</v>
      </c>
      <c r="G39" s="676">
        <f>IF(G31=0,0,VLOOKUP('Tinh phi QL'!$G$75,The!$A$6:$R$9,8,0))</f>
        <v>0</v>
      </c>
    </row>
    <row r="40" spans="2:7" s="667" customFormat="1" ht="11.25" customHeight="1">
      <c r="B40" s="840" t="s">
        <v>642</v>
      </c>
      <c r="C40" s="840"/>
      <c r="D40" s="676" t="str">
        <f>IF(D31=0,0,VLOOKUP('Tinh phi QL'!$G$17,The!$A$6:$R$9,9,0))</f>
        <v>Chi phí thực tế</v>
      </c>
      <c r="E40" s="676">
        <f>IF(E31=0,0,VLOOKUP('Tinh phi QL'!$G$36,The!$A$6:$R$9,9,0))</f>
        <v>0</v>
      </c>
      <c r="F40" s="676">
        <f>IF(F31=0,0,VLOOKUP('Tinh phi QL'!$G$56,The!$A$6:$R$9,9,0))</f>
        <v>0</v>
      </c>
      <c r="G40" s="676">
        <f>IF(G31=0,0,VLOOKUP('Tinh phi QL'!$G$75,The!$A$6:$R$9,9,0))</f>
        <v>0</v>
      </c>
    </row>
    <row r="41" spans="2:7" s="667" customFormat="1" ht="11.25" customHeight="1">
      <c r="B41" s="840" t="s">
        <v>795</v>
      </c>
      <c r="C41" s="840"/>
      <c r="D41" s="675">
        <f>IF(D31=0,0,VLOOKUP('Tinh phi QL'!$G$17,The!$A$6:$R$9,10,0))</f>
        <v>250000</v>
      </c>
      <c r="E41" s="675">
        <f>IF(E31=0,0,VLOOKUP('Tinh phi QL'!$G$36,The!$A$6:$R$9,10,0))</f>
        <v>0</v>
      </c>
      <c r="F41" s="675">
        <f>IF(F31=0,0,VLOOKUP('Tinh phi QL'!$G$56,The!$A$6:$R$9,10,0))</f>
        <v>0</v>
      </c>
      <c r="G41" s="675">
        <f>IF(G31=0,0,VLOOKUP('Tinh phi QL'!$G$75,The!$A$6:$R$9,10,0))</f>
        <v>0</v>
      </c>
    </row>
    <row r="42" spans="2:7" s="667" customFormat="1" ht="11.25" customHeight="1">
      <c r="B42" s="840" t="s">
        <v>644</v>
      </c>
      <c r="C42" s="840"/>
      <c r="D42" s="676" t="str">
        <f>IF(D31=0,0,VLOOKUP('Tinh phi QL'!$G$17,The!$A$6:$R$9,11,0))</f>
        <v>Chi phí thực tế</v>
      </c>
      <c r="E42" s="676">
        <f>IF(E31=0,0,VLOOKUP('Tinh phi QL'!$G$36,The!$A$6:$R$9,11,0))</f>
        <v>0</v>
      </c>
      <c r="F42" s="676">
        <f>IF(F31=0,0,VLOOKUP('Tinh phi QL'!$G$56,The!$A$6:$R$9,11,0))</f>
        <v>0</v>
      </c>
      <c r="G42" s="676">
        <f>IF(G31=0,0,VLOOKUP('Tinh phi QL'!$G$75,The!$A$6:$R$9,11,0))</f>
        <v>0</v>
      </c>
    </row>
    <row r="43" spans="2:7" s="667" customFormat="1" ht="11.25" customHeight="1">
      <c r="B43" s="841" t="s">
        <v>645</v>
      </c>
      <c r="C43" s="842"/>
      <c r="D43" s="677" t="str">
        <f>IF(D31=0,0,VLOOKUP('Tinh phi QL'!$G$17,The!$A$6:$R$9,12,0))</f>
        <v>50% chi phí phẫu thuật</v>
      </c>
      <c r="E43" s="677">
        <f>IF(E31=0,0,VLOOKUP('Tinh phi QL'!$G$36,The!$A$6:$R$9,12,0))</f>
        <v>0</v>
      </c>
      <c r="F43" s="677">
        <f>IF(F31=0,0,VLOOKUP('Tinh phi QL'!$G$56,The!$A$6:$R$9,12,0))</f>
        <v>0</v>
      </c>
      <c r="G43" s="677">
        <f>IF(G31=0,0,VLOOKUP('Tinh phi QL'!$G$75,The!$A$6:$R$9,12,0))</f>
        <v>0</v>
      </c>
    </row>
    <row r="44" spans="2:7" s="667" customFormat="1" ht="11.25" customHeight="1">
      <c r="B44" s="841" t="s">
        <v>647</v>
      </c>
      <c r="C44" s="842"/>
      <c r="D44" s="676" t="str">
        <f>IF(D31=0,0,VLOOKUP('Tinh phi QL'!$G$17,The!$A$6:$R$9,13,0))</f>
        <v>Chi phí thực tế</v>
      </c>
      <c r="E44" s="676">
        <f>IF(E31=0,0,VLOOKUP('Tinh phi QL'!$G$36,The!$A$6:$R$9,13,0))</f>
        <v>0</v>
      </c>
      <c r="F44" s="676">
        <f>IF(F31=0,0,VLOOKUP('Tinh phi QL'!$G$56,The!$A$6:$R$9,13,0))</f>
        <v>0</v>
      </c>
      <c r="G44" s="676">
        <f>IF(G31=0,0,VLOOKUP('Tinh phi QL'!$G$75,The!$A$6:$R$9,13,0))</f>
        <v>0</v>
      </c>
    </row>
    <row r="45" spans="2:7" s="667" customFormat="1" ht="23.25" customHeight="1">
      <c r="B45" s="841" t="s">
        <v>796</v>
      </c>
      <c r="C45" s="842"/>
      <c r="D45" s="675">
        <f>IF(D31=0,0,VLOOKUP('Tinh phi QL'!$G$17,The!$A$6:$R$9,14,0))</f>
        <v>2500000</v>
      </c>
      <c r="E45" s="675">
        <f>IF(E31=0,0,VLOOKUP('Tinh phi QL'!$G$36,The!$A$6:$R$9,14,0))</f>
        <v>0</v>
      </c>
      <c r="F45" s="675">
        <f>IF(F31=0,0,VLOOKUP('Tinh phi QL'!$G$56,The!$A$6:$R$9,14,0))</f>
        <v>0</v>
      </c>
      <c r="G45" s="675">
        <f>IF(G31=0,0,VLOOKUP('Tinh phi QL'!$G$75,The!$A$6:$R$9,14,0))</f>
        <v>0</v>
      </c>
    </row>
    <row r="46" spans="2:7" s="667" customFormat="1" ht="11.25" customHeight="1">
      <c r="B46" s="841" t="s">
        <v>649</v>
      </c>
      <c r="C46" s="842"/>
      <c r="D46" s="675">
        <f>IF(D31=0,0,VLOOKUP('Tinh phi QL'!$G$17,The!$A$6:$R$9,15,0))</f>
        <v>7000000</v>
      </c>
      <c r="E46" s="675">
        <f>IF(E31=0,0,VLOOKUP('Tinh phi QL'!$G$36,The!$A$6:$R$9,15,0))</f>
        <v>0</v>
      </c>
      <c r="F46" s="675">
        <f>IF(F31=0,0,VLOOKUP('Tinh phi QL'!$G$56,The!$A$6:$R$9,15,0))</f>
        <v>0</v>
      </c>
      <c r="G46" s="675">
        <f>IF(G31=0,0,VLOOKUP('Tinh phi QL'!$G$75,The!$A$6:$R$9,15,0))</f>
        <v>0</v>
      </c>
    </row>
    <row r="47" spans="2:7" s="667" customFormat="1" ht="11.25" customHeight="1">
      <c r="B47" s="841" t="s">
        <v>797</v>
      </c>
      <c r="C47" s="842"/>
      <c r="D47" s="678" t="str">
        <f>IF(D31="cơ bản","Không áp dụng",IF(D31="nâng cao","Không áp dụng",IF(D31="toàn diện",25000000,IF(D31="Hoàn hảo",50000000,0))))</f>
        <v>Không áp dụng</v>
      </c>
      <c r="E47" s="678">
        <f t="shared" ref="E47:G47" si="10">IF(E31="cơ bản","Không áp dụng",IF(E31="nâng cao","Không áp dụng",IF(E31="toàn diện",25000000,IF(E31="Hoàn hảo",50000000,0))))</f>
        <v>0</v>
      </c>
      <c r="F47" s="678">
        <f t="shared" si="10"/>
        <v>0</v>
      </c>
      <c r="G47" s="678">
        <f t="shared" si="10"/>
        <v>0</v>
      </c>
    </row>
    <row r="48" spans="2:7" ht="11.25" customHeight="1">
      <c r="B48" s="841" t="s">
        <v>650</v>
      </c>
      <c r="C48" s="842"/>
      <c r="D48" s="676" t="str">
        <f>IF(D31=0,0,VLOOKUP('Tinh phi QL'!$G$17,The!$A$6:$R$9,16,0))</f>
        <v>Chi phí thực tế</v>
      </c>
      <c r="E48" s="676">
        <f>IF(E31=0,0,VLOOKUP('Tinh phi QL'!$G$36,The!$A$6:$R$9,16,0))</f>
        <v>0</v>
      </c>
      <c r="F48" s="676">
        <f>IF(F31=0,0,VLOOKUP('Tinh phi QL'!$G$56,The!$A$6:$R$9,16,0))</f>
        <v>0</v>
      </c>
      <c r="G48" s="676">
        <f>IF(G31=0,0,VLOOKUP('Tinh phi QL'!$G$75,The!$A$6:$R$9,16,0))</f>
        <v>0</v>
      </c>
    </row>
    <row r="49" spans="2:7" ht="11.25" customHeight="1">
      <c r="B49" s="845" t="str">
        <f>The!Q5</f>
        <v>Điều trị cấp cứu do tai nạn hoặc bệnh</v>
      </c>
      <c r="C49" s="846"/>
      <c r="D49" s="675">
        <f>IF(D31=0,0,VLOOKUP('Tinh phi QL'!$G$17,The!$A$6:$R$9,17,0))</f>
        <v>6000000</v>
      </c>
      <c r="E49" s="675">
        <f>IF(E31=0,0,VLOOKUP('Tinh phi QL'!$G$36,The!$A$6:$R$9,17,0))</f>
        <v>0</v>
      </c>
      <c r="F49" s="675">
        <f>IF(F31=0,0,VLOOKUP('Tinh phi QL'!$G$56,The!$A$6:$R$9,17,0))</f>
        <v>0</v>
      </c>
      <c r="G49" s="675">
        <f>IF(G31=0,0,VLOOKUP('Tinh phi QL'!$G$75,The!$A$6:$R$9,17,0))</f>
        <v>0</v>
      </c>
    </row>
    <row r="50" spans="2:7" ht="11.25" customHeight="1">
      <c r="B50" s="845" t="str">
        <f>The!R5</f>
        <v>Vận chuyển cấp cứu do tai nạn hoặc bệnh</v>
      </c>
      <c r="C50" s="846"/>
      <c r="D50" s="675">
        <f>IF(D31=0,0,VLOOKUP('Tinh phi QL'!$G$17,The!$A$6:$R$9,18,0))</f>
        <v>3000000</v>
      </c>
      <c r="E50" s="675">
        <f>IF(E31=0,0,VLOOKUP('Tinh phi QL'!$G$36,The!$A$6:$R$9,18,0))</f>
        <v>0</v>
      </c>
      <c r="F50" s="675">
        <f>IF(F31=0,0,VLOOKUP('Tinh phi QL'!$G$56,The!$A$6:$R$9,18,0))</f>
        <v>0</v>
      </c>
      <c r="G50" s="675">
        <f>IF(G31=0,0,VLOOKUP('Tinh phi QL'!$G$75,The!$A$6:$R$9,18,0))</f>
        <v>0</v>
      </c>
    </row>
    <row r="51" spans="2:7" ht="15" customHeight="1">
      <c r="B51" s="837" t="s">
        <v>663</v>
      </c>
      <c r="C51" s="838"/>
      <c r="D51" s="673">
        <f>IF('Tinh phi QL'!G19=0,0,VLOOKUP('Tinh phi QL'!$G$19,The!$A$18:$D$21,2,0))</f>
        <v>0</v>
      </c>
      <c r="E51" s="673">
        <f>IF('Tinh phi QL'!G38=0,0,VLOOKUP('Tinh phi QL'!$G$38,The!$A$18:$D$21,2,0))</f>
        <v>0</v>
      </c>
      <c r="F51" s="673">
        <f>IF('Tinh phi QL'!G58=0,0,VLOOKUP('Tinh phi QL'!$G$58,The!$A$18:$D$21,2,0))</f>
        <v>0</v>
      </c>
      <c r="G51" s="673">
        <f>IF('Tinh phi QL'!G77=0,0,VLOOKUP('Tinh phi QL'!$G$77,The!$A$18:$D$21,2,0))</f>
        <v>0</v>
      </c>
    </row>
    <row r="52" spans="2:7" ht="11.25" customHeight="1">
      <c r="B52" s="845" t="str">
        <f>The!C17</f>
        <v>Khám bệnh, xét nghiệm, chẩn đoán hình ảnh, thuốc theo toa, vật lý trị liệu</v>
      </c>
      <c r="C52" s="846"/>
      <c r="D52" s="675">
        <f>IF('Tinh phi QL'!G19=0,0,VLOOKUP('Tinh phi QL'!$G$19,The!$A$18:$D$21,3,0))</f>
        <v>0</v>
      </c>
      <c r="E52" s="675">
        <f>IF('Tinh phi QL'!G38=0,0,VLOOKUP('Tinh phi QL'!$G$38,The!$A$18:$D$21,3,0))</f>
        <v>0</v>
      </c>
      <c r="F52" s="675">
        <f>IF('Tinh phi QL'!G58=0,0,VLOOKUP('Tinh phi QL'!$G$58,The!$A$18:$D$21,3,0))</f>
        <v>0</v>
      </c>
      <c r="G52" s="675">
        <f>IF('Tinh phi QL'!G77=0,0,VLOOKUP('Tinh phi QL'!$G$77,The!$A$18:$D$21,3,0))</f>
        <v>0</v>
      </c>
    </row>
    <row r="53" spans="2:7" ht="11.25" customHeight="1">
      <c r="B53" s="845" t="str">
        <f>The!D17</f>
        <v>Tư vấn điều trị sức khỏe tâm thần</v>
      </c>
      <c r="C53" s="846"/>
      <c r="D53" s="675">
        <f>IF('Tinh phi QL'!G19=0,0,VLOOKUP('Tinh phi QL'!$G$19,The!$A$18:$D$21,4,0))</f>
        <v>0</v>
      </c>
      <c r="E53" s="675">
        <f>IF('Tinh phi QL'!G38=0,0,VLOOKUP('Tinh phi QL'!$G$38,The!$A$18:$D$21,4,0))</f>
        <v>0</v>
      </c>
      <c r="F53" s="675">
        <f>IF('Tinh phi QL'!G58=0,0,VLOOKUP('Tinh phi QL'!$G$58,The!$A$18:$D$21,3,0))</f>
        <v>0</v>
      </c>
      <c r="G53" s="675">
        <f>IF('Tinh phi QL'!G77=0,0,VLOOKUP('Tinh phi QL'!$G$77,The!$A$18:$D$21,3,0))</f>
        <v>0</v>
      </c>
    </row>
    <row r="54" spans="2:7" ht="14.25" customHeight="1">
      <c r="B54" s="839" t="s">
        <v>659</v>
      </c>
      <c r="C54" s="839"/>
      <c r="D54" s="673" t="str">
        <f>IF(D31=0,0,IF(D31="Hoàn Hảo",40000000,IF(D31="toàn diện",25000000,"Không áp dụng")))</f>
        <v>Không áp dụng</v>
      </c>
      <c r="E54" s="673">
        <f t="shared" ref="E54:G54" si="11">IF(E31=0,0,IF(E31="Hoàn Hảo",40000000,IF(E31="toàn diện",25000000,"Không áp dụng")))</f>
        <v>0</v>
      </c>
      <c r="F54" s="673">
        <f t="shared" si="11"/>
        <v>0</v>
      </c>
      <c r="G54" s="673">
        <f t="shared" si="11"/>
        <v>0</v>
      </c>
    </row>
    <row r="55" spans="2:7" ht="11.25" customHeight="1">
      <c r="B55" s="843" t="str">
        <f>The!C11</f>
        <v>Khám thai (tối đa 8 lần/ năm)</v>
      </c>
      <c r="C55" s="844"/>
      <c r="D55" s="678" t="str">
        <f>IF(D31="Hoàn Hảo",3000000,IF(D31="toàn diện",1000000,"Không áp dụng"))</f>
        <v>Không áp dụng</v>
      </c>
      <c r="E55" s="678" t="str">
        <f t="shared" ref="E55:G55" si="12">IF(E31="Hoàn Hảo",3000000,IF(E31="toàn diện",1000000,"Không áp dụng"))</f>
        <v>Không áp dụng</v>
      </c>
      <c r="F55" s="678" t="str">
        <f t="shared" si="12"/>
        <v>Không áp dụng</v>
      </c>
      <c r="G55" s="678" t="str">
        <f t="shared" si="12"/>
        <v>Không áp dụng</v>
      </c>
    </row>
    <row r="56" spans="2:7" ht="11.25" customHeight="1">
      <c r="B56" s="843" t="str">
        <f>The!D11</f>
        <v>Phòng và giường (tối đa 100 ngày/ năm)</v>
      </c>
      <c r="C56" s="844"/>
      <c r="D56" s="678" t="str">
        <f>IF(D31="Hoàn Hảo",5500000,IF(D31="toàn diện",3500000,"Không áp dụng"))</f>
        <v>Không áp dụng</v>
      </c>
      <c r="E56" s="678" t="str">
        <f t="shared" ref="E56:G56" si="13">IF(E31="Hoàn Hảo",5500000,IF(E31="toàn diện",3500000,"Không áp dụng"))</f>
        <v>Không áp dụng</v>
      </c>
      <c r="F56" s="678" t="str">
        <f t="shared" si="13"/>
        <v>Không áp dụng</v>
      </c>
      <c r="G56" s="678" t="str">
        <f t="shared" si="13"/>
        <v>Không áp dụng</v>
      </c>
    </row>
    <row r="57" spans="2:7" ht="11.25" customHeight="1">
      <c r="B57" s="843" t="str">
        <f>The!E11</f>
        <v>Phòng chăm sóc đặc biệt</v>
      </c>
      <c r="C57" s="844"/>
      <c r="D57" s="676" t="str">
        <f>IF(OR(D31="Hoàn Hảo",D31="toàn diện"),"Chi phí thực tế","Không áp dụng")</f>
        <v>Không áp dụng</v>
      </c>
      <c r="E57" s="676" t="str">
        <f t="shared" ref="E57:G57" si="14">IF(OR(E31="Hoàn Hảo",E31="toàn diện"),"Chi phí thực tế","Không áp dụng")</f>
        <v>Không áp dụng</v>
      </c>
      <c r="F57" s="676" t="str">
        <f t="shared" si="14"/>
        <v>Không áp dụng</v>
      </c>
      <c r="G57" s="676" t="str">
        <f t="shared" si="14"/>
        <v>Không áp dụng</v>
      </c>
    </row>
    <row r="58" spans="2:7" ht="11.25" customHeight="1">
      <c r="B58" s="843" t="str">
        <f>The!F11</f>
        <v>Sinh thường hoặc sinh mổ theo chỉ định của bác sĩ</v>
      </c>
      <c r="C58" s="844"/>
      <c r="D58" s="676" t="str">
        <f>IF(OR(D31="Hoàn Hảo",D31="toàn diện"),"Chi phí thực tế","Không áp dụng")</f>
        <v>Không áp dụng</v>
      </c>
      <c r="E58" s="676" t="str">
        <f t="shared" ref="E58:G58" si="15">IF(OR(E31="Hoàn Hảo",E31="toàn diện"),"Chi phí thực tế","Không áp dụng")</f>
        <v>Không áp dụng</v>
      </c>
      <c r="F58" s="676" t="str">
        <f t="shared" si="15"/>
        <v>Không áp dụng</v>
      </c>
      <c r="G58" s="676" t="str">
        <f t="shared" si="15"/>
        <v>Không áp dụng</v>
      </c>
    </row>
    <row r="59" spans="2:7" ht="11.25" customHeight="1">
      <c r="B59" s="843" t="str">
        <f>The!G11</f>
        <v>Biến chứng thai sản</v>
      </c>
      <c r="C59" s="844"/>
      <c r="D59" s="676" t="str">
        <f>IF(OR(D31="Hoàn Hảo",D31="toàn diện"),"Chi phí thực tế","Không áp dụng")</f>
        <v>Không áp dụng</v>
      </c>
      <c r="E59" s="676" t="str">
        <f t="shared" ref="E59:G59" si="16">IF(OR(E31="Hoàn Hảo",E31="toàn diện"),"Chi phí thực tế","Không áp dụng")</f>
        <v>Không áp dụng</v>
      </c>
      <c r="F59" s="676" t="str">
        <f t="shared" si="16"/>
        <v>Không áp dụng</v>
      </c>
      <c r="G59" s="676" t="str">
        <f t="shared" si="16"/>
        <v>Không áp dụng</v>
      </c>
    </row>
    <row r="60" spans="2:7" ht="11.25" customHeight="1">
      <c r="B60" s="845" t="str">
        <f>The!H11</f>
        <v>Chăm sóc trẻ sơ sinh trong vòng 7 ngày sau khi sinh</v>
      </c>
      <c r="C60" s="846"/>
      <c r="D60" s="676" t="str">
        <f>IF(OR(D31="Hoàn Hảo",D31="toàn diện"),"Chi phí thực tế","Không áp dụng")</f>
        <v>Không áp dụng</v>
      </c>
      <c r="E60" s="676" t="str">
        <f t="shared" ref="E60:G60" si="17">IF(OR(E31="Hoàn Hảo",E31="toàn diện"),"Chi phí thực tế","Không áp dụng")</f>
        <v>Không áp dụng</v>
      </c>
      <c r="F60" s="676" t="str">
        <f t="shared" si="17"/>
        <v>Không áp dụng</v>
      </c>
      <c r="G60" s="676" t="str">
        <f t="shared" si="17"/>
        <v>Không áp dụng</v>
      </c>
    </row>
    <row r="61" spans="2:7" ht="14.25" customHeight="1">
      <c r="B61" s="837" t="s">
        <v>775</v>
      </c>
      <c r="C61" s="838"/>
      <c r="D61" s="673">
        <f>'Tinh phi QL'!G21</f>
        <v>0</v>
      </c>
      <c r="E61" s="673">
        <f>'Tinh phi QL'!G40</f>
        <v>0</v>
      </c>
      <c r="F61" s="673">
        <f>'Tinh phi QL'!G60</f>
        <v>0</v>
      </c>
      <c r="G61" s="673">
        <f>'Tinh phi QL'!G79</f>
        <v>0</v>
      </c>
    </row>
    <row r="62" spans="2:7" ht="14.25" customHeight="1">
      <c r="B62" s="847" t="s">
        <v>776</v>
      </c>
      <c r="C62" s="848"/>
      <c r="D62" s="679">
        <f>IF(D61="Hoàn hảo",10000000,IF(D61="toàn diện",5000000,IF(D61="Nâng cao",2000000,IF(D61="Cơ bản",1000000,0))))</f>
        <v>0</v>
      </c>
      <c r="E62" s="679">
        <f t="shared" ref="E62:G62" si="18">IF(E61="Hoàn hảo",10000000,IF(E61="toàn diện",5000000,IF(E61="Nâng cao",2000000,IF(E61="Cơ bản",1000000,0))))</f>
        <v>0</v>
      </c>
      <c r="F62" s="679">
        <f t="shared" si="18"/>
        <v>0</v>
      </c>
      <c r="G62" s="679">
        <f t="shared" si="18"/>
        <v>0</v>
      </c>
    </row>
    <row r="63" spans="2:7" ht="111.75" customHeight="1">
      <c r="B63" s="847" t="s">
        <v>777</v>
      </c>
      <c r="C63" s="848"/>
      <c r="D63" s="684">
        <f>IF(D61&lt;&gt;0,"Chi trả 80% chi phí thực tế",0)</f>
        <v>0</v>
      </c>
      <c r="E63" s="680">
        <f t="shared" ref="E63:G63" si="19">IF(E61&lt;&gt;0,"Chi trả 80% chi phí thực tế",0)</f>
        <v>0</v>
      </c>
      <c r="F63" s="680">
        <f t="shared" si="19"/>
        <v>0</v>
      </c>
      <c r="G63" s="680">
        <f t="shared" si="19"/>
        <v>0</v>
      </c>
    </row>
    <row r="64" spans="2:7" ht="14.25" customHeight="1">
      <c r="B64" s="823" t="str">
        <f>'Tinh phi QL'!B45</f>
        <v>Bảo hiểm Miễn thu phí - phiên bản 3.0</v>
      </c>
      <c r="C64" s="824"/>
      <c r="D64" s="669"/>
      <c r="E64" s="685">
        <f>IF('Tinh phi QL'!F45="có",'Tinh phi QL'!G45,0)</f>
        <v>0</v>
      </c>
      <c r="F64" s="670"/>
      <c r="G64" s="669"/>
    </row>
    <row r="65" spans="2:7" ht="14.25" customHeight="1">
      <c r="B65" s="814" t="s">
        <v>868</v>
      </c>
      <c r="C65" s="815"/>
      <c r="D65" s="815"/>
      <c r="E65" s="815"/>
      <c r="F65" s="815"/>
      <c r="G65" s="816"/>
    </row>
    <row r="66" spans="2:7" ht="15" customHeight="1">
      <c r="B66" s="822" t="s">
        <v>844</v>
      </c>
      <c r="C66" s="822"/>
      <c r="D66" s="686">
        <f ca="1">MAX('Tinh phi QL'!H13*'Tinh phi QL'!D13,'Tinh phi QL'!H12*'Tinh phi QL'!D12)</f>
        <v>200000000</v>
      </c>
      <c r="E66" s="805"/>
      <c r="F66" s="806"/>
      <c r="G66" s="807"/>
    </row>
    <row r="67" spans="2:7" ht="15" customHeight="1">
      <c r="B67" s="822" t="s">
        <v>863</v>
      </c>
      <c r="C67" s="822"/>
      <c r="D67" s="686">
        <f ca="1">IF(AND('Tinh phi QL'!H12&lt;&gt;0,'Tinh phi QL'!H13=0),VLOOKUP('Tinh phi QL'!D12,KTVBVPhi20nam!B4:AJ23,35,0)*1000,VLOOKUP('Tinh phi QL'!D13,KTVBVPhi20nam!B4:AJ23,35,0)*1000)</f>
        <v>165340000</v>
      </c>
      <c r="E67" s="808"/>
      <c r="F67" s="809"/>
      <c r="G67" s="810"/>
    </row>
    <row r="68" spans="2:7" ht="15" customHeight="1">
      <c r="B68" s="822" t="s">
        <v>864</v>
      </c>
      <c r="C68" s="822"/>
      <c r="D68" s="686">
        <f ca="1">D66+D67</f>
        <v>365340000</v>
      </c>
      <c r="E68" s="808"/>
      <c r="F68" s="809"/>
      <c r="G68" s="810"/>
    </row>
    <row r="69" spans="2:7" ht="15" customHeight="1">
      <c r="B69" s="822" t="s">
        <v>866</v>
      </c>
      <c r="C69" s="822"/>
      <c r="D69" s="686">
        <f ca="1">ROUND(IF(AND('Tinh phi QL'!H13=0,'Tinh phi QL'!B12="Khỏe Trọn Vẹn - Bền Vững"),KTVBVGTTKcamket!M21*1000,IF(AND('Tinh phi QL'!H13=0,'Tinh phi QL'!B12="Khỏe Trọn Vẹn - Tối Ưu"),KTVTUGTTKcamket!M21*1000,IF(AND('Tinh phi QL'!H13=0,'Tinh phi QL'!B12="Khỏe Trọn Vẹn - Toàn diện"),KTVTDGTTKcamket!M21*1000,IF(AND('Tinh phi QL'!H13=0,'Tinh phi QL'!B12="Khỏe Trọn Vẹn - Trọn đời"),KTVTRDGTTKcamket!M21*1000,IF(AND('Tinh phi QL'!H12=0,'Tinh phi QL'!B13="Vững Tương lai"),VTLGTTKcamket!M21*1000,IF(AND('Tinh phi QL'!H12=0,'Tinh phi QL'!B13="Khỏe bình an"),KBAGTTKcamket!M21*1000,0)))))),-3)</f>
        <v>96509000</v>
      </c>
      <c r="E69" s="808"/>
      <c r="F69" s="809"/>
      <c r="G69" s="810"/>
    </row>
    <row r="70" spans="2:7" ht="15" customHeight="1">
      <c r="B70" s="822" t="s">
        <v>821</v>
      </c>
      <c r="C70" s="822"/>
      <c r="D70" s="686">
        <f ca="1">ROUND(IF(AND('Tinh phi QL'!H13=0,'Tinh phi QL'!B12="Khỏe Trọn Vẹn - Bền Vững"),KTVBVGTTKcamket!M26*1000,IF(AND('Tinh phi QL'!H13=0,'Tinh phi QL'!B12="Khỏe Trọn Vẹn - Toàn diện"),KTVTDGTTKcamket!M26*1000,IF(AND('Tinh phi QL'!H13=0,'Tinh phi QL'!B12="Khỏe Trọn Vẹn - Tối Ưu"),KTVTUGTTKcamket!M26*1000,IF(AND('Tinh phi QL'!H13=0,'Tinh phi QL'!B12="Khỏe Trọn Vẹn - Trọn đời"),KTVTRDGTTKcamket!M26*1000,IF(AND('Tinh phi QL'!H12=0,'Tinh phi QL'!B13="Vững Tương lai"),VTLGTTKcamket!M26*1000,IF(AND('Tinh phi QL'!H12=0,'Tinh phi QL'!B13="Khỏe bình an"),KBAGTTKcamket!M26*1000,0)))))),-3)</f>
        <v>116342000</v>
      </c>
      <c r="E70" s="808"/>
      <c r="F70" s="809"/>
      <c r="G70" s="810"/>
    </row>
    <row r="71" spans="2:7" ht="15" customHeight="1">
      <c r="B71" s="822" t="s">
        <v>867</v>
      </c>
      <c r="C71" s="822"/>
      <c r="D71" s="686">
        <f ca="1">ROUND(IF(AND('Tinh phi QL'!H13=0,'Tinh phi QL'!B12="Khỏe Trọn Vẹn - Bền Vững"),KTVBVGTTKMH!M21*1000,IF(AND('Tinh phi QL'!H13=0,'Tinh phi QL'!B12="Khỏe Trọn Vẹn - Toàn diện"),KTVTDGTTKMH!M21*1000,IF(AND('Tinh phi QL'!H13=0,'Tinh phi QL'!B12="Khỏe Trọn Vẹn - Tối Ưu"),KTVTUGTTKMH!M21*1000,IF(AND('Tinh phi QL'!H13=0,'Tinh phi QL'!B12="Khỏe Trọn Vẹn - Trọn đời"),KTVTRDGTTKMH!M21*1000,IF(AND('Tinh phi QL'!H12=0,'Tinh phi QL'!B13="Vững Tương lai"),VTLGTTKMH!M21*1000,IF(AND('Tinh phi QL'!H12=0,'Tinh phi QL'!B13="Khỏe bình an"),KBAGTTKMH!M21*1000,0)))))),-3)</f>
        <v>127283000</v>
      </c>
      <c r="E71" s="808"/>
      <c r="F71" s="809"/>
      <c r="G71" s="810"/>
    </row>
    <row r="72" spans="2:7" ht="15" customHeight="1">
      <c r="B72" s="822" t="s">
        <v>865</v>
      </c>
      <c r="C72" s="822"/>
      <c r="D72" s="686">
        <f ca="1">ROUND(IF(AND('Tinh phi QL'!H13=0,'Tinh phi QL'!B12="Khỏe Trọn Vẹn - Bền Vững"),KTVBVGTTKMH!M26*1000,IF(AND('Tinh phi QL'!H13=0,'Tinh phi QL'!B12="Khỏe Trọn Vẹn - Toàn diện"),KTVTDGTTKMH!M26*1000,IF(AND('Tinh phi QL'!H13=0,'Tinh phi QL'!B12="Khỏe Trọn Vẹn - Tối Ưu"),KTVTUGTTKMH!M26*1000,IF(AND('Tinh phi QL'!H13=0,'Tinh phi QL'!B12="Khỏe Trọn Vẹn - Trọn đời"),KTVTRDGTTKMH!M26*1000,IF(AND('Tinh phi QL'!H12=0,'Tinh phi QL'!B13="Vững Tương lai"),VTLGTTKMH!M26*1000,IF(AND('Tinh phi QL'!H12=0,'Tinh phi QL'!B13="Khỏe bình an"),KBAGTTKMH!M26*1000,0)))))),-3)</f>
        <v>181045000</v>
      </c>
      <c r="E72" s="811"/>
      <c r="F72" s="812"/>
      <c r="G72" s="813"/>
    </row>
    <row r="73" spans="2:7" ht="24.75" customHeight="1">
      <c r="B73" s="696" t="s">
        <v>20</v>
      </c>
      <c r="C73" s="696"/>
      <c r="D73" s="696"/>
      <c r="E73" s="696"/>
      <c r="F73" s="696"/>
      <c r="G73" s="696"/>
    </row>
    <row r="74" spans="2:7" ht="6" customHeight="1"/>
    <row r="75" spans="2:7">
      <c r="B75" s="856" t="s">
        <v>947</v>
      </c>
      <c r="C75" s="856"/>
      <c r="D75" s="853" t="s">
        <v>949</v>
      </c>
    </row>
    <row r="76" spans="2:7">
      <c r="B76" s="856"/>
      <c r="C76" s="856"/>
      <c r="D76" s="853"/>
    </row>
    <row r="77" spans="2:7">
      <c r="B77" s="697"/>
      <c r="C77" s="697"/>
      <c r="D77" s="698" t="s">
        <v>950</v>
      </c>
    </row>
    <row r="78" spans="2:7" ht="13" customHeight="1">
      <c r="B78" s="857" t="s">
        <v>948</v>
      </c>
      <c r="C78" s="857"/>
      <c r="D78" s="699"/>
    </row>
    <row r="79" spans="2:7" ht="13" customHeight="1">
      <c r="B79" s="857"/>
      <c r="C79" s="857"/>
      <c r="D79" s="854" t="s">
        <v>951</v>
      </c>
    </row>
    <row r="80" spans="2:7" ht="13" customHeight="1">
      <c r="B80" s="857"/>
      <c r="C80" s="857"/>
      <c r="D80" s="854"/>
    </row>
    <row r="81" spans="2:4">
      <c r="B81" s="857"/>
      <c r="C81" s="857"/>
      <c r="D81" s="697" t="s">
        <v>952</v>
      </c>
    </row>
    <row r="82" spans="2:4">
      <c r="B82" s="857"/>
      <c r="C82" s="857"/>
      <c r="D82" s="698"/>
    </row>
    <row r="83" spans="2:4">
      <c r="B83" s="857"/>
      <c r="C83" s="857"/>
      <c r="D83" s="855" t="s">
        <v>953</v>
      </c>
    </row>
    <row r="84" spans="2:4" ht="13" customHeight="1">
      <c r="B84" s="857"/>
      <c r="C84" s="857"/>
      <c r="D84" s="855"/>
    </row>
    <row r="85" spans="2:4" ht="13" customHeight="1">
      <c r="B85" s="857"/>
      <c r="C85" s="857"/>
      <c r="D85" s="697" t="s">
        <v>954</v>
      </c>
    </row>
    <row r="86" spans="2:4" ht="13" customHeight="1">
      <c r="B86" s="857"/>
      <c r="C86" s="857"/>
      <c r="D86" s="699"/>
    </row>
    <row r="87" spans="2:4">
      <c r="B87" s="857"/>
      <c r="C87" s="857"/>
      <c r="D87" s="854">
        <v>1</v>
      </c>
    </row>
    <row r="88" spans="2:4">
      <c r="B88" s="857"/>
      <c r="C88" s="857"/>
      <c r="D88" s="854"/>
    </row>
    <row r="89" spans="2:4" ht="26">
      <c r="B89" s="857"/>
      <c r="C89" s="857"/>
      <c r="D89" s="700" t="s">
        <v>955</v>
      </c>
    </row>
  </sheetData>
  <sheetProtection algorithmName="SHA-512" hashValue="wc1flgSAtjH63MZGQQNzUJhoK5iR6da1RIIGGefchdC2FP2rd5ed/cYQrZqI/9HmIjiPmLBbTjxz8pyHvbDRZQ==" saltValue="U8cVeT354OhIdj6Xhm9ZYg==" spinCount="100000" sheet="1" formatCells="0" formatColumns="0" formatRows="0" insertRows="0" deleteRows="0"/>
  <mergeCells count="78">
    <mergeCell ref="D75:D76"/>
    <mergeCell ref="D79:D80"/>
    <mergeCell ref="D83:D84"/>
    <mergeCell ref="D87:D88"/>
    <mergeCell ref="B75:C76"/>
    <mergeCell ref="B78:C89"/>
    <mergeCell ref="C2:D2"/>
    <mergeCell ref="C3:D3"/>
    <mergeCell ref="C4:D4"/>
    <mergeCell ref="C5:D5"/>
    <mergeCell ref="C6:D6"/>
    <mergeCell ref="B62:C62"/>
    <mergeCell ref="B63:C63"/>
    <mergeCell ref="B56:C56"/>
    <mergeCell ref="B57:C57"/>
    <mergeCell ref="B58:C58"/>
    <mergeCell ref="B59:C59"/>
    <mergeCell ref="B60:C60"/>
    <mergeCell ref="B61:C61"/>
    <mergeCell ref="B54:C54"/>
    <mergeCell ref="B55:C55"/>
    <mergeCell ref="B49:C49"/>
    <mergeCell ref="B50:C50"/>
    <mergeCell ref="B42:C42"/>
    <mergeCell ref="B48:C48"/>
    <mergeCell ref="B44:C44"/>
    <mergeCell ref="B46:C46"/>
    <mergeCell ref="B45:C45"/>
    <mergeCell ref="B52:C52"/>
    <mergeCell ref="B53:C53"/>
    <mergeCell ref="B33:C33"/>
    <mergeCell ref="B34:C34"/>
    <mergeCell ref="B35:C35"/>
    <mergeCell ref="B37:C37"/>
    <mergeCell ref="B38:C38"/>
    <mergeCell ref="B43:C43"/>
    <mergeCell ref="B36:C36"/>
    <mergeCell ref="B47:C47"/>
    <mergeCell ref="B40:C40"/>
    <mergeCell ref="B41:C41"/>
    <mergeCell ref="B10:D10"/>
    <mergeCell ref="B11:D11"/>
    <mergeCell ref="B13:C13"/>
    <mergeCell ref="B14:C14"/>
    <mergeCell ref="B20:C20"/>
    <mergeCell ref="B19:C19"/>
    <mergeCell ref="B7:C7"/>
    <mergeCell ref="B72:C72"/>
    <mergeCell ref="B70:C70"/>
    <mergeCell ref="B64:C64"/>
    <mergeCell ref="B66:C66"/>
    <mergeCell ref="B68:C68"/>
    <mergeCell ref="B67:C67"/>
    <mergeCell ref="B69:C69"/>
    <mergeCell ref="B71:C71"/>
    <mergeCell ref="B8:C8"/>
    <mergeCell ref="B9:C9"/>
    <mergeCell ref="B16:C16"/>
    <mergeCell ref="B17:C17"/>
    <mergeCell ref="B18:C18"/>
    <mergeCell ref="B15:C15"/>
    <mergeCell ref="B12:C12"/>
    <mergeCell ref="E66:G72"/>
    <mergeCell ref="B65:G65"/>
    <mergeCell ref="B21:C21"/>
    <mergeCell ref="B22:C22"/>
    <mergeCell ref="B23:C23"/>
    <mergeCell ref="B24:C24"/>
    <mergeCell ref="B25:C25"/>
    <mergeCell ref="B32:C32"/>
    <mergeCell ref="B51:C51"/>
    <mergeCell ref="B26:C26"/>
    <mergeCell ref="B27:C27"/>
    <mergeCell ref="B28:C28"/>
    <mergeCell ref="B30:C30"/>
    <mergeCell ref="B31:C31"/>
    <mergeCell ref="B29:C29"/>
    <mergeCell ref="B39:C39"/>
  </mergeCells>
  <phoneticPr fontId="36" type="noConversion"/>
  <conditionalFormatting sqref="B37 B38:C42 B66:D72">
    <cfRule type="expression" dxfId="345" priority="13">
      <formula>MOD(ROW(),2)&gt;0</formula>
    </cfRule>
  </conditionalFormatting>
  <conditionalFormatting sqref="B37 B66:C72">
    <cfRule type="expression" dxfId="344" priority="14">
      <formula>MOD(ROW(),2)&gt;0</formula>
    </cfRule>
  </conditionalFormatting>
  <conditionalFormatting sqref="B43:B53">
    <cfRule type="expression" dxfId="343" priority="8">
      <formula>MOD(ROW(),2)&gt;0</formula>
    </cfRule>
    <cfRule type="expression" dxfId="342" priority="9">
      <formula>MOD(ROW(),2)&gt;0</formula>
    </cfRule>
  </conditionalFormatting>
  <conditionalFormatting sqref="B55:B65">
    <cfRule type="expression" dxfId="341" priority="1">
      <formula>MOD(ROW(),2)&gt;0</formula>
    </cfRule>
    <cfRule type="expression" dxfId="340" priority="2">
      <formula>MOD(ROW(),2)&gt;0</formula>
    </cfRule>
  </conditionalFormatting>
  <conditionalFormatting sqref="B9:C9 B10:B15">
    <cfRule type="expression" dxfId="339" priority="27">
      <formula>MOD(ROW(),2)&gt;0</formula>
    </cfRule>
  </conditionalFormatting>
  <conditionalFormatting sqref="B16:C31 B32">
    <cfRule type="expression" dxfId="338" priority="18">
      <formula>MOD(ROW(),2)&gt;0</formula>
    </cfRule>
  </conditionalFormatting>
  <conditionalFormatting sqref="B33:C36">
    <cfRule type="expression" dxfId="337" priority="10">
      <formula>MOD(ROW(),2)&gt;0</formula>
    </cfRule>
    <cfRule type="expression" dxfId="336" priority="11">
      <formula>MOD(ROW(),2)&gt;0</formula>
    </cfRule>
  </conditionalFormatting>
  <conditionalFormatting sqref="B38:C42">
    <cfRule type="expression" dxfId="335" priority="15">
      <formula>MOD(ROW(),2)&gt;0</formula>
    </cfRule>
  </conditionalFormatting>
  <conditionalFormatting sqref="B54:C54">
    <cfRule type="expression" dxfId="334" priority="6">
      <formula>MOD(ROW(),2)&gt;0</formula>
    </cfRule>
    <cfRule type="expression" dxfId="333" priority="7">
      <formula>MOD(ROW(),2)&gt;0</formula>
    </cfRule>
  </conditionalFormatting>
  <conditionalFormatting sqref="B9:G9 E10:G11 B10:B15 D12:G15">
    <cfRule type="expression" dxfId="332" priority="30">
      <formula>MOD(ROW(),2)&gt;0</formula>
    </cfRule>
  </conditionalFormatting>
  <conditionalFormatting sqref="B16:G31 B32">
    <cfRule type="expression" dxfId="331" priority="20">
      <formula>MOD(ROW(),2)&gt;0</formula>
    </cfRule>
  </conditionalFormatting>
  <conditionalFormatting sqref="D32:G63">
    <cfRule type="expression" dxfId="330" priority="3">
      <formula>MOD(ROW(),2)&gt;0</formula>
    </cfRule>
  </conditionalFormatting>
  <pageMargins left="0.25" right="0.25"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4C8E58-0345-49FD-B30A-CC5F33B422E7}">
  <dimension ref="A1:I280"/>
  <sheetViews>
    <sheetView showGridLines="0" zoomScale="85" zoomScaleNormal="85" workbookViewId="0">
      <selection sqref="A1:G1"/>
    </sheetView>
  </sheetViews>
  <sheetFormatPr defaultColWidth="9.296875" defaultRowHeight="14"/>
  <cols>
    <col min="1" max="1" width="9.69921875" style="66" customWidth="1"/>
    <col min="2" max="2" width="11" style="66" customWidth="1"/>
    <col min="3" max="3" width="6.5" style="66" customWidth="1"/>
    <col min="4" max="9" width="13.796875" style="66" customWidth="1"/>
    <col min="10" max="16384" width="9.296875" style="66"/>
  </cols>
  <sheetData>
    <row r="1" spans="1:9" ht="17.25" customHeight="1">
      <c r="A1" s="858"/>
      <c r="B1" s="858"/>
      <c r="C1" s="858"/>
      <c r="D1" s="858"/>
      <c r="E1" s="858"/>
      <c r="F1" s="858"/>
      <c r="G1" s="858"/>
      <c r="H1" s="859"/>
      <c r="I1" s="860"/>
    </row>
    <row r="2" spans="1:9" ht="5.25" customHeight="1">
      <c r="A2" s="598"/>
      <c r="B2" s="598"/>
      <c r="C2" s="598"/>
      <c r="D2" s="598"/>
      <c r="E2" s="598"/>
      <c r="F2" s="598"/>
      <c r="G2" s="598"/>
      <c r="H2" s="598"/>
      <c r="I2" s="598"/>
    </row>
    <row r="3" spans="1:9" ht="40.5" customHeight="1">
      <c r="A3" s="861" t="s">
        <v>219</v>
      </c>
      <c r="B3" s="861"/>
      <c r="C3" s="861"/>
      <c r="D3" s="861"/>
      <c r="E3" s="861"/>
      <c r="F3" s="861"/>
      <c r="G3" s="861"/>
      <c r="H3" s="861"/>
      <c r="I3" s="861"/>
    </row>
    <row r="4" spans="1:9" ht="3.75" customHeight="1">
      <c r="A4" s="123"/>
      <c r="B4" s="123"/>
      <c r="C4" s="123"/>
      <c r="D4" s="123"/>
      <c r="E4" s="123"/>
      <c r="F4" s="123"/>
      <c r="G4" s="123"/>
      <c r="H4" s="123"/>
      <c r="I4" s="123"/>
    </row>
    <row r="5" spans="1:9" ht="14.25" customHeight="1">
      <c r="A5" s="862" t="s">
        <v>220</v>
      </c>
      <c r="B5" s="862"/>
      <c r="C5" s="862"/>
      <c r="D5" s="862"/>
      <c r="E5" s="862"/>
      <c r="F5" s="862"/>
      <c r="G5" s="862"/>
      <c r="H5" s="862"/>
      <c r="I5" s="862"/>
    </row>
    <row r="6" spans="1:9" ht="3.75" customHeight="1">
      <c r="A6" s="124"/>
      <c r="B6" s="124"/>
      <c r="C6" s="124"/>
      <c r="D6" s="124"/>
      <c r="E6" s="124"/>
      <c r="F6" s="124"/>
      <c r="G6" s="124"/>
      <c r="H6" s="124"/>
      <c r="I6" s="124"/>
    </row>
    <row r="7" spans="1:9" ht="15" customHeight="1">
      <c r="A7" s="863" t="s">
        <v>105</v>
      </c>
      <c r="B7" s="863"/>
      <c r="C7" s="863"/>
      <c r="D7" s="863"/>
      <c r="E7" s="863"/>
      <c r="F7" s="863"/>
      <c r="G7" s="863"/>
      <c r="H7" s="864">
        <f ca="1">TODAY()</f>
        <v>46229</v>
      </c>
      <c r="I7" s="864"/>
    </row>
    <row r="8" spans="1:9" ht="9" customHeight="1">
      <c r="A8" s="598"/>
      <c r="B8" s="598"/>
      <c r="C8" s="598"/>
      <c r="D8" s="598"/>
      <c r="E8" s="598"/>
      <c r="F8" s="598"/>
      <c r="G8" s="598"/>
      <c r="H8" s="125"/>
      <c r="I8" s="125"/>
    </row>
    <row r="9" spans="1:9" ht="24" customHeight="1">
      <c r="A9" s="126" t="s">
        <v>221</v>
      </c>
      <c r="B9" s="126"/>
      <c r="C9" s="126"/>
      <c r="D9" s="601" t="str">
        <f>CHUNG!K4</f>
        <v>TRAN</v>
      </c>
      <c r="E9" s="601" t="str">
        <f>CHUNG!R4</f>
        <v>VAN</v>
      </c>
      <c r="F9" s="601" t="str">
        <f>CHUNG!Y4</f>
        <v>HUY</v>
      </c>
      <c r="G9" s="601" t="str">
        <f>CHUNG!AF4</f>
        <v xml:space="preserve"> </v>
      </c>
      <c r="H9" s="601" t="str">
        <f>CHUNG!AM4</f>
        <v xml:space="preserve"> </v>
      </c>
      <c r="I9" s="601" t="str">
        <f>CHUNG!AT4</f>
        <v xml:space="preserve"> </v>
      </c>
    </row>
    <row r="10" spans="1:9" ht="24" customHeight="1">
      <c r="A10" s="126" t="s">
        <v>222</v>
      </c>
      <c r="B10" s="126"/>
      <c r="C10" s="126"/>
      <c r="D10" s="127">
        <f>CHUNG!C4</f>
        <v>15</v>
      </c>
      <c r="E10" s="127">
        <f>CHUNG!E4</f>
        <v>8</v>
      </c>
      <c r="F10" s="127">
        <f>CHUNG!H4</f>
        <v>1995</v>
      </c>
      <c r="G10" s="127"/>
      <c r="H10" s="127"/>
      <c r="I10" s="535"/>
    </row>
    <row r="11" spans="1:9" ht="12.75" customHeight="1">
      <c r="A11" s="128"/>
      <c r="B11" s="128"/>
      <c r="C11" s="128"/>
      <c r="D11" s="128"/>
      <c r="E11" s="128"/>
      <c r="F11" s="128"/>
      <c r="G11" s="129"/>
      <c r="H11" s="129"/>
      <c r="I11" s="129"/>
    </row>
    <row r="12" spans="1:9" ht="30.75" customHeight="1">
      <c r="A12" s="876" t="s">
        <v>223</v>
      </c>
      <c r="B12" s="876"/>
      <c r="C12" s="876"/>
      <c r="D12" s="876"/>
      <c r="E12" s="876"/>
      <c r="F12" s="876"/>
      <c r="G12" s="876"/>
      <c r="H12" s="876"/>
      <c r="I12" s="876"/>
    </row>
    <row r="13" spans="1:9" ht="12.75" customHeight="1">
      <c r="A13" s="98"/>
      <c r="B13" s="98"/>
      <c r="C13" s="98"/>
      <c r="D13" s="98"/>
      <c r="E13" s="98"/>
      <c r="F13" s="98"/>
      <c r="G13" s="98"/>
      <c r="H13" s="98"/>
      <c r="I13" s="98"/>
    </row>
    <row r="14" spans="1:9" ht="372" customHeight="1">
      <c r="A14" s="877" t="s">
        <v>224</v>
      </c>
      <c r="B14" s="877"/>
      <c r="C14" s="877"/>
      <c r="D14" s="877"/>
      <c r="E14" s="877"/>
      <c r="F14" s="877"/>
      <c r="G14" s="877"/>
      <c r="H14" s="877"/>
      <c r="I14" s="877"/>
    </row>
    <row r="15" spans="1:9" ht="33" customHeight="1">
      <c r="A15" s="877"/>
      <c r="B15" s="877"/>
      <c r="C15" s="877"/>
      <c r="D15" s="877"/>
      <c r="E15" s="877"/>
      <c r="F15" s="877"/>
      <c r="G15" s="877"/>
      <c r="H15" s="877"/>
      <c r="I15" s="877"/>
    </row>
    <row r="16" spans="1:9" ht="52.5" customHeight="1">
      <c r="A16" s="877"/>
      <c r="B16" s="877"/>
      <c r="C16" s="877"/>
      <c r="D16" s="877"/>
      <c r="E16" s="877"/>
      <c r="F16" s="877"/>
      <c r="G16" s="877"/>
      <c r="H16" s="877"/>
      <c r="I16" s="877"/>
    </row>
    <row r="17" spans="1:9" ht="52.5" customHeight="1">
      <c r="A17" s="878" t="s">
        <v>225</v>
      </c>
      <c r="B17" s="878"/>
      <c r="C17" s="878"/>
      <c r="D17" s="878"/>
      <c r="E17" s="878"/>
      <c r="F17" s="878"/>
      <c r="G17" s="878"/>
      <c r="H17" s="878"/>
      <c r="I17" s="878"/>
    </row>
    <row r="18" spans="1:9" ht="8.25" customHeight="1">
      <c r="A18" s="599"/>
      <c r="B18" s="599"/>
      <c r="C18" s="599"/>
      <c r="D18" s="599"/>
      <c r="E18" s="599"/>
      <c r="F18" s="599"/>
      <c r="G18" s="599"/>
      <c r="H18" s="599"/>
      <c r="I18" s="599"/>
    </row>
    <row r="19" spans="1:9" ht="6.75" customHeight="1">
      <c r="A19" s="599"/>
      <c r="B19" s="599"/>
      <c r="C19" s="599"/>
      <c r="D19" s="599"/>
      <c r="E19" s="599"/>
      <c r="F19" s="599"/>
      <c r="G19" s="599"/>
      <c r="H19" s="599"/>
      <c r="I19" s="599"/>
    </row>
    <row r="20" spans="1:9" ht="6" hidden="1" customHeight="1">
      <c r="A20" s="599"/>
      <c r="B20" s="599"/>
      <c r="C20" s="599"/>
      <c r="D20" s="599"/>
      <c r="E20" s="599"/>
      <c r="F20" s="599"/>
      <c r="G20" s="599"/>
      <c r="H20" s="599"/>
      <c r="I20" s="599"/>
    </row>
    <row r="21" spans="1:9" ht="49.5" customHeight="1">
      <c r="A21" s="861" t="s">
        <v>226</v>
      </c>
      <c r="B21" s="861"/>
      <c r="C21" s="861"/>
      <c r="D21" s="861"/>
      <c r="E21" s="861"/>
      <c r="F21" s="861"/>
      <c r="G21" s="861"/>
      <c r="H21" s="861"/>
      <c r="I21" s="861"/>
    </row>
    <row r="22" spans="1:9" ht="9.75" customHeight="1">
      <c r="A22" s="123"/>
      <c r="B22" s="123"/>
      <c r="C22" s="123"/>
      <c r="D22" s="123"/>
      <c r="E22" s="123"/>
      <c r="F22" s="123"/>
      <c r="G22" s="123"/>
      <c r="H22" s="123"/>
      <c r="I22" s="123"/>
    </row>
    <row r="23" spans="1:9" ht="27" customHeight="1">
      <c r="A23" s="126" t="s">
        <v>221</v>
      </c>
      <c r="B23" s="126"/>
      <c r="C23" s="126"/>
      <c r="D23" s="601" t="str">
        <f t="shared" ref="D23:I23" si="0">D9</f>
        <v>TRAN</v>
      </c>
      <c r="E23" s="601" t="str">
        <f t="shared" si="0"/>
        <v>VAN</v>
      </c>
      <c r="F23" s="601" t="str">
        <f t="shared" si="0"/>
        <v>HUY</v>
      </c>
      <c r="G23" s="601" t="str">
        <f t="shared" si="0"/>
        <v xml:space="preserve"> </v>
      </c>
      <c r="H23" s="601" t="str">
        <f t="shared" si="0"/>
        <v xml:space="preserve"> </v>
      </c>
      <c r="I23" s="601" t="str">
        <f t="shared" si="0"/>
        <v xml:space="preserve"> </v>
      </c>
    </row>
    <row r="24" spans="1:9" ht="27" customHeight="1">
      <c r="A24" s="126" t="s">
        <v>222</v>
      </c>
      <c r="B24" s="126"/>
      <c r="C24" s="126"/>
      <c r="D24" s="601">
        <f>D10</f>
        <v>15</v>
      </c>
      <c r="E24" s="601">
        <f>E10</f>
        <v>8</v>
      </c>
      <c r="F24" s="601">
        <f>F10</f>
        <v>1995</v>
      </c>
      <c r="G24" s="601"/>
      <c r="H24" s="601"/>
      <c r="I24" s="601"/>
    </row>
    <row r="25" spans="1:9" s="79" customFormat="1" ht="7.5" customHeight="1">
      <c r="A25" s="188"/>
      <c r="B25" s="188"/>
      <c r="C25" s="188"/>
      <c r="D25" s="188"/>
      <c r="E25" s="188"/>
      <c r="F25" s="188"/>
      <c r="G25" s="879">
        <f>CHUNG!H4+G36</f>
        <v>2029</v>
      </c>
      <c r="H25" s="880"/>
      <c r="I25" s="98">
        <f>IF(I26=11,11,IF(I26=22,4,IF(I26=33,6,IF(I26&lt;10,I26,0))))</f>
        <v>2</v>
      </c>
    </row>
    <row r="26" spans="1:9" ht="47.25" customHeight="1">
      <c r="A26" s="881" t="s">
        <v>166</v>
      </c>
      <c r="B26" s="881"/>
      <c r="C26" s="881"/>
      <c r="D26" s="881"/>
      <c r="E26" s="881"/>
      <c r="F26" s="881"/>
      <c r="G26" s="881"/>
      <c r="H26" s="881"/>
      <c r="I26" s="610">
        <f>CHUNG!B12</f>
        <v>2</v>
      </c>
    </row>
    <row r="27" spans="1:9" ht="47.25" customHeight="1">
      <c r="A27" s="870" t="s">
        <v>167</v>
      </c>
      <c r="B27" s="870"/>
      <c r="C27" s="870"/>
      <c r="D27" s="870"/>
      <c r="E27" s="870"/>
      <c r="F27" s="870"/>
      <c r="G27" s="870"/>
      <c r="H27" s="870"/>
      <c r="I27" s="611">
        <f>CHUNG!K12</f>
        <v>9</v>
      </c>
    </row>
    <row r="28" spans="1:9" ht="47.25" customHeight="1">
      <c r="A28" s="871" t="s">
        <v>168</v>
      </c>
      <c r="B28" s="871"/>
      <c r="C28" s="871"/>
      <c r="D28" s="871"/>
      <c r="E28" s="871"/>
      <c r="F28" s="871"/>
      <c r="G28" s="871"/>
      <c r="H28" s="871"/>
      <c r="I28" s="612">
        <f>CHUNG!BB12</f>
        <v>5</v>
      </c>
    </row>
    <row r="29" spans="1:9" ht="47.25" customHeight="1">
      <c r="A29" s="872" t="s">
        <v>169</v>
      </c>
      <c r="B29" s="872"/>
      <c r="C29" s="872"/>
      <c r="D29" s="872"/>
      <c r="E29" s="872"/>
      <c r="F29" s="872"/>
      <c r="G29" s="872"/>
      <c r="H29" s="872"/>
      <c r="I29" s="613">
        <f>CHUNG!CS12</f>
        <v>4</v>
      </c>
    </row>
    <row r="30" spans="1:9" ht="47.25" customHeight="1">
      <c r="A30" s="873" t="s">
        <v>177</v>
      </c>
      <c r="B30" s="873"/>
      <c r="C30" s="873"/>
      <c r="D30" s="873"/>
      <c r="E30" s="873"/>
      <c r="F30" s="873"/>
      <c r="G30" s="873"/>
      <c r="H30" s="873"/>
      <c r="I30" s="610">
        <f>CHUNG!H17</f>
        <v>6</v>
      </c>
    </row>
    <row r="31" spans="1:9" ht="47.25" customHeight="1">
      <c r="A31" s="874" t="s">
        <v>178</v>
      </c>
      <c r="B31" s="874"/>
      <c r="C31" s="874"/>
      <c r="D31" s="874"/>
      <c r="E31" s="874"/>
      <c r="F31" s="874"/>
      <c r="G31" s="874"/>
      <c r="H31" s="874"/>
      <c r="I31" s="614">
        <f>CHUNG!AL17</f>
        <v>5</v>
      </c>
    </row>
    <row r="32" spans="1:9" ht="47.25" customHeight="1">
      <c r="A32" s="875" t="s">
        <v>184</v>
      </c>
      <c r="B32" s="875"/>
      <c r="C32" s="875"/>
      <c r="D32" s="875"/>
      <c r="E32" s="875"/>
      <c r="F32" s="875"/>
      <c r="G32" s="875"/>
      <c r="H32" s="875"/>
      <c r="I32" s="615">
        <f>CHUNG!H22</f>
        <v>11</v>
      </c>
    </row>
    <row r="33" spans="1:9" ht="47.25" customHeight="1">
      <c r="A33" s="888" t="s">
        <v>185</v>
      </c>
      <c r="B33" s="888"/>
      <c r="C33" s="888"/>
      <c r="D33" s="888"/>
      <c r="E33" s="888"/>
      <c r="F33" s="888"/>
      <c r="G33" s="888"/>
      <c r="H33" s="888"/>
      <c r="I33" s="616">
        <f ca="1">CHUNG!AL22</f>
        <v>6</v>
      </c>
    </row>
    <row r="34" spans="1:9" ht="47.25" customHeight="1">
      <c r="A34" s="889" t="s">
        <v>186</v>
      </c>
      <c r="B34" s="889"/>
      <c r="C34" s="889"/>
      <c r="D34" s="889"/>
      <c r="E34" s="889"/>
      <c r="F34" s="889"/>
      <c r="G34" s="889"/>
      <c r="H34" s="889"/>
      <c r="I34" s="617">
        <f ca="1">CHUNG!CA22</f>
        <v>4</v>
      </c>
    </row>
    <row r="35" spans="1:9" ht="33" customHeight="1">
      <c r="A35" s="890" t="s">
        <v>227</v>
      </c>
      <c r="B35" s="890"/>
      <c r="C35" s="890"/>
      <c r="D35" s="890"/>
      <c r="E35" s="890"/>
      <c r="F35" s="130" t="s">
        <v>228</v>
      </c>
      <c r="G35" s="891" t="s">
        <v>1</v>
      </c>
      <c r="H35" s="891"/>
      <c r="I35" s="131" t="s">
        <v>34</v>
      </c>
    </row>
    <row r="36" spans="1:9" ht="36.75" customHeight="1">
      <c r="A36" s="890"/>
      <c r="B36" s="890"/>
      <c r="C36" s="890"/>
      <c r="D36" s="890"/>
      <c r="E36" s="890"/>
      <c r="F36" s="132" t="s">
        <v>229</v>
      </c>
      <c r="G36" s="892">
        <f>36-I25</f>
        <v>34</v>
      </c>
      <c r="H36" s="892"/>
      <c r="I36" s="618">
        <f>G25</f>
        <v>2029</v>
      </c>
    </row>
    <row r="37" spans="1:9" ht="36.75" customHeight="1">
      <c r="A37" s="890"/>
      <c r="B37" s="890"/>
      <c r="C37" s="890"/>
      <c r="D37" s="890"/>
      <c r="E37" s="890"/>
      <c r="F37" s="132" t="s">
        <v>230</v>
      </c>
      <c r="G37" s="892">
        <f>G36+9</f>
        <v>43</v>
      </c>
      <c r="H37" s="892"/>
      <c r="I37" s="618">
        <f>I36+9</f>
        <v>2038</v>
      </c>
    </row>
    <row r="38" spans="1:9" ht="36.75" customHeight="1">
      <c r="A38" s="890"/>
      <c r="B38" s="890"/>
      <c r="C38" s="890"/>
      <c r="D38" s="890"/>
      <c r="E38" s="890"/>
      <c r="F38" s="132" t="s">
        <v>231</v>
      </c>
      <c r="G38" s="892">
        <f>G37+9</f>
        <v>52</v>
      </c>
      <c r="H38" s="892"/>
      <c r="I38" s="618">
        <f>I37+9</f>
        <v>2047</v>
      </c>
    </row>
    <row r="39" spans="1:9" ht="36.75" customHeight="1">
      <c r="A39" s="890"/>
      <c r="B39" s="890"/>
      <c r="C39" s="890"/>
      <c r="D39" s="890"/>
      <c r="E39" s="890"/>
      <c r="F39" s="132" t="s">
        <v>232</v>
      </c>
      <c r="G39" s="892">
        <f>G38+9</f>
        <v>61</v>
      </c>
      <c r="H39" s="892"/>
      <c r="I39" s="618">
        <f>I38+9</f>
        <v>2056</v>
      </c>
    </row>
    <row r="40" spans="1:9" ht="23.25" customHeight="1">
      <c r="A40" s="133"/>
      <c r="B40" s="133"/>
      <c r="C40" s="133"/>
      <c r="D40" s="133"/>
      <c r="E40" s="133"/>
      <c r="F40" s="134"/>
      <c r="G40" s="135"/>
      <c r="H40" s="135"/>
      <c r="I40" s="136"/>
    </row>
    <row r="41" spans="1:9" ht="7.5" customHeight="1">
      <c r="A41" s="599"/>
      <c r="B41" s="599"/>
      <c r="C41" s="599"/>
      <c r="D41" s="599"/>
      <c r="E41" s="599"/>
      <c r="F41" s="599"/>
      <c r="G41" s="599"/>
      <c r="H41" s="599"/>
      <c r="I41" s="599"/>
    </row>
    <row r="42" spans="1:9" ht="3.75" customHeight="1">
      <c r="A42" s="599"/>
      <c r="B42" s="599"/>
      <c r="C42" s="599"/>
      <c r="D42" s="599"/>
      <c r="E42" s="599"/>
      <c r="F42" s="599"/>
      <c r="G42" s="599"/>
      <c r="H42" s="599"/>
      <c r="I42" s="599"/>
    </row>
    <row r="43" spans="1:9" ht="56.25" customHeight="1">
      <c r="A43" s="882" t="s">
        <v>233</v>
      </c>
      <c r="B43" s="882"/>
      <c r="C43" s="882"/>
      <c r="D43" s="882"/>
      <c r="E43" s="882"/>
      <c r="F43" s="882"/>
      <c r="G43" s="882"/>
      <c r="H43" s="882"/>
      <c r="I43" s="882"/>
    </row>
    <row r="44" spans="1:9" ht="60" customHeight="1">
      <c r="A44" s="123"/>
      <c r="B44" s="123"/>
      <c r="C44" s="123"/>
      <c r="D44" s="123"/>
      <c r="E44" s="123"/>
      <c r="F44" s="123"/>
      <c r="G44" s="123"/>
      <c r="H44" s="123"/>
      <c r="I44" s="123"/>
    </row>
    <row r="45" spans="1:9" ht="30" customHeight="1">
      <c r="A45" s="883" t="s">
        <v>234</v>
      </c>
      <c r="B45" s="883"/>
      <c r="C45" s="883"/>
      <c r="D45" s="883"/>
      <c r="E45" s="883"/>
      <c r="F45" s="883"/>
      <c r="G45" s="883"/>
      <c r="H45" s="883"/>
      <c r="I45" s="883"/>
    </row>
    <row r="46" spans="1:9" ht="21" customHeight="1">
      <c r="A46" s="605"/>
      <c r="B46" s="605"/>
      <c r="C46" s="605"/>
      <c r="D46" s="605"/>
      <c r="E46" s="605"/>
      <c r="F46" s="605"/>
      <c r="G46" s="605"/>
      <c r="H46" s="605"/>
      <c r="I46" s="605"/>
    </row>
    <row r="47" spans="1:9" ht="44.25" customHeight="1">
      <c r="A47" s="884" t="s">
        <v>235</v>
      </c>
      <c r="B47" s="884"/>
      <c r="C47" s="884"/>
      <c r="D47" s="884"/>
      <c r="E47" s="884"/>
      <c r="F47" s="884"/>
      <c r="G47" s="884"/>
      <c r="H47" s="884"/>
      <c r="I47" s="884"/>
    </row>
    <row r="48" spans="1:9" ht="18" customHeight="1">
      <c r="A48" s="600"/>
      <c r="B48" s="600"/>
      <c r="C48" s="600"/>
      <c r="D48" s="600"/>
      <c r="E48" s="600"/>
      <c r="F48" s="600"/>
      <c r="G48" s="600"/>
      <c r="H48" s="600"/>
      <c r="I48" s="600"/>
    </row>
    <row r="49" spans="1:9" ht="35.25" customHeight="1">
      <c r="A49" s="601" t="s">
        <v>236</v>
      </c>
      <c r="B49" s="619">
        <f>CHUNG!B12</f>
        <v>2</v>
      </c>
      <c r="C49" s="137"/>
      <c r="D49" s="126" t="s">
        <v>237</v>
      </c>
      <c r="E49" s="885" t="str">
        <f>CHUNG!B13</f>
        <v>TỐT BỤNG, NGOẠI GIAO TỐT</v>
      </c>
      <c r="F49" s="885"/>
      <c r="G49" s="885"/>
      <c r="H49" s="885"/>
      <c r="I49" s="885"/>
    </row>
    <row r="50" spans="1:9" ht="17.25" customHeight="1">
      <c r="A50" s="138"/>
      <c r="B50" s="139"/>
      <c r="C50" s="139"/>
      <c r="D50" s="140"/>
      <c r="E50" s="129"/>
      <c r="F50" s="129"/>
      <c r="G50" s="129"/>
      <c r="H50" s="129"/>
      <c r="I50" s="129"/>
    </row>
    <row r="51" spans="1:9">
      <c r="A51" s="886" t="str">
        <f>VLOOKUP('ĐƯỜNG ĐỜI'!D2,'ĐƯỜNG ĐỜI'!B2:P14,3,0)</f>
        <v>Tốt bụng, ngoại giao tốt và có tinh thần hợp tác đều là những đặc điểm nổi bật của con số đường đời 2. Bạn là người kiên nhẫn nhất trong tất cả các con số và cực kỳ nhạy cảm, nhạy bén và giàu cảm xúc. Cảm xúc của bạn có thể chuyển từ khóc sang cười. Cùng với sự nhạy cảm đó là những khả năng về trực giác, bạn có khả năng bẩm sinh để cảm nhận cảm xúc của người khác. Tuy nhiên bạn phải chắc chắn không hy sinh ý kiến và cảm xúc cá nhân hoặc thỏa hiệp chỉ để giữ hòa khí, vì điều này có thể tạo ra sự oán giận.
Khi nói đến các mối quan hệ, bản chất kiên nhẫn, thích thỏa hiệp của bạn có thể thu hút những người cố chấp thay vì một người bạn đời phù hợp và chín chắn. Bạn khó có thể sống độc thân lâu và có thể trải qua nhiều mối tình, chuyển từ người này sang người khác. Bạn cảm thấy thoải mái khi có đôi có cặp hơn là sống một mình.
Bạn là một nhà đàm phán và hòa giải bẩm sinh. Không phải lúc nào bạn cũng nhận được sự tín nhiệm hoặc công nhận mà bạn xứng đáng. Bạn có thể quan tâm quá mức đến những gì người khác nghĩ. Bạn sẽ thành công trong nghề nghiệp cho phép bạn giúp đỡ người khác, các lĩnh vực như hòa giải, giảng dạy hoặc tư vấn. Con số đường đời 2 cũng là những người có khiếu thẩm mỹ đặc biệt. Họ có thể áp dụng kỹ năng này vào công việc thiết kế hoặc các hoạt động nghệ thuật. Họ cũng có thể thể hiện kỹ năng đàm phán mạnh mẽ và thể hiện sự thông minh trong lĩnh vực chính trị hoặc luật pháp.
Mức độ nhạy cảm của con số đường đời này mở rộng đối với tất cả các loại chất gây dị ứng, bao gồm thực phẩm, sản phẩm chăm sóc da và tóc, bụi, hóa chất, dược phẩm và nhiều loại khác. Các vấn đề sức khỏe khác có thể gồm lo lắng thái quá, trầm cảm và các vấn đề về dạ dày.
Số 2 có dáng cong và cho thấy sự thỏa hiệp, vì vậy bạn cần phải học cách đứng lên bảo vệ chính mình.</v>
      </c>
      <c r="B51" s="887"/>
      <c r="C51" s="887"/>
      <c r="D51" s="887"/>
      <c r="E51" s="887"/>
      <c r="F51" s="887"/>
      <c r="G51" s="887"/>
      <c r="H51" s="887"/>
      <c r="I51" s="887"/>
    </row>
    <row r="52" spans="1:9">
      <c r="A52" s="887"/>
      <c r="B52" s="887"/>
      <c r="C52" s="887"/>
      <c r="D52" s="887"/>
      <c r="E52" s="887"/>
      <c r="F52" s="887"/>
      <c r="G52" s="887"/>
      <c r="H52" s="887"/>
      <c r="I52" s="887"/>
    </row>
    <row r="53" spans="1:9">
      <c r="A53" s="887"/>
      <c r="B53" s="887"/>
      <c r="C53" s="887"/>
      <c r="D53" s="887"/>
      <c r="E53" s="887"/>
      <c r="F53" s="887"/>
      <c r="G53" s="887"/>
      <c r="H53" s="887"/>
      <c r="I53" s="887"/>
    </row>
    <row r="54" spans="1:9">
      <c r="A54" s="887"/>
      <c r="B54" s="887"/>
      <c r="C54" s="887"/>
      <c r="D54" s="887"/>
      <c r="E54" s="887"/>
      <c r="F54" s="887"/>
      <c r="G54" s="887"/>
      <c r="H54" s="887"/>
      <c r="I54" s="887"/>
    </row>
    <row r="55" spans="1:9">
      <c r="A55" s="887"/>
      <c r="B55" s="887"/>
      <c r="C55" s="887"/>
      <c r="D55" s="887"/>
      <c r="E55" s="887"/>
      <c r="F55" s="887"/>
      <c r="G55" s="887"/>
      <c r="H55" s="887"/>
      <c r="I55" s="887"/>
    </row>
    <row r="56" spans="1:9">
      <c r="A56" s="887"/>
      <c r="B56" s="887"/>
      <c r="C56" s="887"/>
      <c r="D56" s="887"/>
      <c r="E56" s="887"/>
      <c r="F56" s="887"/>
      <c r="G56" s="887"/>
      <c r="H56" s="887"/>
      <c r="I56" s="887"/>
    </row>
    <row r="57" spans="1:9">
      <c r="A57" s="887"/>
      <c r="B57" s="887"/>
      <c r="C57" s="887"/>
      <c r="D57" s="887"/>
      <c r="E57" s="887"/>
      <c r="F57" s="887"/>
      <c r="G57" s="887"/>
      <c r="H57" s="887"/>
      <c r="I57" s="887"/>
    </row>
    <row r="58" spans="1:9">
      <c r="A58" s="887"/>
      <c r="B58" s="887"/>
      <c r="C58" s="887"/>
      <c r="D58" s="887"/>
      <c r="E58" s="887"/>
      <c r="F58" s="887"/>
      <c r="G58" s="887"/>
      <c r="H58" s="887"/>
      <c r="I58" s="887"/>
    </row>
    <row r="59" spans="1:9">
      <c r="A59" s="887"/>
      <c r="B59" s="887"/>
      <c r="C59" s="887"/>
      <c r="D59" s="887"/>
      <c r="E59" s="887"/>
      <c r="F59" s="887"/>
      <c r="G59" s="887"/>
      <c r="H59" s="887"/>
      <c r="I59" s="887"/>
    </row>
    <row r="60" spans="1:9">
      <c r="A60" s="887"/>
      <c r="B60" s="887"/>
      <c r="C60" s="887"/>
      <c r="D60" s="887"/>
      <c r="E60" s="887"/>
      <c r="F60" s="887"/>
      <c r="G60" s="887"/>
      <c r="H60" s="887"/>
      <c r="I60" s="887"/>
    </row>
    <row r="61" spans="1:9">
      <c r="A61" s="887"/>
      <c r="B61" s="887"/>
      <c r="C61" s="887"/>
      <c r="D61" s="887"/>
      <c r="E61" s="887"/>
      <c r="F61" s="887"/>
      <c r="G61" s="887"/>
      <c r="H61" s="887"/>
      <c r="I61" s="887"/>
    </row>
    <row r="62" spans="1:9">
      <c r="A62" s="887"/>
      <c r="B62" s="887"/>
      <c r="C62" s="887"/>
      <c r="D62" s="887"/>
      <c r="E62" s="887"/>
      <c r="F62" s="887"/>
      <c r="G62" s="887"/>
      <c r="H62" s="887"/>
      <c r="I62" s="887"/>
    </row>
    <row r="63" spans="1:9">
      <c r="A63" s="887"/>
      <c r="B63" s="887"/>
      <c r="C63" s="887"/>
      <c r="D63" s="887"/>
      <c r="E63" s="887"/>
      <c r="F63" s="887"/>
      <c r="G63" s="887"/>
      <c r="H63" s="887"/>
      <c r="I63" s="887"/>
    </row>
    <row r="64" spans="1:9" ht="210" customHeight="1">
      <c r="A64" s="887"/>
      <c r="B64" s="887"/>
      <c r="C64" s="887"/>
      <c r="D64" s="887"/>
      <c r="E64" s="887"/>
      <c r="F64" s="887"/>
      <c r="G64" s="887"/>
      <c r="H64" s="887"/>
      <c r="I64" s="887"/>
    </row>
    <row r="65" spans="1:9" ht="2.25" hidden="1" customHeight="1">
      <c r="A65" s="887"/>
      <c r="B65" s="887"/>
      <c r="C65" s="887"/>
      <c r="D65" s="887"/>
      <c r="E65" s="887"/>
      <c r="F65" s="887"/>
      <c r="G65" s="887"/>
      <c r="H65" s="887"/>
      <c r="I65" s="887"/>
    </row>
    <row r="66" spans="1:9" ht="2.25" customHeight="1">
      <c r="A66" s="141"/>
      <c r="B66" s="141"/>
      <c r="C66" s="141"/>
      <c r="D66" s="141"/>
      <c r="E66" s="141"/>
      <c r="F66" s="141"/>
      <c r="G66" s="141"/>
      <c r="H66" s="141"/>
      <c r="I66" s="141"/>
    </row>
    <row r="67" spans="1:9" ht="27" customHeight="1">
      <c r="A67" s="883" t="s">
        <v>238</v>
      </c>
      <c r="B67" s="883"/>
      <c r="C67" s="883"/>
      <c r="D67" s="883"/>
      <c r="E67" s="883"/>
      <c r="F67" s="883"/>
      <c r="G67" s="883"/>
      <c r="H67" s="883"/>
      <c r="I67" s="883"/>
    </row>
    <row r="68" spans="1:9" ht="22.5" customHeight="1">
      <c r="A68" s="884" t="s">
        <v>239</v>
      </c>
      <c r="B68" s="884"/>
      <c r="C68" s="884"/>
      <c r="D68" s="884"/>
      <c r="E68" s="884"/>
      <c r="F68" s="884"/>
      <c r="G68" s="884"/>
      <c r="H68" s="884"/>
      <c r="I68" s="884"/>
    </row>
    <row r="69" spans="1:9" ht="35">
      <c r="A69" s="601" t="s">
        <v>236</v>
      </c>
      <c r="B69" s="893">
        <f>CHUNG!K12</f>
        <v>9</v>
      </c>
      <c r="C69" s="893"/>
      <c r="D69" s="126" t="s">
        <v>237</v>
      </c>
      <c r="E69" s="885" t="str">
        <f>CHUNG!K13</f>
        <v>NGƯỜI CÓ TẤM LÒNG NHÂN ĐẠO</v>
      </c>
      <c r="F69" s="885"/>
      <c r="G69" s="885"/>
      <c r="H69" s="885"/>
      <c r="I69" s="885"/>
    </row>
    <row r="70" spans="1:9" ht="4.5" customHeight="1">
      <c r="A70" s="138"/>
      <c r="B70" s="142"/>
      <c r="C70" s="142"/>
      <c r="D70" s="140"/>
      <c r="E70" s="143"/>
      <c r="F70" s="143"/>
      <c r="G70" s="143"/>
      <c r="H70" s="143"/>
      <c r="I70" s="143"/>
    </row>
    <row r="71" spans="1:9">
      <c r="A71" s="886" t="str">
        <f>VLOOKUP('VẬN MỆNH'!D2,'VẬN MỆNH'!B2:P14,3,0)</f>
        <v>Bạn có thể thu phục hầu hết mọi người bằng khiếu hài hước; tính cách hướng ngoại &amp; sự quyến rũ của mình. Bạn là người có tầm nhìn xa và có thể truyền cảm hứng cho những người khác tham gia vào một phong trào giúp thế giới trở nên tốt đẹp hơn. 
Bạn có thể lý tưởng hóa mọi thứ và thậm chí ngây thơ về động cơ của người khác. Bạn là người dễ gây ấn tượng và dễ hình thành thói quen, có thể bao gồm lạm dụng chất kích thích. Bạn là người kiên nhẫn, nhân ái &amp; lãng mạn. Bạn muốn được thế giới công nhận &amp; bí mật tìm kiếm sự nổi tiếng. 
Chia sẻ tài năng của mình, giúp đỡ nhân loại, dạy dỗ, tư vấn &amp; chữa lành cho mọi người là những điều nuôi dưỡng tâm hồn bạn. Trong khi theo đuổi mong muốn giải cứu thế giới, hãy đảm bảo bạn không bỏ bê những người thân thiết của mình. Mặt tối tính cách của bạn có thể là tính chiếm hữu, ủ rũ, nhút nhát, ngây thơ &amp; dễ bồn chồn. Là người nghiện mua sắm, bạn rất dễ phung phí tiền bạc.</v>
      </c>
      <c r="B71" s="887"/>
      <c r="C71" s="887"/>
      <c r="D71" s="887"/>
      <c r="E71" s="887"/>
      <c r="F71" s="887"/>
      <c r="G71" s="887"/>
      <c r="H71" s="887"/>
      <c r="I71" s="887"/>
    </row>
    <row r="72" spans="1:9" ht="4.5" customHeight="1">
      <c r="A72" s="887"/>
      <c r="B72" s="887"/>
      <c r="C72" s="887"/>
      <c r="D72" s="887"/>
      <c r="E72" s="887"/>
      <c r="F72" s="887"/>
      <c r="G72" s="887"/>
      <c r="H72" s="887"/>
      <c r="I72" s="887"/>
    </row>
    <row r="73" spans="1:9">
      <c r="A73" s="887"/>
      <c r="B73" s="887"/>
      <c r="C73" s="887"/>
      <c r="D73" s="887"/>
      <c r="E73" s="887"/>
      <c r="F73" s="887"/>
      <c r="G73" s="887"/>
      <c r="H73" s="887"/>
      <c r="I73" s="887"/>
    </row>
    <row r="74" spans="1:9">
      <c r="A74" s="887"/>
      <c r="B74" s="887"/>
      <c r="C74" s="887"/>
      <c r="D74" s="887"/>
      <c r="E74" s="887"/>
      <c r="F74" s="887"/>
      <c r="G74" s="887"/>
      <c r="H74" s="887"/>
      <c r="I74" s="887"/>
    </row>
    <row r="75" spans="1:9">
      <c r="A75" s="887"/>
      <c r="B75" s="887"/>
      <c r="C75" s="887"/>
      <c r="D75" s="887"/>
      <c r="E75" s="887"/>
      <c r="F75" s="887"/>
      <c r="G75" s="887"/>
      <c r="H75" s="887"/>
      <c r="I75" s="887"/>
    </row>
    <row r="76" spans="1:9">
      <c r="A76" s="887"/>
      <c r="B76" s="887"/>
      <c r="C76" s="887"/>
      <c r="D76" s="887"/>
      <c r="E76" s="887"/>
      <c r="F76" s="887"/>
      <c r="G76" s="887"/>
      <c r="H76" s="887"/>
      <c r="I76" s="887"/>
    </row>
    <row r="77" spans="1:9">
      <c r="A77" s="887"/>
      <c r="B77" s="887"/>
      <c r="C77" s="887"/>
      <c r="D77" s="887"/>
      <c r="E77" s="887"/>
      <c r="F77" s="887"/>
      <c r="G77" s="887"/>
      <c r="H77" s="887"/>
      <c r="I77" s="887"/>
    </row>
    <row r="78" spans="1:9">
      <c r="A78" s="887"/>
      <c r="B78" s="887"/>
      <c r="C78" s="887"/>
      <c r="D78" s="887"/>
      <c r="E78" s="887"/>
      <c r="F78" s="887"/>
      <c r="G78" s="887"/>
      <c r="H78" s="887"/>
      <c r="I78" s="887"/>
    </row>
    <row r="79" spans="1:9">
      <c r="A79" s="887"/>
      <c r="B79" s="887"/>
      <c r="C79" s="887"/>
      <c r="D79" s="887"/>
      <c r="E79" s="887"/>
      <c r="F79" s="887"/>
      <c r="G79" s="887"/>
      <c r="H79" s="887"/>
      <c r="I79" s="887"/>
    </row>
    <row r="80" spans="1:9">
      <c r="A80" s="887"/>
      <c r="B80" s="887"/>
      <c r="C80" s="887"/>
      <c r="D80" s="887"/>
      <c r="E80" s="887"/>
      <c r="F80" s="887"/>
      <c r="G80" s="887"/>
      <c r="H80" s="887"/>
      <c r="I80" s="887"/>
    </row>
    <row r="81" spans="1:9">
      <c r="A81" s="887"/>
      <c r="B81" s="887"/>
      <c r="C81" s="887"/>
      <c r="D81" s="887"/>
      <c r="E81" s="887"/>
      <c r="F81" s="887"/>
      <c r="G81" s="887"/>
      <c r="H81" s="887"/>
      <c r="I81" s="887"/>
    </row>
    <row r="82" spans="1:9">
      <c r="A82" s="887"/>
      <c r="B82" s="887"/>
      <c r="C82" s="887"/>
      <c r="D82" s="887"/>
      <c r="E82" s="887"/>
      <c r="F82" s="887"/>
      <c r="G82" s="887"/>
      <c r="H82" s="887"/>
      <c r="I82" s="887"/>
    </row>
    <row r="83" spans="1:9">
      <c r="A83" s="887"/>
      <c r="B83" s="887"/>
      <c r="C83" s="887"/>
      <c r="D83" s="887"/>
      <c r="E83" s="887"/>
      <c r="F83" s="887"/>
      <c r="G83" s="887"/>
      <c r="H83" s="887"/>
      <c r="I83" s="887"/>
    </row>
    <row r="84" spans="1:9" ht="61.5" customHeight="1">
      <c r="A84" s="887"/>
      <c r="B84" s="887"/>
      <c r="C84" s="887"/>
      <c r="D84" s="887"/>
      <c r="E84" s="887"/>
      <c r="F84" s="887"/>
      <c r="G84" s="887"/>
      <c r="H84" s="887"/>
      <c r="I84" s="887"/>
    </row>
    <row r="85" spans="1:9" hidden="1">
      <c r="A85" s="887"/>
      <c r="B85" s="887"/>
      <c r="C85" s="887"/>
      <c r="D85" s="887"/>
      <c r="E85" s="887"/>
      <c r="F85" s="887"/>
      <c r="G85" s="887"/>
      <c r="H85" s="887"/>
      <c r="I85" s="887"/>
    </row>
    <row r="86" spans="1:9" hidden="1">
      <c r="A86" s="887"/>
      <c r="B86" s="887"/>
      <c r="C86" s="887"/>
      <c r="D86" s="887"/>
      <c r="E86" s="887"/>
      <c r="F86" s="887"/>
      <c r="G86" s="887"/>
      <c r="H86" s="887"/>
      <c r="I86" s="887"/>
    </row>
    <row r="87" spans="1:9" ht="2.25" customHeight="1"/>
    <row r="88" spans="1:9" ht="8.25" hidden="1" customHeight="1"/>
    <row r="89" spans="1:9" ht="2.25" hidden="1" customHeight="1"/>
    <row r="90" spans="1:9" hidden="1"/>
    <row r="91" spans="1:9" hidden="1"/>
    <row r="92" spans="1:9" ht="5.25" hidden="1" customHeight="1"/>
    <row r="93" spans="1:9" ht="29.25" customHeight="1">
      <c r="A93" s="883" t="s">
        <v>240</v>
      </c>
      <c r="B93" s="883"/>
      <c r="C93" s="883"/>
      <c r="D93" s="883"/>
      <c r="E93" s="883"/>
      <c r="F93" s="883"/>
      <c r="G93" s="883"/>
      <c r="H93" s="883"/>
      <c r="I93" s="883"/>
    </row>
    <row r="94" spans="1:9" ht="21" customHeight="1">
      <c r="A94" s="884" t="s">
        <v>241</v>
      </c>
      <c r="B94" s="884"/>
      <c r="C94" s="884"/>
      <c r="D94" s="884"/>
      <c r="E94" s="884"/>
      <c r="F94" s="884"/>
      <c r="G94" s="884"/>
      <c r="H94" s="884"/>
      <c r="I94" s="884"/>
    </row>
    <row r="95" spans="1:9" ht="30" customHeight="1">
      <c r="A95" s="601" t="s">
        <v>236</v>
      </c>
      <c r="B95" s="893">
        <f>CHUNG!BB12</f>
        <v>5</v>
      </c>
      <c r="C95" s="893"/>
      <c r="D95" s="126" t="s">
        <v>237</v>
      </c>
      <c r="E95" s="885" t="str">
        <f>CHUNG!BB13</f>
        <v>NGƯỜI CÓ TÂM HỒN 
TỰ DO</v>
      </c>
      <c r="F95" s="885"/>
      <c r="G95" s="885"/>
      <c r="H95" s="885"/>
      <c r="I95" s="885"/>
    </row>
    <row r="96" spans="1:9" ht="3.75" customHeight="1">
      <c r="A96" s="138"/>
      <c r="B96" s="142"/>
      <c r="C96" s="142"/>
      <c r="D96" s="140"/>
      <c r="E96" s="143"/>
      <c r="F96" s="143"/>
      <c r="G96" s="143"/>
      <c r="H96" s="143"/>
      <c r="I96" s="143"/>
    </row>
    <row r="97" spans="1:9" ht="3" hidden="1" customHeight="1">
      <c r="A97" s="886" t="str">
        <f>VLOOKUP('LINH HỒN'!D2,'LINH HỒN'!B2:P14,3,0)</f>
        <v>Tự do là yếu tố cần thiết cho hạnh phúc của con số linh hồn 5. Với niềm đam mê sâu sắc đối với sự thay đổi, du lịch và phiêu lưu, bạn tìm kiếm cảm giác không bị gò bó, giới hạn trong các mối quan hệ. Nhóm này khó giữ lời hứa và cũng không tuân thủ tốt các yêu cầu mệnh lệnh.
Số 5 thường bị chi phối bởi các giác quan nên quan hệ tình dục là điều đặc biệt quan trọng với nhóm này. Bạn luôn muốn sự đa dạng và điều đó mở rộng đến cả phòng ngủ. Những thú vui cảm xúc mang đến cho bạn niềm hạnh phúc nhưng cũng có thể dẫn đến sự vô độ và lạm dụng.
Con số linh hồn 5 thường có xu hướng kết hôn muộn hơn. Họ chống lại những ràng buộc tình cảm và những cam kết lâu dài.</v>
      </c>
      <c r="B97" s="887"/>
      <c r="C97" s="887"/>
      <c r="D97" s="887"/>
      <c r="E97" s="887"/>
      <c r="F97" s="887"/>
      <c r="G97" s="887"/>
      <c r="H97" s="887"/>
      <c r="I97" s="887"/>
    </row>
    <row r="98" spans="1:9" hidden="1">
      <c r="A98" s="887"/>
      <c r="B98" s="887"/>
      <c r="C98" s="887"/>
      <c r="D98" s="887"/>
      <c r="E98" s="887"/>
      <c r="F98" s="887"/>
      <c r="G98" s="887"/>
      <c r="H98" s="887"/>
      <c r="I98" s="887"/>
    </row>
    <row r="99" spans="1:9" hidden="1">
      <c r="A99" s="887"/>
      <c r="B99" s="887"/>
      <c r="C99" s="887"/>
      <c r="D99" s="887"/>
      <c r="E99" s="887"/>
      <c r="F99" s="887"/>
      <c r="G99" s="887"/>
      <c r="H99" s="887"/>
      <c r="I99" s="887"/>
    </row>
    <row r="100" spans="1:9" ht="3" hidden="1" customHeight="1">
      <c r="A100" s="887"/>
      <c r="B100" s="887"/>
      <c r="C100" s="887"/>
      <c r="D100" s="887"/>
      <c r="E100" s="887"/>
      <c r="F100" s="887"/>
      <c r="G100" s="887"/>
      <c r="H100" s="887"/>
      <c r="I100" s="887"/>
    </row>
    <row r="101" spans="1:9" hidden="1">
      <c r="A101" s="887"/>
      <c r="B101" s="887"/>
      <c r="C101" s="887"/>
      <c r="D101" s="887"/>
      <c r="E101" s="887"/>
      <c r="F101" s="887"/>
      <c r="G101" s="887"/>
      <c r="H101" s="887"/>
      <c r="I101" s="887"/>
    </row>
    <row r="102" spans="1:9" ht="0.75" hidden="1" customHeight="1">
      <c r="A102" s="887"/>
      <c r="B102" s="887"/>
      <c r="C102" s="887"/>
      <c r="D102" s="887"/>
      <c r="E102" s="887"/>
      <c r="F102" s="887"/>
      <c r="G102" s="887"/>
      <c r="H102" s="887"/>
      <c r="I102" s="887"/>
    </row>
    <row r="103" spans="1:9" hidden="1">
      <c r="A103" s="887"/>
      <c r="B103" s="887"/>
      <c r="C103" s="887"/>
      <c r="D103" s="887"/>
      <c r="E103" s="887"/>
      <c r="F103" s="887"/>
      <c r="G103" s="887"/>
      <c r="H103" s="887"/>
      <c r="I103" s="887"/>
    </row>
    <row r="104" spans="1:9">
      <c r="A104" s="887"/>
      <c r="B104" s="887"/>
      <c r="C104" s="887"/>
      <c r="D104" s="887"/>
      <c r="E104" s="887"/>
      <c r="F104" s="887"/>
      <c r="G104" s="887"/>
      <c r="H104" s="887"/>
      <c r="I104" s="887"/>
    </row>
    <row r="105" spans="1:9">
      <c r="A105" s="887"/>
      <c r="B105" s="887"/>
      <c r="C105" s="887"/>
      <c r="D105" s="887"/>
      <c r="E105" s="887"/>
      <c r="F105" s="887"/>
      <c r="G105" s="887"/>
      <c r="H105" s="887"/>
      <c r="I105" s="887"/>
    </row>
    <row r="106" spans="1:9">
      <c r="A106" s="887"/>
      <c r="B106" s="887"/>
      <c r="C106" s="887"/>
      <c r="D106" s="887"/>
      <c r="E106" s="887"/>
      <c r="F106" s="887"/>
      <c r="G106" s="887"/>
      <c r="H106" s="887"/>
      <c r="I106" s="887"/>
    </row>
    <row r="107" spans="1:9">
      <c r="A107" s="887"/>
      <c r="B107" s="887"/>
      <c r="C107" s="887"/>
      <c r="D107" s="887"/>
      <c r="E107" s="887"/>
      <c r="F107" s="887"/>
      <c r="G107" s="887"/>
      <c r="H107" s="887"/>
      <c r="I107" s="887"/>
    </row>
    <row r="108" spans="1:9">
      <c r="A108" s="887"/>
      <c r="B108" s="887"/>
      <c r="C108" s="887"/>
      <c r="D108" s="887"/>
      <c r="E108" s="887"/>
      <c r="F108" s="887"/>
      <c r="G108" s="887"/>
      <c r="H108" s="887"/>
      <c r="I108" s="887"/>
    </row>
    <row r="109" spans="1:9">
      <c r="A109" s="887"/>
      <c r="B109" s="887"/>
      <c r="C109" s="887"/>
      <c r="D109" s="887"/>
      <c r="E109" s="887"/>
      <c r="F109" s="887"/>
      <c r="G109" s="887"/>
      <c r="H109" s="887"/>
      <c r="I109" s="887"/>
    </row>
    <row r="110" spans="1:9">
      <c r="A110" s="887"/>
      <c r="B110" s="887"/>
      <c r="C110" s="887"/>
      <c r="D110" s="887"/>
      <c r="E110" s="887"/>
      <c r="F110" s="887"/>
      <c r="G110" s="887"/>
      <c r="H110" s="887"/>
      <c r="I110" s="887"/>
    </row>
    <row r="111" spans="1:9">
      <c r="A111" s="887"/>
      <c r="B111" s="887"/>
      <c r="C111" s="887"/>
      <c r="D111" s="887"/>
      <c r="E111" s="887"/>
      <c r="F111" s="887"/>
      <c r="G111" s="887"/>
      <c r="H111" s="887"/>
      <c r="I111" s="887"/>
    </row>
    <row r="112" spans="1:9" ht="70.5" customHeight="1">
      <c r="A112" s="887"/>
      <c r="B112" s="887"/>
      <c r="C112" s="887"/>
      <c r="D112" s="887"/>
      <c r="E112" s="887"/>
      <c r="F112" s="887"/>
      <c r="G112" s="887"/>
      <c r="H112" s="887"/>
      <c r="I112" s="887"/>
    </row>
    <row r="113" spans="1:9" ht="3" customHeight="1"/>
    <row r="114" spans="1:9" ht="29.25" customHeight="1">
      <c r="A114" s="883" t="s">
        <v>242</v>
      </c>
      <c r="B114" s="883"/>
      <c r="C114" s="883"/>
      <c r="D114" s="883"/>
      <c r="E114" s="883"/>
      <c r="F114" s="883"/>
      <c r="G114" s="883"/>
      <c r="H114" s="883"/>
      <c r="I114" s="883"/>
    </row>
    <row r="115" spans="1:9" ht="36.75" customHeight="1">
      <c r="A115" s="884" t="s">
        <v>243</v>
      </c>
      <c r="B115" s="884"/>
      <c r="C115" s="884"/>
      <c r="D115" s="884"/>
      <c r="E115" s="884"/>
      <c r="F115" s="884"/>
      <c r="G115" s="884"/>
      <c r="H115" s="884"/>
      <c r="I115" s="884"/>
    </row>
    <row r="116" spans="1:9" ht="30.75" customHeight="1">
      <c r="A116" s="601" t="s">
        <v>236</v>
      </c>
      <c r="B116" s="893">
        <f>CHUNG!CS12</f>
        <v>4</v>
      </c>
      <c r="C116" s="893"/>
      <c r="D116" s="126" t="s">
        <v>237</v>
      </c>
      <c r="E116" s="885" t="str">
        <f>CHUNG!CS13</f>
        <v>ĐÁNG TIN CẬY VÀ NHẤT QUÁN</v>
      </c>
      <c r="F116" s="885"/>
      <c r="G116" s="885"/>
      <c r="H116" s="885"/>
      <c r="I116" s="885"/>
    </row>
    <row r="117" spans="1:9" s="148" customFormat="1" ht="5.25" customHeight="1">
      <c r="A117" s="144"/>
      <c r="B117" s="145"/>
      <c r="C117" s="145"/>
      <c r="D117" s="146"/>
      <c r="E117" s="147"/>
      <c r="F117" s="147"/>
      <c r="G117" s="147"/>
      <c r="H117" s="147"/>
      <c r="I117" s="147"/>
    </row>
    <row r="118" spans="1:9" ht="23.25" customHeight="1">
      <c r="A118" s="886" t="str">
        <f>VLOOKUP('TÍNH CÁCH'!D2,'TÍNH CÁCH'!B2:P13,3,0)</f>
        <v>Có vẻ ngoài thực tế, đáng kính, bảo thủ, đáng tin cậy, có trách nhiệm, dè dặt, không linh hoạt, tự cao tự đại.</v>
      </c>
      <c r="B118" s="887"/>
      <c r="C118" s="887"/>
      <c r="D118" s="887"/>
      <c r="E118" s="887"/>
      <c r="F118" s="887"/>
      <c r="G118" s="887"/>
      <c r="H118" s="887"/>
      <c r="I118" s="887"/>
    </row>
    <row r="119" spans="1:9" ht="10.5" customHeight="1">
      <c r="A119" s="887"/>
      <c r="B119" s="887"/>
      <c r="C119" s="887"/>
      <c r="D119" s="887"/>
      <c r="E119" s="887"/>
      <c r="F119" s="887"/>
      <c r="G119" s="887"/>
      <c r="H119" s="887"/>
      <c r="I119" s="887"/>
    </row>
    <row r="120" spans="1:9" ht="14.25" hidden="1" customHeight="1">
      <c r="A120" s="887"/>
      <c r="B120" s="887"/>
      <c r="C120" s="887"/>
      <c r="D120" s="887"/>
      <c r="E120" s="887"/>
      <c r="F120" s="887"/>
      <c r="G120" s="887"/>
      <c r="H120" s="887"/>
      <c r="I120" s="887"/>
    </row>
    <row r="121" spans="1:9" ht="14.25" hidden="1" customHeight="1">
      <c r="A121" s="887"/>
      <c r="B121" s="887"/>
      <c r="C121" s="887"/>
      <c r="D121" s="887"/>
      <c r="E121" s="887"/>
      <c r="F121" s="887"/>
      <c r="G121" s="887"/>
      <c r="H121" s="887"/>
      <c r="I121" s="887"/>
    </row>
    <row r="122" spans="1:9" ht="14.25" hidden="1" customHeight="1">
      <c r="A122" s="887"/>
      <c r="B122" s="887"/>
      <c r="C122" s="887"/>
      <c r="D122" s="887"/>
      <c r="E122" s="887"/>
      <c r="F122" s="887"/>
      <c r="G122" s="887"/>
      <c r="H122" s="887"/>
      <c r="I122" s="887"/>
    </row>
    <row r="123" spans="1:9" ht="14.25" hidden="1" customHeight="1">
      <c r="A123" s="887"/>
      <c r="B123" s="887"/>
      <c r="C123" s="887"/>
      <c r="D123" s="887"/>
      <c r="E123" s="887"/>
      <c r="F123" s="887"/>
      <c r="G123" s="887"/>
      <c r="H123" s="887"/>
      <c r="I123" s="887"/>
    </row>
    <row r="124" spans="1:9" ht="14.25" hidden="1" customHeight="1">
      <c r="A124" s="887"/>
      <c r="B124" s="887"/>
      <c r="C124" s="887"/>
      <c r="D124" s="887"/>
      <c r="E124" s="887"/>
      <c r="F124" s="887"/>
      <c r="G124" s="887"/>
      <c r="H124" s="887"/>
      <c r="I124" s="887"/>
    </row>
    <row r="125" spans="1:9" ht="14.25" hidden="1" customHeight="1">
      <c r="A125" s="887"/>
      <c r="B125" s="887"/>
      <c r="C125" s="887"/>
      <c r="D125" s="887"/>
      <c r="E125" s="887"/>
      <c r="F125" s="887"/>
      <c r="G125" s="887"/>
      <c r="H125" s="887"/>
      <c r="I125" s="887"/>
    </row>
    <row r="126" spans="1:9" ht="14.25" hidden="1" customHeight="1">
      <c r="A126" s="887"/>
      <c r="B126" s="887"/>
      <c r="C126" s="887"/>
      <c r="D126" s="887"/>
      <c r="E126" s="887"/>
      <c r="F126" s="887"/>
      <c r="G126" s="887"/>
      <c r="H126" s="887"/>
      <c r="I126" s="887"/>
    </row>
    <row r="127" spans="1:9" ht="14.25" hidden="1" customHeight="1">
      <c r="A127" s="887"/>
      <c r="B127" s="887"/>
      <c r="C127" s="887"/>
      <c r="D127" s="887"/>
      <c r="E127" s="887"/>
      <c r="F127" s="887"/>
      <c r="G127" s="887"/>
      <c r="H127" s="887"/>
      <c r="I127" s="887"/>
    </row>
    <row r="128" spans="1:9" ht="14.25" hidden="1" customHeight="1">
      <c r="A128" s="887"/>
      <c r="B128" s="887"/>
      <c r="C128" s="887"/>
      <c r="D128" s="887"/>
      <c r="E128" s="887"/>
      <c r="F128" s="887"/>
      <c r="G128" s="887"/>
      <c r="H128" s="887"/>
      <c r="I128" s="887"/>
    </row>
    <row r="129" spans="1:9" ht="14.25" hidden="1" customHeight="1">
      <c r="A129" s="887"/>
      <c r="B129" s="887"/>
      <c r="C129" s="887"/>
      <c r="D129" s="887"/>
      <c r="E129" s="887"/>
      <c r="F129" s="887"/>
      <c r="G129" s="887"/>
      <c r="H129" s="887"/>
      <c r="I129" s="887"/>
    </row>
    <row r="130" spans="1:9" ht="14.25" hidden="1" customHeight="1">
      <c r="A130" s="887"/>
      <c r="B130" s="887"/>
      <c r="C130" s="887"/>
      <c r="D130" s="887"/>
      <c r="E130" s="887"/>
      <c r="F130" s="887"/>
      <c r="G130" s="887"/>
      <c r="H130" s="887"/>
      <c r="I130" s="887"/>
    </row>
    <row r="131" spans="1:9" ht="14.25" hidden="1" customHeight="1">
      <c r="A131" s="887"/>
      <c r="B131" s="887"/>
      <c r="C131" s="887"/>
      <c r="D131" s="887"/>
      <c r="E131" s="887"/>
      <c r="F131" s="887"/>
      <c r="G131" s="887"/>
      <c r="H131" s="887"/>
      <c r="I131" s="887"/>
    </row>
    <row r="132" spans="1:9" ht="14.25" hidden="1" customHeight="1">
      <c r="A132" s="887"/>
      <c r="B132" s="887"/>
      <c r="C132" s="887"/>
      <c r="D132" s="887"/>
      <c r="E132" s="887"/>
      <c r="F132" s="887"/>
      <c r="G132" s="887"/>
      <c r="H132" s="887"/>
      <c r="I132" s="887"/>
    </row>
    <row r="133" spans="1:9" ht="4.5" customHeight="1">
      <c r="A133" s="887"/>
      <c r="B133" s="887"/>
      <c r="C133" s="887"/>
      <c r="D133" s="887"/>
      <c r="E133" s="887"/>
      <c r="F133" s="887"/>
      <c r="G133" s="887"/>
      <c r="H133" s="887"/>
      <c r="I133" s="887"/>
    </row>
    <row r="134" spans="1:9" ht="2.25" hidden="1" customHeight="1"/>
    <row r="135" spans="1:9" hidden="1"/>
    <row r="136" spans="1:9" ht="0.75" customHeight="1"/>
    <row r="137" spans="1:9" ht="9" hidden="1" customHeight="1"/>
    <row r="138" spans="1:9" ht="30.75" customHeight="1">
      <c r="A138" s="883" t="s">
        <v>244</v>
      </c>
      <c r="B138" s="883"/>
      <c r="C138" s="883"/>
      <c r="D138" s="883"/>
      <c r="E138" s="883"/>
      <c r="F138" s="883"/>
      <c r="G138" s="883"/>
      <c r="H138" s="883"/>
      <c r="I138" s="883"/>
    </row>
    <row r="139" spans="1:9" ht="24.75" customHeight="1">
      <c r="A139" s="895" t="s">
        <v>245</v>
      </c>
      <c r="B139" s="895"/>
      <c r="C139" s="895"/>
      <c r="D139" s="895"/>
      <c r="E139" s="895"/>
      <c r="F139" s="895"/>
      <c r="G139" s="895"/>
      <c r="H139" s="895"/>
      <c r="I139" s="895"/>
    </row>
    <row r="140" spans="1:9" ht="35">
      <c r="A140" s="601" t="s">
        <v>236</v>
      </c>
      <c r="B140" s="893">
        <f>CHUNG!H17</f>
        <v>6</v>
      </c>
      <c r="C140" s="893"/>
      <c r="D140" s="894"/>
      <c r="E140" s="894"/>
      <c r="F140" s="894"/>
      <c r="G140" s="894"/>
      <c r="H140" s="894"/>
      <c r="I140" s="894"/>
    </row>
    <row r="141" spans="1:9" ht="5.25" customHeight="1">
      <c r="A141" s="138"/>
      <c r="B141" s="142"/>
      <c r="C141" s="142"/>
      <c r="D141" s="138"/>
      <c r="E141" s="138"/>
      <c r="F141" s="138"/>
      <c r="G141" s="138"/>
      <c r="H141" s="138"/>
      <c r="I141" s="138"/>
    </row>
    <row r="142" spans="1:9" ht="9" customHeight="1">
      <c r="A142" s="896" t="str">
        <f>VLOOKUP('NGÀY SINH'!C2,'NGÀY SINH'!B2:O13,2,0)</f>
        <v>Bạn có trách nhiệm và hướng về gia đình. Bạn cũng yêu động vật. 
Trung thành, cầu toàn và chu đáo đều là 1 phần bản chất của bạn (mặc dù bạn có xu hướng can thiệp vào những công việc không phải của mình). 
Bạn sẽ học được cách vượt qua sự phản bội và chỉ quan tâm đến việc của bản thân mình.</v>
      </c>
      <c r="B142" s="897"/>
      <c r="C142" s="897"/>
      <c r="D142" s="897"/>
      <c r="E142" s="897"/>
      <c r="F142" s="897"/>
      <c r="G142" s="897"/>
      <c r="H142" s="897"/>
      <c r="I142" s="897"/>
    </row>
    <row r="143" spans="1:9">
      <c r="A143" s="897"/>
      <c r="B143" s="897"/>
      <c r="C143" s="897"/>
      <c r="D143" s="897"/>
      <c r="E143" s="897"/>
      <c r="F143" s="897"/>
      <c r="G143" s="897"/>
      <c r="H143" s="897"/>
      <c r="I143" s="897"/>
    </row>
    <row r="144" spans="1:9">
      <c r="A144" s="897"/>
      <c r="B144" s="897"/>
      <c r="C144" s="897"/>
      <c r="D144" s="897"/>
      <c r="E144" s="897"/>
      <c r="F144" s="897"/>
      <c r="G144" s="897"/>
      <c r="H144" s="897"/>
      <c r="I144" s="897"/>
    </row>
    <row r="145" spans="1:9">
      <c r="A145" s="897"/>
      <c r="B145" s="897"/>
      <c r="C145" s="897"/>
      <c r="D145" s="897"/>
      <c r="E145" s="897"/>
      <c r="F145" s="897"/>
      <c r="G145" s="897"/>
      <c r="H145" s="897"/>
      <c r="I145" s="897"/>
    </row>
    <row r="146" spans="1:9">
      <c r="A146" s="897"/>
      <c r="B146" s="897"/>
      <c r="C146" s="897"/>
      <c r="D146" s="897"/>
      <c r="E146" s="897"/>
      <c r="F146" s="897"/>
      <c r="G146" s="897"/>
      <c r="H146" s="897"/>
      <c r="I146" s="897"/>
    </row>
    <row r="147" spans="1:9">
      <c r="A147" s="897"/>
      <c r="B147" s="897"/>
      <c r="C147" s="897"/>
      <c r="D147" s="897"/>
      <c r="E147" s="897"/>
      <c r="F147" s="897"/>
      <c r="G147" s="897"/>
      <c r="H147" s="897"/>
      <c r="I147" s="897"/>
    </row>
    <row r="148" spans="1:9" ht="9" customHeight="1">
      <c r="A148" s="897"/>
      <c r="B148" s="897"/>
      <c r="C148" s="897"/>
      <c r="D148" s="897"/>
      <c r="E148" s="897"/>
      <c r="F148" s="897"/>
      <c r="G148" s="897"/>
      <c r="H148" s="897"/>
      <c r="I148" s="897"/>
    </row>
    <row r="149" spans="1:9" ht="5.25" customHeight="1">
      <c r="A149" s="897"/>
      <c r="B149" s="897"/>
      <c r="C149" s="897"/>
      <c r="D149" s="897"/>
      <c r="E149" s="897"/>
      <c r="F149" s="897"/>
      <c r="G149" s="897"/>
      <c r="H149" s="897"/>
      <c r="I149" s="897"/>
    </row>
    <row r="150" spans="1:9" ht="14.25" hidden="1" customHeight="1">
      <c r="A150" s="897"/>
      <c r="B150" s="897"/>
      <c r="C150" s="897"/>
      <c r="D150" s="897"/>
      <c r="E150" s="897"/>
      <c r="F150" s="897"/>
      <c r="G150" s="897"/>
      <c r="H150" s="897"/>
      <c r="I150" s="897"/>
    </row>
    <row r="151" spans="1:9" ht="14.25" hidden="1" customHeight="1">
      <c r="A151" s="897"/>
      <c r="B151" s="897"/>
      <c r="C151" s="897"/>
      <c r="D151" s="897"/>
      <c r="E151" s="897"/>
      <c r="F151" s="897"/>
      <c r="G151" s="897"/>
      <c r="H151" s="897"/>
      <c r="I151" s="897"/>
    </row>
    <row r="152" spans="1:9" ht="14.25" hidden="1" customHeight="1">
      <c r="A152" s="897"/>
      <c r="B152" s="897"/>
      <c r="C152" s="897"/>
      <c r="D152" s="897"/>
      <c r="E152" s="897"/>
      <c r="F152" s="897"/>
      <c r="G152" s="897"/>
      <c r="H152" s="897"/>
      <c r="I152" s="897"/>
    </row>
    <row r="153" spans="1:9" ht="14.25" hidden="1" customHeight="1">
      <c r="A153" s="897"/>
      <c r="B153" s="897"/>
      <c r="C153" s="897"/>
      <c r="D153" s="897"/>
      <c r="E153" s="897"/>
      <c r="F153" s="897"/>
      <c r="G153" s="897"/>
      <c r="H153" s="897"/>
      <c r="I153" s="897"/>
    </row>
    <row r="154" spans="1:9" ht="14.25" hidden="1" customHeight="1">
      <c r="A154" s="897"/>
      <c r="B154" s="897"/>
      <c r="C154" s="897"/>
      <c r="D154" s="897"/>
      <c r="E154" s="897"/>
      <c r="F154" s="897"/>
      <c r="G154" s="897"/>
      <c r="H154" s="897"/>
      <c r="I154" s="897"/>
    </row>
    <row r="155" spans="1:9" ht="14.25" hidden="1" customHeight="1">
      <c r="A155" s="897"/>
      <c r="B155" s="897"/>
      <c r="C155" s="897"/>
      <c r="D155" s="897"/>
      <c r="E155" s="897"/>
      <c r="F155" s="897"/>
      <c r="G155" s="897"/>
      <c r="H155" s="897"/>
      <c r="I155" s="897"/>
    </row>
    <row r="156" spans="1:9" ht="14.25" hidden="1" customHeight="1">
      <c r="A156" s="897"/>
      <c r="B156" s="897"/>
      <c r="C156" s="897"/>
      <c r="D156" s="897"/>
      <c r="E156" s="897"/>
      <c r="F156" s="897"/>
      <c r="G156" s="897"/>
      <c r="H156" s="897"/>
      <c r="I156" s="897"/>
    </row>
    <row r="157" spans="1:9" ht="14.25" hidden="1" customHeight="1">
      <c r="A157" s="897"/>
      <c r="B157" s="897"/>
      <c r="C157" s="897"/>
      <c r="D157" s="897"/>
      <c r="E157" s="897"/>
      <c r="F157" s="897"/>
      <c r="G157" s="897"/>
      <c r="H157" s="897"/>
      <c r="I157" s="897"/>
    </row>
    <row r="158" spans="1:9" ht="27.75" customHeight="1">
      <c r="A158" s="883" t="s">
        <v>246</v>
      </c>
      <c r="B158" s="883"/>
      <c r="C158" s="883"/>
      <c r="D158" s="883"/>
      <c r="E158" s="883"/>
      <c r="F158" s="883"/>
      <c r="G158" s="883"/>
      <c r="H158" s="883"/>
      <c r="I158" s="883"/>
    </row>
    <row r="159" spans="1:9" ht="20.25" customHeight="1">
      <c r="A159" s="884" t="s">
        <v>247</v>
      </c>
      <c r="B159" s="884"/>
      <c r="C159" s="884"/>
      <c r="D159" s="884"/>
      <c r="E159" s="884"/>
      <c r="F159" s="884"/>
      <c r="G159" s="884"/>
      <c r="H159" s="884"/>
      <c r="I159" s="884"/>
    </row>
    <row r="160" spans="1:9" ht="35">
      <c r="A160" s="601" t="s">
        <v>236</v>
      </c>
      <c r="B160" s="893">
        <f>CHUNG!AL17</f>
        <v>5</v>
      </c>
      <c r="C160" s="893"/>
      <c r="D160" s="894"/>
      <c r="E160" s="894"/>
      <c r="F160" s="894"/>
      <c r="G160" s="894"/>
      <c r="H160" s="894"/>
      <c r="I160" s="894"/>
    </row>
    <row r="161" spans="1:9">
      <c r="A161" s="886" t="str">
        <f>VLOOKUP('THÁI ĐỘ'!C2,'THÁI ĐỘ'!B2:O14,2,0)</f>
        <v>Bạn sử dụng sức hút của mình để điều hướng và đạt được những gì bạn muốn trong cuộc sống. 
Bạn thích cuộc sống phiêu lưu, thú vị với nhịp sống nhanh, bạn dường như không sợ gì và luôn tìm kiếm sự nhanh chóng, đôi khi vội vàng. 
Bạn hoạt động tốt nhất trong môi trường luôn thay đổi, năng động và thậm chí hỗn loạn. Người khác sẽ chú ý đến việc bạn không thỏa hiệp với sự buồn chán.</v>
      </c>
      <c r="B161" s="887"/>
      <c r="C161" s="887"/>
      <c r="D161" s="887"/>
      <c r="E161" s="887"/>
      <c r="F161" s="887"/>
      <c r="G161" s="887"/>
      <c r="H161" s="887"/>
      <c r="I161" s="887"/>
    </row>
    <row r="162" spans="1:9">
      <c r="A162" s="887"/>
      <c r="B162" s="887"/>
      <c r="C162" s="887"/>
      <c r="D162" s="887"/>
      <c r="E162" s="887"/>
      <c r="F162" s="887"/>
      <c r="G162" s="887"/>
      <c r="H162" s="887"/>
      <c r="I162" s="887"/>
    </row>
    <row r="163" spans="1:9">
      <c r="A163" s="887"/>
      <c r="B163" s="887"/>
      <c r="C163" s="887"/>
      <c r="D163" s="887"/>
      <c r="E163" s="887"/>
      <c r="F163" s="887"/>
      <c r="G163" s="887"/>
      <c r="H163" s="887"/>
      <c r="I163" s="887"/>
    </row>
    <row r="164" spans="1:9">
      <c r="A164" s="887"/>
      <c r="B164" s="887"/>
      <c r="C164" s="887"/>
      <c r="D164" s="887"/>
      <c r="E164" s="887"/>
      <c r="F164" s="887"/>
      <c r="G164" s="887"/>
      <c r="H164" s="887"/>
      <c r="I164" s="887"/>
    </row>
    <row r="165" spans="1:9">
      <c r="A165" s="887"/>
      <c r="B165" s="887"/>
      <c r="C165" s="887"/>
      <c r="D165" s="887"/>
      <c r="E165" s="887"/>
      <c r="F165" s="887"/>
      <c r="G165" s="887"/>
      <c r="H165" s="887"/>
      <c r="I165" s="887"/>
    </row>
    <row r="166" spans="1:9">
      <c r="A166" s="887"/>
      <c r="B166" s="887"/>
      <c r="C166" s="887"/>
      <c r="D166" s="887"/>
      <c r="E166" s="887"/>
      <c r="F166" s="887"/>
      <c r="G166" s="887"/>
      <c r="H166" s="887"/>
      <c r="I166" s="887"/>
    </row>
    <row r="167" spans="1:9">
      <c r="A167" s="887"/>
      <c r="B167" s="887"/>
      <c r="C167" s="887"/>
      <c r="D167" s="887"/>
      <c r="E167" s="887"/>
      <c r="F167" s="887"/>
      <c r="G167" s="887"/>
      <c r="H167" s="887"/>
      <c r="I167" s="887"/>
    </row>
    <row r="168" spans="1:9" ht="6.75" customHeight="1">
      <c r="A168" s="887"/>
      <c r="B168" s="887"/>
      <c r="C168" s="887"/>
      <c r="D168" s="887"/>
      <c r="E168" s="887"/>
      <c r="F168" s="887"/>
      <c r="G168" s="887"/>
      <c r="H168" s="887"/>
      <c r="I168" s="887"/>
    </row>
    <row r="169" spans="1:9" ht="33" customHeight="1">
      <c r="A169" s="887"/>
      <c r="B169" s="887"/>
      <c r="C169" s="887"/>
      <c r="D169" s="887"/>
      <c r="E169" s="887"/>
      <c r="F169" s="887"/>
      <c r="G169" s="887"/>
      <c r="H169" s="887"/>
      <c r="I169" s="887"/>
    </row>
    <row r="170" spans="1:9" ht="14.25" hidden="1" customHeight="1">
      <c r="A170" s="887"/>
      <c r="B170" s="887"/>
      <c r="C170" s="887"/>
      <c r="D170" s="887"/>
      <c r="E170" s="887"/>
      <c r="F170" s="887"/>
      <c r="G170" s="887"/>
      <c r="H170" s="887"/>
      <c r="I170" s="887"/>
    </row>
    <row r="171" spans="1:9" ht="14.25" hidden="1" customHeight="1">
      <c r="A171" s="887"/>
      <c r="B171" s="887"/>
      <c r="C171" s="887"/>
      <c r="D171" s="887"/>
      <c r="E171" s="887"/>
      <c r="F171" s="887"/>
      <c r="G171" s="887"/>
      <c r="H171" s="887"/>
      <c r="I171" s="887"/>
    </row>
    <row r="172" spans="1:9" ht="14.25" hidden="1" customHeight="1">
      <c r="A172" s="887"/>
      <c r="B172" s="887"/>
      <c r="C172" s="887"/>
      <c r="D172" s="887"/>
      <c r="E172" s="887"/>
      <c r="F172" s="887"/>
      <c r="G172" s="887"/>
      <c r="H172" s="887"/>
      <c r="I172" s="887"/>
    </row>
    <row r="173" spans="1:9" ht="14.25" hidden="1" customHeight="1">
      <c r="A173" s="887"/>
      <c r="B173" s="887"/>
      <c r="C173" s="887"/>
      <c r="D173" s="887"/>
      <c r="E173" s="887"/>
      <c r="F173" s="887"/>
      <c r="G173" s="887"/>
      <c r="H173" s="887"/>
      <c r="I173" s="887"/>
    </row>
    <row r="174" spans="1:9" ht="14.25" hidden="1" customHeight="1">
      <c r="A174" s="887"/>
      <c r="B174" s="887"/>
      <c r="C174" s="887"/>
      <c r="D174" s="887"/>
      <c r="E174" s="887"/>
      <c r="F174" s="887"/>
      <c r="G174" s="887"/>
      <c r="H174" s="887"/>
      <c r="I174" s="887"/>
    </row>
    <row r="175" spans="1:9" ht="14.25" hidden="1" customHeight="1">
      <c r="A175" s="887"/>
      <c r="B175" s="887"/>
      <c r="C175" s="887"/>
      <c r="D175" s="887"/>
      <c r="E175" s="887"/>
      <c r="F175" s="887"/>
      <c r="G175" s="887"/>
      <c r="H175" s="887"/>
      <c r="I175" s="887"/>
    </row>
    <row r="176" spans="1:9" ht="14.25" hidden="1" customHeight="1">
      <c r="A176" s="887"/>
      <c r="B176" s="887"/>
      <c r="C176" s="887"/>
      <c r="D176" s="887"/>
      <c r="E176" s="887"/>
      <c r="F176" s="887"/>
      <c r="G176" s="887"/>
      <c r="H176" s="887"/>
      <c r="I176" s="887"/>
    </row>
    <row r="177" spans="1:9" hidden="1"/>
    <row r="178" spans="1:9" ht="27.75" customHeight="1">
      <c r="A178" s="883" t="s">
        <v>248</v>
      </c>
      <c r="B178" s="883"/>
      <c r="C178" s="883"/>
      <c r="D178" s="883"/>
      <c r="E178" s="883"/>
      <c r="F178" s="883"/>
      <c r="G178" s="883"/>
      <c r="H178" s="883"/>
      <c r="I178" s="883"/>
    </row>
    <row r="179" spans="1:9" ht="27" customHeight="1">
      <c r="A179" s="895" t="s">
        <v>249</v>
      </c>
      <c r="B179" s="895"/>
      <c r="C179" s="895"/>
      <c r="D179" s="895"/>
      <c r="E179" s="895"/>
      <c r="F179" s="895"/>
      <c r="G179" s="895"/>
      <c r="H179" s="895"/>
      <c r="I179" s="895"/>
    </row>
    <row r="180" spans="1:9" ht="35">
      <c r="A180" s="601" t="s">
        <v>236</v>
      </c>
      <c r="B180" s="893">
        <f>CHUNG!H22</f>
        <v>11</v>
      </c>
      <c r="C180" s="893"/>
      <c r="D180" s="894"/>
      <c r="E180" s="894"/>
      <c r="F180" s="894"/>
      <c r="G180" s="894"/>
      <c r="H180" s="894"/>
      <c r="I180" s="894"/>
    </row>
    <row r="181" spans="1:9">
      <c r="A181" s="886" t="str">
        <f>VLOOKUP('TRƯỞNG THÀNH'!C2,'TRƯỞNG THÀNH'!B2:O14,2,0)</f>
        <v>Số 11 sẽ có thêm những trải nghiệm trực giác và tâm linh đáng kinh ngạc khi già đi. Hãy tin vào cảm nhận của bạn. Sự nhạy cảm và khả năng phán đoán tính cách của bạn sẽ ngày càng sâu sắc. Bạn sẽ phân biệt đối xử rõ với những người mà bạn cho phép bước vào thế giới của mình và kết quả là những mối quan hệ lâu dài.</v>
      </c>
      <c r="B181" s="887"/>
      <c r="C181" s="887"/>
      <c r="D181" s="887"/>
      <c r="E181" s="887"/>
      <c r="F181" s="887"/>
      <c r="G181" s="887"/>
      <c r="H181" s="887"/>
      <c r="I181" s="887"/>
    </row>
    <row r="182" spans="1:9">
      <c r="A182" s="887"/>
      <c r="B182" s="887"/>
      <c r="C182" s="887"/>
      <c r="D182" s="887"/>
      <c r="E182" s="887"/>
      <c r="F182" s="887"/>
      <c r="G182" s="887"/>
      <c r="H182" s="887"/>
      <c r="I182" s="887"/>
    </row>
    <row r="183" spans="1:9">
      <c r="A183" s="887"/>
      <c r="B183" s="887"/>
      <c r="C183" s="887"/>
      <c r="D183" s="887"/>
      <c r="E183" s="887"/>
      <c r="F183" s="887"/>
      <c r="G183" s="887"/>
      <c r="H183" s="887"/>
      <c r="I183" s="887"/>
    </row>
    <row r="184" spans="1:9">
      <c r="A184" s="887"/>
      <c r="B184" s="887"/>
      <c r="C184" s="887"/>
      <c r="D184" s="887"/>
      <c r="E184" s="887"/>
      <c r="F184" s="887"/>
      <c r="G184" s="887"/>
      <c r="H184" s="887"/>
      <c r="I184" s="887"/>
    </row>
    <row r="185" spans="1:9" ht="18.75" customHeight="1">
      <c r="A185" s="887"/>
      <c r="B185" s="887"/>
      <c r="C185" s="887"/>
      <c r="D185" s="887"/>
      <c r="E185" s="887"/>
      <c r="F185" s="887"/>
      <c r="G185" s="887"/>
      <c r="H185" s="887"/>
      <c r="I185" s="887"/>
    </row>
    <row r="186" spans="1:9" ht="0.75" customHeight="1">
      <c r="A186" s="887"/>
      <c r="B186" s="887"/>
      <c r="C186" s="887"/>
      <c r="D186" s="887"/>
      <c r="E186" s="887"/>
      <c r="F186" s="887"/>
      <c r="G186" s="887"/>
      <c r="H186" s="887"/>
      <c r="I186" s="887"/>
    </row>
    <row r="187" spans="1:9" ht="14.25" hidden="1" customHeight="1">
      <c r="A187" s="887"/>
      <c r="B187" s="887"/>
      <c r="C187" s="887"/>
      <c r="D187" s="887"/>
      <c r="E187" s="887"/>
      <c r="F187" s="887"/>
      <c r="G187" s="887"/>
      <c r="H187" s="887"/>
      <c r="I187" s="887"/>
    </row>
    <row r="188" spans="1:9" ht="14.25" hidden="1" customHeight="1">
      <c r="A188" s="887"/>
      <c r="B188" s="887"/>
      <c r="C188" s="887"/>
      <c r="D188" s="887"/>
      <c r="E188" s="887"/>
      <c r="F188" s="887"/>
      <c r="G188" s="887"/>
      <c r="H188" s="887"/>
      <c r="I188" s="887"/>
    </row>
    <row r="189" spans="1:9" ht="14.25" hidden="1" customHeight="1">
      <c r="A189" s="887"/>
      <c r="B189" s="887"/>
      <c r="C189" s="887"/>
      <c r="D189" s="887"/>
      <c r="E189" s="887"/>
      <c r="F189" s="887"/>
      <c r="G189" s="887"/>
      <c r="H189" s="887"/>
      <c r="I189" s="887"/>
    </row>
    <row r="190" spans="1:9" ht="14.25" hidden="1" customHeight="1">
      <c r="A190" s="887"/>
      <c r="B190" s="887"/>
      <c r="C190" s="887"/>
      <c r="D190" s="887"/>
      <c r="E190" s="887"/>
      <c r="F190" s="887"/>
      <c r="G190" s="887"/>
      <c r="H190" s="887"/>
      <c r="I190" s="887"/>
    </row>
    <row r="191" spans="1:9" ht="14.25" hidden="1" customHeight="1">
      <c r="A191" s="887"/>
      <c r="B191" s="887"/>
      <c r="C191" s="887"/>
      <c r="D191" s="887"/>
      <c r="E191" s="887"/>
      <c r="F191" s="887"/>
      <c r="G191" s="887"/>
      <c r="H191" s="887"/>
      <c r="I191" s="887"/>
    </row>
    <row r="192" spans="1:9" ht="14.25" hidden="1" customHeight="1">
      <c r="A192" s="887"/>
      <c r="B192" s="887"/>
      <c r="C192" s="887"/>
      <c r="D192" s="887"/>
      <c r="E192" s="887"/>
      <c r="F192" s="887"/>
      <c r="G192" s="887"/>
      <c r="H192" s="887"/>
      <c r="I192" s="887"/>
    </row>
    <row r="193" spans="1:9" ht="14.25" hidden="1" customHeight="1">
      <c r="A193" s="887"/>
      <c r="B193" s="887"/>
      <c r="C193" s="887"/>
      <c r="D193" s="887"/>
      <c r="E193" s="887"/>
      <c r="F193" s="887"/>
      <c r="G193" s="887"/>
      <c r="H193" s="887"/>
      <c r="I193" s="887"/>
    </row>
    <row r="194" spans="1:9" ht="14.25" hidden="1" customHeight="1">
      <c r="A194" s="887"/>
      <c r="B194" s="887"/>
      <c r="C194" s="887"/>
      <c r="D194" s="887"/>
      <c r="E194" s="887"/>
      <c r="F194" s="887"/>
      <c r="G194" s="887"/>
      <c r="H194" s="887"/>
      <c r="I194" s="887"/>
    </row>
    <row r="195" spans="1:9" ht="14.25" hidden="1" customHeight="1">
      <c r="A195" s="887"/>
      <c r="B195" s="887"/>
      <c r="C195" s="887"/>
      <c r="D195" s="887"/>
      <c r="E195" s="887"/>
      <c r="F195" s="887"/>
      <c r="G195" s="887"/>
      <c r="H195" s="887"/>
      <c r="I195" s="887"/>
    </row>
    <row r="196" spans="1:9" ht="14.25" hidden="1" customHeight="1">
      <c r="A196" s="887"/>
      <c r="B196" s="887"/>
      <c r="C196" s="887"/>
      <c r="D196" s="887"/>
      <c r="E196" s="887"/>
      <c r="F196" s="887"/>
      <c r="G196" s="887"/>
      <c r="H196" s="887"/>
      <c r="I196" s="887"/>
    </row>
    <row r="197" spans="1:9" ht="31.5" customHeight="1">
      <c r="A197" s="883" t="s">
        <v>250</v>
      </c>
      <c r="B197" s="883"/>
      <c r="C197" s="883"/>
      <c r="D197" s="883"/>
      <c r="E197" s="883"/>
      <c r="F197" s="883"/>
      <c r="G197" s="883"/>
      <c r="H197" s="883"/>
      <c r="I197" s="883"/>
    </row>
    <row r="198" spans="1:9" ht="21" customHeight="1">
      <c r="A198" s="898" t="s">
        <v>251</v>
      </c>
      <c r="B198" s="898"/>
      <c r="C198" s="898"/>
      <c r="D198" s="620">
        <f ca="1">CHUNG!BW20</f>
        <v>7</v>
      </c>
      <c r="E198" s="602" t="s">
        <v>252</v>
      </c>
      <c r="F198" s="149"/>
      <c r="G198" s="149"/>
      <c r="H198" s="149"/>
      <c r="I198" s="149"/>
    </row>
    <row r="199" spans="1:9" ht="25.5" customHeight="1">
      <c r="A199" s="601" t="s">
        <v>236</v>
      </c>
      <c r="B199" s="893">
        <f ca="1">CHUNG!CA22</f>
        <v>4</v>
      </c>
      <c r="C199" s="893"/>
      <c r="D199" s="894"/>
      <c r="E199" s="894"/>
      <c r="F199" s="894"/>
      <c r="G199" s="894"/>
      <c r="H199" s="894"/>
      <c r="I199" s="894"/>
    </row>
    <row r="200" spans="1:9" ht="3.75" customHeight="1">
      <c r="A200" s="138"/>
      <c r="B200" s="142"/>
      <c r="C200" s="142"/>
      <c r="D200" s="138"/>
      <c r="E200" s="138"/>
      <c r="F200" s="138"/>
      <c r="G200" s="138"/>
      <c r="H200" s="138"/>
      <c r="I200" s="138"/>
    </row>
    <row r="201" spans="1:9" ht="66" customHeight="1">
      <c r="A201" s="886" t="str">
        <f ca="1">VLOOKUP('THÁNG CÁ NHÂN'!C2,'THÁNG CÁ NHÂN'!B2:O11,2,0)</f>
        <v>Đừng trì hoãn! Hãy quan tâm đến chi tiết và bất kỳ điều gì bạn chưa hoàn thiện. Luôn quan tâm đến sức khỏe của bạn.</v>
      </c>
      <c r="B201" s="886"/>
      <c r="C201" s="886"/>
      <c r="D201" s="886"/>
      <c r="E201" s="886"/>
      <c r="F201" s="886"/>
      <c r="G201" s="886"/>
      <c r="H201" s="886"/>
      <c r="I201" s="886"/>
    </row>
    <row r="202" spans="1:9" ht="6.75" customHeight="1">
      <c r="A202" s="603"/>
      <c r="B202" s="603"/>
      <c r="C202" s="603"/>
      <c r="D202" s="603"/>
      <c r="E202" s="603"/>
      <c r="F202" s="603"/>
      <c r="G202" s="603"/>
      <c r="H202" s="603"/>
      <c r="I202" s="603"/>
    </row>
    <row r="203" spans="1:9" ht="23">
      <c r="A203" s="883" t="s">
        <v>253</v>
      </c>
      <c r="B203" s="883"/>
      <c r="C203" s="883"/>
      <c r="D203" s="883"/>
      <c r="E203" s="883"/>
      <c r="F203" s="883"/>
      <c r="G203" s="883"/>
      <c r="H203" s="883"/>
      <c r="I203" s="883"/>
    </row>
    <row r="204" spans="1:9" ht="25.5" customHeight="1">
      <c r="A204" s="898" t="s">
        <v>254</v>
      </c>
      <c r="B204" s="898"/>
      <c r="C204" s="898"/>
      <c r="D204" s="621">
        <f ca="1">CHUNG!AE20</f>
        <v>2026</v>
      </c>
      <c r="E204" s="149" t="s">
        <v>255</v>
      </c>
      <c r="F204" s="150"/>
      <c r="G204" s="150"/>
      <c r="H204" s="150"/>
      <c r="I204" s="150"/>
    </row>
    <row r="205" spans="1:9" ht="35">
      <c r="A205" s="601" t="s">
        <v>236</v>
      </c>
      <c r="B205" s="893">
        <f ca="1">CHUNG!AL22</f>
        <v>6</v>
      </c>
      <c r="C205" s="893"/>
      <c r="D205" s="894"/>
      <c r="E205" s="894"/>
      <c r="F205" s="894"/>
      <c r="G205" s="894"/>
      <c r="H205" s="894"/>
      <c r="I205" s="894"/>
    </row>
    <row r="206" spans="1:9" ht="8.25" customHeight="1">
      <c r="A206" s="886"/>
      <c r="B206" s="886"/>
      <c r="C206" s="886"/>
      <c r="D206" s="886"/>
      <c r="E206" s="886"/>
      <c r="F206" s="886"/>
      <c r="G206" s="886"/>
      <c r="H206" s="886"/>
      <c r="I206" s="886"/>
    </row>
    <row r="207" spans="1:9" ht="225.75" customHeight="1">
      <c r="A207" s="886" t="str">
        <f ca="1">VLOOKUP('NĂM CÁ NHÂN'!D2,'NĂM CÁ NHÂN'!B2:P13,3,0)</f>
        <v>Năm cá nhân 6 của bạn kiểm soát quan hệ hôn nhân, việc sinh con hay liên quan đến cái chết, gia đình, nhà cửa và thậm chí cả vật nuôi của bạn. Bản chất ma quỷ/thiên thần của số 6 cũng áp dụng cho năm này.
Năm 6 cũng kiểm soát việc học hành, vì vậy bạn có thể thấy mình quay trở lại trường học hoặc tham gia các lớp học hoặc hội thảo vào cuối tuần. Đây là 1 năm tuyệt vời để học được điều gì đó mới. Từ tính cá nhân của bạn rất mạnh trong năm nay, vì vậy đây có thể là một năm thành công của mối quan hệ lãng mạn và chinh phục.
Bạn có thể thấy một vài điều tốt nhất và một vài sự kiện khó khăn nhất về mặt cảm xúc trong cuộc đời bạn sẽ xảy ra trong năm 6. Bạn có thể  kết hôn, và vài tháng sau, mất một vài người thân hoặc thú cưng.</v>
      </c>
      <c r="B207" s="886"/>
      <c r="C207" s="886"/>
      <c r="D207" s="886"/>
      <c r="E207" s="886"/>
      <c r="F207" s="886"/>
      <c r="G207" s="886"/>
      <c r="H207" s="886"/>
      <c r="I207" s="886"/>
    </row>
    <row r="210" spans="1:9" ht="27.75" customHeight="1">
      <c r="A210" s="883" t="s">
        <v>256</v>
      </c>
      <c r="B210" s="883"/>
      <c r="C210" s="883"/>
      <c r="D210" s="883"/>
      <c r="E210" s="883"/>
      <c r="F210" s="883"/>
      <c r="G210" s="883"/>
      <c r="H210" s="883"/>
      <c r="I210" s="883"/>
    </row>
    <row r="211" spans="1:9" ht="33.75" customHeight="1">
      <c r="A211" s="884" t="s">
        <v>257</v>
      </c>
      <c r="B211" s="884"/>
      <c r="C211" s="884"/>
      <c r="D211" s="884"/>
      <c r="E211" s="884"/>
      <c r="F211" s="884"/>
      <c r="G211" s="884"/>
      <c r="H211" s="884"/>
      <c r="I211" s="884"/>
    </row>
    <row r="212" spans="1:9" ht="24" customHeight="1">
      <c r="A212" s="902" t="s">
        <v>258</v>
      </c>
      <c r="B212" s="902"/>
      <c r="C212" s="902"/>
      <c r="D212" s="902"/>
      <c r="E212" s="902"/>
      <c r="F212" s="902"/>
      <c r="G212" s="902"/>
      <c r="H212" s="902"/>
      <c r="I212" s="902"/>
    </row>
    <row r="213" spans="1:9" s="151" customFormat="1" ht="17.25" customHeight="1">
      <c r="A213" s="899" t="str">
        <f>IF(OR('BIỂU ĐỒ'!C3="CÓ",'BIỂU ĐỒ'!D3="CÓ"),"Kiên định, lòng quyết tâm, sự kiên trì, ý chí, động lực hoặc khả năng vượt qua nghịch cảnh."," ")</f>
        <v>Kiên định, lòng quyết tâm, sự kiên trì, ý chí, động lực hoặc khả năng vượt qua nghịch cảnh.</v>
      </c>
      <c r="B213" s="899"/>
      <c r="C213" s="899"/>
      <c r="D213" s="899"/>
      <c r="E213" s="899"/>
      <c r="F213" s="899"/>
      <c r="G213" s="899"/>
      <c r="H213" s="899"/>
      <c r="I213" s="899"/>
    </row>
    <row r="214" spans="1:9" s="151" customFormat="1" ht="17.25" customHeight="1">
      <c r="A214" s="899" t="str">
        <f>IF(OR('BIỂU ĐỒ'!C5="CÓ",'BIỂU ĐỒ'!D5="CÓ"),"Có lòng đồng cảm, thiên tính, niềm tin tâm linh mạnh mẽ và trực giác ẩn giấu."," ")</f>
        <v xml:space="preserve"> </v>
      </c>
      <c r="B214" s="899"/>
      <c r="C214" s="899"/>
      <c r="D214" s="899"/>
      <c r="E214" s="899"/>
      <c r="F214" s="899"/>
      <c r="G214" s="899"/>
      <c r="H214" s="899"/>
      <c r="I214" s="899"/>
    </row>
    <row r="215" spans="1:9" s="151" customFormat="1" ht="17.25" customHeight="1">
      <c r="A215" s="899" t="str">
        <f>IF(OR('BIỂU ĐỒ'!C7="CÓ",'BIỂU ĐỒ'!D7="CÓ"),"Có trí tuệ: Thông minh, logic, có trí nhớ đặc biệt, người nghiên cứu, giải quyết vấn đề."," ")</f>
        <v xml:space="preserve"> </v>
      </c>
      <c r="B215" s="899"/>
      <c r="C215" s="899"/>
      <c r="D215" s="899"/>
      <c r="E215" s="899"/>
      <c r="F215" s="899"/>
      <c r="G215" s="899"/>
      <c r="H215" s="899"/>
      <c r="I215" s="899"/>
    </row>
    <row r="216" spans="1:9" s="151" customFormat="1" ht="17.25" customHeight="1">
      <c r="A216" s="899" t="str">
        <f>IF(OR('BIỂU ĐỒ'!C9="CÓ",'BIỂU ĐỒ'!D9="CÓ"),"Cân bằng: Cảm xúc bị khuếch đại, cảm thông, nghiêm túc."," ")</f>
        <v xml:space="preserve"> </v>
      </c>
      <c r="B216" s="899"/>
      <c r="C216" s="899"/>
      <c r="D216" s="899"/>
      <c r="E216" s="899"/>
      <c r="F216" s="899"/>
      <c r="G216" s="899"/>
      <c r="H216" s="899"/>
      <c r="I216" s="899"/>
    </row>
    <row r="217" spans="1:9" s="151" customFormat="1" ht="17.25" customHeight="1">
      <c r="A217" s="899" t="str">
        <f>IF(OR('BIỂU ĐỒ'!C11="CÓ",'BIỂU ĐỒ'!D11="CÓ"),"Có tính thực tiễn: Âm nhạc, sáng tạo, các công việc tay chân, trách nhiệm tài chính."," ")</f>
        <v>Có tính thực tiễn: Âm nhạc, sáng tạo, các công việc tay chân, trách nhiệm tài chính.</v>
      </c>
      <c r="B217" s="899"/>
      <c r="C217" s="899"/>
      <c r="D217" s="899"/>
      <c r="E217" s="899"/>
      <c r="F217" s="899"/>
      <c r="G217" s="899"/>
      <c r="H217" s="899"/>
      <c r="I217" s="899"/>
    </row>
    <row r="218" spans="1:9" s="151" customFormat="1" ht="15.75" customHeight="1">
      <c r="A218" s="900" t="str">
        <f>IF(OR('BIỂU ĐỒ'!C13="CÓ",'BIỂU ĐỒ'!D13="CÓ"),"Hay lập kế hoạch: Có tổ chức, kỷ luật, có kỹ năng, thành công."," ")</f>
        <v>Hay lập kế hoạch: Có tổ chức, kỷ luật, có kỹ năng, thành công.</v>
      </c>
      <c r="B218" s="900"/>
      <c r="C218" s="900"/>
      <c r="D218" s="900"/>
      <c r="E218" s="900"/>
      <c r="F218" s="900"/>
      <c r="G218" s="900"/>
      <c r="H218" s="900"/>
      <c r="I218" s="900"/>
    </row>
    <row r="219" spans="1:9" s="151" customFormat="1" ht="15.75" customHeight="1">
      <c r="A219" s="152" t="str">
        <f>IF(OR('BIỂU ĐỒ'!C15="CÓ",'BIỂU ĐỒ'!D15="CÓ"),"Thể hiện ý chí: Quyết đoán, ý chí mạnh, tập trung, kiên trì, vững vàng."," ")</f>
        <v xml:space="preserve"> </v>
      </c>
      <c r="B219" s="152"/>
      <c r="C219" s="152"/>
      <c r="D219" s="152"/>
      <c r="E219" s="152"/>
      <c r="F219" s="152"/>
      <c r="G219" s="152"/>
      <c r="H219" s="152"/>
      <c r="I219" s="152"/>
    </row>
    <row r="220" spans="1:9" s="151" customFormat="1" ht="15.75" customHeight="1">
      <c r="A220" s="152" t="str">
        <f>IF(OR('BIỂU ĐỒ'!C17="CÓ",'BIỂU ĐỒ'!D17="CÓ"),"Có sức chịu đựng, dẻo dai, năng lượng, hoạt động."," ")</f>
        <v>Có sức chịu đựng, dẻo dai, năng lượng, hoạt động.</v>
      </c>
      <c r="B220" s="152"/>
      <c r="C220" s="152"/>
      <c r="D220" s="152"/>
      <c r="E220" s="152"/>
      <c r="F220" s="152"/>
      <c r="G220" s="152"/>
      <c r="H220" s="152"/>
      <c r="I220" s="152"/>
    </row>
    <row r="221" spans="1:9" ht="3.75" customHeight="1">
      <c r="A221" s="153"/>
      <c r="B221" s="153"/>
      <c r="C221" s="153"/>
      <c r="D221" s="153"/>
      <c r="E221" s="153"/>
      <c r="F221" s="153"/>
      <c r="G221" s="153"/>
      <c r="H221" s="153"/>
      <c r="I221" s="153"/>
    </row>
    <row r="222" spans="1:9" ht="24.75" customHeight="1">
      <c r="A222" s="901" t="s">
        <v>259</v>
      </c>
      <c r="B222" s="901"/>
      <c r="C222" s="901"/>
      <c r="D222" s="901"/>
      <c r="E222" s="901"/>
      <c r="F222" s="901"/>
      <c r="G222" s="901"/>
      <c r="H222" s="901"/>
      <c r="I222" s="901"/>
    </row>
    <row r="223" spans="1:9" ht="6" customHeight="1">
      <c r="A223" s="603"/>
      <c r="B223" s="603"/>
      <c r="C223" s="603"/>
      <c r="D223" s="603"/>
      <c r="E223" s="603"/>
      <c r="F223" s="603"/>
      <c r="G223" s="603"/>
      <c r="H223" s="603"/>
      <c r="I223" s="603"/>
    </row>
    <row r="224" spans="1:9" s="151" customFormat="1" ht="15.75" customHeight="1">
      <c r="A224" s="886" t="str">
        <f>IF(AND('BIỂU ĐỒ'!C11="KHÔNG",'BIỂU ĐỒ'!D11="KHÔNG"),"Hay trì hoãn: Thiếu động lực, thiếu quyết đoán, nhút nhát, thờ ơ và dễ đầu hàng.."," ")</f>
        <v xml:space="preserve"> </v>
      </c>
      <c r="B224" s="886"/>
      <c r="C224" s="886"/>
      <c r="D224" s="886"/>
      <c r="E224" s="886"/>
      <c r="F224" s="886"/>
      <c r="G224" s="886"/>
      <c r="H224" s="886"/>
      <c r="I224" s="886"/>
    </row>
    <row r="225" spans="1:9" s="151" customFormat="1" ht="15.75" customHeight="1">
      <c r="A225" s="141" t="str">
        <f>IF(AND('BIỂU ĐỒ'!C5="KHÔNG",'BIỂU ĐỒ'!D5="KHÔNG"),"Thiếu tinh thần tâm linh, ít nhận thức cảm xúc, luôn nghi ngờ."," ")</f>
        <v>Thiếu tinh thần tâm linh, ít nhận thức cảm xúc, luôn nghi ngờ.</v>
      </c>
      <c r="B225" s="141"/>
      <c r="C225" s="141"/>
      <c r="D225" s="141"/>
      <c r="E225" s="141"/>
      <c r="F225" s="141"/>
      <c r="G225" s="141"/>
      <c r="H225" s="141"/>
      <c r="I225" s="141"/>
    </row>
    <row r="226" spans="1:9" s="151" customFormat="1" ht="15.75" customHeight="1">
      <c r="A226" s="141" t="str">
        <f>IF(AND('BIỂU ĐỒ'!C7="KHÔNG",'BIỂU ĐỒ'!D7="KHÔNG"),"Hay quên, kém tập trung, thiếu thông cảm, không quan tâm, trốn tránh trách nhiệm."," ")</f>
        <v>Hay quên, kém tập trung, thiếu thông cảm, không quan tâm, trốn tránh trách nhiệm.</v>
      </c>
      <c r="B226" s="141"/>
      <c r="C226" s="141"/>
      <c r="D226" s="141"/>
      <c r="E226" s="141"/>
      <c r="F226" s="141"/>
      <c r="G226" s="141"/>
      <c r="H226" s="141"/>
      <c r="I226" s="141"/>
    </row>
    <row r="227" spans="1:9" s="151" customFormat="1" ht="15.75" customHeight="1">
      <c r="A227" s="887" t="str">
        <f>IF(AND('BIỂU ĐỒ'!C9="KHÔNG",'BIỂU ĐỒ'!D9="KHÔNG"),"Nhạy cảm, cảm giác tự ti, sợ hãi, khao khát được chữa lành."," ")</f>
        <v>Nhạy cảm, cảm giác tự ti, sợ hãi, khao khát được chữa lành.</v>
      </c>
      <c r="B227" s="887"/>
      <c r="C227" s="887"/>
      <c r="D227" s="887"/>
      <c r="E227" s="887"/>
      <c r="F227" s="887"/>
      <c r="G227" s="887"/>
      <c r="H227" s="887"/>
      <c r="I227" s="887"/>
    </row>
    <row r="228" spans="1:9" s="151" customFormat="1" ht="15.75" customHeight="1">
      <c r="A228" s="887" t="str">
        <f>IF(AND('BIỂU ĐỒ'!C11="KHÔNG",'BIỂU ĐỒ'!D11="KHÔNG"),"Thiếu thực tiễn: Mơ mộng, viển vông, chi tiêu quá mức, sức khỏe có vấn đề."," ")</f>
        <v xml:space="preserve"> </v>
      </c>
      <c r="B228" s="887"/>
      <c r="C228" s="887"/>
      <c r="D228" s="887"/>
      <c r="E228" s="887"/>
      <c r="F228" s="887"/>
      <c r="G228" s="887"/>
      <c r="H228" s="887"/>
      <c r="I228" s="887"/>
    </row>
    <row r="229" spans="1:9" s="151" customFormat="1" ht="15.75" customHeight="1">
      <c r="A229" s="141" t="str">
        <f>IF(AND('BIỂU ĐỒ'!C13="KHÔNG",'BIỂU ĐỒ'!D13="KHÔNG"),"Nhầm lẫn, bối rối, thiếu tổ chức, thiếu cam kết, hiểu lầm."," ")</f>
        <v xml:space="preserve"> </v>
      </c>
      <c r="B229" s="141"/>
      <c r="C229" s="141"/>
      <c r="D229" s="141"/>
      <c r="E229" s="141"/>
      <c r="F229" s="141"/>
      <c r="G229" s="141"/>
      <c r="H229" s="141"/>
      <c r="I229" s="141"/>
    </row>
    <row r="230" spans="1:9" s="151" customFormat="1" ht="15.75" customHeight="1">
      <c r="A230" s="141" t="str">
        <f>IF(AND('BIỂU ĐỒ'!C15="KHÔNG",'BIỂU ĐỒ'!D15="KHÔNG"),"Dễ thất vọng, thiếu quyết đoán, kháng cự sự thay đổi."," ")</f>
        <v>Dễ thất vọng, thiếu quyết đoán, kháng cự sự thay đổi.</v>
      </c>
      <c r="B230" s="141"/>
      <c r="C230" s="141"/>
      <c r="D230" s="141"/>
      <c r="E230" s="141"/>
      <c r="F230" s="141"/>
      <c r="G230" s="141"/>
      <c r="H230" s="141"/>
      <c r="I230" s="141"/>
    </row>
    <row r="231" spans="1:9" ht="15.75" customHeight="1">
      <c r="A231" s="153" t="str">
        <f>IF(AND('BIỂU ĐỒ'!C17="KHÔNG",'BIỂU ĐỒ'!D17="KHÔNG"),"Hay lưỡng lự: Chần chừ, lười biếng, thiếu niềm tin, vô tổ chức."," ")</f>
        <v xml:space="preserve"> </v>
      </c>
      <c r="B231" s="153"/>
      <c r="C231" s="153"/>
      <c r="D231" s="153"/>
      <c r="E231" s="153"/>
      <c r="F231" s="153"/>
      <c r="G231" s="153"/>
      <c r="H231" s="153"/>
      <c r="I231" s="153"/>
    </row>
    <row r="232" spans="1:9" ht="0.75" customHeight="1">
      <c r="A232" s="153"/>
      <c r="B232" s="153"/>
      <c r="C232" s="153"/>
      <c r="D232" s="153"/>
      <c r="E232" s="153"/>
      <c r="F232" s="153"/>
      <c r="G232" s="153"/>
      <c r="H232" s="153"/>
      <c r="I232" s="153"/>
    </row>
    <row r="233" spans="1:9" ht="2.25" hidden="1" customHeight="1">
      <c r="A233" s="153"/>
      <c r="B233" s="153"/>
      <c r="C233" s="153"/>
      <c r="D233" s="153"/>
      <c r="E233" s="153"/>
      <c r="F233" s="153"/>
      <c r="G233" s="153"/>
      <c r="H233" s="153"/>
      <c r="I233" s="153"/>
    </row>
    <row r="234" spans="1:9" ht="23">
      <c r="A234" s="883" t="s">
        <v>260</v>
      </c>
      <c r="B234" s="883"/>
      <c r="C234" s="883"/>
      <c r="D234" s="883"/>
      <c r="E234" s="883"/>
      <c r="F234" s="883"/>
      <c r="G234" s="883"/>
      <c r="H234" s="883"/>
      <c r="I234" s="883"/>
    </row>
    <row r="235" spans="1:9" ht="27" customHeight="1">
      <c r="A235" s="884" t="s">
        <v>261</v>
      </c>
      <c r="B235" s="884"/>
      <c r="C235" s="884"/>
      <c r="D235" s="884"/>
      <c r="E235" s="884"/>
      <c r="F235" s="884"/>
      <c r="G235" s="884"/>
      <c r="H235" s="884"/>
      <c r="I235" s="884"/>
    </row>
    <row r="236" spans="1:9" ht="41.25" customHeight="1">
      <c r="A236" s="886" t="str">
        <f>IF('BÀI HỌC NGHIỆP'!C3="CÓ",VLOOKUP('BÀI HỌC NGHIỆP'!B3,'BÀI HỌC NGHIỆP'!$B$2:$P$11,3,0)," ")</f>
        <v xml:space="preserve"> </v>
      </c>
      <c r="B236" s="886"/>
      <c r="C236" s="886"/>
      <c r="D236" s="886"/>
      <c r="E236" s="886"/>
      <c r="F236" s="886"/>
      <c r="G236" s="886"/>
      <c r="H236" s="886"/>
      <c r="I236" s="886"/>
    </row>
    <row r="237" spans="1:9" ht="41.25" customHeight="1">
      <c r="A237" s="886" t="str">
        <f>IF('BÀI HỌC NGHIỆP'!C4="CÓ",VLOOKUP('BÀI HỌC NGHIỆP'!B4,'BÀI HỌC NGHIỆP'!$B$2:$P$11,3,0)," ")</f>
        <v xml:space="preserve"> </v>
      </c>
      <c r="B237" s="886"/>
      <c r="C237" s="886"/>
      <c r="D237" s="886"/>
      <c r="E237" s="886"/>
      <c r="F237" s="886"/>
      <c r="G237" s="886"/>
      <c r="H237" s="886"/>
      <c r="I237" s="886"/>
    </row>
    <row r="238" spans="1:9" ht="41.25" customHeight="1">
      <c r="A238" s="886" t="str">
        <f>IF('BÀI HỌC NGHIỆP'!C5="CÓ",VLOOKUP('BÀI HỌC NGHIỆP'!B5,'BÀI HỌC NGHIỆP'!$B$2:$P$11,3,0)," ")</f>
        <v xml:space="preserve"> </v>
      </c>
      <c r="B238" s="886"/>
      <c r="C238" s="886"/>
      <c r="D238" s="886"/>
      <c r="E238" s="886"/>
      <c r="F238" s="886"/>
      <c r="G238" s="886"/>
      <c r="H238" s="886"/>
      <c r="I238" s="886"/>
    </row>
    <row r="239" spans="1:9" ht="41.25" customHeight="1">
      <c r="A239" s="886" t="str">
        <f>IF('BÀI HỌC NGHIỆP'!C6="CÓ",VLOOKUP('BÀI HỌC NGHIỆP'!B6,'BÀI HỌC NGHIỆP'!$B$2:$P$11,3,0)," ")</f>
        <v xml:space="preserve"> </v>
      </c>
      <c r="B239" s="886"/>
      <c r="C239" s="886"/>
      <c r="D239" s="886"/>
      <c r="E239" s="886"/>
      <c r="F239" s="886"/>
      <c r="G239" s="886"/>
      <c r="H239" s="886"/>
      <c r="I239" s="886"/>
    </row>
    <row r="240" spans="1:9" ht="41.25" customHeight="1">
      <c r="A240" s="886" t="str">
        <f>IF('BÀI HỌC NGHIỆP'!C7="CÓ",VLOOKUP('BÀI HỌC NGHIỆP'!B7,'BÀI HỌC NGHIỆP'!$B$2:$P$11,3,0)," ")</f>
        <v xml:space="preserve"> </v>
      </c>
      <c r="B240" s="886"/>
      <c r="C240" s="886"/>
      <c r="D240" s="886"/>
      <c r="E240" s="886"/>
      <c r="F240" s="886"/>
      <c r="G240" s="886"/>
      <c r="H240" s="886"/>
      <c r="I240" s="886"/>
    </row>
    <row r="241" spans="1:9" ht="41.25" customHeight="1">
      <c r="A241" s="886" t="str">
        <f>IF('BÀI HỌC NGHIỆP'!C8="CÓ",VLOOKUP('BÀI HỌC NGHIỆP'!B8,'BÀI HỌC NGHIỆP'!$B$2:$P$11,3,0)," ")</f>
        <v>Thiếu F,O hoặc X: Bạn phải đối mặt với những vấn đề lớn liên quan đến tính cam kết và sự khó khăn trong thể hiện cảm xúc. Bạn né tránh 1 cách có trách nhiệm và phải nỗ lực trong việc xây dựng các mối quan hệ chân thành, dễ bị tổn thương. Có thể những vết sẹo gia đình cần được giải quyết hoặc tha thứ.</v>
      </c>
      <c r="B241" s="886"/>
      <c r="C241" s="886"/>
      <c r="D241" s="886"/>
      <c r="E241" s="886"/>
      <c r="F241" s="886"/>
      <c r="G241" s="886"/>
      <c r="H241" s="886"/>
      <c r="I241" s="886"/>
    </row>
    <row r="242" spans="1:9" ht="41.25" customHeight="1">
      <c r="A242" s="886" t="str">
        <f>IF('BÀI HỌC NGHIỆP'!C9="CÓ",VLOOKUP('BÀI HỌC NGHIỆP'!B9,'BÀI HỌC NGHIỆP'!$B$2:$P$11,3,0)," ")</f>
        <v xml:space="preserve"> </v>
      </c>
      <c r="B242" s="886"/>
      <c r="C242" s="886"/>
      <c r="D242" s="886"/>
      <c r="E242" s="886"/>
      <c r="F242" s="886"/>
      <c r="G242" s="886"/>
      <c r="H242" s="886"/>
      <c r="I242" s="886"/>
    </row>
    <row r="243" spans="1:9" ht="41.25" customHeight="1">
      <c r="A243" s="886" t="str">
        <f>IF('BÀI HỌC NGHIỆP'!C10="CÓ",VLOOKUP('BÀI HỌC NGHIỆP'!B10,'BÀI HỌC NGHIỆP'!$B$2:$P$11,3,0)," ")</f>
        <v xml:space="preserve"> </v>
      </c>
      <c r="B243" s="886"/>
      <c r="C243" s="886"/>
      <c r="D243" s="886"/>
      <c r="E243" s="886"/>
      <c r="F243" s="886"/>
      <c r="G243" s="886"/>
      <c r="H243" s="886"/>
      <c r="I243" s="886"/>
    </row>
    <row r="244" spans="1:9" ht="39.75" customHeight="1">
      <c r="A244" s="886" t="str">
        <f>IF('BÀI HỌC NGHIỆP'!C11="CÓ",VLOOKUP('BÀI HỌC NGHIỆP'!B11,'BÀI HỌC NGHIỆP'!$B$2:$P$11,3,0)," ")</f>
        <v xml:space="preserve"> </v>
      </c>
      <c r="B244" s="886"/>
      <c r="C244" s="886"/>
      <c r="D244" s="886"/>
      <c r="E244" s="886"/>
      <c r="F244" s="886"/>
      <c r="G244" s="886"/>
      <c r="H244" s="886"/>
      <c r="I244" s="886"/>
    </row>
    <row r="245" spans="1:9" ht="3.75" customHeight="1">
      <c r="A245" s="886" t="s">
        <v>879</v>
      </c>
      <c r="B245" s="886"/>
      <c r="C245" s="886"/>
      <c r="D245" s="886"/>
      <c r="E245" s="886"/>
      <c r="F245" s="886"/>
      <c r="G245" s="886"/>
      <c r="H245" s="886"/>
      <c r="I245" s="886"/>
    </row>
    <row r="246" spans="1:9" ht="23.25" customHeight="1">
      <c r="A246" s="883" t="s">
        <v>262</v>
      </c>
      <c r="B246" s="883"/>
      <c r="C246" s="883"/>
      <c r="D246" s="883"/>
      <c r="E246" s="883"/>
      <c r="F246" s="883"/>
      <c r="G246" s="883"/>
      <c r="H246" s="883"/>
      <c r="I246" s="883"/>
    </row>
    <row r="247" spans="1:9" ht="28.5" customHeight="1">
      <c r="A247" s="884" t="s">
        <v>263</v>
      </c>
      <c r="B247" s="884"/>
      <c r="C247" s="884"/>
      <c r="D247" s="884"/>
      <c r="E247" s="884"/>
      <c r="F247" s="884"/>
      <c r="G247" s="884"/>
      <c r="H247" s="884"/>
      <c r="I247" s="884"/>
    </row>
    <row r="248" spans="1:9" ht="15.75" customHeight="1">
      <c r="A248" s="154" t="s">
        <v>264</v>
      </c>
      <c r="B248" s="604" t="s">
        <v>265</v>
      </c>
      <c r="C248" s="903" t="s">
        <v>266</v>
      </c>
      <c r="D248" s="903"/>
      <c r="E248" s="903"/>
      <c r="F248" s="903"/>
      <c r="G248" s="903"/>
      <c r="H248" s="903"/>
      <c r="I248" s="903"/>
    </row>
    <row r="249" spans="1:9" ht="27" customHeight="1">
      <c r="A249" s="155" t="s">
        <v>267</v>
      </c>
      <c r="B249" s="159">
        <f>CHUNG!F44</f>
        <v>2</v>
      </c>
      <c r="C249" s="887" t="str">
        <f>IF(AND(B249&gt;=1,B249&lt;=3),"Quyết đoán và có động lực.",IF(AND((B249&gt;=4),B249&lt;=5),"Mạnh mẽ, độc lập, nổi bật trong đám đông.",IF(B249&gt;=6,"Hung hăng cạnh tranh,bướng bỉnh, hống hách, có thể hay bị đau đầu.","Thiếu tự tin và độc lập.")))</f>
        <v>Quyết đoán và có động lực.</v>
      </c>
      <c r="D249" s="887"/>
      <c r="E249" s="887"/>
      <c r="F249" s="887"/>
      <c r="G249" s="887"/>
      <c r="H249" s="887"/>
      <c r="I249" s="887"/>
    </row>
    <row r="250" spans="1:9" ht="27" customHeight="1">
      <c r="A250" s="155" t="s">
        <v>268</v>
      </c>
      <c r="B250" s="159">
        <f>CHUNG!F45</f>
        <v>1</v>
      </c>
      <c r="C250" s="886" t="str">
        <f>IF(AND(B250&gt;=1,B250&lt;=2),"Chu đáo, sẵn sàng giúp đỡ, nhạy cảm.",IF(B250&gt;2,"Khéo léo và chi tiết, có cảm nhận tốt về nhịp điệu và thời gian, gắn kết, càng nhiều số 2 càng nhạy cảm.","Thiếu kiên nhẫn, thiếu chu đáo."))</f>
        <v>Chu đáo, sẵn sàng giúp đỡ, nhạy cảm.</v>
      </c>
      <c r="D250" s="886"/>
      <c r="E250" s="886"/>
      <c r="F250" s="886"/>
      <c r="G250" s="886"/>
      <c r="H250" s="886"/>
      <c r="I250" s="886"/>
    </row>
    <row r="251" spans="1:9" ht="27" customHeight="1">
      <c r="A251" s="155" t="s">
        <v>269</v>
      </c>
      <c r="B251" s="159">
        <f>CHUNG!F46</f>
        <v>1</v>
      </c>
      <c r="C251" s="886" t="str">
        <f>IF(AND(B251&gt;=1,B251&lt;=2),"Dễ dàng thể hiện bản thân và cảm xúc của mình, đồng thời mang đến cho bạn khả năng tạo tiếng cười.",IF(B251&gt;=3,"Tự cao, thiên về nghệ thuật, có năng khiếu ngôn từ, đôi khi hay suy nghĩ tản mạn, khó khăn trong duy trì sự tập trung.","Khó khăn trong việc giao tiếp và thể hiện bản thân. "))</f>
        <v>Dễ dàng thể hiện bản thân và cảm xúc của mình, đồng thời mang đến cho bạn khả năng tạo tiếng cười.</v>
      </c>
      <c r="D251" s="886"/>
      <c r="E251" s="886"/>
      <c r="F251" s="886"/>
      <c r="G251" s="886"/>
      <c r="H251" s="886"/>
      <c r="I251" s="886"/>
    </row>
    <row r="252" spans="1:9" ht="27" customHeight="1">
      <c r="A252" s="155" t="s">
        <v>270</v>
      </c>
      <c r="B252" s="159">
        <f>CHUNG!AT44</f>
        <v>1</v>
      </c>
      <c r="C252" s="887" t="str">
        <f>IF(AND(B252&gt;=1,B252&lt;=2),"Tính thực tế và khả năng nhìn thấu mọi thứ.",IF(AND((B252&gt;=3),B252&lt;=5),"Kỹ năng độc nhất để xây dựng những giá trị có tác động và lâu dài.",IF(B252&gt;=5,"Bạn có tính kiểm soát, cứng rắn, bướng bỉnh và tham công tiếc việc.","Vật lộn để duy trì tổ chức và tuân thủ, bạn cũng khó tập trung.")))</f>
        <v>Tính thực tế và khả năng nhìn thấu mọi thứ.</v>
      </c>
      <c r="D252" s="887"/>
      <c r="E252" s="887"/>
      <c r="F252" s="887"/>
      <c r="G252" s="887"/>
      <c r="H252" s="887"/>
      <c r="I252" s="887"/>
    </row>
    <row r="253" spans="1:9" ht="27" customHeight="1">
      <c r="A253" s="155" t="s">
        <v>271</v>
      </c>
      <c r="B253" s="159">
        <f>CHUNG!AT45</f>
        <v>2</v>
      </c>
      <c r="C253" s="886" t="str">
        <f>IF(AND(B253&gt;=0,B253&lt;=1),"Khó thích nghi với hoàn cảnh sống và không thích sự thay đổi và đám đông, khiến bạn trở nên tự cô lập.",IF(B253&gt;=2,"Sự tháo vát và khả năng thích ứng, có thêm số 5 tức là tăng cường năng lượng của con số này."," "))</f>
        <v>Sự tháo vát và khả năng thích ứng, có thêm số 5 tức là tăng cường năng lượng của con số này.</v>
      </c>
      <c r="D253" s="886"/>
      <c r="E253" s="886"/>
      <c r="F253" s="886"/>
      <c r="G253" s="886"/>
      <c r="H253" s="886"/>
      <c r="I253" s="886"/>
    </row>
    <row r="254" spans="1:9" ht="27" customHeight="1">
      <c r="A254" s="155" t="s">
        <v>272</v>
      </c>
      <c r="B254" s="159">
        <f>CHUNG!AT46</f>
        <v>0</v>
      </c>
      <c r="C254" s="886" t="str">
        <f>IF(AND(B254&gt;=1,B254&lt;=2),"Bạn sẽ không gặp khó khăn khi chịu trách nhiệm về các vấn đề nội bộ và gia đình cũng như tìm kiếm sự cân bằng trong cuộc sống.       ",IF(AND((B254&gt;=3),B254&lt;=4),"Quan điểm cá nhân mạnh mẽ, tính cách áp đảo và đòi hỏi cao.",IF(B254&gt;5,"Phải vật lộn quá nhiều với trách nhiệm gánh vác, bạn có thể thấy mình bị coi nhẹ hay bị lợi dụng.","Thiếu trách nhiệm, duy tâm và có những kỳ vọng không thực tế.")))</f>
        <v>Thiếu trách nhiệm, duy tâm và có những kỳ vọng không thực tế.</v>
      </c>
      <c r="D254" s="886"/>
      <c r="E254" s="886"/>
      <c r="F254" s="886"/>
      <c r="G254" s="886"/>
      <c r="H254" s="886"/>
      <c r="I254" s="886"/>
    </row>
    <row r="255" spans="1:9" ht="27" customHeight="1">
      <c r="A255" s="155" t="s">
        <v>273</v>
      </c>
      <c r="B255" s="159">
        <f>CHUNG!CA44</f>
        <v>1</v>
      </c>
      <c r="C255" s="886" t="str">
        <f>IF(AND(B255&gt;=1,B255&lt;=2),"Tò mò, trực giác mạnh.",IF(B255&gt;2,"Không thích thể hiện cảm xúc, đầu óc máy móc và tỏ ra bí ẩn riêng tư.","Cởi mở, không nghi ngờ, hoang tưởng nghĩa là bạn bốc đồng, thiếu tinh thần trong cuộc sống."))</f>
        <v>Tò mò, trực giác mạnh.</v>
      </c>
      <c r="D255" s="886"/>
      <c r="E255" s="886"/>
      <c r="F255" s="886"/>
      <c r="G255" s="886"/>
      <c r="H255" s="886"/>
      <c r="I255" s="886"/>
    </row>
    <row r="256" spans="1:9" ht="27" customHeight="1">
      <c r="A256" s="155" t="s">
        <v>274</v>
      </c>
      <c r="B256" s="159">
        <f>CHUNG!CA45</f>
        <v>1</v>
      </c>
      <c r="C256" s="886" t="str">
        <f>IF(AND(B256&gt;=1,B256&lt;=2),"Có năng lực và có thể chịu trách nhiệm khi cần thiết.",IF(B256&gt;2,"Giúp bạn hiểu rõ tiền nhưng cũng vì vậy bạn quá coi trọng đồng tiền trong cuộc sống của mình.","Thận trọng với nguồn lực của mình và bài học của bạn liên quan đến tiền bạc và quyền lực."))</f>
        <v>Có năng lực và có thể chịu trách nhiệm khi cần thiết.</v>
      </c>
      <c r="D256" s="886"/>
      <c r="E256" s="886"/>
      <c r="F256" s="886"/>
      <c r="G256" s="886"/>
      <c r="H256" s="886"/>
      <c r="I256" s="886"/>
    </row>
    <row r="257" spans="1:9" ht="27" customHeight="1">
      <c r="A257" s="155" t="s">
        <v>275</v>
      </c>
      <c r="B257" s="159">
        <f>CHUNG!CA46</f>
        <v>1</v>
      </c>
      <c r="C257" s="886" t="str">
        <f>IF(B257=1,"Không ý thức nhiều về cảm xúc của người khác.",IF(AND((B257&gt;=2),B257&lt;=3),"Bạn hiểu biết, tài năng sáng tạo và cách tiếp cận nhân văn với cuộc sống.","Tự thu mình, bạn sẽ được thử thách bằng những bài học về lòng khoan dung và vị tha."))</f>
        <v>Không ý thức nhiều về cảm xúc của người khác.</v>
      </c>
      <c r="D257" s="886"/>
      <c r="E257" s="886"/>
      <c r="F257" s="886"/>
      <c r="G257" s="886"/>
      <c r="H257" s="886"/>
      <c r="I257" s="886"/>
    </row>
    <row r="258" spans="1:9" s="148" customFormat="1" ht="3.75" customHeight="1">
      <c r="A258" s="156"/>
      <c r="B258" s="157"/>
      <c r="C258" s="158"/>
      <c r="D258" s="158"/>
      <c r="E258" s="158"/>
      <c r="F258" s="158"/>
      <c r="G258" s="158"/>
      <c r="H258" s="158"/>
      <c r="I258" s="158"/>
    </row>
    <row r="259" spans="1:9" s="148" customFormat="1" ht="12.75" customHeight="1">
      <c r="A259" s="156"/>
      <c r="B259" s="157"/>
      <c r="C259" s="158"/>
      <c r="D259" s="158"/>
      <c r="E259" s="158"/>
      <c r="F259" s="158"/>
      <c r="G259" s="158"/>
      <c r="H259" s="158"/>
      <c r="I259" s="158"/>
    </row>
    <row r="260" spans="1:9" ht="35.25" customHeight="1">
      <c r="A260" s="883" t="s">
        <v>276</v>
      </c>
      <c r="B260" s="883"/>
      <c r="C260" s="883"/>
      <c r="D260" s="883"/>
      <c r="E260" s="883"/>
      <c r="F260" s="883"/>
      <c r="G260" s="883"/>
      <c r="H260" s="883"/>
      <c r="I260" s="883"/>
    </row>
    <row r="261" spans="1:9" ht="31.5" customHeight="1">
      <c r="A261" s="884" t="s">
        <v>277</v>
      </c>
      <c r="B261" s="884"/>
      <c r="C261" s="884"/>
      <c r="D261" s="884"/>
      <c r="E261" s="884"/>
      <c r="F261" s="884"/>
      <c r="G261" s="884"/>
      <c r="H261" s="884"/>
      <c r="I261" s="884"/>
    </row>
    <row r="262" spans="1:9" ht="39.75" customHeight="1">
      <c r="A262" s="601" t="s">
        <v>236</v>
      </c>
      <c r="B262" s="619">
        <f>CHUNG!EC37</f>
        <v>5</v>
      </c>
      <c r="C262" s="126" t="s">
        <v>278</v>
      </c>
      <c r="D262" s="622">
        <f>CHUNG!CS22</f>
        <v>0</v>
      </c>
      <c r="E262" s="622">
        <f>CHUNG!CZ22</f>
        <v>0</v>
      </c>
      <c r="F262" s="622">
        <f>CHUNG!DG22</f>
        <v>0</v>
      </c>
      <c r="G262" s="622" t="str">
        <f>IF(CHUNG!DN22&lt;&gt;0,CHUNG!DN22," ")</f>
        <v xml:space="preserve"> </v>
      </c>
      <c r="H262" s="622" t="str">
        <f>IF(CHUNG!DU22&lt;&gt;0,CHUNG!DU22," ")</f>
        <v xml:space="preserve"> </v>
      </c>
      <c r="I262" s="622" t="str">
        <f>IF(CHUNG!EB22&lt;&gt;0,CHUNG!EB22," ")</f>
        <v xml:space="preserve"> </v>
      </c>
    </row>
    <row r="263" spans="1:9" ht="9" customHeight="1">
      <c r="A263" s="155"/>
      <c r="B263" s="159"/>
      <c r="C263" s="603"/>
      <c r="D263" s="603"/>
      <c r="E263" s="603"/>
      <c r="F263" s="603"/>
      <c r="G263" s="603"/>
      <c r="H263" s="603"/>
      <c r="I263" s="603"/>
    </row>
    <row r="264" spans="1:9" ht="241.5" customHeight="1">
      <c r="A264" s="877" t="str">
        <f>IF(CHUNG!CS22=0," ",VLOOKUP('CĂNG THẲNG TÂM HỒN'!C2,'CĂNG THẲNG TÂM HỒN'!B2:O11,2,0))</f>
        <v xml:space="preserve"> </v>
      </c>
      <c r="B264" s="877"/>
      <c r="C264" s="877"/>
      <c r="D264" s="877"/>
      <c r="E264" s="877"/>
      <c r="F264" s="877"/>
      <c r="G264" s="877"/>
      <c r="H264" s="877"/>
      <c r="I264" s="877"/>
    </row>
    <row r="265" spans="1:9" ht="27.75" customHeight="1">
      <c r="A265" s="603"/>
      <c r="B265" s="603"/>
      <c r="C265" s="603"/>
      <c r="D265" s="603"/>
      <c r="E265" s="603"/>
      <c r="F265" s="603"/>
      <c r="G265" s="603"/>
      <c r="H265" s="603"/>
      <c r="I265" s="603"/>
    </row>
    <row r="266" spans="1:9" ht="17.25" customHeight="1"/>
    <row r="267" spans="1:9" ht="29.25" customHeight="1">
      <c r="A267" s="904"/>
      <c r="B267" s="904"/>
      <c r="C267" s="904"/>
      <c r="D267" s="904"/>
      <c r="E267" s="904"/>
      <c r="F267" s="904"/>
      <c r="G267" s="904"/>
      <c r="H267" s="904"/>
      <c r="I267" s="904"/>
    </row>
    <row r="268" spans="1:9" ht="14.25" customHeight="1">
      <c r="A268" s="160" t="s">
        <v>279</v>
      </c>
      <c r="B268" s="160"/>
      <c r="C268" s="160"/>
      <c r="D268" s="160"/>
      <c r="E268" s="160"/>
      <c r="F268" s="160"/>
      <c r="G268" s="160"/>
      <c r="H268" s="160"/>
      <c r="I268" s="160"/>
    </row>
    <row r="269" spans="1:9">
      <c r="A269" s="160"/>
      <c r="B269" s="160"/>
      <c r="C269" s="160"/>
      <c r="D269" s="160"/>
      <c r="E269" s="160"/>
      <c r="F269" s="160"/>
      <c r="G269" s="160"/>
      <c r="H269" s="160"/>
      <c r="I269" s="160"/>
    </row>
    <row r="270" spans="1:9" ht="4.5" customHeight="1">
      <c r="A270" s="160"/>
      <c r="B270" s="160"/>
      <c r="C270" s="160"/>
      <c r="D270" s="160"/>
      <c r="E270" s="160"/>
      <c r="F270" s="160"/>
      <c r="G270" s="160"/>
      <c r="H270" s="160"/>
      <c r="I270" s="160"/>
    </row>
    <row r="271" spans="1:9" ht="41.25" customHeight="1">
      <c r="A271" s="904" t="s">
        <v>280</v>
      </c>
      <c r="B271" s="904"/>
      <c r="C271" s="904"/>
      <c r="D271" s="904"/>
      <c r="E271" s="904"/>
      <c r="F271" s="904"/>
      <c r="G271" s="904"/>
      <c r="H271" s="904"/>
      <c r="I271" s="904"/>
    </row>
    <row r="272" spans="1:9" ht="15" customHeight="1">
      <c r="A272" s="161"/>
      <c r="B272" s="161"/>
      <c r="C272" s="161"/>
      <c r="D272" s="161"/>
      <c r="F272" s="161"/>
      <c r="G272" s="161"/>
      <c r="H272" s="161"/>
      <c r="I272" s="161"/>
    </row>
    <row r="273" spans="1:9" ht="68.25" customHeight="1">
      <c r="A273" s="905" t="s">
        <v>281</v>
      </c>
      <c r="B273" s="905"/>
      <c r="C273" s="905"/>
      <c r="D273" s="905"/>
      <c r="E273" s="905"/>
      <c r="F273" s="905"/>
      <c r="G273" s="905"/>
      <c r="H273" s="905"/>
      <c r="I273" s="905"/>
    </row>
    <row r="274" spans="1:9" ht="20.25" customHeight="1">
      <c r="A274" s="161"/>
      <c r="B274" s="161"/>
      <c r="C274" s="161"/>
      <c r="D274" s="161"/>
      <c r="E274" s="161"/>
      <c r="F274" s="161"/>
      <c r="G274" s="161"/>
      <c r="H274" s="161"/>
      <c r="I274" s="161"/>
    </row>
    <row r="275" spans="1:9" ht="18.75" customHeight="1">
      <c r="A275" s="66" t="s">
        <v>282</v>
      </c>
      <c r="B275" s="162"/>
      <c r="C275" s="162"/>
      <c r="D275" s="162"/>
      <c r="E275" s="162"/>
      <c r="F275" s="162"/>
      <c r="G275" s="162"/>
      <c r="H275" s="162"/>
      <c r="I275" s="162"/>
    </row>
    <row r="276" spans="1:9" ht="7.5" customHeight="1">
      <c r="B276" s="162"/>
      <c r="C276" s="162"/>
      <c r="D276" s="162"/>
      <c r="E276" s="162"/>
      <c r="F276" s="162"/>
      <c r="G276" s="162"/>
      <c r="H276" s="162"/>
      <c r="I276" s="162"/>
    </row>
    <row r="277" spans="1:9" ht="19.5" customHeight="1">
      <c r="A277" s="865" t="s">
        <v>221</v>
      </c>
      <c r="B277" s="865"/>
      <c r="C277" s="866" t="str">
        <f>Start!A3</f>
        <v>Phạm Quang Hà</v>
      </c>
      <c r="D277" s="867"/>
      <c r="E277" s="867"/>
      <c r="F277" s="867"/>
      <c r="G277" s="867"/>
      <c r="H277" s="187"/>
      <c r="I277" s="187"/>
    </row>
    <row r="278" spans="1:9" ht="19.5" customHeight="1">
      <c r="A278" s="865" t="s">
        <v>23</v>
      </c>
      <c r="B278" s="865"/>
      <c r="C278" s="866" t="str">
        <f>Start!C3</f>
        <v>0981984554</v>
      </c>
      <c r="D278" s="867"/>
      <c r="E278" s="867"/>
      <c r="F278" s="867"/>
      <c r="G278" s="867"/>
      <c r="H278" s="186"/>
      <c r="I278" s="186"/>
    </row>
    <row r="279" spans="1:9" ht="24.75" customHeight="1">
      <c r="A279" s="865" t="s">
        <v>24</v>
      </c>
      <c r="B279" s="865"/>
      <c r="C279" s="868" t="str">
        <f>Start!D3</f>
        <v>quangha1659@gmail.com</v>
      </c>
      <c r="D279" s="869"/>
      <c r="E279" s="869"/>
      <c r="F279" s="869"/>
      <c r="G279" s="869"/>
      <c r="H279" s="186"/>
      <c r="I279" s="186"/>
    </row>
    <row r="280" spans="1:9" ht="14.25" customHeight="1">
      <c r="A280" s="163"/>
      <c r="B280" s="163"/>
      <c r="C280" s="163"/>
      <c r="D280" s="163"/>
      <c r="E280" s="163"/>
      <c r="F280" s="163"/>
      <c r="G280" s="163"/>
      <c r="H280" s="163"/>
      <c r="I280" s="163"/>
    </row>
  </sheetData>
  <sheetProtection algorithmName="SHA-512" hashValue="5Hzf3Z7Qc78EWdU09iKSuYfEtUnxE2kVUAtZAC0RtIq9qsIBHBGUutdHyGW1VCFy1uIg8XdGXL7qufSngNW5dg==" saltValue="lI8jXoF6dgLKUcui9TKEqg==" spinCount="100000" sheet="1" selectLockedCells="1"/>
  <mergeCells count="121">
    <mergeCell ref="A267:I267"/>
    <mergeCell ref="A271:I271"/>
    <mergeCell ref="A273:I273"/>
    <mergeCell ref="C255:I255"/>
    <mergeCell ref="C256:I256"/>
    <mergeCell ref="C257:I257"/>
    <mergeCell ref="A260:I260"/>
    <mergeCell ref="A261:I261"/>
    <mergeCell ref="A264:I264"/>
    <mergeCell ref="C249:I249"/>
    <mergeCell ref="C250:I250"/>
    <mergeCell ref="C251:I251"/>
    <mergeCell ref="C252:I252"/>
    <mergeCell ref="C253:I253"/>
    <mergeCell ref="C254:I254"/>
    <mergeCell ref="A243:I243"/>
    <mergeCell ref="A244:I244"/>
    <mergeCell ref="A245:I245"/>
    <mergeCell ref="A246:I246"/>
    <mergeCell ref="A247:I247"/>
    <mergeCell ref="C248:I248"/>
    <mergeCell ref="A237:I237"/>
    <mergeCell ref="A238:I238"/>
    <mergeCell ref="A239:I239"/>
    <mergeCell ref="A240:I240"/>
    <mergeCell ref="A241:I241"/>
    <mergeCell ref="A242:I242"/>
    <mergeCell ref="A224:I224"/>
    <mergeCell ref="A227:I227"/>
    <mergeCell ref="A228:I228"/>
    <mergeCell ref="A234:I234"/>
    <mergeCell ref="A235:I235"/>
    <mergeCell ref="A236:I236"/>
    <mergeCell ref="A214:I214"/>
    <mergeCell ref="A215:I215"/>
    <mergeCell ref="A216:I216"/>
    <mergeCell ref="A217:I217"/>
    <mergeCell ref="A218:I218"/>
    <mergeCell ref="A222:I222"/>
    <mergeCell ref="A206:I206"/>
    <mergeCell ref="A207:I207"/>
    <mergeCell ref="A210:I210"/>
    <mergeCell ref="A211:I211"/>
    <mergeCell ref="A212:I212"/>
    <mergeCell ref="A213:I213"/>
    <mergeCell ref="B199:C199"/>
    <mergeCell ref="D199:I199"/>
    <mergeCell ref="A201:I201"/>
    <mergeCell ref="A203:I203"/>
    <mergeCell ref="A204:C204"/>
    <mergeCell ref="B205:C205"/>
    <mergeCell ref="D205:I205"/>
    <mergeCell ref="A179:I179"/>
    <mergeCell ref="B180:C180"/>
    <mergeCell ref="D180:I180"/>
    <mergeCell ref="A181:I196"/>
    <mergeCell ref="A197:I197"/>
    <mergeCell ref="A198:C198"/>
    <mergeCell ref="A158:I158"/>
    <mergeCell ref="A159:I159"/>
    <mergeCell ref="B160:C160"/>
    <mergeCell ref="D160:I160"/>
    <mergeCell ref="A161:I176"/>
    <mergeCell ref="A178:I178"/>
    <mergeCell ref="A118:I133"/>
    <mergeCell ref="A138:I138"/>
    <mergeCell ref="A139:I139"/>
    <mergeCell ref="B140:C140"/>
    <mergeCell ref="D140:I140"/>
    <mergeCell ref="A142:I157"/>
    <mergeCell ref="B95:C95"/>
    <mergeCell ref="E95:I95"/>
    <mergeCell ref="A97:I112"/>
    <mergeCell ref="A114:I114"/>
    <mergeCell ref="A115:I115"/>
    <mergeCell ref="B116:C116"/>
    <mergeCell ref="E116:I116"/>
    <mergeCell ref="A68:I68"/>
    <mergeCell ref="B69:C69"/>
    <mergeCell ref="E69:I69"/>
    <mergeCell ref="A71:I86"/>
    <mergeCell ref="A93:I93"/>
    <mergeCell ref="A94:I94"/>
    <mergeCell ref="A43:I43"/>
    <mergeCell ref="A45:I45"/>
    <mergeCell ref="A47:I47"/>
    <mergeCell ref="E49:I49"/>
    <mergeCell ref="A51:I65"/>
    <mergeCell ref="A67:I67"/>
    <mergeCell ref="A33:H33"/>
    <mergeCell ref="A34:H34"/>
    <mergeCell ref="A35:E39"/>
    <mergeCell ref="G35:H35"/>
    <mergeCell ref="G36:H36"/>
    <mergeCell ref="G37:H37"/>
    <mergeCell ref="G38:H38"/>
    <mergeCell ref="G39:H39"/>
    <mergeCell ref="A1:G1"/>
    <mergeCell ref="H1:I1"/>
    <mergeCell ref="A3:I3"/>
    <mergeCell ref="A5:I5"/>
    <mergeCell ref="A7:G7"/>
    <mergeCell ref="H7:I7"/>
    <mergeCell ref="A277:B277"/>
    <mergeCell ref="A278:B278"/>
    <mergeCell ref="A279:B279"/>
    <mergeCell ref="C277:G277"/>
    <mergeCell ref="C278:G278"/>
    <mergeCell ref="C279:G279"/>
    <mergeCell ref="A27:H27"/>
    <mergeCell ref="A28:H28"/>
    <mergeCell ref="A29:H29"/>
    <mergeCell ref="A30:H30"/>
    <mergeCell ref="A31:H31"/>
    <mergeCell ref="A32:H32"/>
    <mergeCell ref="A12:I12"/>
    <mergeCell ref="A14:I16"/>
    <mergeCell ref="A17:I17"/>
    <mergeCell ref="A21:I21"/>
    <mergeCell ref="G25:H25"/>
    <mergeCell ref="A26:H26"/>
  </mergeCells>
  <conditionalFormatting sqref="A249:C257">
    <cfRule type="expression" dxfId="329" priority="5">
      <formula>MOD(ROW(),2)&gt;0</formula>
    </cfRule>
  </conditionalFormatting>
  <conditionalFormatting sqref="A213:I215 A216 A217:I221">
    <cfRule type="expression" dxfId="328" priority="3">
      <formula>MOD(ROW(),2)&gt;0</formula>
    </cfRule>
  </conditionalFormatting>
  <conditionalFormatting sqref="A224:I231 A233:I233">
    <cfRule type="expression" dxfId="327" priority="1">
      <formula>MOD(ROW(),2)&gt;0</formula>
    </cfRule>
    <cfRule type="expression" priority="2">
      <formula>MOD(ROW(),2)&gt;0</formula>
    </cfRule>
  </conditionalFormatting>
  <conditionalFormatting sqref="A236:I244">
    <cfRule type="expression" dxfId="326" priority="4">
      <formula>MOD(ROW(),2)&gt;0</formula>
    </cfRule>
  </conditionalFormatting>
  <pageMargins left="0.25" right="0.25"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DAA791-0A3F-4444-BB99-8BE7AC0F39D8}">
  <dimension ref="B1:P26"/>
  <sheetViews>
    <sheetView showGridLines="0" zoomScale="85" zoomScaleNormal="85" workbookViewId="0"/>
  </sheetViews>
  <sheetFormatPr defaultColWidth="8.19921875" defaultRowHeight="14.5"/>
  <cols>
    <col min="1" max="1" width="2" style="301" customWidth="1"/>
    <col min="2" max="2" width="5" style="301" customWidth="1"/>
    <col min="3" max="3" width="9" style="301" customWidth="1"/>
    <col min="4" max="4" width="12.296875" style="301" customWidth="1"/>
    <col min="5" max="5" width="15.19921875" style="301" customWidth="1"/>
    <col min="6" max="6" width="19.296875" style="301" customWidth="1"/>
    <col min="7" max="7" width="18.19921875" style="301" customWidth="1"/>
    <col min="8" max="8" width="23.19921875" style="301" customWidth="1"/>
    <col min="9" max="9" width="16" style="301" customWidth="1"/>
    <col min="10" max="10" width="18.19921875" style="301" customWidth="1"/>
    <col min="11" max="11" width="17.296875" style="301" customWidth="1"/>
    <col min="12" max="12" width="18.19921875" style="301" customWidth="1"/>
    <col min="13" max="13" width="17.69921875" style="301" customWidth="1"/>
    <col min="14" max="14" width="18.19921875" style="301" customWidth="1"/>
    <col min="15" max="15" width="8.19921875" style="301"/>
    <col min="16" max="16" width="12.796875" style="301" customWidth="1"/>
    <col min="17" max="16384" width="8.19921875" style="301"/>
  </cols>
  <sheetData>
    <row r="1" spans="2:16" ht="6" customHeight="1"/>
    <row r="2" spans="2:16" ht="11.25" customHeight="1">
      <c r="B2" s="915" t="s">
        <v>691</v>
      </c>
      <c r="C2" s="915"/>
      <c r="D2" s="915"/>
      <c r="E2" s="915"/>
      <c r="F2" s="915"/>
      <c r="G2" s="916"/>
      <c r="H2" s="909" t="s">
        <v>695</v>
      </c>
      <c r="I2" s="909"/>
      <c r="J2" s="909"/>
      <c r="K2" s="909"/>
      <c r="L2" s="909"/>
      <c r="M2" s="909"/>
      <c r="N2" s="302"/>
      <c r="O2" s="910"/>
      <c r="P2" s="910"/>
    </row>
    <row r="3" spans="2:16" ht="5.25" customHeight="1">
      <c r="B3" s="915"/>
      <c r="C3" s="915"/>
      <c r="D3" s="915"/>
      <c r="E3" s="915"/>
      <c r="F3" s="915"/>
      <c r="G3" s="916"/>
      <c r="H3" s="909"/>
      <c r="I3" s="909"/>
      <c r="J3" s="909"/>
      <c r="K3" s="909"/>
      <c r="L3" s="909"/>
      <c r="M3" s="909"/>
      <c r="N3" s="302"/>
      <c r="O3" s="910"/>
      <c r="P3" s="910"/>
    </row>
    <row r="4" spans="2:16" ht="14.25" customHeight="1">
      <c r="B4" s="917" t="s">
        <v>689</v>
      </c>
      <c r="C4" s="917"/>
      <c r="D4" s="917"/>
      <c r="E4" s="917"/>
      <c r="F4" s="917"/>
      <c r="G4" s="917"/>
      <c r="H4" s="917"/>
      <c r="I4" s="917"/>
      <c r="J4" s="917"/>
      <c r="K4" s="917"/>
      <c r="L4" s="917"/>
      <c r="M4" s="303" t="s">
        <v>712</v>
      </c>
    </row>
    <row r="5" spans="2:16" ht="18" customHeight="1">
      <c r="B5" s="911" t="s">
        <v>670</v>
      </c>
      <c r="C5" s="911" t="s">
        <v>842</v>
      </c>
      <c r="D5" s="911" t="s">
        <v>1</v>
      </c>
      <c r="E5" s="911" t="s">
        <v>692</v>
      </c>
      <c r="F5" s="911" t="s">
        <v>693</v>
      </c>
      <c r="G5" s="913" t="s">
        <v>694</v>
      </c>
      <c r="H5" s="906" t="s">
        <v>690</v>
      </c>
      <c r="I5" s="907"/>
      <c r="J5" s="907"/>
      <c r="K5" s="907"/>
      <c r="L5" s="907"/>
      <c r="M5" s="908"/>
    </row>
    <row r="6" spans="2:16" ht="27" customHeight="1">
      <c r="B6" s="912"/>
      <c r="C6" s="912"/>
      <c r="D6" s="912"/>
      <c r="E6" s="912"/>
      <c r="F6" s="912"/>
      <c r="G6" s="914"/>
      <c r="H6" s="372" t="s">
        <v>700</v>
      </c>
      <c r="I6" s="372" t="s">
        <v>696</v>
      </c>
      <c r="J6" s="372" t="s">
        <v>697</v>
      </c>
      <c r="K6" s="372" t="s">
        <v>698</v>
      </c>
      <c r="L6" s="372" t="s">
        <v>699</v>
      </c>
      <c r="M6" s="372" t="s">
        <v>701</v>
      </c>
    </row>
    <row r="7" spans="2:16" s="307" customFormat="1" ht="12" customHeight="1">
      <c r="B7" s="304">
        <v>1</v>
      </c>
      <c r="C7" s="304">
        <f>IF(ROW(A1)&gt;'Tinh phi QL'!$D$13,"",ROW(A1))</f>
        <v>1</v>
      </c>
      <c r="D7" s="305">
        <f ca="1">'Tinh phi QL'!I8</f>
        <v>30</v>
      </c>
      <c r="E7" s="306">
        <f>IF(IFERROR(--TRIM(C7),0)=0,0,'Tinh phi QL'!$H$13/1000)</f>
        <v>10000</v>
      </c>
      <c r="F7" s="306">
        <f>E7*50%</f>
        <v>5000</v>
      </c>
      <c r="G7" s="306">
        <f ca="1">KTVBVPhi20nam!AI4</f>
        <v>6571</v>
      </c>
      <c r="H7" s="306">
        <f ca="1">MAX('Tinh phi QL'!$E$13/1000,J7)+K7</f>
        <v>1000000</v>
      </c>
      <c r="I7" s="306"/>
      <c r="J7" s="306">
        <f ca="1">IF(VLOOKUP(B7,VTL20namcamket!$B$4:$M$243,10,0)&lt;=0,"Mất hiệu lực",VLOOKUP(B7,VTL20namcamket!$B$4:$M$243,10,0))</f>
        <v>3265.5581049188945</v>
      </c>
      <c r="K7" s="306"/>
      <c r="L7" s="306">
        <f ca="1">J7</f>
        <v>3265.5581049188945</v>
      </c>
      <c r="M7" s="306">
        <f ca="1">IF(L7-100%*E7&gt;0,L7-100%*E7,0)</f>
        <v>0</v>
      </c>
    </row>
    <row r="8" spans="2:16" s="307" customFormat="1" ht="12" customHeight="1">
      <c r="B8" s="304">
        <v>2</v>
      </c>
      <c r="C8" s="304">
        <f>IF(ROW(A2)&gt;'Tinh phi QL'!$D$13,"",ROW(A2))</f>
        <v>2</v>
      </c>
      <c r="D8" s="305">
        <f ca="1">D7+1</f>
        <v>31</v>
      </c>
      <c r="E8" s="306">
        <f>IF(IFERROR(--TRIM(C8),0)=0,0,'Tinh phi QL'!$H$13/1000)</f>
        <v>10000</v>
      </c>
      <c r="F8" s="306">
        <f>E8*70%</f>
        <v>7000</v>
      </c>
      <c r="G8" s="306">
        <f ca="1">KTVBVPhi20nam!AI5</f>
        <v>6571</v>
      </c>
      <c r="H8" s="306">
        <f ca="1">MAX('Tinh phi QL'!$E$13/1000,J8)+K8</f>
        <v>1000000</v>
      </c>
      <c r="I8" s="306"/>
      <c r="J8" s="306">
        <f ca="1">IF(VLOOKUP(B8,VTL20namcamket!$B$4:$M$243,10,0)&lt;=0,"Mất hiệu lực",VLOOKUP(B8,VTL20namcamket!$B$4:$M$243,10,0))</f>
        <v>8636.406581123736</v>
      </c>
      <c r="K8" s="306"/>
      <c r="L8" s="306">
        <f t="shared" ref="L8:L26" ca="1" si="0">J8</f>
        <v>8636.406581123736</v>
      </c>
      <c r="M8" s="306">
        <f ca="1">IF(L8-100%*E8&gt;0,L8-100%*E8,0)</f>
        <v>0</v>
      </c>
    </row>
    <row r="9" spans="2:16" s="307" customFormat="1" ht="12" customHeight="1">
      <c r="B9" s="304">
        <v>3</v>
      </c>
      <c r="C9" s="304">
        <f>IF(ROW(A3)&gt;'Tinh phi QL'!$D$13,"",ROW(A3))</f>
        <v>3</v>
      </c>
      <c r="D9" s="305">
        <f t="shared" ref="D9:D26" ca="1" si="1">D8+1</f>
        <v>32</v>
      </c>
      <c r="E9" s="306">
        <f>IF(IFERROR(--TRIM(C9),0)=0,0,'Tinh phi QL'!$H$13/1000)</f>
        <v>10000</v>
      </c>
      <c r="F9" s="306">
        <f>E9*80%</f>
        <v>8000</v>
      </c>
      <c r="G9" s="306">
        <f ca="1">KTVBVPhi20nam!AI6</f>
        <v>6571</v>
      </c>
      <c r="H9" s="306">
        <f ca="1">MAX('Tinh phi QL'!$E$13/1000,J9)+K9</f>
        <v>1000000</v>
      </c>
      <c r="I9" s="306"/>
      <c r="J9" s="306">
        <f ca="1">IF(VLOOKUP(B9,VTL20namcamket!$B$4:$M$243,10,0)&lt;=0,"Mất hiệu lực",VLOOKUP(B9,VTL20namcamket!$B$4:$M$243,10,0))</f>
        <v>15151.801353824552</v>
      </c>
      <c r="K9" s="306"/>
      <c r="L9" s="306">
        <f t="shared" ca="1" si="0"/>
        <v>15151.801353824552</v>
      </c>
      <c r="M9" s="306">
        <f ca="1">L9-45%*E9</f>
        <v>10651.801353824552</v>
      </c>
    </row>
    <row r="10" spans="2:16" s="307" customFormat="1" ht="12" customHeight="1">
      <c r="B10" s="304">
        <v>4</v>
      </c>
      <c r="C10" s="304">
        <f>IF(ROW(A4)&gt;'Tinh phi QL'!$D$13,"",ROW(A4))</f>
        <v>4</v>
      </c>
      <c r="D10" s="305">
        <f t="shared" ca="1" si="1"/>
        <v>33</v>
      </c>
      <c r="E10" s="306">
        <f>IF(IFERROR(--TRIM(C10),0)=0,0,'Tinh phi QL'!$H$13/1000)</f>
        <v>10000</v>
      </c>
      <c r="F10" s="306">
        <f>E10*80%</f>
        <v>8000</v>
      </c>
      <c r="G10" s="306">
        <f ca="1">KTVBVPhi20nam!AI7</f>
        <v>6571</v>
      </c>
      <c r="H10" s="306">
        <f ca="1">MAX('Tinh phi QL'!$E$13/1000,J10)+K10</f>
        <v>1000000</v>
      </c>
      <c r="I10" s="306"/>
      <c r="J10" s="306">
        <f ca="1">IF(VLOOKUP(B10,VTL20namcamket!$B$4:$M$243,10,0)&lt;=0,"Mất hiệu lực",VLOOKUP(B10,VTL20namcamket!$B$4:$M$243,10,0))</f>
        <v>21527.822029320545</v>
      </c>
      <c r="K10" s="306"/>
      <c r="L10" s="306">
        <f t="shared" ca="1" si="0"/>
        <v>21527.822029320545</v>
      </c>
      <c r="M10" s="306">
        <f ca="1">L10-30%*E10</f>
        <v>18527.822029320545</v>
      </c>
    </row>
    <row r="11" spans="2:16" s="328" customFormat="1" ht="12" customHeight="1">
      <c r="B11" s="312">
        <v>5</v>
      </c>
      <c r="C11" s="304">
        <f>IF(ROW(A5)&gt;'Tinh phi QL'!$D$13,"",ROW(A5))</f>
        <v>5</v>
      </c>
      <c r="D11" s="313">
        <f t="shared" ca="1" si="1"/>
        <v>34</v>
      </c>
      <c r="E11" s="306">
        <f>IF(IFERROR(--TRIM(C11),0)=0,0,'Tinh phi QL'!$H$13/1000)</f>
        <v>10000</v>
      </c>
      <c r="F11" s="311">
        <f>E11*80%</f>
        <v>8000</v>
      </c>
      <c r="G11" s="311">
        <f ca="1">KTVBVPhi20nam!AI8</f>
        <v>6571</v>
      </c>
      <c r="H11" s="311">
        <f ca="1">MAX('Tinh phi QL'!$E$13/1000,J11)+K11</f>
        <v>1000000</v>
      </c>
      <c r="I11" s="311">
        <f>VLOOKUP(B11,VTL20namcamket!$B$4:$I$243,8,0)</f>
        <v>300</v>
      </c>
      <c r="J11" s="311">
        <f ca="1">IF(VLOOKUP(B11,VTL20namcamket!$B$4:$M$243,10,0)&lt;=0,"Mất hiệu lực",VLOOKUP(B11,VTL20namcamket!$B$4:$M$243,10,0))</f>
        <v>28201.907721263469</v>
      </c>
      <c r="K11" s="311"/>
      <c r="L11" s="311">
        <f t="shared" ca="1" si="0"/>
        <v>28201.907721263469</v>
      </c>
      <c r="M11" s="311">
        <f ca="1">L11-20%*E11</f>
        <v>26201.907721263469</v>
      </c>
    </row>
    <row r="12" spans="2:16" s="307" customFormat="1" ht="12" customHeight="1">
      <c r="B12" s="304">
        <v>6</v>
      </c>
      <c r="C12" s="304">
        <f>IF(ROW(A6)&gt;'Tinh phi QL'!$D$13,"",ROW(A6))</f>
        <v>6</v>
      </c>
      <c r="D12" s="305">
        <f t="shared" ca="1" si="1"/>
        <v>35</v>
      </c>
      <c r="E12" s="306">
        <f>IF(IFERROR(--TRIM(C12),0)=0,0,'Tinh phi QL'!$H$13/1000)</f>
        <v>10000</v>
      </c>
      <c r="F12" s="306">
        <f>E12*98%</f>
        <v>9800</v>
      </c>
      <c r="G12" s="306">
        <f ca="1">KTVBVPhi20nam!AI9</f>
        <v>7495</v>
      </c>
      <c r="H12" s="306">
        <f ca="1">MAX('Tinh phi QL'!$E$13/1000,J12)+K12</f>
        <v>1000000</v>
      </c>
      <c r="I12" s="306">
        <f>VLOOKUP(B12,VTL20namcamket!$B$4:$I$243,8,0)</f>
        <v>300</v>
      </c>
      <c r="J12" s="306">
        <f ca="1">IF(VLOOKUP(B12,VTL20namcamket!$B$4:$M$243,10,0)&lt;=0,"Mất hiệu lực",VLOOKUP(B12,VTL20namcamket!$B$4:$M$243,10,0))</f>
        <v>36582.134006224667</v>
      </c>
      <c r="K12" s="306"/>
      <c r="L12" s="306">
        <f t="shared" ca="1" si="0"/>
        <v>36582.134006224667</v>
      </c>
      <c r="M12" s="306">
        <f t="shared" ref="M12" ca="1" si="2">L12-0%*E12</f>
        <v>36582.134006224667</v>
      </c>
    </row>
    <row r="13" spans="2:16" s="307" customFormat="1" ht="12" customHeight="1">
      <c r="B13" s="304">
        <v>7</v>
      </c>
      <c r="C13" s="304">
        <f>IF(ROW(A7)&gt;'Tinh phi QL'!$D$13,"",ROW(A7))</f>
        <v>7</v>
      </c>
      <c r="D13" s="305">
        <f t="shared" ca="1" si="1"/>
        <v>36</v>
      </c>
      <c r="E13" s="306">
        <f>IF(IFERROR(--TRIM(C13),0)=0,0,'Tinh phi QL'!$H$13/1000)</f>
        <v>10000</v>
      </c>
      <c r="F13" s="306">
        <f t="shared" ref="F13:F16" si="3">E13*98%</f>
        <v>9800</v>
      </c>
      <c r="G13" s="306">
        <f ca="1">KTVBVPhi20nam!AI10</f>
        <v>7495</v>
      </c>
      <c r="H13" s="306">
        <f ca="1">MAX('Tinh phi QL'!$E$13/1000,J13)+K13</f>
        <v>1000000</v>
      </c>
      <c r="I13" s="306">
        <f>VLOOKUP(B13,VTL20namcamket!$B$4:$I$243,8,0)</f>
        <v>300</v>
      </c>
      <c r="J13" s="306">
        <f ca="1">IF(VLOOKUP(B13,VTL20namcamket!$B$4:$M$243,10,0)&lt;=0,"Mất hiệu lực",VLOOKUP(B13,VTL20namcamket!$B$4:$M$243,10,0))</f>
        <v>44987.29436649906</v>
      </c>
      <c r="K13" s="306"/>
      <c r="L13" s="306">
        <f t="shared" ca="1" si="0"/>
        <v>44987.29436649906</v>
      </c>
      <c r="M13" s="306">
        <f ca="1">L13</f>
        <v>44987.29436649906</v>
      </c>
    </row>
    <row r="14" spans="2:16" s="307" customFormat="1" ht="12" customHeight="1">
      <c r="B14" s="304">
        <v>8</v>
      </c>
      <c r="C14" s="304">
        <f>IF(ROW(A8)&gt;'Tinh phi QL'!$D$13,"",ROW(A8))</f>
        <v>8</v>
      </c>
      <c r="D14" s="305">
        <f t="shared" ca="1" si="1"/>
        <v>37</v>
      </c>
      <c r="E14" s="306">
        <f>IF(IFERROR(--TRIM(C14),0)=0,0,'Tinh phi QL'!$H$13/1000)</f>
        <v>10000</v>
      </c>
      <c r="F14" s="306">
        <f t="shared" si="3"/>
        <v>9800</v>
      </c>
      <c r="G14" s="306">
        <f ca="1">KTVBVPhi20nam!AI11</f>
        <v>7495</v>
      </c>
      <c r="H14" s="306">
        <f ca="1">MAX('Tinh phi QL'!$E$13/1000,J14)+K14</f>
        <v>1000000</v>
      </c>
      <c r="I14" s="306">
        <f>VLOOKUP(B14,VTL20namcamket!$B$4:$I$243,8,0)</f>
        <v>300</v>
      </c>
      <c r="J14" s="306">
        <f ca="1">IF(VLOOKUP(B14,VTL20namcamket!$B$4:$M$243,10,0)&lt;=0,"Mất hiệu lực",VLOOKUP(B14,VTL20namcamket!$B$4:$M$243,10,0))</f>
        <v>53404.572793545594</v>
      </c>
      <c r="K14" s="306"/>
      <c r="L14" s="306">
        <f t="shared" ca="1" si="0"/>
        <v>53404.572793545594</v>
      </c>
      <c r="M14" s="306">
        <f t="shared" ref="M14:M26" ca="1" si="4">L14</f>
        <v>53404.572793545594</v>
      </c>
    </row>
    <row r="15" spans="2:16" s="307" customFormat="1" ht="12" customHeight="1">
      <c r="B15" s="304">
        <v>9</v>
      </c>
      <c r="C15" s="304">
        <f>IF(ROW(A9)&gt;'Tinh phi QL'!$D$13,"",ROW(A9))</f>
        <v>9</v>
      </c>
      <c r="D15" s="305">
        <f t="shared" ca="1" si="1"/>
        <v>38</v>
      </c>
      <c r="E15" s="306">
        <f>IF(IFERROR(--TRIM(C15),0)=0,0,'Tinh phi QL'!$H$13/1000)</f>
        <v>10000</v>
      </c>
      <c r="F15" s="306">
        <f t="shared" si="3"/>
        <v>9800</v>
      </c>
      <c r="G15" s="306">
        <f ca="1">KTVBVPhi20nam!AI12</f>
        <v>7495</v>
      </c>
      <c r="H15" s="306">
        <f ca="1">MAX('Tinh phi QL'!$E$13/1000,J15)+K15</f>
        <v>1000000</v>
      </c>
      <c r="I15" s="306">
        <f>VLOOKUP(B15,VTL20namcamket!$B$4:$I$243,8,0)</f>
        <v>300</v>
      </c>
      <c r="J15" s="306">
        <f ca="1">IF(VLOOKUP(B15,VTL20namcamket!$B$4:$M$243,10,0)&lt;=0,"Mất hiệu lực",VLOOKUP(B15,VTL20namcamket!$B$4:$M$243,10,0))</f>
        <v>61761.060157285443</v>
      </c>
      <c r="K15" s="306"/>
      <c r="L15" s="306">
        <f t="shared" ca="1" si="0"/>
        <v>61761.060157285443</v>
      </c>
      <c r="M15" s="306">
        <f t="shared" ca="1" si="4"/>
        <v>61761.060157285443</v>
      </c>
    </row>
    <row r="16" spans="2:16" s="328" customFormat="1" ht="12" customHeight="1">
      <c r="B16" s="308">
        <v>10</v>
      </c>
      <c r="C16" s="304">
        <f>IF(ROW(A10)&gt;'Tinh phi QL'!$D$13,"",ROW(A10))</f>
        <v>10</v>
      </c>
      <c r="D16" s="309">
        <f t="shared" ca="1" si="1"/>
        <v>39</v>
      </c>
      <c r="E16" s="306">
        <f>IF(IFERROR(--TRIM(C16),0)=0,0,'Tinh phi QL'!$H$13/1000)</f>
        <v>10000</v>
      </c>
      <c r="F16" s="311">
        <f t="shared" si="3"/>
        <v>9800</v>
      </c>
      <c r="G16" s="311">
        <f ca="1">KTVBVPhi20nam!AI13</f>
        <v>7495</v>
      </c>
      <c r="H16" s="311">
        <f ca="1">MAX('Tinh phi QL'!$E$13/1000,J16)+K16</f>
        <v>1000000</v>
      </c>
      <c r="I16" s="311">
        <f>VLOOKUP(B16,VTL20namcamket!$B$4:$I$243,8,0)</f>
        <v>300</v>
      </c>
      <c r="J16" s="311">
        <f ca="1">IF(VLOOKUP(B16,VTL20namcamket!$B$4:$M$243,10,0)&lt;=0,"Mất hiệu lực",VLOOKUP(B16,VTL20namcamket!$B$4:$M$243,10,0))</f>
        <v>70035.253920093368</v>
      </c>
      <c r="K16" s="310"/>
      <c r="L16" s="311">
        <f t="shared" ca="1" si="0"/>
        <v>70035.253920093368</v>
      </c>
      <c r="M16" s="311">
        <f t="shared" ca="1" si="4"/>
        <v>70035.253920093368</v>
      </c>
    </row>
    <row r="17" spans="2:13" s="307" customFormat="1" ht="12" customHeight="1">
      <c r="B17" s="304">
        <v>11</v>
      </c>
      <c r="C17" s="304">
        <f>IF(ROW(A11)&gt;'Tinh phi QL'!$D$13,"",ROW(A11))</f>
        <v>11</v>
      </c>
      <c r="D17" s="305">
        <f t="shared" ca="1" si="1"/>
        <v>40</v>
      </c>
      <c r="E17" s="306">
        <f>IF(IFERROR(--TRIM(C17),0)=0,0,'Tinh phi QL'!$H$13/1000)</f>
        <v>10000</v>
      </c>
      <c r="F17" s="306">
        <f>E17</f>
        <v>10000</v>
      </c>
      <c r="G17" s="306">
        <f ca="1">KTVBVPhi20nam!AI14</f>
        <v>8533</v>
      </c>
      <c r="H17" s="306">
        <f ca="1">MAX('Tinh phi QL'!$E$13/1000,J17)+K17</f>
        <v>1000000</v>
      </c>
      <c r="I17" s="306">
        <f>VLOOKUP(B17,VTL20namcamket!$B$4:$I$243,8,0)</f>
        <v>300</v>
      </c>
      <c r="J17" s="306">
        <f ca="1">IF(VLOOKUP(B17,VTL20namcamket!$B$4:$M$243,10,0)&lt;=0,"Mất hiệu lực",VLOOKUP(B17,VTL20namcamket!$B$4:$M$243,10,0))</f>
        <v>78078.252470709369</v>
      </c>
      <c r="K17" s="306"/>
      <c r="L17" s="306">
        <f t="shared" ca="1" si="0"/>
        <v>78078.252470709369</v>
      </c>
      <c r="M17" s="306">
        <f t="shared" ca="1" si="4"/>
        <v>78078.252470709369</v>
      </c>
    </row>
    <row r="18" spans="2:13" s="307" customFormat="1" ht="12" customHeight="1">
      <c r="B18" s="304">
        <v>12</v>
      </c>
      <c r="C18" s="304">
        <f>IF(ROW(A12)&gt;'Tinh phi QL'!$D$13,"",ROW(A12))</f>
        <v>12</v>
      </c>
      <c r="D18" s="305">
        <f t="shared" ca="1" si="1"/>
        <v>41</v>
      </c>
      <c r="E18" s="306">
        <f>IF(IFERROR(--TRIM(C18),0)=0,0,'Tinh phi QL'!$H$13/1000)</f>
        <v>10000</v>
      </c>
      <c r="F18" s="306">
        <f t="shared" ref="F18:F26" si="5">E18</f>
        <v>10000</v>
      </c>
      <c r="G18" s="306">
        <f ca="1">KTVBVPhi20nam!AI15</f>
        <v>8533</v>
      </c>
      <c r="H18" s="306">
        <f ca="1">MAX('Tinh phi QL'!$E$13/1000,J18)+K18</f>
        <v>1000000</v>
      </c>
      <c r="I18" s="306">
        <f>VLOOKUP(B18,VTL20namcamket!$B$4:$I$243,8,0)</f>
        <v>300</v>
      </c>
      <c r="J18" s="306">
        <f ca="1">IF(VLOOKUP(B18,VTL20namcamket!$B$4:$M$243,10,0)&lt;=0,"Mất hiệu lực",VLOOKUP(B18,VTL20namcamket!$B$4:$M$243,10,0))</f>
        <v>86023.672405073448</v>
      </c>
      <c r="K18" s="306"/>
      <c r="L18" s="306">
        <f t="shared" ca="1" si="0"/>
        <v>86023.672405073448</v>
      </c>
      <c r="M18" s="306">
        <f t="shared" ca="1" si="4"/>
        <v>86023.672405073448</v>
      </c>
    </row>
    <row r="19" spans="2:13" s="307" customFormat="1" ht="12" customHeight="1">
      <c r="B19" s="304">
        <v>13</v>
      </c>
      <c r="C19" s="304">
        <f>IF(ROW(A13)&gt;'Tinh phi QL'!$D$13,"",ROW(A13))</f>
        <v>13</v>
      </c>
      <c r="D19" s="305">
        <f t="shared" ca="1" si="1"/>
        <v>42</v>
      </c>
      <c r="E19" s="306">
        <f>IF(IFERROR(--TRIM(C19),0)=0,0,'Tinh phi QL'!$H$13/1000)</f>
        <v>10000</v>
      </c>
      <c r="F19" s="306">
        <f t="shared" si="5"/>
        <v>10000</v>
      </c>
      <c r="G19" s="306">
        <f ca="1">KTVBVPhi20nam!AI16</f>
        <v>8533</v>
      </c>
      <c r="H19" s="306">
        <f ca="1">MAX('Tinh phi QL'!$E$13/1000,J19)+K19</f>
        <v>1000000</v>
      </c>
      <c r="I19" s="306">
        <f>VLOOKUP(B19,VTL20namcamket!$B$4:$I$243,8,0)</f>
        <v>300</v>
      </c>
      <c r="J19" s="306">
        <f ca="1">IF(VLOOKUP(B19,VTL20namcamket!$B$4:$M$243,10,0)&lt;=0,"Mất hiệu lực",VLOOKUP(B19,VTL20namcamket!$B$4:$M$243,10,0))</f>
        <v>93859.145688521501</v>
      </c>
      <c r="K19" s="306"/>
      <c r="L19" s="306">
        <f t="shared" ca="1" si="0"/>
        <v>93859.145688521501</v>
      </c>
      <c r="M19" s="306">
        <f t="shared" ca="1" si="4"/>
        <v>93859.145688521501</v>
      </c>
    </row>
    <row r="20" spans="2:13" s="307" customFormat="1" ht="12" customHeight="1">
      <c r="B20" s="304">
        <v>14</v>
      </c>
      <c r="C20" s="304">
        <f>IF(ROW(A14)&gt;'Tinh phi QL'!$D$13,"",ROW(A14))</f>
        <v>14</v>
      </c>
      <c r="D20" s="305">
        <f t="shared" ca="1" si="1"/>
        <v>43</v>
      </c>
      <c r="E20" s="306">
        <f>IF(IFERROR(--TRIM(C20),0)=0,0,'Tinh phi QL'!$H$13/1000)</f>
        <v>10000</v>
      </c>
      <c r="F20" s="306">
        <f t="shared" si="5"/>
        <v>10000</v>
      </c>
      <c r="G20" s="306">
        <f ca="1">KTVBVPhi20nam!AI17</f>
        <v>8533</v>
      </c>
      <c r="H20" s="306">
        <f ca="1">MAX('Tinh phi QL'!$E$13/1000,J20)+K20</f>
        <v>1000000</v>
      </c>
      <c r="I20" s="306">
        <f>VLOOKUP(B20,VTL20namcamket!$B$4:$I$243,8,0)</f>
        <v>300</v>
      </c>
      <c r="J20" s="519">
        <f ca="1">IF(VLOOKUP(B20,VTL20namcamket!$B$4:$M$243,10,0)&lt;=0,"Mất hiệu lực",VLOOKUP(B20,VTL20namcamket!$B$4:$M$243,10,0))</f>
        <v>101565.22154425261</v>
      </c>
      <c r="K20" s="519"/>
      <c r="L20" s="519">
        <f t="shared" ca="1" si="0"/>
        <v>101565.22154425261</v>
      </c>
      <c r="M20" s="519">
        <f t="shared" ca="1" si="4"/>
        <v>101565.22154425261</v>
      </c>
    </row>
    <row r="21" spans="2:13" s="328" customFormat="1" ht="12" customHeight="1">
      <c r="B21" s="312">
        <v>15</v>
      </c>
      <c r="C21" s="304">
        <f>IF(ROW(A15)&gt;'Tinh phi QL'!$D$13,"",ROW(A15))</f>
        <v>15</v>
      </c>
      <c r="D21" s="313">
        <f t="shared" ca="1" si="1"/>
        <v>44</v>
      </c>
      <c r="E21" s="306">
        <f>IF(IFERROR(--TRIM(C21),0)=0,0,'Tinh phi QL'!$H$13/1000)</f>
        <v>10000</v>
      </c>
      <c r="F21" s="311">
        <f t="shared" si="5"/>
        <v>10000</v>
      </c>
      <c r="G21" s="311">
        <f ca="1">KTVBVPhi20nam!AI18</f>
        <v>8533</v>
      </c>
      <c r="H21" s="311">
        <f ca="1">MAX('Tinh phi QL'!$E$13/1000,J21)+K21</f>
        <v>1000000</v>
      </c>
      <c r="I21" s="311">
        <f>VLOOKUP(B21,VTL20namcamket!$B$4:$I$243,8,0)</f>
        <v>300</v>
      </c>
      <c r="J21" s="520">
        <f ca="1">IF(VLOOKUP(B21,VTL20namcamket!$B$4:$M$243,10,0)&lt;=0,"Mất hiệu lực",VLOOKUP(B21,VTL20namcamket!$B$4:$M$243,10,0))</f>
        <v>109129.8251740868</v>
      </c>
      <c r="K21" s="520"/>
      <c r="L21" s="520">
        <f t="shared" ca="1" si="0"/>
        <v>109129.8251740868</v>
      </c>
      <c r="M21" s="520">
        <f t="shared" ca="1" si="4"/>
        <v>109129.8251740868</v>
      </c>
    </row>
    <row r="22" spans="2:13" s="307" customFormat="1" ht="12" customHeight="1">
      <c r="B22" s="304">
        <v>16</v>
      </c>
      <c r="C22" s="304">
        <f>IF(ROW(A16)&gt;'Tinh phi QL'!$D$13,"",ROW(A16))</f>
        <v>16</v>
      </c>
      <c r="D22" s="305">
        <f t="shared" ca="1" si="1"/>
        <v>45</v>
      </c>
      <c r="E22" s="306">
        <f>IF(IFERROR(--TRIM(C22),0)=0,0,'Tinh phi QL'!$H$13/1000)</f>
        <v>10000</v>
      </c>
      <c r="F22" s="306">
        <f t="shared" si="5"/>
        <v>10000</v>
      </c>
      <c r="G22" s="306">
        <f ca="1">KTVBVPhi20nam!AI19</f>
        <v>10469</v>
      </c>
      <c r="H22" s="306">
        <f ca="1">MAX('Tinh phi QL'!$E$13/1000,J22)+K22</f>
        <v>1000000</v>
      </c>
      <c r="I22" s="306">
        <f>VLOOKUP(B22,VTL20namcamket!$B$4:$I$243,8,0)</f>
        <v>300</v>
      </c>
      <c r="J22" s="519">
        <f ca="1">IF(VLOOKUP(B22,VTL20namcamket!$B$4:$M$243,10,0)&lt;=0,"Mất hiệu lực",VLOOKUP(B22,VTL20namcamket!$B$4:$M$243,10,0))</f>
        <v>115955.26512671042</v>
      </c>
      <c r="K22" s="519"/>
      <c r="L22" s="519">
        <f t="shared" ca="1" si="0"/>
        <v>115955.26512671042</v>
      </c>
      <c r="M22" s="519">
        <f t="shared" ca="1" si="4"/>
        <v>115955.26512671042</v>
      </c>
    </row>
    <row r="23" spans="2:13" s="307" customFormat="1" ht="12" customHeight="1">
      <c r="B23" s="304">
        <v>17</v>
      </c>
      <c r="C23" s="304">
        <f>IF(ROW(A17)&gt;'Tinh phi QL'!$D$13,"",ROW(A17))</f>
        <v>17</v>
      </c>
      <c r="D23" s="305">
        <f t="shared" ca="1" si="1"/>
        <v>46</v>
      </c>
      <c r="E23" s="306">
        <f>IF(IFERROR(--TRIM(C23),0)=0,0,'Tinh phi QL'!$H$13/1000)</f>
        <v>10000</v>
      </c>
      <c r="F23" s="306">
        <f t="shared" si="5"/>
        <v>10000</v>
      </c>
      <c r="G23" s="306">
        <f ca="1">KTVBVPhi20nam!AI20</f>
        <v>10469</v>
      </c>
      <c r="H23" s="306">
        <f ca="1">MAX('Tinh phi QL'!$E$13/1000,J23)+K23</f>
        <v>1000000</v>
      </c>
      <c r="I23" s="306">
        <f>VLOOKUP(B23,VTL20namcamket!$B$4:$I$243,8,0)</f>
        <v>300</v>
      </c>
      <c r="J23" s="519">
        <f ca="1">IF(VLOOKUP(B23,VTL20namcamket!$B$4:$M$243,10,0)&lt;=0,"Mất hiệu lực",VLOOKUP(B23,VTL20namcamket!$B$4:$M$243,10,0))</f>
        <v>122566.39067299145</v>
      </c>
      <c r="K23" s="519"/>
      <c r="L23" s="519">
        <f t="shared" ca="1" si="0"/>
        <v>122566.39067299145</v>
      </c>
      <c r="M23" s="519">
        <f t="shared" ca="1" si="4"/>
        <v>122566.39067299145</v>
      </c>
    </row>
    <row r="24" spans="2:13" s="307" customFormat="1" ht="12" customHeight="1">
      <c r="B24" s="304">
        <v>18</v>
      </c>
      <c r="C24" s="304">
        <f>IF(ROW(A18)&gt;'Tinh phi QL'!$D$13,"",ROW(A18))</f>
        <v>18</v>
      </c>
      <c r="D24" s="305">
        <f t="shared" ca="1" si="1"/>
        <v>47</v>
      </c>
      <c r="E24" s="306">
        <f>IF(IFERROR(--TRIM(C24),0)=0,0,'Tinh phi QL'!$H$13/1000)</f>
        <v>10000</v>
      </c>
      <c r="F24" s="306">
        <f t="shared" si="5"/>
        <v>10000</v>
      </c>
      <c r="G24" s="306">
        <f ca="1">KTVBVPhi20nam!AI21</f>
        <v>10469</v>
      </c>
      <c r="H24" s="306">
        <f ca="1">MAX('Tinh phi QL'!$E$13/1000,J24)+K24</f>
        <v>1000000</v>
      </c>
      <c r="I24" s="306">
        <f>VLOOKUP(B24,VTL20namcamket!$B$4:$I$243,8,0)</f>
        <v>300</v>
      </c>
      <c r="J24" s="519">
        <f ca="1">IF(VLOOKUP(B24,VTL20namcamket!$B$4:$M$243,10,0)&lt;=0,"Mất hiệu lực",VLOOKUP(B24,VTL20namcamket!$B$4:$M$243,10,0))</f>
        <v>128951.42340202915</v>
      </c>
      <c r="K24" s="519"/>
      <c r="L24" s="519">
        <f t="shared" ca="1" si="0"/>
        <v>128951.42340202915</v>
      </c>
      <c r="M24" s="519">
        <f t="shared" ca="1" si="4"/>
        <v>128951.42340202915</v>
      </c>
    </row>
    <row r="25" spans="2:13" s="307" customFormat="1" ht="12" customHeight="1">
      <c r="B25" s="304">
        <v>19</v>
      </c>
      <c r="C25" s="304">
        <f>IF(ROW(A19)&gt;'Tinh phi QL'!$D$13,"",ROW(A19))</f>
        <v>19</v>
      </c>
      <c r="D25" s="305">
        <f t="shared" ca="1" si="1"/>
        <v>48</v>
      </c>
      <c r="E25" s="306">
        <f>IF(IFERROR(--TRIM(C25),0)=0,0,'Tinh phi QL'!$H$13/1000)</f>
        <v>10000</v>
      </c>
      <c r="F25" s="306">
        <f t="shared" si="5"/>
        <v>10000</v>
      </c>
      <c r="G25" s="306">
        <f ca="1">KTVBVPhi20nam!AI22</f>
        <v>10469</v>
      </c>
      <c r="H25" s="306">
        <f ca="1">MAX('Tinh phi QL'!$E$13/1000,J25)+K25</f>
        <v>1000000</v>
      </c>
      <c r="I25" s="306">
        <f>VLOOKUP(B25,VTL20namcamket!$B$4:$I$243,8,0)</f>
        <v>300</v>
      </c>
      <c r="J25" s="519">
        <f ca="1">IF(VLOOKUP(B25,VTL20namcamket!$B$4:$M$243,10,0)&lt;=0,"Mất hiệu lực",VLOOKUP(B25,VTL20namcamket!$B$4:$M$243,10,0))</f>
        <v>135091.62870610628</v>
      </c>
      <c r="K25" s="519"/>
      <c r="L25" s="519">
        <f t="shared" ca="1" si="0"/>
        <v>135091.62870610628</v>
      </c>
      <c r="M25" s="519">
        <f t="shared" ca="1" si="4"/>
        <v>135091.62870610628</v>
      </c>
    </row>
    <row r="26" spans="2:13" s="328" customFormat="1" ht="12" customHeight="1">
      <c r="B26" s="312">
        <v>20</v>
      </c>
      <c r="C26" s="304">
        <f>IF(ROW(A20)&gt;'Tinh phi QL'!$D$13,"",ROW(A20))</f>
        <v>20</v>
      </c>
      <c r="D26" s="313">
        <f t="shared" ca="1" si="1"/>
        <v>49</v>
      </c>
      <c r="E26" s="306">
        <f>IF(IFERROR(--TRIM(C26),0)=0,0,'Tinh phi QL'!$H$13/1000)</f>
        <v>10000</v>
      </c>
      <c r="F26" s="306">
        <f t="shared" si="5"/>
        <v>10000</v>
      </c>
      <c r="G26" s="311">
        <f ca="1">KTVBVPhi20nam!AI23</f>
        <v>10469</v>
      </c>
      <c r="H26" s="306">
        <f ca="1">MAX('Tinh phi QL'!$E$13/1000,J26)+K26</f>
        <v>1000000</v>
      </c>
      <c r="I26" s="306">
        <f>VLOOKUP(B26,VTL20namcamket!$B$4:$I$243,8,0)</f>
        <v>300</v>
      </c>
      <c r="J26" s="520">
        <f ca="1">IF(VLOOKUP(B26,VTL20namcamket!$B$4:$M$243,10,0)&lt;=0,"Mất hiệu lực",VLOOKUP(B26,VTL20namcamket!$B$4:$M$243,10,0))</f>
        <v>140954.50542173805</v>
      </c>
      <c r="K26" s="520"/>
      <c r="L26" s="520">
        <f t="shared" ca="1" si="0"/>
        <v>140954.50542173805</v>
      </c>
      <c r="M26" s="520">
        <f t="shared" ca="1" si="4"/>
        <v>140954.50542173805</v>
      </c>
    </row>
  </sheetData>
  <sheetProtection selectLockedCells="1"/>
  <mergeCells count="12">
    <mergeCell ref="H5:M5"/>
    <mergeCell ref="H2:M3"/>
    <mergeCell ref="O2:P2"/>
    <mergeCell ref="O3:P3"/>
    <mergeCell ref="C5:C6"/>
    <mergeCell ref="D5:D6"/>
    <mergeCell ref="E5:E6"/>
    <mergeCell ref="F5:F6"/>
    <mergeCell ref="G5:G6"/>
    <mergeCell ref="B2:G3"/>
    <mergeCell ref="B4:L4"/>
    <mergeCell ref="B5:B6"/>
  </mergeCells>
  <conditionalFormatting sqref="B7:G26">
    <cfRule type="expression" dxfId="325" priority="1">
      <formula>MOD(ROW(),2)&gt;0</formula>
    </cfRule>
    <cfRule type="expression" dxfId="324" priority="2">
      <formula>"mod(row(),2).0"</formula>
    </cfRule>
  </conditionalFormatting>
  <conditionalFormatting sqref="H7:M26">
    <cfRule type="expression" dxfId="323" priority="8">
      <formula>MOD(ROW(),2)&gt;0</formula>
    </cfRule>
    <cfRule type="expression" dxfId="322" priority="9">
      <formula>"mod(row(),2).0"</formula>
    </cfRule>
  </conditionalFormatting>
  <conditionalFormatting sqref="J7:J26">
    <cfRule type="cellIs" dxfId="321" priority="6" operator="lessThan">
      <formula>0</formula>
    </cfRule>
  </conditionalFormatting>
  <conditionalFormatting sqref="J1:M1048576">
    <cfRule type="containsText" dxfId="320" priority="3" operator="containsText" text="mất">
      <formula>NOT(ISERROR(SEARCH("mất",J1)))</formula>
    </cfRule>
  </conditionalFormatting>
  <conditionalFormatting sqref="L1:M3 M4">
    <cfRule type="cellIs" dxfId="319" priority="10" operator="lessThan">
      <formula>0</formula>
    </cfRule>
  </conditionalFormatting>
  <conditionalFormatting sqref="L6:M1048576">
    <cfRule type="cellIs" dxfId="318" priority="7" operator="lessThan">
      <formula>0</formula>
    </cfRule>
  </conditionalFormatting>
  <conditionalFormatting sqref="O3:P3">
    <cfRule type="containsText" dxfId="317" priority="15" operator="containsText" text="Chỉ">
      <formula>NOT(ISERROR(SEARCH("Chỉ",O3)))</formula>
    </cfRule>
    <cfRule type="containsText" dxfId="316" priority="16" operator="containsText" text="Phải">
      <formula>NOT(ISERROR(SEARCH("Phải",O3)))</formula>
    </cfRule>
  </conditionalFormatting>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0FC1B7-FC32-4416-867A-7AAF55259DAB}">
  <dimension ref="B1:P26"/>
  <sheetViews>
    <sheetView showGridLines="0" workbookViewId="0">
      <selection activeCell="E7" sqref="E7"/>
    </sheetView>
  </sheetViews>
  <sheetFormatPr defaultColWidth="8.19921875" defaultRowHeight="14.5"/>
  <cols>
    <col min="1" max="1" width="2.5" style="301" customWidth="1"/>
    <col min="2" max="2" width="5.5" style="301" customWidth="1"/>
    <col min="3" max="3" width="9" style="301" customWidth="1"/>
    <col min="4" max="4" width="8.5" style="301" customWidth="1"/>
    <col min="5" max="5" width="15.19921875" style="301" customWidth="1"/>
    <col min="6" max="6" width="19.296875" style="301" customWidth="1"/>
    <col min="7" max="7" width="19.796875" style="301" customWidth="1"/>
    <col min="8" max="8" width="23.19921875" style="301" customWidth="1"/>
    <col min="9" max="12" width="18.19921875" style="301" customWidth="1"/>
    <col min="13" max="13" width="17.69921875" style="301" customWidth="1"/>
    <col min="14" max="14" width="18.19921875" style="301" customWidth="1"/>
    <col min="15" max="15" width="8.19921875" style="301"/>
    <col min="16" max="16" width="12.796875" style="301" customWidth="1"/>
    <col min="17" max="16384" width="8.19921875" style="301"/>
  </cols>
  <sheetData>
    <row r="1" spans="2:16" ht="6" customHeight="1"/>
    <row r="2" spans="2:16" ht="11.25" customHeight="1">
      <c r="B2" s="918" t="s">
        <v>691</v>
      </c>
      <c r="C2" s="918"/>
      <c r="D2" s="918"/>
      <c r="E2" s="918"/>
      <c r="F2" s="909" t="s">
        <v>854</v>
      </c>
      <c r="G2" s="909"/>
      <c r="H2" s="909"/>
      <c r="I2" s="909"/>
      <c r="J2" s="909"/>
      <c r="K2" s="909"/>
      <c r="L2" s="909"/>
      <c r="M2" s="923">
        <v>4.5999999999999999E-2</v>
      </c>
      <c r="N2" s="302"/>
      <c r="O2" s="910"/>
      <c r="P2" s="910"/>
    </row>
    <row r="3" spans="2:16" ht="5.25" customHeight="1">
      <c r="B3" s="918"/>
      <c r="C3" s="918"/>
      <c r="D3" s="918"/>
      <c r="E3" s="918"/>
      <c r="F3" s="909"/>
      <c r="G3" s="909"/>
      <c r="H3" s="909"/>
      <c r="I3" s="909"/>
      <c r="J3" s="909"/>
      <c r="K3" s="909"/>
      <c r="L3" s="909"/>
      <c r="M3" s="923"/>
      <c r="N3" s="302"/>
      <c r="O3" s="910"/>
      <c r="P3" s="910"/>
    </row>
    <row r="4" spans="2:16" ht="14.25" customHeight="1">
      <c r="B4" s="919" t="s">
        <v>689</v>
      </c>
      <c r="C4" s="919"/>
      <c r="D4" s="919"/>
      <c r="E4" s="919"/>
      <c r="F4" s="919"/>
      <c r="G4" s="919"/>
      <c r="H4" s="919"/>
      <c r="I4" s="919"/>
      <c r="J4" s="919"/>
      <c r="K4" s="919"/>
      <c r="L4" s="919"/>
      <c r="M4" s="524" t="s">
        <v>712</v>
      </c>
    </row>
    <row r="5" spans="2:16" ht="18" customHeight="1">
      <c r="B5" s="920" t="s">
        <v>670</v>
      </c>
      <c r="C5" s="920" t="s">
        <v>842</v>
      </c>
      <c r="D5" s="920" t="s">
        <v>1</v>
      </c>
      <c r="E5" s="920" t="s">
        <v>692</v>
      </c>
      <c r="F5" s="920" t="s">
        <v>693</v>
      </c>
      <c r="G5" s="921" t="s">
        <v>694</v>
      </c>
      <c r="H5" s="922" t="s">
        <v>690</v>
      </c>
      <c r="I5" s="922"/>
      <c r="J5" s="922"/>
      <c r="K5" s="922"/>
      <c r="L5" s="922"/>
      <c r="M5" s="922"/>
    </row>
    <row r="6" spans="2:16" ht="27" customHeight="1">
      <c r="B6" s="920"/>
      <c r="C6" s="920"/>
      <c r="D6" s="920"/>
      <c r="E6" s="920"/>
      <c r="F6" s="920"/>
      <c r="G6" s="921"/>
      <c r="H6" s="372" t="s">
        <v>700</v>
      </c>
      <c r="I6" s="372" t="s">
        <v>696</v>
      </c>
      <c r="J6" s="372" t="s">
        <v>697</v>
      </c>
      <c r="K6" s="372" t="s">
        <v>698</v>
      </c>
      <c r="L6" s="372" t="s">
        <v>699</v>
      </c>
      <c r="M6" s="372" t="s">
        <v>701</v>
      </c>
    </row>
    <row r="7" spans="2:16" s="307" customFormat="1" ht="12" customHeight="1">
      <c r="B7" s="521">
        <v>1</v>
      </c>
      <c r="C7" s="304">
        <f>IF(ROW(A1)&gt;'Tinh phi QL'!$D$13,"",ROW(A1))</f>
        <v>1</v>
      </c>
      <c r="D7" s="522">
        <f ca="1">'Tinh phi QL'!I8</f>
        <v>30</v>
      </c>
      <c r="E7" s="306">
        <f>IF(IFERROR(--TRIM(C7),0)=0,0,'Tinh phi QL'!$H$13/1000)</f>
        <v>10000</v>
      </c>
      <c r="F7" s="523">
        <f>E7*50%</f>
        <v>5000</v>
      </c>
      <c r="G7" s="523">
        <f ca="1">VTLGTTKcamket!G7</f>
        <v>6571</v>
      </c>
      <c r="H7" s="523">
        <f ca="1">MAX('Tinh phi QL'!$E$13/1000,J7)+K7</f>
        <v>1000000</v>
      </c>
      <c r="I7" s="523"/>
      <c r="J7" s="523">
        <f ca="1">IF(VLOOKUP(B7,VTL20namMH!$B$4:$M$243,10,0)&lt;=0,"Mất hiệu lực",VLOOKUP(B7,VTL20namMH!$B$4:$M$243,10,0))</f>
        <v>3309.5585040901838</v>
      </c>
      <c r="K7" s="523"/>
      <c r="L7" s="523">
        <f ca="1">J7</f>
        <v>3309.5585040901838</v>
      </c>
      <c r="M7" s="523">
        <f ca="1">IF(L7-100%*E7&gt;0,L7-100%*E7,0)</f>
        <v>0</v>
      </c>
    </row>
    <row r="8" spans="2:16" s="307" customFormat="1" ht="12" customHeight="1">
      <c r="B8" s="521">
        <v>2</v>
      </c>
      <c r="C8" s="304">
        <f>IF(ROW(A2)&gt;'Tinh phi QL'!$D$13,"",ROW(A2))</f>
        <v>2</v>
      </c>
      <c r="D8" s="305">
        <f ca="1">D7+1</f>
        <v>31</v>
      </c>
      <c r="E8" s="306">
        <f>IF(IFERROR(--TRIM(C8),0)=0,0,'Tinh phi QL'!$H$13/1000)</f>
        <v>10000</v>
      </c>
      <c r="F8" s="523">
        <f>E8*70%</f>
        <v>7000</v>
      </c>
      <c r="G8" s="523">
        <f ca="1">VTLGTTKcamket!G8</f>
        <v>6571</v>
      </c>
      <c r="H8" s="523">
        <f ca="1">MAX('Tinh phi QL'!$E$13/1000,J8)+K8</f>
        <v>1000000</v>
      </c>
      <c r="I8" s="306"/>
      <c r="J8" s="523">
        <f ca="1">IF(VLOOKUP(B8,VTL20namMH!$B$4:$M$243,10,0)&lt;=0,"Mất hiệu lực",VLOOKUP(B8,VTL20namMH!$B$4:$M$243,10,0))</f>
        <v>8830.5161843359019</v>
      </c>
      <c r="K8" s="306"/>
      <c r="L8" s="523">
        <f t="shared" ref="L8:L26" ca="1" si="0">J8</f>
        <v>8830.5161843359019</v>
      </c>
      <c r="M8" s="306">
        <f ca="1">IF(L8-100%*E8&gt;0,L8-100%*E8,0)</f>
        <v>0</v>
      </c>
    </row>
    <row r="9" spans="2:16" s="307" customFormat="1" ht="12" customHeight="1">
      <c r="B9" s="521">
        <v>3</v>
      </c>
      <c r="C9" s="304">
        <f>IF(ROW(A3)&gt;'Tinh phi QL'!$D$13,"",ROW(A3))</f>
        <v>3</v>
      </c>
      <c r="D9" s="305">
        <f t="shared" ref="D9:D26" ca="1" si="1">D8+1</f>
        <v>32</v>
      </c>
      <c r="E9" s="306">
        <f>IF(IFERROR(--TRIM(C9),0)=0,0,'Tinh phi QL'!$H$13/1000)</f>
        <v>10000</v>
      </c>
      <c r="F9" s="523">
        <f>E9*80%</f>
        <v>8000</v>
      </c>
      <c r="G9" s="523">
        <f ca="1">VTLGTTKcamket!G9</f>
        <v>6571</v>
      </c>
      <c r="H9" s="523">
        <f ca="1">MAX('Tinh phi QL'!$E$13/1000,J9)+K9</f>
        <v>1000000</v>
      </c>
      <c r="I9" s="306"/>
      <c r="J9" s="523">
        <f ca="1">IF(VLOOKUP(B9,VTL20namMH!$B$4:$M$243,10,0)&lt;=0,"Mất hiệu lực",VLOOKUP(B9,VTL20namMH!$B$4:$M$243,10,0))</f>
        <v>15604.777340959665</v>
      </c>
      <c r="K9" s="306"/>
      <c r="L9" s="523">
        <f t="shared" ca="1" si="0"/>
        <v>15604.777340959665</v>
      </c>
      <c r="M9" s="306">
        <f ca="1">L9-45%*E9</f>
        <v>11104.777340959665</v>
      </c>
    </row>
    <row r="10" spans="2:16" s="307" customFormat="1" ht="12" customHeight="1">
      <c r="B10" s="521">
        <v>4</v>
      </c>
      <c r="C10" s="304">
        <f>IF(ROW(A4)&gt;'Tinh phi QL'!$D$13,"",ROW(A4))</f>
        <v>4</v>
      </c>
      <c r="D10" s="305">
        <f t="shared" ca="1" si="1"/>
        <v>33</v>
      </c>
      <c r="E10" s="306">
        <f>IF(IFERROR(--TRIM(C10),0)=0,0,'Tinh phi QL'!$H$13/1000)</f>
        <v>10000</v>
      </c>
      <c r="F10" s="523">
        <f t="shared" ref="F10:F11" si="2">E10*80%</f>
        <v>8000</v>
      </c>
      <c r="G10" s="523">
        <f ca="1">VTLGTTKcamket!G10</f>
        <v>6571</v>
      </c>
      <c r="H10" s="523">
        <f ca="1">MAX('Tinh phi QL'!$E$13/1000,J10)+K10</f>
        <v>1000000</v>
      </c>
      <c r="I10" s="306"/>
      <c r="J10" s="523">
        <f ca="1">IF(VLOOKUP(B10,VTL20namMH!$B$4:$M$243,10,0)&lt;=0,"Mất hiệu lực",VLOOKUP(B10,VTL20namMH!$B$4:$M$243,10,0))</f>
        <v>22576.340421825858</v>
      </c>
      <c r="K10" s="306"/>
      <c r="L10" s="523">
        <f t="shared" ca="1" si="0"/>
        <v>22576.340421825858</v>
      </c>
      <c r="M10" s="306">
        <f ca="1">L10-30%*E10</f>
        <v>19576.340421825858</v>
      </c>
    </row>
    <row r="11" spans="2:16" s="328" customFormat="1" ht="12" customHeight="1">
      <c r="B11" s="526">
        <v>5</v>
      </c>
      <c r="C11" s="312">
        <f>IF(ROW(A5)&gt;'Tinh phi QL'!$D$13,"",ROW(A5))</f>
        <v>5</v>
      </c>
      <c r="D11" s="313">
        <f t="shared" ca="1" si="1"/>
        <v>34</v>
      </c>
      <c r="E11" s="311">
        <f>IF(IFERROR(--TRIM(C11),0)=0,0,'Tinh phi QL'!$H$13/1000)</f>
        <v>10000</v>
      </c>
      <c r="F11" s="527">
        <f t="shared" si="2"/>
        <v>8000</v>
      </c>
      <c r="G11" s="527">
        <f ca="1">VTLGTTKcamket!G11</f>
        <v>6571</v>
      </c>
      <c r="H11" s="527">
        <f ca="1">MAX('Tinh phi QL'!$E$13/1000,J11)+K11</f>
        <v>1000000</v>
      </c>
      <c r="I11" s="311">
        <f>VLOOKUP(B11,VTL20namMH!$B$4:$I$243,8,0)</f>
        <v>300</v>
      </c>
      <c r="J11" s="527">
        <f ca="1">IF(VLOOKUP(B11,VTL20namMH!$B$4:$M$243,10,0)&lt;=0,"Mất hiệu lực",VLOOKUP(B11,VTL20namMH!$B$4:$M$243,10,0))</f>
        <v>30038.173342095895</v>
      </c>
      <c r="K11" s="311"/>
      <c r="L11" s="527">
        <f t="shared" ca="1" si="0"/>
        <v>30038.173342095895</v>
      </c>
      <c r="M11" s="311">
        <f ca="1">L11-20%*E11</f>
        <v>28038.173342095895</v>
      </c>
    </row>
    <row r="12" spans="2:16" s="307" customFormat="1" ht="12" customHeight="1">
      <c r="B12" s="521">
        <v>6</v>
      </c>
      <c r="C12" s="304">
        <f>IF(ROW(A6)&gt;'Tinh phi QL'!$D$13,"",ROW(A6))</f>
        <v>6</v>
      </c>
      <c r="D12" s="305">
        <f t="shared" ca="1" si="1"/>
        <v>35</v>
      </c>
      <c r="E12" s="306">
        <f>IF(IFERROR(--TRIM(C12),0)=0,0,'Tinh phi QL'!$H$13/1000)</f>
        <v>10000</v>
      </c>
      <c r="F12" s="523">
        <f>E12*98%</f>
        <v>9800</v>
      </c>
      <c r="G12" s="523">
        <f ca="1">VTLGTTKcamket!G12</f>
        <v>7495</v>
      </c>
      <c r="H12" s="523">
        <f ca="1">MAX('Tinh phi QL'!$E$13/1000,J12)+K12</f>
        <v>1000000</v>
      </c>
      <c r="I12" s="306">
        <f>VLOOKUP(B12,VTL20namMH!$B$4:$I$243,8,0)</f>
        <v>300</v>
      </c>
      <c r="J12" s="523">
        <f ca="1">IF(VLOOKUP(B12,VTL20namMH!$B$4:$M$243,10,0)&lt;=0,"Mất hiệu lực",VLOOKUP(B12,VTL20namMH!$B$4:$M$243,10,0))</f>
        <v>39647.400799502626</v>
      </c>
      <c r="K12" s="306"/>
      <c r="L12" s="523">
        <f t="shared" ca="1" si="0"/>
        <v>39647.400799502626</v>
      </c>
      <c r="M12" s="306">
        <f ca="1">L12</f>
        <v>39647.400799502626</v>
      </c>
    </row>
    <row r="13" spans="2:16" s="307" customFormat="1" ht="12" customHeight="1">
      <c r="B13" s="521">
        <v>7</v>
      </c>
      <c r="C13" s="304">
        <f>IF(ROW(A7)&gt;'Tinh phi QL'!$D$13,"",ROW(A7))</f>
        <v>7</v>
      </c>
      <c r="D13" s="305">
        <f t="shared" ca="1" si="1"/>
        <v>36</v>
      </c>
      <c r="E13" s="306">
        <f>IF(IFERROR(--TRIM(C13),0)=0,0,'Tinh phi QL'!$H$13/1000)</f>
        <v>10000</v>
      </c>
      <c r="F13" s="523">
        <f t="shared" ref="F13:F16" si="3">E13*98%</f>
        <v>9800</v>
      </c>
      <c r="G13" s="523">
        <f ca="1">VTLGTTKcamket!G13</f>
        <v>7495</v>
      </c>
      <c r="H13" s="523">
        <f ca="1">MAX('Tinh phi QL'!$E$13/1000,J13)+K13</f>
        <v>1000000</v>
      </c>
      <c r="I13" s="306">
        <f>VLOOKUP(B13,VTL20namMH!$B$4:$I$243,8,0)</f>
        <v>300</v>
      </c>
      <c r="J13" s="523">
        <f ca="1">IF(VLOOKUP(B13,VTL20namMH!$B$4:$M$243,10,0)&lt;=0,"Mất hiệu lực",VLOOKUP(B13,VTL20namMH!$B$4:$M$243,10,0))</f>
        <v>49599.124619114817</v>
      </c>
      <c r="K13" s="306"/>
      <c r="L13" s="523">
        <f t="shared" ca="1" si="0"/>
        <v>49599.124619114817</v>
      </c>
      <c r="M13" s="306">
        <f t="shared" ref="M13:M26" ca="1" si="4">L13</f>
        <v>49599.124619114817</v>
      </c>
    </row>
    <row r="14" spans="2:16" s="307" customFormat="1" ht="12" customHeight="1">
      <c r="B14" s="521">
        <v>8</v>
      </c>
      <c r="C14" s="304">
        <f>IF(ROW(A8)&gt;'Tinh phi QL'!$D$13,"",ROW(A8))</f>
        <v>8</v>
      </c>
      <c r="D14" s="305">
        <f t="shared" ca="1" si="1"/>
        <v>37</v>
      </c>
      <c r="E14" s="306">
        <f>IF(IFERROR(--TRIM(C14),0)=0,0,'Tinh phi QL'!$H$13/1000)</f>
        <v>10000</v>
      </c>
      <c r="F14" s="523">
        <f t="shared" si="3"/>
        <v>9800</v>
      </c>
      <c r="G14" s="523">
        <f ca="1">VTLGTTKcamket!G14</f>
        <v>7495</v>
      </c>
      <c r="H14" s="523">
        <f ca="1">MAX('Tinh phi QL'!$E$13/1000,J14)+K14</f>
        <v>1000000</v>
      </c>
      <c r="I14" s="306">
        <f>VLOOKUP(B14,VTL20namMH!$B$4:$I$243,8,0)</f>
        <v>300</v>
      </c>
      <c r="J14" s="523">
        <f ca="1">IF(VLOOKUP(B14,VTL20namMH!$B$4:$M$243,10,0)&lt;=0,"Mất hiệu lực",VLOOKUP(B14,VTL20namMH!$B$4:$M$243,10,0))</f>
        <v>59896.776960334915</v>
      </c>
      <c r="K14" s="306"/>
      <c r="L14" s="523">
        <f t="shared" ca="1" si="0"/>
        <v>59896.776960334915</v>
      </c>
      <c r="M14" s="306">
        <f t="shared" ca="1" si="4"/>
        <v>59896.776960334915</v>
      </c>
    </row>
    <row r="15" spans="2:16" s="307" customFormat="1" ht="12" customHeight="1">
      <c r="B15" s="521">
        <v>9</v>
      </c>
      <c r="C15" s="304">
        <f>IF(ROW(A9)&gt;'Tinh phi QL'!$D$13,"",ROW(A9))</f>
        <v>9</v>
      </c>
      <c r="D15" s="305">
        <f t="shared" ca="1" si="1"/>
        <v>38</v>
      </c>
      <c r="E15" s="306">
        <f>IF(IFERROR(--TRIM(C15),0)=0,0,'Tinh phi QL'!$H$13/1000)</f>
        <v>10000</v>
      </c>
      <c r="F15" s="523">
        <f t="shared" si="3"/>
        <v>9800</v>
      </c>
      <c r="G15" s="523">
        <f ca="1">VTLGTTKcamket!G15</f>
        <v>7495</v>
      </c>
      <c r="H15" s="523">
        <f ca="1">MAX('Tinh phi QL'!$E$13/1000,J15)+K15</f>
        <v>1000000</v>
      </c>
      <c r="I15" s="306">
        <f>VLOOKUP(B15,VTL20namMH!$B$4:$I$243,8,0)</f>
        <v>300</v>
      </c>
      <c r="J15" s="523">
        <f ca="1">IF(VLOOKUP(B15,VTL20namMH!$B$4:$M$243,10,0)&lt;=0,"Mất hiệu lực",VLOOKUP(B15,VTL20namMH!$B$4:$M$243,10,0))</f>
        <v>70483.77646832871</v>
      </c>
      <c r="K15" s="306"/>
      <c r="L15" s="523">
        <f t="shared" ca="1" si="0"/>
        <v>70483.77646832871</v>
      </c>
      <c r="M15" s="306">
        <f t="shared" ca="1" si="4"/>
        <v>70483.77646832871</v>
      </c>
    </row>
    <row r="16" spans="2:16" s="328" customFormat="1" ht="12" customHeight="1">
      <c r="B16" s="526">
        <v>10</v>
      </c>
      <c r="C16" s="312">
        <f>IF(ROW(A10)&gt;'Tinh phi QL'!$D$13,"",ROW(A10))</f>
        <v>10</v>
      </c>
      <c r="D16" s="309">
        <f t="shared" ca="1" si="1"/>
        <v>39</v>
      </c>
      <c r="E16" s="311">
        <f>IF(IFERROR(--TRIM(C16),0)=0,0,'Tinh phi QL'!$H$13/1000)</f>
        <v>10000</v>
      </c>
      <c r="F16" s="527">
        <f t="shared" si="3"/>
        <v>9800</v>
      </c>
      <c r="G16" s="527">
        <f ca="1">VTLGTTKcamket!G16</f>
        <v>7495</v>
      </c>
      <c r="H16" s="527">
        <f ca="1">MAX('Tinh phi QL'!$E$13/1000,J16)+K16</f>
        <v>1000000</v>
      </c>
      <c r="I16" s="311">
        <f>VLOOKUP(B16,VTL20namMH!$B$4:$I$243,8,0)</f>
        <v>300</v>
      </c>
      <c r="J16" s="527">
        <f ca="1">IF(VLOOKUP(B16,VTL20namMH!$B$4:$M$243,10,0)&lt;=0,"Mất hiệu lực",VLOOKUP(B16,VTL20namMH!$B$4:$M$243,10,0))</f>
        <v>81353.295913450871</v>
      </c>
      <c r="K16" s="310"/>
      <c r="L16" s="527">
        <f t="shared" ca="1" si="0"/>
        <v>81353.295913450871</v>
      </c>
      <c r="M16" s="311">
        <f t="shared" ca="1" si="4"/>
        <v>81353.295913450871</v>
      </c>
    </row>
    <row r="17" spans="2:13" s="307" customFormat="1" ht="12" customHeight="1">
      <c r="B17" s="521">
        <v>11</v>
      </c>
      <c r="C17" s="304">
        <f>IF(ROW(A11)&gt;'Tinh phi QL'!$D$13,"",ROW(A11))</f>
        <v>11</v>
      </c>
      <c r="D17" s="305">
        <f t="shared" ca="1" si="1"/>
        <v>40</v>
      </c>
      <c r="E17" s="306">
        <f>IF(IFERROR(--TRIM(C17),0)=0,0,'Tinh phi QL'!$H$13/1000)</f>
        <v>10000</v>
      </c>
      <c r="F17" s="523">
        <f>E17*100%</f>
        <v>10000</v>
      </c>
      <c r="G17" s="523">
        <f ca="1">VTLGTTKcamket!G17</f>
        <v>8533</v>
      </c>
      <c r="H17" s="523">
        <f ca="1">MAX('Tinh phi QL'!$E$13/1000,J17)+K17</f>
        <v>1000000</v>
      </c>
      <c r="I17" s="306">
        <f>VLOOKUP(B17,VTL20namMH!$B$4:$I$243,8,0)</f>
        <v>300</v>
      </c>
      <c r="J17" s="523">
        <f ca="1">IF(VLOOKUP(B17,VTL20namMH!$B$4:$M$243,10,0)&lt;=0,"Mất hiệu lực",VLOOKUP(B17,VTL20namMH!$B$4:$M$243,10,0))</f>
        <v>92772.581836232173</v>
      </c>
      <c r="K17" s="306"/>
      <c r="L17" s="523">
        <f t="shared" ca="1" si="0"/>
        <v>92772.581836232173</v>
      </c>
      <c r="M17" s="306">
        <f t="shared" ca="1" si="4"/>
        <v>92772.581836232173</v>
      </c>
    </row>
    <row r="18" spans="2:13" s="307" customFormat="1" ht="12" customHeight="1">
      <c r="B18" s="521">
        <v>12</v>
      </c>
      <c r="C18" s="304">
        <f>IF(ROW(A12)&gt;'Tinh phi QL'!$D$13,"",ROW(A12))</f>
        <v>12</v>
      </c>
      <c r="D18" s="305">
        <f t="shared" ca="1" si="1"/>
        <v>41</v>
      </c>
      <c r="E18" s="306">
        <f>IF(IFERROR(--TRIM(C18),0)=0,0,'Tinh phi QL'!$H$13/1000)</f>
        <v>10000</v>
      </c>
      <c r="F18" s="523">
        <f t="shared" ref="F18:F26" si="5">E18*100%</f>
        <v>10000</v>
      </c>
      <c r="G18" s="523">
        <f ca="1">VTLGTTKcamket!G18</f>
        <v>8533</v>
      </c>
      <c r="H18" s="523">
        <f ca="1">MAX('Tinh phi QL'!$E$13/1000,J18)+K18</f>
        <v>1000000</v>
      </c>
      <c r="I18" s="306">
        <f>VLOOKUP(B18,VTL20namMH!$B$4:$I$243,8,0)</f>
        <v>300</v>
      </c>
      <c r="J18" s="523">
        <f ca="1">IF(VLOOKUP(B18,VTL20namMH!$B$4:$M$243,10,0)&lt;=0,"Mất hiệu lực",VLOOKUP(B18,VTL20namMH!$B$4:$M$243,10,0))</f>
        <v>104548.60914177049</v>
      </c>
      <c r="K18" s="306"/>
      <c r="L18" s="523">
        <f t="shared" ca="1" si="0"/>
        <v>104548.60914177049</v>
      </c>
      <c r="M18" s="306">
        <f t="shared" ca="1" si="4"/>
        <v>104548.60914177049</v>
      </c>
    </row>
    <row r="19" spans="2:13" s="307" customFormat="1" ht="12" customHeight="1">
      <c r="B19" s="521">
        <v>13</v>
      </c>
      <c r="C19" s="304">
        <f>IF(ROW(A13)&gt;'Tinh phi QL'!$D$13,"",ROW(A13))</f>
        <v>13</v>
      </c>
      <c r="D19" s="305">
        <f t="shared" ca="1" si="1"/>
        <v>42</v>
      </c>
      <c r="E19" s="306">
        <f>IF(IFERROR(--TRIM(C19),0)=0,0,'Tinh phi QL'!$H$13/1000)</f>
        <v>10000</v>
      </c>
      <c r="F19" s="523">
        <f t="shared" si="5"/>
        <v>10000</v>
      </c>
      <c r="G19" s="523">
        <f ca="1">VTLGTTKcamket!G19</f>
        <v>8533</v>
      </c>
      <c r="H19" s="523">
        <f ca="1">MAX('Tinh phi QL'!$E$13/1000,J19)+K19</f>
        <v>1000000</v>
      </c>
      <c r="I19" s="306">
        <f>VLOOKUP(B19,VTL20namMH!$B$4:$I$243,8,0)</f>
        <v>300</v>
      </c>
      <c r="J19" s="523">
        <f ca="1">IF(VLOOKUP(B19,VTL20namMH!$B$4:$M$243,10,0)&lt;=0,"Mất hiệu lực",VLOOKUP(B19,VTL20namMH!$B$4:$M$243,10,0))</f>
        <v>116689.50029404902</v>
      </c>
      <c r="K19" s="306"/>
      <c r="L19" s="523">
        <f t="shared" ca="1" si="0"/>
        <v>116689.50029404902</v>
      </c>
      <c r="M19" s="306">
        <f t="shared" ca="1" si="4"/>
        <v>116689.50029404902</v>
      </c>
    </row>
    <row r="20" spans="2:13" s="307" customFormat="1" ht="12" customHeight="1">
      <c r="B20" s="521">
        <v>14</v>
      </c>
      <c r="C20" s="304">
        <f>IF(ROW(A14)&gt;'Tinh phi QL'!$D$13,"",ROW(A14))</f>
        <v>14</v>
      </c>
      <c r="D20" s="305">
        <f t="shared" ca="1" si="1"/>
        <v>43</v>
      </c>
      <c r="E20" s="306">
        <f>IF(IFERROR(--TRIM(C20),0)=0,0,'Tinh phi QL'!$H$13/1000)</f>
        <v>10000</v>
      </c>
      <c r="F20" s="523">
        <f t="shared" si="5"/>
        <v>10000</v>
      </c>
      <c r="G20" s="523">
        <f ca="1">VTLGTTKcamket!G20</f>
        <v>8533</v>
      </c>
      <c r="H20" s="523">
        <f ca="1">MAX('Tinh phi QL'!$E$13/1000,J20)+K20</f>
        <v>1000000</v>
      </c>
      <c r="I20" s="306">
        <f>VLOOKUP(B20,VTL20namMH!$B$4:$I$243,8,0)</f>
        <v>300</v>
      </c>
      <c r="J20" s="523">
        <f ca="1">IF(VLOOKUP(B20,VTL20namMH!$B$4:$M$243,10,0)&lt;=0,"Mất hiệu lực",VLOOKUP(B20,VTL20namMH!$B$4:$M$243,10,0))</f>
        <v>129197.46251082919</v>
      </c>
      <c r="K20" s="306"/>
      <c r="L20" s="523">
        <f t="shared" ca="1" si="0"/>
        <v>129197.46251082919</v>
      </c>
      <c r="M20" s="306">
        <f t="shared" ca="1" si="4"/>
        <v>129197.46251082919</v>
      </c>
    </row>
    <row r="21" spans="2:13" s="328" customFormat="1" ht="12" customHeight="1">
      <c r="B21" s="526">
        <v>15</v>
      </c>
      <c r="C21" s="312">
        <f>IF(ROW(A15)&gt;'Tinh phi QL'!$D$13,"",ROW(A15))</f>
        <v>15</v>
      </c>
      <c r="D21" s="313">
        <f t="shared" ca="1" si="1"/>
        <v>44</v>
      </c>
      <c r="E21" s="311">
        <f>IF(IFERROR(--TRIM(C21),0)=0,0,'Tinh phi QL'!$H$13/1000)</f>
        <v>10000</v>
      </c>
      <c r="F21" s="527">
        <f t="shared" si="5"/>
        <v>10000</v>
      </c>
      <c r="G21" s="527">
        <f ca="1">VTLGTTKcamket!G21</f>
        <v>8533</v>
      </c>
      <c r="H21" s="527">
        <f ca="1">MAX('Tinh phi QL'!$E$13/1000,J21)+K21</f>
        <v>1000000</v>
      </c>
      <c r="I21" s="311">
        <f>VLOOKUP(B21,VTL20namMH!$B$4:$I$243,8,0)</f>
        <v>300</v>
      </c>
      <c r="J21" s="527">
        <f ca="1">IF(VLOOKUP(B21,VTL20namMH!$B$4:$M$243,10,0)&lt;=0,"Mất hiệu lực",VLOOKUP(B21,VTL20namMH!$B$4:$M$243,10,0))</f>
        <v>142083.06917296819</v>
      </c>
      <c r="K21" s="311"/>
      <c r="L21" s="527">
        <f t="shared" ca="1" si="0"/>
        <v>142083.06917296819</v>
      </c>
      <c r="M21" s="311">
        <f t="shared" ca="1" si="4"/>
        <v>142083.06917296819</v>
      </c>
    </row>
    <row r="22" spans="2:13" s="307" customFormat="1" ht="12" customHeight="1">
      <c r="B22" s="521">
        <v>16</v>
      </c>
      <c r="C22" s="304">
        <f>IF(ROW(A16)&gt;'Tinh phi QL'!$D$13,"",ROW(A16))</f>
        <v>16</v>
      </c>
      <c r="D22" s="305">
        <f t="shared" ca="1" si="1"/>
        <v>45</v>
      </c>
      <c r="E22" s="306">
        <f>IF(IFERROR(--TRIM(C22),0)=0,0,'Tinh phi QL'!$H$13/1000)</f>
        <v>10000</v>
      </c>
      <c r="F22" s="523">
        <f t="shared" si="5"/>
        <v>10000</v>
      </c>
      <c r="G22" s="523">
        <f ca="1">VTLGTTKcamket!G22</f>
        <v>10469</v>
      </c>
      <c r="H22" s="523">
        <f ca="1">MAX('Tinh phi QL'!$E$13/1000,J22)+K22</f>
        <v>1000000</v>
      </c>
      <c r="I22" s="306">
        <f>VLOOKUP(B22,VTL20namMH!$B$4:$I$243,8,0)</f>
        <v>300</v>
      </c>
      <c r="J22" s="525">
        <f ca="1">IF(VLOOKUP(B22,VTL20namMH!$B$4:$M$243,10,0)&lt;=0,"Mất hiệu lực",VLOOKUP(B22,VTL20namMH!$B$4:$M$243,10,0))</f>
        <v>155358.35810364143</v>
      </c>
      <c r="K22" s="519"/>
      <c r="L22" s="525">
        <f t="shared" ca="1" si="0"/>
        <v>155358.35810364143</v>
      </c>
      <c r="M22" s="519">
        <f t="shared" ca="1" si="4"/>
        <v>155358.35810364143</v>
      </c>
    </row>
    <row r="23" spans="2:13" s="307" customFormat="1" ht="12" customHeight="1">
      <c r="B23" s="521">
        <v>17</v>
      </c>
      <c r="C23" s="304">
        <f>IF(ROW(A17)&gt;'Tinh phi QL'!$D$13,"",ROW(A17))</f>
        <v>17</v>
      </c>
      <c r="D23" s="305">
        <f t="shared" ca="1" si="1"/>
        <v>46</v>
      </c>
      <c r="E23" s="306">
        <f>IF(IFERROR(--TRIM(C23),0)=0,0,'Tinh phi QL'!$H$13/1000)</f>
        <v>10000</v>
      </c>
      <c r="F23" s="523">
        <f t="shared" si="5"/>
        <v>10000</v>
      </c>
      <c r="G23" s="523">
        <f ca="1">VTLGTTKcamket!G23</f>
        <v>10469</v>
      </c>
      <c r="H23" s="523">
        <f ca="1">MAX('Tinh phi QL'!$E$13/1000,J23)+K23</f>
        <v>1000000</v>
      </c>
      <c r="I23" s="306">
        <f>VLOOKUP(B23,VTL20namMH!$B$4:$I$243,8,0)</f>
        <v>300</v>
      </c>
      <c r="J23" s="525">
        <f ca="1">IF(VLOOKUP(B23,VTL20namMH!$B$4:$M$243,10,0)&lt;=0,"Mất hiệu lực",VLOOKUP(B23,VTL20namMH!$B$4:$M$243,10,0))</f>
        <v>169030.11304092294</v>
      </c>
      <c r="K23" s="519"/>
      <c r="L23" s="525">
        <f t="shared" ca="1" si="0"/>
        <v>169030.11304092294</v>
      </c>
      <c r="M23" s="519">
        <f t="shared" ca="1" si="4"/>
        <v>169030.11304092294</v>
      </c>
    </row>
    <row r="24" spans="2:13" s="307" customFormat="1" ht="12" customHeight="1">
      <c r="B24" s="521">
        <v>18</v>
      </c>
      <c r="C24" s="304">
        <f>IF(ROW(A18)&gt;'Tinh phi QL'!$D$13,"",ROW(A18))</f>
        <v>18</v>
      </c>
      <c r="D24" s="305">
        <f t="shared" ca="1" si="1"/>
        <v>47</v>
      </c>
      <c r="E24" s="306">
        <f>IF(IFERROR(--TRIM(C24),0)=0,0,'Tinh phi QL'!$H$13/1000)</f>
        <v>10000</v>
      </c>
      <c r="F24" s="523">
        <f t="shared" si="5"/>
        <v>10000</v>
      </c>
      <c r="G24" s="523">
        <f ca="1">VTLGTTKcamket!G24</f>
        <v>10469</v>
      </c>
      <c r="H24" s="523">
        <f ca="1">MAX('Tinh phi QL'!$E$13/1000,J24)+K24</f>
        <v>1000000</v>
      </c>
      <c r="I24" s="306">
        <f>VLOOKUP(B24,VTL20namMH!$B$4:$I$243,8,0)</f>
        <v>300</v>
      </c>
      <c r="J24" s="525">
        <f ca="1">IF(VLOOKUP(B24,VTL20namMH!$B$4:$M$243,10,0)&lt;=0,"Mất hiệu lực",VLOOKUP(B24,VTL20namMH!$B$4:$M$243,10,0))</f>
        <v>183113.56349442061</v>
      </c>
      <c r="K24" s="519"/>
      <c r="L24" s="525">
        <f t="shared" ca="1" si="0"/>
        <v>183113.56349442061</v>
      </c>
      <c r="M24" s="519">
        <f t="shared" ca="1" si="4"/>
        <v>183113.56349442061</v>
      </c>
    </row>
    <row r="25" spans="2:13" s="307" customFormat="1" ht="12" customHeight="1">
      <c r="B25" s="521">
        <v>19</v>
      </c>
      <c r="C25" s="304">
        <f>IF(ROW(A19)&gt;'Tinh phi QL'!$D$13,"",ROW(A19))</f>
        <v>19</v>
      </c>
      <c r="D25" s="305">
        <f t="shared" ca="1" si="1"/>
        <v>48</v>
      </c>
      <c r="E25" s="306">
        <f>IF(IFERROR(--TRIM(C25),0)=0,0,'Tinh phi QL'!$H$13/1000)</f>
        <v>10000</v>
      </c>
      <c r="F25" s="523">
        <f t="shared" si="5"/>
        <v>10000</v>
      </c>
      <c r="G25" s="523">
        <f ca="1">VTLGTTKcamket!G25</f>
        <v>10469</v>
      </c>
      <c r="H25" s="523">
        <f ca="1">MAX('Tinh phi QL'!$E$13/1000,J25)+K25</f>
        <v>1000000</v>
      </c>
      <c r="I25" s="306">
        <f>VLOOKUP(B25,VTL20namMH!$B$4:$I$243,8,0)</f>
        <v>300</v>
      </c>
      <c r="J25" s="525">
        <f ca="1">IF(VLOOKUP(B25,VTL20namMH!$B$4:$M$243,10,0)&lt;=0,"Mất hiệu lực",VLOOKUP(B25,VTL20namMH!$B$4:$M$243,10,0))</f>
        <v>197619.19244506856</v>
      </c>
      <c r="K25" s="519"/>
      <c r="L25" s="525">
        <f t="shared" ca="1" si="0"/>
        <v>197619.19244506856</v>
      </c>
      <c r="M25" s="519">
        <f t="shared" ca="1" si="4"/>
        <v>197619.19244506856</v>
      </c>
    </row>
    <row r="26" spans="2:13" s="328" customFormat="1" ht="12" customHeight="1">
      <c r="B26" s="526">
        <v>20</v>
      </c>
      <c r="C26" s="312">
        <f>IF(ROW(A20)&gt;'Tinh phi QL'!$D$13,"",ROW(A20))</f>
        <v>20</v>
      </c>
      <c r="D26" s="313">
        <f t="shared" ca="1" si="1"/>
        <v>49</v>
      </c>
      <c r="E26" s="311">
        <f>IF(IFERROR(--TRIM(C26),0)=0,0,'Tinh phi QL'!$H$13/1000)</f>
        <v>10000</v>
      </c>
      <c r="F26" s="527">
        <f t="shared" si="5"/>
        <v>10000</v>
      </c>
      <c r="G26" s="527">
        <f ca="1">VTLGTTKcamket!G26</f>
        <v>10469</v>
      </c>
      <c r="H26" s="527">
        <f ca="1">MAX('Tinh phi QL'!$E$13/1000,J26)+K26</f>
        <v>1000000</v>
      </c>
      <c r="I26" s="311">
        <f>VLOOKUP(B26,VTL20namMH!$B$4:$I$243,8,0)</f>
        <v>300</v>
      </c>
      <c r="J26" s="528">
        <f ca="1">IF(VLOOKUP(B26,VTL20namMH!$B$4:$M$243,10,0)&lt;=0,"Mất hiệu lực",VLOOKUP(B26,VTL20namMH!$B$4:$M$243,10,0))</f>
        <v>212546.54043124177</v>
      </c>
      <c r="K26" s="520"/>
      <c r="L26" s="528">
        <f t="shared" ca="1" si="0"/>
        <v>212546.54043124177</v>
      </c>
      <c r="M26" s="520">
        <f t="shared" ca="1" si="4"/>
        <v>212546.54043124177</v>
      </c>
    </row>
  </sheetData>
  <sheetProtection selectLockedCells="1"/>
  <mergeCells count="13">
    <mergeCell ref="O2:P2"/>
    <mergeCell ref="O3:P3"/>
    <mergeCell ref="B2:E3"/>
    <mergeCell ref="B4:L4"/>
    <mergeCell ref="B5:B6"/>
    <mergeCell ref="C5:C6"/>
    <mergeCell ref="D5:D6"/>
    <mergeCell ref="E5:E6"/>
    <mergeCell ref="F5:F6"/>
    <mergeCell ref="G5:G6"/>
    <mergeCell ref="H5:M5"/>
    <mergeCell ref="F2:L3"/>
    <mergeCell ref="M2:M3"/>
  </mergeCells>
  <conditionalFormatting sqref="B7:E26">
    <cfRule type="expression" dxfId="315" priority="1">
      <formula>MOD(ROW(),2)&gt;0</formula>
    </cfRule>
    <cfRule type="expression" dxfId="314" priority="2">
      <formula>"mod(row(),2).0"</formula>
    </cfRule>
  </conditionalFormatting>
  <conditionalFormatting sqref="F7:M26">
    <cfRule type="expression" dxfId="313" priority="9">
      <formula>MOD(ROW(),2)&gt;0</formula>
    </cfRule>
    <cfRule type="expression" dxfId="312" priority="10">
      <formula>"mod(row(),2).0"</formula>
    </cfRule>
  </conditionalFormatting>
  <conditionalFormatting sqref="J7:J26">
    <cfRule type="cellIs" dxfId="311" priority="7" operator="lessThan">
      <formula>0</formula>
    </cfRule>
  </conditionalFormatting>
  <conditionalFormatting sqref="L1:M1 M2 M4 L6:M1048576">
    <cfRule type="cellIs" dxfId="310" priority="8" operator="lessThan">
      <formula>0</formula>
    </cfRule>
  </conditionalFormatting>
  <conditionalFormatting sqref="O3:P3">
    <cfRule type="containsText" dxfId="309" priority="11" operator="containsText" text="Chỉ">
      <formula>NOT(ISERROR(SEARCH("Chỉ",O3)))</formula>
    </cfRule>
    <cfRule type="containsText" dxfId="308" priority="12" operator="containsText" text="Phải">
      <formula>NOT(ISERROR(SEARCH("Phải",O3)))</formula>
    </cfRule>
  </conditionalFormatting>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08FEB9-30DD-4204-A0F9-CEF8E93FCFD4}">
  <dimension ref="B1:P26"/>
  <sheetViews>
    <sheetView showGridLines="0" zoomScale="85" zoomScaleNormal="85" workbookViewId="0">
      <selection activeCell="H7" sqref="H7:H26"/>
    </sheetView>
  </sheetViews>
  <sheetFormatPr defaultColWidth="8.19921875" defaultRowHeight="14.5"/>
  <cols>
    <col min="1" max="1" width="3.69921875" style="301" customWidth="1"/>
    <col min="2" max="2" width="7.19921875" style="301" customWidth="1"/>
    <col min="3" max="3" width="9" style="301" customWidth="1"/>
    <col min="4" max="4" width="6.5" style="301" customWidth="1"/>
    <col min="5" max="5" width="15.19921875" style="301" customWidth="1"/>
    <col min="6" max="6" width="19.296875" style="301" customWidth="1"/>
    <col min="7" max="7" width="19.796875" style="301" customWidth="1"/>
    <col min="8" max="8" width="23.19921875" style="301" customWidth="1"/>
    <col min="9" max="12" width="18.19921875" style="301" customWidth="1"/>
    <col min="13" max="13" width="17.69921875" style="301" customWidth="1"/>
    <col min="14" max="14" width="18.19921875" style="301" customWidth="1"/>
    <col min="15" max="15" width="8.19921875" style="301"/>
    <col min="16" max="16" width="12.796875" style="301" customWidth="1"/>
    <col min="17" max="16384" width="8.19921875" style="301"/>
  </cols>
  <sheetData>
    <row r="1" spans="2:16" ht="6" customHeight="1"/>
    <row r="2" spans="2:16" ht="9.75" customHeight="1">
      <c r="B2" s="927" t="s">
        <v>711</v>
      </c>
      <c r="C2" s="927"/>
      <c r="D2" s="927"/>
      <c r="E2" s="927"/>
      <c r="F2" s="927"/>
      <c r="G2" s="927"/>
      <c r="H2" s="909" t="s">
        <v>695</v>
      </c>
      <c r="I2" s="909"/>
      <c r="J2" s="909"/>
      <c r="K2" s="909"/>
      <c r="L2" s="909"/>
      <c r="M2" s="909"/>
      <c r="N2" s="302"/>
      <c r="O2" s="910"/>
      <c r="P2" s="910"/>
    </row>
    <row r="3" spans="2:16" ht="5.25" customHeight="1">
      <c r="B3" s="927"/>
      <c r="C3" s="927"/>
      <c r="D3" s="927"/>
      <c r="E3" s="927"/>
      <c r="F3" s="927"/>
      <c r="G3" s="927"/>
      <c r="H3" s="909"/>
      <c r="I3" s="909"/>
      <c r="J3" s="909"/>
      <c r="K3" s="909"/>
      <c r="L3" s="909"/>
      <c r="M3" s="909"/>
      <c r="N3" s="302"/>
      <c r="O3" s="910"/>
      <c r="P3" s="910"/>
    </row>
    <row r="4" spans="2:16" ht="11.25" customHeight="1">
      <c r="B4" s="919" t="s">
        <v>689</v>
      </c>
      <c r="C4" s="919"/>
      <c r="D4" s="919"/>
      <c r="E4" s="919"/>
      <c r="F4" s="919"/>
      <c r="G4" s="919"/>
      <c r="H4" s="919"/>
      <c r="I4" s="919"/>
      <c r="J4" s="919"/>
      <c r="K4" s="919"/>
      <c r="L4" s="919"/>
      <c r="M4" s="524" t="s">
        <v>712</v>
      </c>
    </row>
    <row r="5" spans="2:16" ht="18" customHeight="1">
      <c r="B5" s="925" t="s">
        <v>670</v>
      </c>
      <c r="C5" s="925" t="s">
        <v>842</v>
      </c>
      <c r="D5" s="925" t="s">
        <v>1</v>
      </c>
      <c r="E5" s="925" t="s">
        <v>692</v>
      </c>
      <c r="F5" s="925" t="s">
        <v>693</v>
      </c>
      <c r="G5" s="926" t="s">
        <v>694</v>
      </c>
      <c r="H5" s="924" t="s">
        <v>690</v>
      </c>
      <c r="I5" s="924"/>
      <c r="J5" s="924"/>
      <c r="K5" s="924"/>
      <c r="L5" s="924"/>
      <c r="M5" s="924"/>
    </row>
    <row r="6" spans="2:16" ht="24" customHeight="1">
      <c r="B6" s="925"/>
      <c r="C6" s="925"/>
      <c r="D6" s="925"/>
      <c r="E6" s="925"/>
      <c r="F6" s="925"/>
      <c r="G6" s="926"/>
      <c r="H6" s="317" t="s">
        <v>700</v>
      </c>
      <c r="I6" s="317" t="s">
        <v>696</v>
      </c>
      <c r="J6" s="317" t="s">
        <v>697</v>
      </c>
      <c r="K6" s="317" t="s">
        <v>698</v>
      </c>
      <c r="L6" s="317" t="s">
        <v>699</v>
      </c>
      <c r="M6" s="317" t="s">
        <v>701</v>
      </c>
    </row>
    <row r="7" spans="2:16" s="307" customFormat="1" ht="12" customHeight="1">
      <c r="B7" s="304">
        <v>1</v>
      </c>
      <c r="C7" s="304">
        <f>IF(ROW(A1)&gt;'Tinh phi QL'!$D$13,"",ROW(A1))</f>
        <v>1</v>
      </c>
      <c r="D7" s="305">
        <f ca="1">'Tinh phi QL'!I8</f>
        <v>30</v>
      </c>
      <c r="E7" s="306">
        <f>IF(IFERROR(--TRIM(C7),0)=0,0,'Tinh phi QL'!$H$13/1000)</f>
        <v>10000</v>
      </c>
      <c r="F7" s="306">
        <f>E7*50%</f>
        <v>5000</v>
      </c>
      <c r="G7" s="306">
        <f ca="1">KTVBVPhi20nam!AI4</f>
        <v>6571</v>
      </c>
      <c r="H7" s="306">
        <f ca="1">MAX('Tinh phi QL'!$E$13/1000,J7)+K7</f>
        <v>1000000</v>
      </c>
      <c r="I7" s="306"/>
      <c r="J7" s="306">
        <f ca="1">IF(VLOOKUP(B7,KBA20namcamket!$B$4:$M$243,10,0)&lt;=0,"Mất hiệu lực",VLOOKUP(B7,KBA20namcamket!$B$4:$M$243,10,0))</f>
        <v>3265.5581049188945</v>
      </c>
      <c r="K7" s="306"/>
      <c r="L7" s="306">
        <f ca="1">J7</f>
        <v>3265.5581049188945</v>
      </c>
      <c r="M7" s="306">
        <f ca="1">IF(L7-100%*E7&gt;0,L7-100%*E7,0)</f>
        <v>0</v>
      </c>
    </row>
    <row r="8" spans="2:16" s="307" customFormat="1" ht="12" customHeight="1">
      <c r="B8" s="304">
        <v>2</v>
      </c>
      <c r="C8" s="304">
        <f>IF(ROW(A2)&gt;'Tinh phi QL'!$D$13,"",ROW(A2))</f>
        <v>2</v>
      </c>
      <c r="D8" s="305">
        <f ca="1">D7+1</f>
        <v>31</v>
      </c>
      <c r="E8" s="306">
        <f>IF(IFERROR(--TRIM(C8),0)=0,0,'Tinh phi QL'!$H$13/1000)</f>
        <v>10000</v>
      </c>
      <c r="F8" s="306">
        <f>E8*70%</f>
        <v>7000</v>
      </c>
      <c r="G8" s="306">
        <f ca="1">KTVBVPhi20nam!AI5</f>
        <v>6571</v>
      </c>
      <c r="H8" s="306">
        <f ca="1">MAX('Tinh phi QL'!$E$13/1000*1.05,J8)+K8</f>
        <v>1050000</v>
      </c>
      <c r="I8" s="306"/>
      <c r="J8" s="306">
        <f ca="1">IF(VLOOKUP(B8,KBA20namcamket!$B$4:$M$243,10,0)&lt;=0,"Mất hiệu lực",VLOOKUP(B8,KBA20namcamket!$B$4:$M$243,10,0))</f>
        <v>8563.193298780383</v>
      </c>
      <c r="K8" s="306"/>
      <c r="L8" s="306">
        <f t="shared" ref="L8:L26" ca="1" si="0">J8</f>
        <v>8563.193298780383</v>
      </c>
      <c r="M8" s="306">
        <f ca="1">IF(L8-100%*E8&gt;0,L8-100%*E8,0)</f>
        <v>0</v>
      </c>
    </row>
    <row r="9" spans="2:16" s="307" customFormat="1" ht="12" customHeight="1">
      <c r="B9" s="304">
        <v>3</v>
      </c>
      <c r="C9" s="304">
        <f>IF(ROW(A3)&gt;'Tinh phi QL'!$D$13,"",ROW(A3))</f>
        <v>3</v>
      </c>
      <c r="D9" s="305">
        <f t="shared" ref="D9:D26" ca="1" si="1">D8+1</f>
        <v>32</v>
      </c>
      <c r="E9" s="306">
        <f>IF(IFERROR(--TRIM(C9),0)=0,0,'Tinh phi QL'!$H$13/1000)</f>
        <v>10000</v>
      </c>
      <c r="F9" s="306">
        <f>E9*80%</f>
        <v>8000</v>
      </c>
      <c r="G9" s="306">
        <f ca="1">KTVBVPhi20nam!AI6</f>
        <v>6571</v>
      </c>
      <c r="H9" s="306">
        <f ca="1">MAX('Tinh phi QL'!$E$13/1000*1.1,J9)+K9</f>
        <v>1100000</v>
      </c>
      <c r="I9" s="306"/>
      <c r="J9" s="306">
        <f ca="1">IF(VLOOKUP(B9,KBA20namcamket!$B$4:$M$243,10,0)&lt;=0,"Mất hiệu lực",VLOOKUP(B9,KBA20namcamket!$B$4:$M$243,10,0))</f>
        <v>14924.153925772907</v>
      </c>
      <c r="K9" s="306"/>
      <c r="L9" s="306">
        <f t="shared" ca="1" si="0"/>
        <v>14924.153925772907</v>
      </c>
      <c r="M9" s="306">
        <f ca="1">L9-45%*E9</f>
        <v>10424.153925772907</v>
      </c>
    </row>
    <row r="10" spans="2:16" s="307" customFormat="1" ht="12" customHeight="1">
      <c r="B10" s="304">
        <v>4</v>
      </c>
      <c r="C10" s="304">
        <f>IF(ROW(A4)&gt;'Tinh phi QL'!$D$13,"",ROW(A4))</f>
        <v>4</v>
      </c>
      <c r="D10" s="305">
        <f t="shared" ca="1" si="1"/>
        <v>33</v>
      </c>
      <c r="E10" s="306">
        <f>IF(IFERROR(--TRIM(C10),0)=0,0,'Tinh phi QL'!$H$13/1000)</f>
        <v>10000</v>
      </c>
      <c r="F10" s="306">
        <f>E10*80%</f>
        <v>8000</v>
      </c>
      <c r="G10" s="306">
        <f ca="1">KTVBVPhi20nam!AI7</f>
        <v>6571</v>
      </c>
      <c r="H10" s="306">
        <f ca="1">MAX('Tinh phi QL'!$E$13/1000*1.15,J10)+K10</f>
        <v>1150000</v>
      </c>
      <c r="I10" s="306"/>
      <c r="J10" s="306">
        <f ca="1">IF(VLOOKUP(B10,KBA20namcamket!$B$4:$M$243,10,0)&lt;=0,"Mất hiệu lực",VLOOKUP(B10,KBA20namcamket!$B$4:$M$243,10,0))</f>
        <v>21058.562034943792</v>
      </c>
      <c r="K10" s="306"/>
      <c r="L10" s="306">
        <f t="shared" ca="1" si="0"/>
        <v>21058.562034943792</v>
      </c>
      <c r="M10" s="306">
        <f ca="1">L10-30%*E10</f>
        <v>18058.562034943792</v>
      </c>
    </row>
    <row r="11" spans="2:16" s="328" customFormat="1" ht="12" customHeight="1">
      <c r="B11" s="312">
        <v>5</v>
      </c>
      <c r="C11" s="304">
        <f>IF(ROW(A5)&gt;'Tinh phi QL'!$D$13,"",ROW(A5))</f>
        <v>5</v>
      </c>
      <c r="D11" s="313">
        <f t="shared" ca="1" si="1"/>
        <v>34</v>
      </c>
      <c r="E11" s="306">
        <f>IF(IFERROR(--TRIM(C11),0)=0,0,'Tinh phi QL'!$H$13/1000)</f>
        <v>10000</v>
      </c>
      <c r="F11" s="311">
        <f>E11*80%</f>
        <v>8000</v>
      </c>
      <c r="G11" s="311">
        <f ca="1">KTVBVPhi20nam!AI8</f>
        <v>6571</v>
      </c>
      <c r="H11" s="311">
        <f ca="1">MAX('Tinh phi QL'!$E$13/1000*1.2,J11)+K11</f>
        <v>1200000</v>
      </c>
      <c r="I11" s="311">
        <f>VLOOKUP(B11,KBA20namcamket!$B$4:$I$243,8,0)</f>
        <v>300</v>
      </c>
      <c r="J11" s="311">
        <f ca="1">IF(VLOOKUP(B11,KBA20namcamket!$B$4:$M$243,10,0)&lt;=0,"Mất hiệu lực",VLOOKUP(B11,KBA20namcamket!$B$4:$M$243,10,0))</f>
        <v>27390.684160707406</v>
      </c>
      <c r="K11" s="311"/>
      <c r="L11" s="311">
        <f t="shared" ca="1" si="0"/>
        <v>27390.684160707406</v>
      </c>
      <c r="M11" s="311">
        <f ca="1">L11-20%*E11</f>
        <v>25390.684160707406</v>
      </c>
    </row>
    <row r="12" spans="2:16" s="307" customFormat="1" ht="12" customHeight="1">
      <c r="B12" s="304">
        <v>6</v>
      </c>
      <c r="C12" s="304">
        <f>IF(ROW(A6)&gt;'Tinh phi QL'!$D$13,"",ROW(A6))</f>
        <v>6</v>
      </c>
      <c r="D12" s="305">
        <f t="shared" ca="1" si="1"/>
        <v>35</v>
      </c>
      <c r="E12" s="306">
        <f>IF(IFERROR(--TRIM(C12),0)=0,0,'Tinh phi QL'!$H$13/1000)</f>
        <v>10000</v>
      </c>
      <c r="F12" s="306">
        <f>E12*98%</f>
        <v>9800</v>
      </c>
      <c r="G12" s="306">
        <f ca="1">KTVBVPhi20nam!AI9</f>
        <v>7495</v>
      </c>
      <c r="H12" s="306">
        <f ca="1">MAX('Tinh phi QL'!$E$13/1000*1.25,J12)+K12</f>
        <v>1250000</v>
      </c>
      <c r="I12" s="306">
        <f>VLOOKUP(B12,KBA20namcamket!$B$4:$I$243,8,0)</f>
        <v>300</v>
      </c>
      <c r="J12" s="306">
        <f ca="1">IF(VLOOKUP(B12,KBA20namcamket!$B$4:$M$243,10,0)&lt;=0,"Mất hiệu lực",VLOOKUP(B12,KBA20namcamket!$B$4:$M$243,10,0))</f>
        <v>35319.444093877682</v>
      </c>
      <c r="K12" s="306"/>
      <c r="L12" s="306">
        <f t="shared" ca="1" si="0"/>
        <v>35319.444093877682</v>
      </c>
      <c r="M12" s="306">
        <f ca="1">L12</f>
        <v>35319.444093877682</v>
      </c>
    </row>
    <row r="13" spans="2:16" s="307" customFormat="1" ht="12" customHeight="1">
      <c r="B13" s="304">
        <v>7</v>
      </c>
      <c r="C13" s="304">
        <f>IF(ROW(A7)&gt;'Tinh phi QL'!$D$13,"",ROW(A7))</f>
        <v>7</v>
      </c>
      <c r="D13" s="305">
        <f t="shared" ca="1" si="1"/>
        <v>36</v>
      </c>
      <c r="E13" s="306">
        <f>IF(IFERROR(--TRIM(C13),0)=0,0,'Tinh phi QL'!$H$13/1000)</f>
        <v>10000</v>
      </c>
      <c r="F13" s="306">
        <f t="shared" ref="F13:F16" si="2">E13*98%</f>
        <v>9800</v>
      </c>
      <c r="G13" s="306">
        <f ca="1">KTVBVPhi20nam!AI10</f>
        <v>7495</v>
      </c>
      <c r="H13" s="306">
        <f ca="1">MAX('Tinh phi QL'!$E$13/1000*1.3,J13)+K13</f>
        <v>1300000</v>
      </c>
      <c r="I13" s="306">
        <f>VLOOKUP(B13,KBA20namcamket!$B$4:$I$243,8,0)</f>
        <v>300</v>
      </c>
      <c r="J13" s="306">
        <f ca="1">IF(VLOOKUP(B13,KBA20namcamket!$B$4:$M$243,10,0)&lt;=0,"Mất hiệu lực",VLOOKUP(B13,KBA20namcamket!$B$4:$M$243,10,0))</f>
        <v>43141.49064393634</v>
      </c>
      <c r="K13" s="306"/>
      <c r="L13" s="306">
        <f t="shared" ca="1" si="0"/>
        <v>43141.49064393634</v>
      </c>
      <c r="M13" s="306">
        <f t="shared" ref="M13:M26" ca="1" si="3">L13</f>
        <v>43141.49064393634</v>
      </c>
    </row>
    <row r="14" spans="2:16" s="307" customFormat="1" ht="12" customHeight="1">
      <c r="B14" s="304">
        <v>8</v>
      </c>
      <c r="C14" s="304">
        <f>IF(ROW(A8)&gt;'Tinh phi QL'!$D$13,"",ROW(A8))</f>
        <v>8</v>
      </c>
      <c r="D14" s="305">
        <f t="shared" ca="1" si="1"/>
        <v>37</v>
      </c>
      <c r="E14" s="306">
        <f>IF(IFERROR(--TRIM(C14),0)=0,0,'Tinh phi QL'!$H$13/1000)</f>
        <v>10000</v>
      </c>
      <c r="F14" s="306">
        <f t="shared" si="2"/>
        <v>9800</v>
      </c>
      <c r="G14" s="306">
        <f ca="1">KTVBVPhi20nam!AI11</f>
        <v>7495</v>
      </c>
      <c r="H14" s="306">
        <f ca="1">MAX('Tinh phi QL'!$E$13/1000*1.35,J14)+K14</f>
        <v>1350000</v>
      </c>
      <c r="I14" s="306">
        <f>VLOOKUP(B14,KBA20namcamket!$B$4:$I$243,8,0)</f>
        <v>300</v>
      </c>
      <c r="J14" s="306">
        <f ca="1">IF(VLOOKUP(B14,KBA20namcamket!$B$4:$M$243,10,0)&lt;=0,"Mất hiệu lực",VLOOKUP(B14,KBA20namcamket!$B$4:$M$243,10,0))</f>
        <v>50823.850962158285</v>
      </c>
      <c r="K14" s="306"/>
      <c r="L14" s="306">
        <f t="shared" ca="1" si="0"/>
        <v>50823.850962158285</v>
      </c>
      <c r="M14" s="306">
        <f t="shared" ca="1" si="3"/>
        <v>50823.850962158285</v>
      </c>
    </row>
    <row r="15" spans="2:16" s="307" customFormat="1" ht="12" customHeight="1">
      <c r="B15" s="304">
        <v>9</v>
      </c>
      <c r="C15" s="304">
        <f>IF(ROW(A9)&gt;'Tinh phi QL'!$D$13,"",ROW(A9))</f>
        <v>9</v>
      </c>
      <c r="D15" s="305">
        <f t="shared" ca="1" si="1"/>
        <v>38</v>
      </c>
      <c r="E15" s="306">
        <f>IF(IFERROR(--TRIM(C15),0)=0,0,'Tinh phi QL'!$H$13/1000)</f>
        <v>10000</v>
      </c>
      <c r="F15" s="306">
        <f t="shared" si="2"/>
        <v>9800</v>
      </c>
      <c r="G15" s="306">
        <f ca="1">KTVBVPhi20nam!AI12</f>
        <v>7495</v>
      </c>
      <c r="H15" s="306">
        <f ca="1">MAX('Tinh phi QL'!$E$13/1000*1.4,J15)+K15</f>
        <v>1400000</v>
      </c>
      <c r="I15" s="306">
        <f>VLOOKUP(B15,KBA20namcamket!$B$4:$I$243,8,0)</f>
        <v>300</v>
      </c>
      <c r="J15" s="306">
        <f ca="1">IF(VLOOKUP(B15,KBA20namcamket!$B$4:$M$243,10,0)&lt;=0,"Mất hiệu lực",VLOOKUP(B15,KBA20namcamket!$B$4:$M$243,10,0))</f>
        <v>58270.601403891946</v>
      </c>
      <c r="K15" s="306"/>
      <c r="L15" s="306">
        <f t="shared" ca="1" si="0"/>
        <v>58270.601403891946</v>
      </c>
      <c r="M15" s="306">
        <f t="shared" ca="1" si="3"/>
        <v>58270.601403891946</v>
      </c>
    </row>
    <row r="16" spans="2:16" s="328" customFormat="1" ht="12" customHeight="1">
      <c r="B16" s="308">
        <v>10</v>
      </c>
      <c r="C16" s="312">
        <f>IF(ROW(A10)&gt;'Tinh phi QL'!$D$13,"",ROW(A10))</f>
        <v>10</v>
      </c>
      <c r="D16" s="309">
        <f t="shared" ca="1" si="1"/>
        <v>39</v>
      </c>
      <c r="E16" s="311">
        <f>IF(IFERROR(--TRIM(C16),0)=0,0,'Tinh phi QL'!$H$13/1000)</f>
        <v>10000</v>
      </c>
      <c r="F16" s="311">
        <f t="shared" si="2"/>
        <v>9800</v>
      </c>
      <c r="G16" s="311">
        <f ca="1">KTVBVPhi20nam!AI13</f>
        <v>7495</v>
      </c>
      <c r="H16" s="311">
        <f ca="1">MAX('Tinh phi QL'!$E$13/1000*1.45,J16)+K16</f>
        <v>1450000</v>
      </c>
      <c r="I16" s="311">
        <f>VLOOKUP(B16,KBA20namcamket!$B$4:$I$243,8,0)</f>
        <v>300</v>
      </c>
      <c r="J16" s="311">
        <f ca="1">IF(VLOOKUP(B16,KBA20namcamket!$B$4:$M$243,10,0)&lt;=0,"Mất hiệu lực",VLOOKUP(B16,KBA20namcamket!$B$4:$M$243,10,0))</f>
        <v>65430.624150168114</v>
      </c>
      <c r="K16" s="310"/>
      <c r="L16" s="311">
        <f t="shared" ca="1" si="0"/>
        <v>65430.624150168114</v>
      </c>
      <c r="M16" s="311">
        <f t="shared" ca="1" si="3"/>
        <v>65430.624150168114</v>
      </c>
    </row>
    <row r="17" spans="2:13" s="307" customFormat="1" ht="12" customHeight="1">
      <c r="B17" s="304">
        <v>11</v>
      </c>
      <c r="C17" s="304">
        <f>IF(ROW(A11)&gt;'Tinh phi QL'!$D$13,"",ROW(A11))</f>
        <v>11</v>
      </c>
      <c r="D17" s="305">
        <f t="shared" ca="1" si="1"/>
        <v>40</v>
      </c>
      <c r="E17" s="306">
        <f>IF(IFERROR(--TRIM(C17),0)=0,0,'Tinh phi QL'!$H$13/1000)</f>
        <v>10000</v>
      </c>
      <c r="F17" s="306">
        <f>E17*100%</f>
        <v>10000</v>
      </c>
      <c r="G17" s="306">
        <f ca="1">KTVBVPhi20nam!AI14</f>
        <v>8533</v>
      </c>
      <c r="H17" s="306">
        <f ca="1">MAX('Tinh phi QL'!$E$13/1000*1.5,J17)+K17</f>
        <v>1500000</v>
      </c>
      <c r="I17" s="306">
        <f>VLOOKUP(B17,KBA20namcamket!$B$4:$I$243,8,0)</f>
        <v>300</v>
      </c>
      <c r="J17" s="306">
        <f ca="1">IF(VLOOKUP(B17,KBA20namcamket!$B$4:$M$243,10,0)&lt;=0,"Mất hiệu lực",VLOOKUP(B17,KBA20namcamket!$B$4:$M$243,10,0))</f>
        <v>72147.561701864208</v>
      </c>
      <c r="K17" s="306"/>
      <c r="L17" s="306">
        <f t="shared" ca="1" si="0"/>
        <v>72147.561701864208</v>
      </c>
      <c r="M17" s="306">
        <f t="shared" ca="1" si="3"/>
        <v>72147.561701864208</v>
      </c>
    </row>
    <row r="18" spans="2:13" s="307" customFormat="1" ht="12" customHeight="1">
      <c r="B18" s="304">
        <v>12</v>
      </c>
      <c r="C18" s="304">
        <f>IF(ROW(A12)&gt;'Tinh phi QL'!$D$13,"",ROW(A12))</f>
        <v>12</v>
      </c>
      <c r="D18" s="305">
        <f t="shared" ca="1" si="1"/>
        <v>41</v>
      </c>
      <c r="E18" s="306">
        <f>IF(IFERROR(--TRIM(C18),0)=0,0,'Tinh phi QL'!$H$13/1000)</f>
        <v>10000</v>
      </c>
      <c r="F18" s="306">
        <f t="shared" ref="F18:F26" si="4">E18*100%</f>
        <v>10000</v>
      </c>
      <c r="G18" s="306">
        <f ca="1">KTVBVPhi20nam!AI15</f>
        <v>8533</v>
      </c>
      <c r="H18" s="306">
        <f ca="1">MAX('Tinh phi QL'!$E$13/1000*1.5,J18)+K18</f>
        <v>1500000</v>
      </c>
      <c r="I18" s="306">
        <f>VLOOKUP(B18,KBA20namcamket!$B$4:$I$243,8,0)</f>
        <v>300</v>
      </c>
      <c r="J18" s="519">
        <f ca="1">IF(VLOOKUP(B18,KBA20namcamket!$B$4:$M$243,10,0)&lt;=0,"Mất hiệu lực",VLOOKUP(B18,KBA20namcamket!$B$4:$M$243,10,0))</f>
        <v>78640.137628816097</v>
      </c>
      <c r="K18" s="519"/>
      <c r="L18" s="519">
        <f t="shared" ca="1" si="0"/>
        <v>78640.137628816097</v>
      </c>
      <c r="M18" s="519">
        <f t="shared" ca="1" si="3"/>
        <v>78640.137628816097</v>
      </c>
    </row>
    <row r="19" spans="2:13" s="307" customFormat="1" ht="12" customHeight="1">
      <c r="B19" s="304">
        <v>13</v>
      </c>
      <c r="C19" s="304">
        <f>IF(ROW(A13)&gt;'Tinh phi QL'!$D$13,"",ROW(A13))</f>
        <v>13</v>
      </c>
      <c r="D19" s="305">
        <f t="shared" ca="1" si="1"/>
        <v>42</v>
      </c>
      <c r="E19" s="306">
        <f>IF(IFERROR(--TRIM(C19),0)=0,0,'Tinh phi QL'!$H$13/1000)</f>
        <v>10000</v>
      </c>
      <c r="F19" s="306">
        <f t="shared" si="4"/>
        <v>10000</v>
      </c>
      <c r="G19" s="306">
        <f ca="1">KTVBVPhi20nam!AI16</f>
        <v>8533</v>
      </c>
      <c r="H19" s="306">
        <f ca="1">MAX('Tinh phi QL'!$E$13/1000*1.5,J19)+K19</f>
        <v>1500000</v>
      </c>
      <c r="I19" s="306">
        <f>VLOOKUP(B19,KBA20namcamket!$B$4:$I$243,8,0)</f>
        <v>300</v>
      </c>
      <c r="J19" s="519">
        <f ca="1">IF(VLOOKUP(B19,KBA20namcamket!$B$4:$M$243,10,0)&lt;=0,"Mất hiệu lực",VLOOKUP(B19,KBA20namcamket!$B$4:$M$243,10,0))</f>
        <v>84885.55086458796</v>
      </c>
      <c r="K19" s="519"/>
      <c r="L19" s="519">
        <f t="shared" ca="1" si="0"/>
        <v>84885.55086458796</v>
      </c>
      <c r="M19" s="519">
        <f t="shared" ca="1" si="3"/>
        <v>84885.55086458796</v>
      </c>
    </row>
    <row r="20" spans="2:13" s="307" customFormat="1" ht="12" customHeight="1">
      <c r="B20" s="304">
        <v>14</v>
      </c>
      <c r="C20" s="304">
        <f>IF(ROW(A14)&gt;'Tinh phi QL'!$D$13,"",ROW(A14))</f>
        <v>14</v>
      </c>
      <c r="D20" s="305">
        <f t="shared" ca="1" si="1"/>
        <v>43</v>
      </c>
      <c r="E20" s="306">
        <f>IF(IFERROR(--TRIM(C20),0)=0,0,'Tinh phi QL'!$H$13/1000)</f>
        <v>10000</v>
      </c>
      <c r="F20" s="306">
        <f t="shared" si="4"/>
        <v>10000</v>
      </c>
      <c r="G20" s="306">
        <f ca="1">KTVBVPhi20nam!AI17</f>
        <v>8533</v>
      </c>
      <c r="H20" s="306">
        <f ca="1">MAX('Tinh phi QL'!$E$13/1000*1.5,J20)+K20</f>
        <v>1500000</v>
      </c>
      <c r="I20" s="306">
        <f>VLOOKUP(B20,KBA20namcamket!$B$4:$I$243,8,0)</f>
        <v>300</v>
      </c>
      <c r="J20" s="519">
        <f ca="1">IF(VLOOKUP(B20,KBA20namcamket!$B$4:$M$243,10,0)&lt;=0,"Mất hiệu lực",VLOOKUP(B20,KBA20namcamket!$B$4:$M$243,10,0))</f>
        <v>90849.507648408777</v>
      </c>
      <c r="K20" s="519"/>
      <c r="L20" s="519">
        <f t="shared" ca="1" si="0"/>
        <v>90849.507648408777</v>
      </c>
      <c r="M20" s="519">
        <f t="shared" ca="1" si="3"/>
        <v>90849.507648408777</v>
      </c>
    </row>
    <row r="21" spans="2:13" s="328" customFormat="1" ht="12" customHeight="1">
      <c r="B21" s="312">
        <v>15</v>
      </c>
      <c r="C21" s="312">
        <f>IF(ROW(A15)&gt;'Tinh phi QL'!$D$13,"",ROW(A15))</f>
        <v>15</v>
      </c>
      <c r="D21" s="313">
        <f t="shared" ca="1" si="1"/>
        <v>44</v>
      </c>
      <c r="E21" s="311">
        <f>IF(IFERROR(--TRIM(C21),0)=0,0,'Tinh phi QL'!$H$13/1000)</f>
        <v>10000</v>
      </c>
      <c r="F21" s="311">
        <f t="shared" si="4"/>
        <v>10000</v>
      </c>
      <c r="G21" s="311">
        <f ca="1">KTVBVPhi20nam!AI18</f>
        <v>8533</v>
      </c>
      <c r="H21" s="311">
        <f ca="1">MAX('Tinh phi QL'!$E$13/1000*1.5,J21)+K21</f>
        <v>1500000</v>
      </c>
      <c r="I21" s="311">
        <f>VLOOKUP(B21,KBA20namcamket!$B$4:$I$243,8,0)</f>
        <v>300</v>
      </c>
      <c r="J21" s="520">
        <f ca="1">IF(VLOOKUP(B21,KBA20namcamket!$B$4:$M$243,10,0)&lt;=0,"Mất hiệu lực",VLOOKUP(B21,KBA20namcamket!$B$4:$M$243,10,0))</f>
        <v>96508.778926331695</v>
      </c>
      <c r="K21" s="520"/>
      <c r="L21" s="520">
        <f t="shared" ca="1" si="0"/>
        <v>96508.778926331695</v>
      </c>
      <c r="M21" s="520">
        <f t="shared" ca="1" si="3"/>
        <v>96508.778926331695</v>
      </c>
    </row>
    <row r="22" spans="2:13" s="307" customFormat="1" ht="12" customHeight="1">
      <c r="B22" s="304">
        <v>16</v>
      </c>
      <c r="C22" s="304">
        <f>IF(ROW(A16)&gt;'Tinh phi QL'!$D$13,"",ROW(A16))</f>
        <v>16</v>
      </c>
      <c r="D22" s="305">
        <f t="shared" ca="1" si="1"/>
        <v>45</v>
      </c>
      <c r="E22" s="306">
        <f>IF(IFERROR(--TRIM(C22),0)=0,0,'Tinh phi QL'!$H$13/1000)</f>
        <v>10000</v>
      </c>
      <c r="F22" s="306">
        <f t="shared" si="4"/>
        <v>10000</v>
      </c>
      <c r="G22" s="306">
        <f ca="1">KTVBVPhi20nam!AI19</f>
        <v>10469</v>
      </c>
      <c r="H22" s="306">
        <f ca="1">MAX('Tinh phi QL'!$E$13/1000*1.5,J22)+K22</f>
        <v>1500000</v>
      </c>
      <c r="I22" s="306">
        <f>VLOOKUP(B22,KBA20namcamket!$B$4:$I$243,8,0)</f>
        <v>300</v>
      </c>
      <c r="J22" s="519">
        <f ca="1">IF(VLOOKUP(B22,KBA20namcamket!$B$4:$M$243,10,0)&lt;=0,"Mất hiệu lực",VLOOKUP(B22,KBA20namcamket!$B$4:$M$243,10,0))</f>
        <v>101322.61655893427</v>
      </c>
      <c r="K22" s="519"/>
      <c r="L22" s="519">
        <f t="shared" ca="1" si="0"/>
        <v>101322.61655893427</v>
      </c>
      <c r="M22" s="519">
        <f t="shared" ca="1" si="3"/>
        <v>101322.61655893427</v>
      </c>
    </row>
    <row r="23" spans="2:13" s="307" customFormat="1" ht="12" customHeight="1">
      <c r="B23" s="304">
        <v>17</v>
      </c>
      <c r="C23" s="304">
        <f>IF(ROW(A17)&gt;'Tinh phi QL'!$D$13,"",ROW(A17))</f>
        <v>17</v>
      </c>
      <c r="D23" s="305">
        <f t="shared" ca="1" si="1"/>
        <v>46</v>
      </c>
      <c r="E23" s="306">
        <f>IF(IFERROR(--TRIM(C23),0)=0,0,'Tinh phi QL'!$H$13/1000)</f>
        <v>10000</v>
      </c>
      <c r="F23" s="306">
        <f t="shared" si="4"/>
        <v>10000</v>
      </c>
      <c r="G23" s="306">
        <f ca="1">KTVBVPhi20nam!AI20</f>
        <v>10469</v>
      </c>
      <c r="H23" s="306">
        <f ca="1">MAX('Tinh phi QL'!$E$13/1000*1.5,J23)+K23</f>
        <v>1500000</v>
      </c>
      <c r="I23" s="306">
        <f>VLOOKUP(B23,KBA20namcamket!$B$4:$I$243,8,0)</f>
        <v>300</v>
      </c>
      <c r="J23" s="519">
        <f ca="1">IF(VLOOKUP(B23,KBA20namcamket!$B$4:$M$243,10,0)&lt;=0,"Mất hiệu lực",VLOOKUP(B23,KBA20namcamket!$B$4:$M$243,10,0))</f>
        <v>105742.82515604857</v>
      </c>
      <c r="K23" s="519"/>
      <c r="L23" s="519">
        <f t="shared" ca="1" si="0"/>
        <v>105742.82515604857</v>
      </c>
      <c r="M23" s="519">
        <f t="shared" ca="1" si="3"/>
        <v>105742.82515604857</v>
      </c>
    </row>
    <row r="24" spans="2:13" s="307" customFormat="1" ht="12" customHeight="1">
      <c r="B24" s="304">
        <v>18</v>
      </c>
      <c r="C24" s="304">
        <f>IF(ROW(A18)&gt;'Tinh phi QL'!$D$13,"",ROW(A18))</f>
        <v>18</v>
      </c>
      <c r="D24" s="305">
        <f t="shared" ca="1" si="1"/>
        <v>47</v>
      </c>
      <c r="E24" s="306">
        <f>IF(IFERROR(--TRIM(C24),0)=0,0,'Tinh phi QL'!$H$13/1000)</f>
        <v>10000</v>
      </c>
      <c r="F24" s="306">
        <f t="shared" si="4"/>
        <v>10000</v>
      </c>
      <c r="G24" s="306">
        <f ca="1">KTVBVPhi20nam!AI21</f>
        <v>10469</v>
      </c>
      <c r="H24" s="306">
        <f ca="1">MAX('Tinh phi QL'!$E$13/1000*1.5,J24)+K24</f>
        <v>1500000</v>
      </c>
      <c r="I24" s="306">
        <f>VLOOKUP(B24,KBA20namcamket!$B$4:$I$243,8,0)</f>
        <v>300</v>
      </c>
      <c r="J24" s="519">
        <f ca="1">IF(VLOOKUP(B24,KBA20namcamket!$B$4:$M$243,10,0)&lt;=0,"Mất hiệu lực",VLOOKUP(B24,KBA20namcamket!$B$4:$M$243,10,0))</f>
        <v>109746.29541721228</v>
      </c>
      <c r="K24" s="519"/>
      <c r="L24" s="519">
        <f t="shared" ca="1" si="0"/>
        <v>109746.29541721228</v>
      </c>
      <c r="M24" s="519">
        <f t="shared" ca="1" si="3"/>
        <v>109746.29541721228</v>
      </c>
    </row>
    <row r="25" spans="2:13" s="307" customFormat="1" ht="12" customHeight="1">
      <c r="B25" s="304">
        <v>19</v>
      </c>
      <c r="C25" s="304">
        <f>IF(ROW(A19)&gt;'Tinh phi QL'!$D$13,"",ROW(A19))</f>
        <v>19</v>
      </c>
      <c r="D25" s="305">
        <f t="shared" ca="1" si="1"/>
        <v>48</v>
      </c>
      <c r="E25" s="306">
        <f>IF(IFERROR(--TRIM(C25),0)=0,0,'Tinh phi QL'!$H$13/1000)</f>
        <v>10000</v>
      </c>
      <c r="F25" s="306">
        <f t="shared" si="4"/>
        <v>10000</v>
      </c>
      <c r="G25" s="306">
        <f ca="1">KTVBVPhi20nam!AI22</f>
        <v>10469</v>
      </c>
      <c r="H25" s="306">
        <f ca="1">MAX('Tinh phi QL'!$E$13/1000*1.5,J25)+K25</f>
        <v>1500000</v>
      </c>
      <c r="I25" s="306">
        <f>VLOOKUP(B25,KBA20namcamket!$B$4:$I$243,8,0)</f>
        <v>300</v>
      </c>
      <c r="J25" s="519">
        <f ca="1">IF(VLOOKUP(B25,KBA20namcamket!$B$4:$M$243,10,0)&lt;=0,"Mất hiệu lực",VLOOKUP(B25,KBA20namcamket!$B$4:$M$243,10,0))</f>
        <v>113298.37497677418</v>
      </c>
      <c r="K25" s="519"/>
      <c r="L25" s="519">
        <f t="shared" ca="1" si="0"/>
        <v>113298.37497677418</v>
      </c>
      <c r="M25" s="519">
        <f t="shared" ca="1" si="3"/>
        <v>113298.37497677418</v>
      </c>
    </row>
    <row r="26" spans="2:13" s="328" customFormat="1" ht="12" customHeight="1">
      <c r="B26" s="312">
        <v>20</v>
      </c>
      <c r="C26" s="312">
        <f>IF(ROW(A20)&gt;'Tinh phi QL'!$D$13,"",ROW(A20))</f>
        <v>20</v>
      </c>
      <c r="D26" s="313">
        <f t="shared" ca="1" si="1"/>
        <v>49</v>
      </c>
      <c r="E26" s="311">
        <f>IF(IFERROR(--TRIM(C26),0)=0,0,'Tinh phi QL'!$H$13/1000)</f>
        <v>10000</v>
      </c>
      <c r="F26" s="311">
        <f t="shared" si="4"/>
        <v>10000</v>
      </c>
      <c r="G26" s="311">
        <f ca="1">KTVBVPhi20nam!AI23</f>
        <v>10469</v>
      </c>
      <c r="H26" s="311">
        <f ca="1">MAX('Tinh phi QL'!$E$13/1000*1.5,J26)+K26</f>
        <v>1500000</v>
      </c>
      <c r="I26" s="311">
        <f>VLOOKUP(B26,KBA20namcamket!$B$4:$I$243,8,0)</f>
        <v>300</v>
      </c>
      <c r="J26" s="520">
        <f ca="1">IF(VLOOKUP(B26,KBA20namcamket!$B$4:$M$243,10,0)&lt;=0,"Mất hiệu lực",VLOOKUP(B26,KBA20namcamket!$B$4:$M$243,10,0))</f>
        <v>116341.68169764412</v>
      </c>
      <c r="K26" s="520"/>
      <c r="L26" s="520">
        <f t="shared" ca="1" si="0"/>
        <v>116341.68169764412</v>
      </c>
      <c r="M26" s="520">
        <f t="shared" ca="1" si="3"/>
        <v>116341.68169764412</v>
      </c>
    </row>
  </sheetData>
  <sheetProtection selectLockedCells="1"/>
  <mergeCells count="12">
    <mergeCell ref="H5:M5"/>
    <mergeCell ref="H2:M3"/>
    <mergeCell ref="O2:P2"/>
    <mergeCell ref="O3:P3"/>
    <mergeCell ref="C5:C6"/>
    <mergeCell ref="D5:D6"/>
    <mergeCell ref="E5:E6"/>
    <mergeCell ref="F5:F6"/>
    <mergeCell ref="G5:G6"/>
    <mergeCell ref="B2:G3"/>
    <mergeCell ref="B4:L4"/>
    <mergeCell ref="B5:B6"/>
  </mergeCells>
  <conditionalFormatting sqref="B7:B25">
    <cfRule type="expression" dxfId="307" priority="8">
      <formula>MOD(ROW(),2)&gt;0</formula>
    </cfRule>
    <cfRule type="expression" dxfId="306" priority="9">
      <formula>"mod(row(),2).0"</formula>
    </cfRule>
  </conditionalFormatting>
  <conditionalFormatting sqref="C7:G26">
    <cfRule type="expression" dxfId="305" priority="1">
      <formula>MOD(ROW(),2)&gt;0</formula>
    </cfRule>
    <cfRule type="expression" dxfId="304" priority="2">
      <formula>"mod(row(),2).0"</formula>
    </cfRule>
  </conditionalFormatting>
  <conditionalFormatting sqref="H7:M26">
    <cfRule type="expression" dxfId="303" priority="12">
      <formula>MOD(ROW(),2)&gt;0</formula>
    </cfRule>
    <cfRule type="expression" dxfId="302" priority="13">
      <formula>"mod(row(),2).0"</formula>
    </cfRule>
  </conditionalFormatting>
  <conditionalFormatting sqref="J7:J26">
    <cfRule type="cellIs" dxfId="301" priority="10" operator="lessThan">
      <formula>0</formula>
    </cfRule>
  </conditionalFormatting>
  <conditionalFormatting sqref="J18:M26">
    <cfRule type="containsText" dxfId="300" priority="7" operator="containsText" text="mất">
      <formula>NOT(ISERROR(SEARCH("mất",J18)))</formula>
    </cfRule>
  </conditionalFormatting>
  <conditionalFormatting sqref="L1:M3 M4">
    <cfRule type="cellIs" dxfId="299" priority="14" operator="lessThan">
      <formula>0</formula>
    </cfRule>
  </conditionalFormatting>
  <conditionalFormatting sqref="L6:M1048576">
    <cfRule type="cellIs" dxfId="298" priority="11" operator="lessThan">
      <formula>0</formula>
    </cfRule>
  </conditionalFormatting>
  <conditionalFormatting sqref="O3:P3">
    <cfRule type="containsText" dxfId="297" priority="17" operator="containsText" text="Chỉ">
      <formula>NOT(ISERROR(SEARCH("Chỉ",O3)))</formula>
    </cfRule>
    <cfRule type="containsText" dxfId="296" priority="18" operator="containsText" text="Phải">
      <formula>NOT(ISERROR(SEARCH("Phải",O3)))</formula>
    </cfRule>
  </conditionalFormatting>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332F06-C04F-47EE-81EF-B26C070A1C9D}">
  <dimension ref="B1:P26"/>
  <sheetViews>
    <sheetView showGridLines="0" zoomScale="85" zoomScaleNormal="85" workbookViewId="0">
      <selection activeCell="O16" sqref="O16"/>
    </sheetView>
  </sheetViews>
  <sheetFormatPr defaultColWidth="8.19921875" defaultRowHeight="14.5"/>
  <cols>
    <col min="1" max="1" width="3.69921875" style="301" customWidth="1"/>
    <col min="2" max="2" width="5.5" style="301" customWidth="1"/>
    <col min="3" max="3" width="9" style="301" customWidth="1"/>
    <col min="4" max="4" width="6.5" style="301" customWidth="1"/>
    <col min="5" max="5" width="15.19921875" style="301" customWidth="1"/>
    <col min="6" max="6" width="19.296875" style="301" customWidth="1"/>
    <col min="7" max="7" width="19.796875" style="301" customWidth="1"/>
    <col min="8" max="8" width="23.19921875" style="301" customWidth="1"/>
    <col min="9" max="12" width="18.19921875" style="301" customWidth="1"/>
    <col min="13" max="13" width="17.69921875" style="301" customWidth="1"/>
    <col min="14" max="14" width="18.19921875" style="301" customWidth="1"/>
    <col min="15" max="15" width="8.19921875" style="301"/>
    <col min="16" max="16" width="12.796875" style="301" customWidth="1"/>
    <col min="17" max="16384" width="8.19921875" style="301"/>
  </cols>
  <sheetData>
    <row r="1" spans="2:16" ht="6" customHeight="1"/>
    <row r="2" spans="2:16" ht="9.75" customHeight="1">
      <c r="B2" s="927" t="s">
        <v>711</v>
      </c>
      <c r="C2" s="927"/>
      <c r="D2" s="927"/>
      <c r="E2" s="927"/>
      <c r="F2" s="909" t="s">
        <v>854</v>
      </c>
      <c r="G2" s="909"/>
      <c r="H2" s="909"/>
      <c r="I2" s="909"/>
      <c r="J2" s="909"/>
      <c r="K2" s="909"/>
      <c r="L2" s="909"/>
      <c r="M2" s="923">
        <v>4.5999999999999999E-2</v>
      </c>
      <c r="N2" s="302"/>
      <c r="O2" s="910"/>
      <c r="P2" s="910"/>
    </row>
    <row r="3" spans="2:16" ht="5.25" customHeight="1">
      <c r="B3" s="927"/>
      <c r="C3" s="927"/>
      <c r="D3" s="927"/>
      <c r="E3" s="927"/>
      <c r="F3" s="909"/>
      <c r="G3" s="909"/>
      <c r="H3" s="909"/>
      <c r="I3" s="909"/>
      <c r="J3" s="909"/>
      <c r="K3" s="909"/>
      <c r="L3" s="909"/>
      <c r="M3" s="923"/>
      <c r="N3" s="302"/>
      <c r="O3" s="910"/>
      <c r="P3" s="910"/>
    </row>
    <row r="4" spans="2:16" ht="11.25" customHeight="1">
      <c r="B4" s="919" t="s">
        <v>689</v>
      </c>
      <c r="C4" s="919"/>
      <c r="D4" s="919"/>
      <c r="E4" s="919"/>
      <c r="F4" s="919"/>
      <c r="G4" s="919"/>
      <c r="H4" s="919"/>
      <c r="I4" s="919"/>
      <c r="J4" s="919"/>
      <c r="K4" s="919"/>
      <c r="L4" s="919"/>
      <c r="M4" s="524" t="s">
        <v>712</v>
      </c>
    </row>
    <row r="5" spans="2:16" ht="18" customHeight="1">
      <c r="B5" s="925" t="s">
        <v>670</v>
      </c>
      <c r="C5" s="925" t="s">
        <v>842</v>
      </c>
      <c r="D5" s="925" t="s">
        <v>1</v>
      </c>
      <c r="E5" s="925" t="s">
        <v>692</v>
      </c>
      <c r="F5" s="925" t="s">
        <v>693</v>
      </c>
      <c r="G5" s="926" t="s">
        <v>694</v>
      </c>
      <c r="H5" s="924" t="s">
        <v>690</v>
      </c>
      <c r="I5" s="924"/>
      <c r="J5" s="924"/>
      <c r="K5" s="924"/>
      <c r="L5" s="924"/>
      <c r="M5" s="924"/>
    </row>
    <row r="6" spans="2:16" ht="24" customHeight="1">
      <c r="B6" s="925"/>
      <c r="C6" s="925"/>
      <c r="D6" s="925"/>
      <c r="E6" s="925"/>
      <c r="F6" s="925"/>
      <c r="G6" s="926"/>
      <c r="H6" s="317" t="s">
        <v>700</v>
      </c>
      <c r="I6" s="317" t="s">
        <v>696</v>
      </c>
      <c r="J6" s="317" t="s">
        <v>697</v>
      </c>
      <c r="K6" s="317" t="s">
        <v>698</v>
      </c>
      <c r="L6" s="317" t="s">
        <v>699</v>
      </c>
      <c r="M6" s="317" t="s">
        <v>701</v>
      </c>
    </row>
    <row r="7" spans="2:16" s="307" customFormat="1" ht="12" customHeight="1">
      <c r="B7" s="304">
        <v>1</v>
      </c>
      <c r="C7" s="304">
        <f>IF(ROW(A1)&gt;'Tinh phi QL'!$D$13,"",ROW(A1))</f>
        <v>1</v>
      </c>
      <c r="D7" s="305">
        <f ca="1">'Tinh phi QL'!I8</f>
        <v>30</v>
      </c>
      <c r="E7" s="306">
        <f>IF(IFERROR(--TRIM(C7),0)=0,0,'Tinh phi QL'!$H$13/1000)</f>
        <v>10000</v>
      </c>
      <c r="F7" s="306">
        <f>E7*50%</f>
        <v>5000</v>
      </c>
      <c r="G7" s="306">
        <f ca="1">KBAGTTKcamket!G7</f>
        <v>6571</v>
      </c>
      <c r="H7" s="306">
        <f ca="1">MAX('Tinh phi QL'!$E$13/1000,J7)+K7</f>
        <v>1000000</v>
      </c>
      <c r="I7" s="306"/>
      <c r="J7" s="519">
        <f ca="1">IF(VLOOKUP(B7,KBA20namMH!$B$4:$M$243,10,0)&lt;=0,"Mất hiệu lực",VLOOKUP(B7,KBA20namMH!$B$4:$M$243,10,0))</f>
        <v>3309.5585040901838</v>
      </c>
      <c r="K7" s="519"/>
      <c r="L7" s="519">
        <f ca="1">J7</f>
        <v>3309.5585040901838</v>
      </c>
      <c r="M7" s="519">
        <f ca="1">IF(L7-100%*E7&gt;0,L7-100%*E7,0)</f>
        <v>0</v>
      </c>
    </row>
    <row r="8" spans="2:16" s="307" customFormat="1" ht="12" customHeight="1">
      <c r="B8" s="304">
        <v>2</v>
      </c>
      <c r="C8" s="304">
        <f>IF(ROW(A2)&gt;'Tinh phi QL'!$D$13,"",ROW(A2))</f>
        <v>2</v>
      </c>
      <c r="D8" s="305">
        <f ca="1">D7+1</f>
        <v>31</v>
      </c>
      <c r="E8" s="306">
        <f>IF(IFERROR(--TRIM(C8),0)=0,0,'Tinh phi QL'!$H$13/1000)</f>
        <v>10000</v>
      </c>
      <c r="F8" s="306">
        <f>E8*70%</f>
        <v>7000</v>
      </c>
      <c r="G8" s="306">
        <f ca="1">KBAGTTKcamket!G8</f>
        <v>6571</v>
      </c>
      <c r="H8" s="306">
        <f ca="1">MAX('Tinh phi QL'!$E$13/1000*1.05,J8)+K8</f>
        <v>1050000</v>
      </c>
      <c r="I8" s="306"/>
      <c r="J8" s="519">
        <f ca="1">IF(VLOOKUP(B8,KBA20namMH!$B$4:$M$243,10,0)&lt;=0,"Mất hiệu lực",VLOOKUP(B8,KBA20namMH!$B$4:$M$243,10,0))</f>
        <v>8756.6853993346813</v>
      </c>
      <c r="K8" s="519"/>
      <c r="L8" s="519">
        <f t="shared" ref="L8:L26" ca="1" si="0">J8</f>
        <v>8756.6853993346813</v>
      </c>
      <c r="M8" s="519">
        <f ca="1">IF(L8-100%*E8&gt;0,L8-100%*E8,0)</f>
        <v>0</v>
      </c>
    </row>
    <row r="9" spans="2:16" s="307" customFormat="1" ht="12" customHeight="1">
      <c r="B9" s="304">
        <v>3</v>
      </c>
      <c r="C9" s="304">
        <f>IF(ROW(A3)&gt;'Tinh phi QL'!$D$13,"",ROW(A3))</f>
        <v>3</v>
      </c>
      <c r="D9" s="305">
        <f t="shared" ref="D9:D26" ca="1" si="1">D8+1</f>
        <v>32</v>
      </c>
      <c r="E9" s="306">
        <f>IF(IFERROR(--TRIM(C9),0)=0,0,'Tinh phi QL'!$H$13/1000)</f>
        <v>10000</v>
      </c>
      <c r="F9" s="306">
        <f>E9*80%</f>
        <v>8000</v>
      </c>
      <c r="G9" s="306">
        <f ca="1">KBAGTTKcamket!G9</f>
        <v>6571</v>
      </c>
      <c r="H9" s="306">
        <f ca="1">MAX('Tinh phi QL'!$E$13/1000*1.1,J9)+K9</f>
        <v>1100000</v>
      </c>
      <c r="I9" s="306"/>
      <c r="J9" s="519">
        <f ca="1">IF(VLOOKUP(B9,KBA20namMH!$B$4:$M$243,10,0)&lt;=0,"Mất hiệu lực",VLOOKUP(B9,KBA20namMH!$B$4:$M$243,10,0))</f>
        <v>15374.0267946655</v>
      </c>
      <c r="K9" s="519"/>
      <c r="L9" s="519">
        <f t="shared" ca="1" si="0"/>
        <v>15374.0267946655</v>
      </c>
      <c r="M9" s="519">
        <f ca="1">L9-45%*E9</f>
        <v>10874.0267946655</v>
      </c>
    </row>
    <row r="10" spans="2:16" s="307" customFormat="1" ht="12" customHeight="1">
      <c r="B10" s="304">
        <v>4</v>
      </c>
      <c r="C10" s="304">
        <f>IF(ROW(A4)&gt;'Tinh phi QL'!$D$13,"",ROW(A4))</f>
        <v>4</v>
      </c>
      <c r="D10" s="305">
        <f t="shared" ca="1" si="1"/>
        <v>33</v>
      </c>
      <c r="E10" s="306">
        <f>IF(IFERROR(--TRIM(C10),0)=0,0,'Tinh phi QL'!$H$13/1000)</f>
        <v>10000</v>
      </c>
      <c r="F10" s="306">
        <f t="shared" ref="F10:F11" si="2">E10*80%</f>
        <v>8000</v>
      </c>
      <c r="G10" s="306">
        <f ca="1">KBAGTTKcamket!G10</f>
        <v>6571</v>
      </c>
      <c r="H10" s="306">
        <f ca="1">MAX('Tinh phi QL'!$E$13/1000*1.15,J10)+K10</f>
        <v>1150000</v>
      </c>
      <c r="I10" s="306"/>
      <c r="J10" s="519">
        <f ca="1">IF(VLOOKUP(B10,KBA20namMH!$B$4:$M$243,10,0)&lt;=0,"Mất hiệu lực",VLOOKUP(B10,KBA20namMH!$B$4:$M$243,10,0))</f>
        <v>22094.63519360873</v>
      </c>
      <c r="K10" s="519"/>
      <c r="L10" s="519">
        <f t="shared" ca="1" si="0"/>
        <v>22094.63519360873</v>
      </c>
      <c r="M10" s="519">
        <f ca="1">L10-30%*E10</f>
        <v>19094.63519360873</v>
      </c>
    </row>
    <row r="11" spans="2:16" s="328" customFormat="1" ht="12" customHeight="1">
      <c r="B11" s="312">
        <v>5</v>
      </c>
      <c r="C11" s="304">
        <f>IF(ROW(A5)&gt;'Tinh phi QL'!$D$13,"",ROW(A5))</f>
        <v>5</v>
      </c>
      <c r="D11" s="313">
        <f t="shared" ca="1" si="1"/>
        <v>34</v>
      </c>
      <c r="E11" s="306">
        <f>IF(IFERROR(--TRIM(C11),0)=0,0,'Tinh phi QL'!$H$13/1000)</f>
        <v>10000</v>
      </c>
      <c r="F11" s="311">
        <f t="shared" si="2"/>
        <v>8000</v>
      </c>
      <c r="G11" s="306">
        <f ca="1">KBAGTTKcamket!G11</f>
        <v>6571</v>
      </c>
      <c r="H11" s="311">
        <f ca="1">MAX('Tinh phi QL'!$E$13/1000*1.2,J11)+K11</f>
        <v>1200000</v>
      </c>
      <c r="I11" s="311">
        <f>VLOOKUP(B11,KBA20namMH!$B$4:$I$243,8,0)</f>
        <v>300</v>
      </c>
      <c r="J11" s="520">
        <f ca="1">IF(VLOOKUP(B11,KBA20namMH!$B$4:$M$243,10,0)&lt;=0,"Mất hiệu lực",VLOOKUP(B11,KBA20namMH!$B$4:$M$243,10,0))</f>
        <v>29197.111385214012</v>
      </c>
      <c r="K11" s="520"/>
      <c r="L11" s="520">
        <f t="shared" ca="1" si="0"/>
        <v>29197.111385214012</v>
      </c>
      <c r="M11" s="520">
        <f ca="1">L11-20%*E11</f>
        <v>27197.111385214012</v>
      </c>
    </row>
    <row r="12" spans="2:16" s="307" customFormat="1" ht="12" customHeight="1">
      <c r="B12" s="304">
        <v>6</v>
      </c>
      <c r="C12" s="304">
        <f>IF(ROW(A6)&gt;'Tinh phi QL'!$D$13,"",ROW(A6))</f>
        <v>6</v>
      </c>
      <c r="D12" s="305">
        <f t="shared" ca="1" si="1"/>
        <v>35</v>
      </c>
      <c r="E12" s="306">
        <f>IF(IFERROR(--TRIM(C12),0)=0,0,'Tinh phi QL'!$H$13/1000)</f>
        <v>10000</v>
      </c>
      <c r="F12" s="306">
        <f>E12*98%</f>
        <v>9800</v>
      </c>
      <c r="G12" s="306">
        <f ca="1">KBAGTTKcamket!G12</f>
        <v>7495</v>
      </c>
      <c r="H12" s="306">
        <f ca="1">MAX('Tinh phi QL'!$E$13/1000*1.25,J12)+K12</f>
        <v>1250000</v>
      </c>
      <c r="I12" s="306">
        <f>VLOOKUP(B12,KBA20namMH!$B$4:$I$243,8,0)</f>
        <v>300</v>
      </c>
      <c r="J12" s="519">
        <f ca="1">IF(VLOOKUP(B12,KBA20namMH!$B$4:$M$243,10,0)&lt;=0,"Mất hiệu lực",VLOOKUP(B12,KBA20namMH!$B$4:$M$243,10,0))</f>
        <v>38321.025084131237</v>
      </c>
      <c r="K12" s="519"/>
      <c r="L12" s="519">
        <f t="shared" ca="1" si="0"/>
        <v>38321.025084131237</v>
      </c>
      <c r="M12" s="519">
        <f ca="1">L12</f>
        <v>38321.025084131237</v>
      </c>
    </row>
    <row r="13" spans="2:16" s="307" customFormat="1" ht="12" customHeight="1">
      <c r="B13" s="304">
        <v>7</v>
      </c>
      <c r="C13" s="304">
        <f>IF(ROW(A7)&gt;'Tinh phi QL'!$D$13,"",ROW(A7))</f>
        <v>7</v>
      </c>
      <c r="D13" s="305">
        <f t="shared" ca="1" si="1"/>
        <v>36</v>
      </c>
      <c r="E13" s="306">
        <f>IF(IFERROR(--TRIM(C13),0)=0,0,'Tinh phi QL'!$H$13/1000)</f>
        <v>10000</v>
      </c>
      <c r="F13" s="306">
        <f t="shared" ref="F13:F16" si="3">E13*98%</f>
        <v>9800</v>
      </c>
      <c r="G13" s="306">
        <f ca="1">KBAGTTKcamket!G13</f>
        <v>7495</v>
      </c>
      <c r="H13" s="306">
        <f ca="1">MAX('Tinh phi QL'!$E$13/1000*1.3,J13)+K13</f>
        <v>1300000</v>
      </c>
      <c r="I13" s="306">
        <f>VLOOKUP(B13,KBA20namMH!$B$4:$I$243,8,0)</f>
        <v>300</v>
      </c>
      <c r="J13" s="519">
        <f ca="1">IF(VLOOKUP(B13,KBA20namMH!$B$4:$M$243,10,0)&lt;=0,"Mất hiệu lực",VLOOKUP(B13,KBA20namMH!$B$4:$M$243,10,0))</f>
        <v>47638.090590096042</v>
      </c>
      <c r="K13" s="519"/>
      <c r="L13" s="519">
        <f t="shared" ca="1" si="0"/>
        <v>47638.090590096042</v>
      </c>
      <c r="M13" s="519">
        <f t="shared" ref="M13:M26" ca="1" si="4">L13</f>
        <v>47638.090590096042</v>
      </c>
    </row>
    <row r="14" spans="2:16" s="307" customFormat="1" ht="12" customHeight="1">
      <c r="B14" s="304">
        <v>8</v>
      </c>
      <c r="C14" s="304">
        <f>IF(ROW(A8)&gt;'Tinh phi QL'!$D$13,"",ROW(A8))</f>
        <v>8</v>
      </c>
      <c r="D14" s="305">
        <f t="shared" ca="1" si="1"/>
        <v>37</v>
      </c>
      <c r="E14" s="306">
        <f>IF(IFERROR(--TRIM(C14),0)=0,0,'Tinh phi QL'!$H$13/1000)</f>
        <v>10000</v>
      </c>
      <c r="F14" s="306">
        <f t="shared" si="3"/>
        <v>9800</v>
      </c>
      <c r="G14" s="306">
        <f ca="1">KBAGTTKcamket!G14</f>
        <v>7495</v>
      </c>
      <c r="H14" s="306">
        <f ca="1">MAX('Tinh phi QL'!$E$13/1000*1.35,J14)+K14</f>
        <v>1350000</v>
      </c>
      <c r="I14" s="306">
        <f>VLOOKUP(B14,KBA20namMH!$B$4:$I$243,8,0)</f>
        <v>300</v>
      </c>
      <c r="J14" s="519">
        <f ca="1">IF(VLOOKUP(B14,KBA20namMH!$B$4:$M$243,10,0)&lt;=0,"Mất hiệu lực",VLOOKUP(B14,KBA20namMH!$B$4:$M$243,10,0))</f>
        <v>57126.335059917219</v>
      </c>
      <c r="K14" s="519"/>
      <c r="L14" s="519">
        <f t="shared" ca="1" si="0"/>
        <v>57126.335059917219</v>
      </c>
      <c r="M14" s="519">
        <f t="shared" ca="1" si="4"/>
        <v>57126.335059917219</v>
      </c>
    </row>
    <row r="15" spans="2:16" s="307" customFormat="1" ht="12" customHeight="1">
      <c r="B15" s="304">
        <v>9</v>
      </c>
      <c r="C15" s="304">
        <f>IF(ROW(A9)&gt;'Tinh phi QL'!$D$13,"",ROW(A9))</f>
        <v>9</v>
      </c>
      <c r="D15" s="305">
        <f t="shared" ca="1" si="1"/>
        <v>38</v>
      </c>
      <c r="E15" s="306">
        <f>IF(IFERROR(--TRIM(C15),0)=0,0,'Tinh phi QL'!$H$13/1000)</f>
        <v>10000</v>
      </c>
      <c r="F15" s="306">
        <f t="shared" si="3"/>
        <v>9800</v>
      </c>
      <c r="G15" s="306">
        <f ca="1">KBAGTTKcamket!G15</f>
        <v>7495</v>
      </c>
      <c r="H15" s="306">
        <f ca="1">MAX('Tinh phi QL'!$E$13/1000*1.4,J15)+K15</f>
        <v>1400000</v>
      </c>
      <c r="I15" s="306">
        <f>VLOOKUP(B15,KBA20namMH!$B$4:$I$243,8,0)</f>
        <v>300</v>
      </c>
      <c r="J15" s="519">
        <f ca="1">IF(VLOOKUP(B15,KBA20namMH!$B$4:$M$243,10,0)&lt;=0,"Mất hiệu lực",VLOOKUP(B15,KBA20namMH!$B$4:$M$243,10,0))</f>
        <v>66699.982233514587</v>
      </c>
      <c r="K15" s="519"/>
      <c r="L15" s="519">
        <f t="shared" ca="1" si="0"/>
        <v>66699.982233514587</v>
      </c>
      <c r="M15" s="519">
        <f t="shared" ca="1" si="4"/>
        <v>66699.982233514587</v>
      </c>
    </row>
    <row r="16" spans="2:16" s="328" customFormat="1" ht="12" customHeight="1">
      <c r="B16" s="308">
        <v>10</v>
      </c>
      <c r="C16" s="312">
        <f>IF(ROW(A10)&gt;'Tinh phi QL'!$D$13,"",ROW(A10))</f>
        <v>10</v>
      </c>
      <c r="D16" s="309">
        <f t="shared" ca="1" si="1"/>
        <v>39</v>
      </c>
      <c r="E16" s="311">
        <f>IF(IFERROR(--TRIM(C16),0)=0,0,'Tinh phi QL'!$H$13/1000)</f>
        <v>10000</v>
      </c>
      <c r="F16" s="311">
        <f t="shared" si="3"/>
        <v>9800</v>
      </c>
      <c r="G16" s="311">
        <f ca="1">KBAGTTKcamket!G16</f>
        <v>7495</v>
      </c>
      <c r="H16" s="311">
        <f ca="1">MAX('Tinh phi QL'!$E$13/1000*1.45,J16)+K16</f>
        <v>1450000</v>
      </c>
      <c r="I16" s="311">
        <f>VLOOKUP(B16,KBA20namMH!$B$4:$I$243,8,0)</f>
        <v>300</v>
      </c>
      <c r="J16" s="520">
        <f ca="1">IF(VLOOKUP(B16,KBA20namMH!$B$4:$M$243,10,0)&lt;=0,"Mất hiệu lực",VLOOKUP(B16,KBA20namMH!$B$4:$M$243,10,0))</f>
        <v>76315.273322140041</v>
      </c>
      <c r="K16" s="529"/>
      <c r="L16" s="520">
        <f t="shared" ca="1" si="0"/>
        <v>76315.273322140041</v>
      </c>
      <c r="M16" s="520">
        <f t="shared" ca="1" si="4"/>
        <v>76315.273322140041</v>
      </c>
    </row>
    <row r="17" spans="2:13" s="307" customFormat="1" ht="12" customHeight="1">
      <c r="B17" s="304">
        <v>11</v>
      </c>
      <c r="C17" s="304">
        <f>IF(ROW(A11)&gt;'Tinh phi QL'!$D$13,"",ROW(A11))</f>
        <v>11</v>
      </c>
      <c r="D17" s="305">
        <f t="shared" ca="1" si="1"/>
        <v>40</v>
      </c>
      <c r="E17" s="306">
        <f>IF(IFERROR(--TRIM(C17),0)=0,0,'Tinh phi QL'!$H$13/1000)</f>
        <v>10000</v>
      </c>
      <c r="F17" s="306">
        <f>E17*100%</f>
        <v>10000</v>
      </c>
      <c r="G17" s="306">
        <f ca="1">KBAGTTKcamket!G17</f>
        <v>8533</v>
      </c>
      <c r="H17" s="306">
        <f ca="1">MAX('Tinh phi QL'!$E$13/1000*1.5,J17)+K17</f>
        <v>1500000</v>
      </c>
      <c r="I17" s="306">
        <f>VLOOKUP(B17,KBA20namMH!$B$4:$I$243,8,0)</f>
        <v>300</v>
      </c>
      <c r="J17" s="519">
        <f ca="1">IF(VLOOKUP(B17,KBA20namMH!$B$4:$M$243,10,0)&lt;=0,"Mất hiệu lực",VLOOKUP(B17,KBA20namMH!$B$4:$M$243,10,0))</f>
        <v>86196.831259256389</v>
      </c>
      <c r="K17" s="519"/>
      <c r="L17" s="519">
        <f t="shared" ca="1" si="0"/>
        <v>86196.831259256389</v>
      </c>
      <c r="M17" s="519">
        <f t="shared" ca="1" si="4"/>
        <v>86196.831259256389</v>
      </c>
    </row>
    <row r="18" spans="2:13" s="307" customFormat="1" ht="12" customHeight="1">
      <c r="B18" s="304">
        <v>12</v>
      </c>
      <c r="C18" s="304">
        <f>IF(ROW(A12)&gt;'Tinh phi QL'!$D$13,"",ROW(A12))</f>
        <v>12</v>
      </c>
      <c r="D18" s="305">
        <f t="shared" ca="1" si="1"/>
        <v>41</v>
      </c>
      <c r="E18" s="306">
        <f>IF(IFERROR(--TRIM(C18),0)=0,0,'Tinh phi QL'!$H$13/1000)</f>
        <v>10000</v>
      </c>
      <c r="F18" s="306">
        <f t="shared" ref="F18:F26" si="5">E18*100%</f>
        <v>10000</v>
      </c>
      <c r="G18" s="306">
        <f ca="1">KBAGTTKcamket!G18</f>
        <v>8533</v>
      </c>
      <c r="H18" s="306">
        <f ca="1">MAX('Tinh phi QL'!$E$13/1000*1.5,J18)+K18</f>
        <v>1500000</v>
      </c>
      <c r="I18" s="306">
        <f>VLOOKUP(B18,KBA20namMH!$B$4:$I$243,8,0)</f>
        <v>300</v>
      </c>
      <c r="J18" s="519">
        <f ca="1">IF(VLOOKUP(B18,KBA20namMH!$B$4:$M$243,10,0)&lt;=0,"Mất hiệu lực",VLOOKUP(B18,KBA20namMH!$B$4:$M$243,10,0))</f>
        <v>96247.906215466035</v>
      </c>
      <c r="K18" s="519"/>
      <c r="L18" s="519">
        <f t="shared" ca="1" si="0"/>
        <v>96247.906215466035</v>
      </c>
      <c r="M18" s="519">
        <f t="shared" ca="1" si="4"/>
        <v>96247.906215466035</v>
      </c>
    </row>
    <row r="19" spans="2:13" s="307" customFormat="1" ht="12" customHeight="1">
      <c r="B19" s="304">
        <v>13</v>
      </c>
      <c r="C19" s="304">
        <f>IF(ROW(A13)&gt;'Tinh phi QL'!$D$13,"",ROW(A13))</f>
        <v>13</v>
      </c>
      <c r="D19" s="305">
        <f t="shared" ca="1" si="1"/>
        <v>42</v>
      </c>
      <c r="E19" s="306">
        <f>IF(IFERROR(--TRIM(C19),0)=0,0,'Tinh phi QL'!$H$13/1000)</f>
        <v>10000</v>
      </c>
      <c r="F19" s="306">
        <f t="shared" si="5"/>
        <v>10000</v>
      </c>
      <c r="G19" s="306">
        <f ca="1">KBAGTTKcamket!G19</f>
        <v>8533</v>
      </c>
      <c r="H19" s="306">
        <f ca="1">MAX('Tinh phi QL'!$E$13/1000*1.5,J19)+K19</f>
        <v>1500000</v>
      </c>
      <c r="I19" s="306">
        <f>VLOOKUP(B19,KBA20namMH!$B$4:$I$243,8,0)</f>
        <v>300</v>
      </c>
      <c r="J19" s="519">
        <f ca="1">IF(VLOOKUP(B19,KBA20namMH!$B$4:$M$243,10,0)&lt;=0,"Mất hiệu lực",VLOOKUP(B19,KBA20namMH!$B$4:$M$243,10,0))</f>
        <v>106458.35068988416</v>
      </c>
      <c r="K19" s="519"/>
      <c r="L19" s="519">
        <f t="shared" ca="1" si="0"/>
        <v>106458.35068988416</v>
      </c>
      <c r="M19" s="519">
        <f t="shared" ca="1" si="4"/>
        <v>106458.35068988416</v>
      </c>
    </row>
    <row r="20" spans="2:13" s="307" customFormat="1" ht="12" customHeight="1">
      <c r="B20" s="304">
        <v>14</v>
      </c>
      <c r="C20" s="304">
        <f>IF(ROW(A14)&gt;'Tinh phi QL'!$D$13,"",ROW(A14))</f>
        <v>14</v>
      </c>
      <c r="D20" s="305">
        <f t="shared" ca="1" si="1"/>
        <v>43</v>
      </c>
      <c r="E20" s="306">
        <f>IF(IFERROR(--TRIM(C20),0)=0,0,'Tinh phi QL'!$H$13/1000)</f>
        <v>10000</v>
      </c>
      <c r="F20" s="306">
        <f t="shared" si="5"/>
        <v>10000</v>
      </c>
      <c r="G20" s="306">
        <f ca="1">KBAGTTKcamket!G20</f>
        <v>8533</v>
      </c>
      <c r="H20" s="306">
        <f ca="1">MAX('Tinh phi QL'!$E$13/1000*1.5,J20)+K20</f>
        <v>1500000</v>
      </c>
      <c r="I20" s="306">
        <f>VLOOKUP(B20,KBA20namMH!$B$4:$I$243,8,0)</f>
        <v>300</v>
      </c>
      <c r="J20" s="519">
        <f ca="1">IF(VLOOKUP(B20,KBA20namMH!$B$4:$M$243,10,0)&lt;=0,"Mất hiệu lực",VLOOKUP(B20,KBA20namMH!$B$4:$M$243,10,0))</f>
        <v>116806.77377206816</v>
      </c>
      <c r="K20" s="519"/>
      <c r="L20" s="519">
        <f t="shared" ca="1" si="0"/>
        <v>116806.77377206816</v>
      </c>
      <c r="M20" s="519">
        <f t="shared" ca="1" si="4"/>
        <v>116806.77377206816</v>
      </c>
    </row>
    <row r="21" spans="2:13" s="328" customFormat="1" ht="12" customHeight="1">
      <c r="B21" s="312">
        <v>15</v>
      </c>
      <c r="C21" s="312">
        <f>IF(ROW(A15)&gt;'Tinh phi QL'!$D$13,"",ROW(A15))</f>
        <v>15</v>
      </c>
      <c r="D21" s="313">
        <f t="shared" ca="1" si="1"/>
        <v>44</v>
      </c>
      <c r="E21" s="311">
        <f>IF(IFERROR(--TRIM(C21),0)=0,0,'Tinh phi QL'!$H$13/1000)</f>
        <v>10000</v>
      </c>
      <c r="F21" s="311">
        <f t="shared" si="5"/>
        <v>10000</v>
      </c>
      <c r="G21" s="311">
        <f ca="1">KBAGTTKcamket!G21</f>
        <v>8533</v>
      </c>
      <c r="H21" s="311">
        <f ca="1">MAX('Tinh phi QL'!$E$13/1000*1.5,J21)+K21</f>
        <v>1500000</v>
      </c>
      <c r="I21" s="311">
        <f>VLOOKUP(B21,KBA20namMH!$B$4:$I$243,8,0)</f>
        <v>300</v>
      </c>
      <c r="J21" s="520">
        <f ca="1">IF(VLOOKUP(B21,KBA20namMH!$B$4:$M$243,10,0)&lt;=0,"Mất hiệu lực",VLOOKUP(B21,KBA20namMH!$B$4:$M$243,10,0))</f>
        <v>127282.87420914335</v>
      </c>
      <c r="K21" s="520"/>
      <c r="L21" s="520">
        <f t="shared" ca="1" si="0"/>
        <v>127282.87420914335</v>
      </c>
      <c r="M21" s="520">
        <f t="shared" ca="1" si="4"/>
        <v>127282.87420914335</v>
      </c>
    </row>
    <row r="22" spans="2:13" s="307" customFormat="1" ht="12" customHeight="1">
      <c r="B22" s="304">
        <v>16</v>
      </c>
      <c r="C22" s="304">
        <f>IF(ROW(A16)&gt;'Tinh phi QL'!$D$13,"",ROW(A16))</f>
        <v>16</v>
      </c>
      <c r="D22" s="305">
        <f t="shared" ca="1" si="1"/>
        <v>45</v>
      </c>
      <c r="E22" s="306">
        <f>IF(IFERROR(--TRIM(C22),0)=0,0,'Tinh phi QL'!$H$13/1000)</f>
        <v>10000</v>
      </c>
      <c r="F22" s="306">
        <f t="shared" si="5"/>
        <v>10000</v>
      </c>
      <c r="G22" s="306">
        <f ca="1">KBAGTTKcamket!G22</f>
        <v>10469</v>
      </c>
      <c r="H22" s="306">
        <f ca="1">MAX('Tinh phi QL'!$E$13/1000*1.5,J22)+K22</f>
        <v>1500000</v>
      </c>
      <c r="I22" s="306">
        <f>VLOOKUP(B22,KBA20namMH!$B$4:$I$243,8,0)</f>
        <v>300</v>
      </c>
      <c r="J22" s="519">
        <f ca="1">IF(VLOOKUP(B22,KBA20namMH!$B$4:$M$243,10,0)&lt;=0,"Mất hiệu lực",VLOOKUP(B22,KBA20namMH!$B$4:$M$243,10,0))</f>
        <v>137876.4604744596</v>
      </c>
      <c r="K22" s="519"/>
      <c r="L22" s="519">
        <f t="shared" ca="1" si="0"/>
        <v>137876.4604744596</v>
      </c>
      <c r="M22" s="519">
        <f t="shared" ca="1" si="4"/>
        <v>137876.4604744596</v>
      </c>
    </row>
    <row r="23" spans="2:13" s="307" customFormat="1" ht="12" customHeight="1">
      <c r="B23" s="304">
        <v>17</v>
      </c>
      <c r="C23" s="304">
        <f>IF(ROW(A17)&gt;'Tinh phi QL'!$D$13,"",ROW(A17))</f>
        <v>17</v>
      </c>
      <c r="D23" s="305">
        <f t="shared" ca="1" si="1"/>
        <v>46</v>
      </c>
      <c r="E23" s="306">
        <f>IF(IFERROR(--TRIM(C23),0)=0,0,'Tinh phi QL'!$H$13/1000)</f>
        <v>10000</v>
      </c>
      <c r="F23" s="306">
        <f t="shared" si="5"/>
        <v>10000</v>
      </c>
      <c r="G23" s="306">
        <f ca="1">KBAGTTKcamket!G23</f>
        <v>10469</v>
      </c>
      <c r="H23" s="306">
        <f ca="1">MAX('Tinh phi QL'!$E$13/1000*1.5,J23)+K23</f>
        <v>1500000</v>
      </c>
      <c r="I23" s="306">
        <f>VLOOKUP(B23,KBA20namMH!$B$4:$I$243,8,0)</f>
        <v>300</v>
      </c>
      <c r="J23" s="519">
        <f ca="1">IF(VLOOKUP(B23,KBA20namMH!$B$4:$M$243,10,0)&lt;=0,"Mất hiệu lực",VLOOKUP(B23,KBA20namMH!$B$4:$M$243,10,0))</f>
        <v>148566.35244853562</v>
      </c>
      <c r="K23" s="519"/>
      <c r="L23" s="519">
        <f t="shared" ca="1" si="0"/>
        <v>148566.35244853562</v>
      </c>
      <c r="M23" s="519">
        <f t="shared" ca="1" si="4"/>
        <v>148566.35244853562</v>
      </c>
    </row>
    <row r="24" spans="2:13" s="307" customFormat="1" ht="12" customHeight="1">
      <c r="B24" s="304">
        <v>18</v>
      </c>
      <c r="C24" s="304">
        <f>IF(ROW(A18)&gt;'Tinh phi QL'!$D$13,"",ROW(A18))</f>
        <v>18</v>
      </c>
      <c r="D24" s="305">
        <f t="shared" ca="1" si="1"/>
        <v>47</v>
      </c>
      <c r="E24" s="306">
        <f>IF(IFERROR(--TRIM(C24),0)=0,0,'Tinh phi QL'!$H$13/1000)</f>
        <v>10000</v>
      </c>
      <c r="F24" s="306">
        <f t="shared" si="5"/>
        <v>10000</v>
      </c>
      <c r="G24" s="306">
        <f ca="1">KBAGTTKcamket!G24</f>
        <v>10469</v>
      </c>
      <c r="H24" s="306">
        <f ca="1">MAX('Tinh phi QL'!$E$13/1000*1.5,J24)+K24</f>
        <v>1500000</v>
      </c>
      <c r="I24" s="306">
        <f>VLOOKUP(B24,KBA20namMH!$B$4:$I$243,8,0)</f>
        <v>300</v>
      </c>
      <c r="J24" s="519">
        <f ca="1">IF(VLOOKUP(B24,KBA20namMH!$B$4:$M$243,10,0)&lt;=0,"Mất hiệu lực",VLOOKUP(B24,KBA20namMH!$B$4:$M$243,10,0))</f>
        <v>159342.20531930175</v>
      </c>
      <c r="K24" s="519"/>
      <c r="L24" s="519">
        <f t="shared" ca="1" si="0"/>
        <v>159342.20531930175</v>
      </c>
      <c r="M24" s="519">
        <f t="shared" ca="1" si="4"/>
        <v>159342.20531930175</v>
      </c>
    </row>
    <row r="25" spans="2:13" s="307" customFormat="1" ht="12" customHeight="1">
      <c r="B25" s="304">
        <v>19</v>
      </c>
      <c r="C25" s="304">
        <f>IF(ROW(A19)&gt;'Tinh phi QL'!$D$13,"",ROW(A19))</f>
        <v>19</v>
      </c>
      <c r="D25" s="305">
        <f t="shared" ca="1" si="1"/>
        <v>48</v>
      </c>
      <c r="E25" s="306">
        <f>IF(IFERROR(--TRIM(C25),0)=0,0,'Tinh phi QL'!$H$13/1000)</f>
        <v>10000</v>
      </c>
      <c r="F25" s="306">
        <f t="shared" si="5"/>
        <v>10000</v>
      </c>
      <c r="G25" s="306">
        <f ca="1">KBAGTTKcamket!G25</f>
        <v>10469</v>
      </c>
      <c r="H25" s="306">
        <f ca="1">MAX('Tinh phi QL'!$E$13/1000*1.5,J25)+K25</f>
        <v>1500000</v>
      </c>
      <c r="I25" s="306">
        <f>VLOOKUP(B25,KBA20namMH!$B$4:$I$243,8,0)</f>
        <v>300</v>
      </c>
      <c r="J25" s="519">
        <f ca="1">IF(VLOOKUP(B25,KBA20namMH!$B$4:$M$243,10,0)&lt;=0,"Mất hiệu lực",VLOOKUP(B25,KBA20namMH!$B$4:$M$243,10,0))</f>
        <v>170182.83744926125</v>
      </c>
      <c r="K25" s="519"/>
      <c r="L25" s="519">
        <f t="shared" ca="1" si="0"/>
        <v>170182.83744926125</v>
      </c>
      <c r="M25" s="519">
        <f t="shared" ca="1" si="4"/>
        <v>170182.83744926125</v>
      </c>
    </row>
    <row r="26" spans="2:13" s="328" customFormat="1" ht="12" customHeight="1">
      <c r="B26" s="312">
        <v>20</v>
      </c>
      <c r="C26" s="312">
        <f>IF(ROW(A20)&gt;'Tinh phi QL'!$D$13,"",ROW(A20))</f>
        <v>20</v>
      </c>
      <c r="D26" s="313">
        <f t="shared" ca="1" si="1"/>
        <v>49</v>
      </c>
      <c r="E26" s="311">
        <f>IF(IFERROR(--TRIM(C26),0)=0,0,'Tinh phi QL'!$H$13/1000)</f>
        <v>10000</v>
      </c>
      <c r="F26" s="311">
        <f t="shared" si="5"/>
        <v>10000</v>
      </c>
      <c r="G26" s="311">
        <f ca="1">KBAGTTKcamket!G26</f>
        <v>10469</v>
      </c>
      <c r="H26" s="311">
        <f ca="1">MAX('Tinh phi QL'!$E$13/1000*1.5,J26)+K26</f>
        <v>1500000</v>
      </c>
      <c r="I26" s="311">
        <f>VLOOKUP(B26,KBA20namMH!$B$4:$I$243,8,0)</f>
        <v>300</v>
      </c>
      <c r="J26" s="520">
        <f ca="1">IF(VLOOKUP(B26,KBA20namMH!$B$4:$M$243,10,0)&lt;=0,"Mất hiệu lực",VLOOKUP(B26,KBA20namMH!$B$4:$M$243,10,0))</f>
        <v>181045.17337995843</v>
      </c>
      <c r="K26" s="520"/>
      <c r="L26" s="520">
        <f t="shared" ca="1" si="0"/>
        <v>181045.17337995843</v>
      </c>
      <c r="M26" s="520">
        <f t="shared" ca="1" si="4"/>
        <v>181045.17337995843</v>
      </c>
    </row>
  </sheetData>
  <sheetProtection selectLockedCells="1"/>
  <mergeCells count="13">
    <mergeCell ref="O2:P2"/>
    <mergeCell ref="O3:P3"/>
    <mergeCell ref="B2:E3"/>
    <mergeCell ref="B4:L4"/>
    <mergeCell ref="B5:B6"/>
    <mergeCell ref="C5:C6"/>
    <mergeCell ref="D5:D6"/>
    <mergeCell ref="E5:E6"/>
    <mergeCell ref="F5:F6"/>
    <mergeCell ref="G5:G6"/>
    <mergeCell ref="H5:M5"/>
    <mergeCell ref="F2:L3"/>
    <mergeCell ref="M2:M3"/>
  </mergeCells>
  <conditionalFormatting sqref="B7:H26">
    <cfRule type="expression" dxfId="295" priority="1">
      <formula>MOD(ROW(),2)&gt;0</formula>
    </cfRule>
    <cfRule type="expression" dxfId="294" priority="2">
      <formula>"mod(row(),2).0"</formula>
    </cfRule>
  </conditionalFormatting>
  <conditionalFormatting sqref="I7:M26">
    <cfRule type="expression" dxfId="293" priority="13">
      <formula>MOD(ROW(),2)&gt;0</formula>
    </cfRule>
    <cfRule type="expression" dxfId="292" priority="14">
      <formula>"mod(row(),2).0"</formula>
    </cfRule>
  </conditionalFormatting>
  <conditionalFormatting sqref="J7:J26">
    <cfRule type="cellIs" dxfId="291" priority="11" operator="lessThan">
      <formula>0</formula>
    </cfRule>
  </conditionalFormatting>
  <conditionalFormatting sqref="J7:M26">
    <cfRule type="containsText" dxfId="290" priority="7" operator="containsText" text="mất">
      <formula>NOT(ISERROR(SEARCH("mất",J7)))</formula>
    </cfRule>
  </conditionalFormatting>
  <conditionalFormatting sqref="L1:M1 M4">
    <cfRule type="cellIs" dxfId="289" priority="15" operator="lessThan">
      <formula>0</formula>
    </cfRule>
  </conditionalFormatting>
  <conditionalFormatting sqref="L6:M1048576">
    <cfRule type="cellIs" dxfId="288" priority="12" operator="lessThan">
      <formula>0</formula>
    </cfRule>
  </conditionalFormatting>
  <conditionalFormatting sqref="M2">
    <cfRule type="cellIs" dxfId="287" priority="10" operator="lessThan">
      <formula>0</formula>
    </cfRule>
  </conditionalFormatting>
  <conditionalFormatting sqref="O3:P3">
    <cfRule type="containsText" dxfId="286" priority="18" operator="containsText" text="Chỉ">
      <formula>NOT(ISERROR(SEARCH("Chỉ",O3)))</formula>
    </cfRule>
    <cfRule type="containsText" dxfId="285" priority="19" operator="containsText" text="Phải">
      <formula>NOT(ISERROR(SEARCH("Phải",O3)))</formula>
    </cfRule>
  </conditionalFormatting>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72633-8C20-4B95-A627-7375107C7F65}">
  <dimension ref="B1:P26"/>
  <sheetViews>
    <sheetView showGridLines="0" workbookViewId="0"/>
  </sheetViews>
  <sheetFormatPr defaultColWidth="8.19921875" defaultRowHeight="14.5"/>
  <cols>
    <col min="1" max="1" width="3.69921875" style="301" customWidth="1"/>
    <col min="2" max="2" width="6" style="301" customWidth="1"/>
    <col min="3" max="3" width="9" style="301" customWidth="1"/>
    <col min="4" max="4" width="6" style="301" customWidth="1"/>
    <col min="5" max="5" width="15.19921875" style="301" customWidth="1"/>
    <col min="6" max="6" width="19.296875" style="301" customWidth="1"/>
    <col min="7" max="7" width="19.796875" style="301" customWidth="1"/>
    <col min="8" max="8" width="23.19921875" style="301" customWidth="1"/>
    <col min="9" max="12" width="18.19921875" style="301" customWidth="1"/>
    <col min="13" max="13" width="17.69921875" style="301" customWidth="1"/>
    <col min="14" max="14" width="18.19921875" style="301" customWidth="1"/>
    <col min="15" max="15" width="8.19921875" style="301"/>
    <col min="16" max="16" width="12.796875" style="301" customWidth="1"/>
    <col min="17" max="16384" width="8.19921875" style="301"/>
  </cols>
  <sheetData>
    <row r="1" spans="2:16" ht="6" customHeight="1"/>
    <row r="2" spans="2:16" ht="9.75" customHeight="1">
      <c r="B2" s="935" t="s">
        <v>807</v>
      </c>
      <c r="C2" s="935"/>
      <c r="D2" s="935"/>
      <c r="E2" s="935"/>
      <c r="F2" s="935"/>
      <c r="G2" s="936"/>
      <c r="H2" s="909" t="s">
        <v>695</v>
      </c>
      <c r="I2" s="909"/>
      <c r="J2" s="909"/>
      <c r="K2" s="909"/>
      <c r="L2" s="909"/>
      <c r="M2" s="909"/>
      <c r="N2" s="302"/>
      <c r="O2" s="910"/>
      <c r="P2" s="910"/>
    </row>
    <row r="3" spans="2:16" ht="5.25" customHeight="1">
      <c r="B3" s="935"/>
      <c r="C3" s="935"/>
      <c r="D3" s="935"/>
      <c r="E3" s="935"/>
      <c r="F3" s="935"/>
      <c r="G3" s="936"/>
      <c r="H3" s="909"/>
      <c r="I3" s="909"/>
      <c r="J3" s="909"/>
      <c r="K3" s="909"/>
      <c r="L3" s="909"/>
      <c r="M3" s="909"/>
      <c r="N3" s="302"/>
      <c r="O3" s="910"/>
      <c r="P3" s="910"/>
    </row>
    <row r="4" spans="2:16" ht="11.25" customHeight="1">
      <c r="B4" s="917" t="s">
        <v>689</v>
      </c>
      <c r="C4" s="917"/>
      <c r="D4" s="917"/>
      <c r="E4" s="917"/>
      <c r="F4" s="917"/>
      <c r="G4" s="917"/>
      <c r="H4" s="917"/>
      <c r="I4" s="917"/>
      <c r="J4" s="917"/>
      <c r="K4" s="917"/>
      <c r="L4" s="917"/>
      <c r="M4" s="303" t="s">
        <v>712</v>
      </c>
    </row>
    <row r="5" spans="2:16" ht="14.25" customHeight="1">
      <c r="B5" s="931" t="s">
        <v>670</v>
      </c>
      <c r="C5" s="931" t="s">
        <v>842</v>
      </c>
      <c r="D5" s="931" t="s">
        <v>1</v>
      </c>
      <c r="E5" s="931" t="s">
        <v>692</v>
      </c>
      <c r="F5" s="931" t="s">
        <v>693</v>
      </c>
      <c r="G5" s="933" t="s">
        <v>694</v>
      </c>
      <c r="H5" s="928" t="s">
        <v>690</v>
      </c>
      <c r="I5" s="929"/>
      <c r="J5" s="929"/>
      <c r="K5" s="929"/>
      <c r="L5" s="929"/>
      <c r="M5" s="930"/>
    </row>
    <row r="6" spans="2:16" ht="24" customHeight="1">
      <c r="B6" s="932"/>
      <c r="C6" s="932"/>
      <c r="D6" s="932"/>
      <c r="E6" s="932"/>
      <c r="F6" s="932"/>
      <c r="G6" s="934"/>
      <c r="H6" s="317" t="s">
        <v>700</v>
      </c>
      <c r="I6" s="317" t="s">
        <v>696</v>
      </c>
      <c r="J6" s="317" t="s">
        <v>697</v>
      </c>
      <c r="K6" s="317" t="s">
        <v>698</v>
      </c>
      <c r="L6" s="317" t="s">
        <v>699</v>
      </c>
      <c r="M6" s="317" t="s">
        <v>701</v>
      </c>
    </row>
    <row r="7" spans="2:16" s="307" customFormat="1" ht="12" customHeight="1">
      <c r="B7" s="304">
        <v>1</v>
      </c>
      <c r="C7" s="304">
        <f>IF(ROW(A1)&gt;'Tinh phi QL'!$D$12,"",ROW(A1))</f>
        <v>1</v>
      </c>
      <c r="D7" s="305">
        <f ca="1">'Tinh phi QL'!I8</f>
        <v>30</v>
      </c>
      <c r="E7" s="306">
        <f ca="1">IF(IFERROR(--TRIM(C7),0)=0,0,'Tinh phi QL'!$H$12/1000)</f>
        <v>0</v>
      </c>
      <c r="F7" s="306">
        <f ca="1">E7*70%</f>
        <v>0</v>
      </c>
      <c r="G7" s="306">
        <f ca="1">VTLGTTKcamket!G7</f>
        <v>6571</v>
      </c>
      <c r="H7" s="306">
        <f ca="1">MAX('Tinh phi QL'!$E$12/1000,J7)</f>
        <v>0</v>
      </c>
      <c r="I7" s="306"/>
      <c r="J7" s="306" t="str">
        <f ca="1">IF(VLOOKUP(B7,KTVBV20namcamket!$B$4:$M$243,10,0)&lt;=0,"Mất hiệu lực",VLOOKUP(B7,KTVBV20namcamket!$B$4:$M$243,10,0))</f>
        <v>Mất hiệu lực</v>
      </c>
      <c r="K7" s="306"/>
      <c r="L7" s="306" t="str">
        <f ca="1">J7</f>
        <v>Mất hiệu lực</v>
      </c>
      <c r="M7" s="306" t="e">
        <f ca="1">IF(L7-100%*E7&gt;0,L7-100%*E7,0)</f>
        <v>#VALUE!</v>
      </c>
    </row>
    <row r="8" spans="2:16" s="307" customFormat="1" ht="12" customHeight="1">
      <c r="B8" s="304">
        <v>2</v>
      </c>
      <c r="C8" s="304">
        <f>IF(ROW(A2)&gt;'Tinh phi QL'!$D$12,"",ROW(A2))</f>
        <v>2</v>
      </c>
      <c r="D8" s="305">
        <f ca="1">D7+1</f>
        <v>31</v>
      </c>
      <c r="E8" s="306">
        <f ca="1">IF(IFERROR(--TRIM(C8),0)=0,0,'Tinh phi QL'!$H$12/1000)</f>
        <v>0</v>
      </c>
      <c r="F8" s="306">
        <f ca="1">E8*82%</f>
        <v>0</v>
      </c>
      <c r="G8" s="306">
        <f ca="1">VTLGTTKcamket!G8</f>
        <v>6571</v>
      </c>
      <c r="H8" s="306">
        <f ca="1">MAX('Tinh phi QL'!$E$12/1000,J8)</f>
        <v>0</v>
      </c>
      <c r="I8" s="306"/>
      <c r="J8" s="306" t="str">
        <f ca="1">IF(VLOOKUP(B8,KTVBV20namcamket!$B$4:$M$243,10,0)&lt;=0,"Mất hiệu lực",VLOOKUP(B8,KTVBV20namcamket!$B$4:$M$243,10,0))</f>
        <v>Mất hiệu lực</v>
      </c>
      <c r="K8" s="306"/>
      <c r="L8" s="306" t="str">
        <f t="shared" ref="L8:L26" ca="1" si="0">J8</f>
        <v>Mất hiệu lực</v>
      </c>
      <c r="M8" s="306" t="e">
        <f ca="1">IF(L8-100%*E8&gt;0,L8-100%*E8,0)</f>
        <v>#VALUE!</v>
      </c>
    </row>
    <row r="9" spans="2:16" s="307" customFormat="1" ht="12" customHeight="1">
      <c r="B9" s="304">
        <v>3</v>
      </c>
      <c r="C9" s="304">
        <f>IF(ROW(A3)&gt;'Tinh phi QL'!$D$12,"",ROW(A3))</f>
        <v>3</v>
      </c>
      <c r="D9" s="305">
        <f t="shared" ref="D9:D26" ca="1" si="1">D8+1</f>
        <v>32</v>
      </c>
      <c r="E9" s="306">
        <f ca="1">IF(IFERROR(--TRIM(C9),0)=0,0,'Tinh phi QL'!$H$12/1000)</f>
        <v>0</v>
      </c>
      <c r="F9" s="306">
        <f ca="1">E9*88%</f>
        <v>0</v>
      </c>
      <c r="G9" s="306">
        <f ca="1">VTLGTTKcamket!G9</f>
        <v>6571</v>
      </c>
      <c r="H9" s="306">
        <f ca="1">MAX('Tinh phi QL'!$E$12/1000,J9)</f>
        <v>0</v>
      </c>
      <c r="I9" s="306"/>
      <c r="J9" s="306" t="str">
        <f ca="1">IF(VLOOKUP(B9,KTVBV20namcamket!$B$4:$M$243,10,0)&lt;=0,"Mất hiệu lực",VLOOKUP(B9,KTVBV20namcamket!$B$4:$M$243,10,0))</f>
        <v>Mất hiệu lực</v>
      </c>
      <c r="K9" s="306"/>
      <c r="L9" s="306" t="str">
        <f t="shared" ca="1" si="0"/>
        <v>Mất hiệu lực</v>
      </c>
      <c r="M9" s="306" t="e">
        <f ca="1">L9-40%*E9</f>
        <v>#VALUE!</v>
      </c>
    </row>
    <row r="10" spans="2:16" s="307" customFormat="1" ht="12" customHeight="1">
      <c r="B10" s="304">
        <v>4</v>
      </c>
      <c r="C10" s="304">
        <f>IF(ROW(A4)&gt;'Tinh phi QL'!$D$12,"",ROW(A4))</f>
        <v>4</v>
      </c>
      <c r="D10" s="305">
        <f t="shared" ca="1" si="1"/>
        <v>33</v>
      </c>
      <c r="E10" s="306">
        <f ca="1">IF(IFERROR(--TRIM(C10),0)=0,0,'Tinh phi QL'!$H$12/1000)</f>
        <v>0</v>
      </c>
      <c r="F10" s="306">
        <f ca="1">E10*88%</f>
        <v>0</v>
      </c>
      <c r="G10" s="306">
        <f ca="1">VTLGTTKcamket!G10</f>
        <v>6571</v>
      </c>
      <c r="H10" s="306">
        <f ca="1">MAX('Tinh phi QL'!$E$12/1000,J10)</f>
        <v>0</v>
      </c>
      <c r="I10" s="306"/>
      <c r="J10" s="306" t="str">
        <f ca="1">IF(VLOOKUP(B10,KTVBV20namcamket!$B$4:$M$243,10,0)&lt;=0,"Mất hiệu lực",VLOOKUP(B10,KTVBV20namcamket!$B$4:$M$243,10,0))</f>
        <v>Mất hiệu lực</v>
      </c>
      <c r="K10" s="306"/>
      <c r="L10" s="306" t="str">
        <f t="shared" ca="1" si="0"/>
        <v>Mất hiệu lực</v>
      </c>
      <c r="M10" s="306" t="e">
        <f ca="1">L10-25%*E10</f>
        <v>#VALUE!</v>
      </c>
    </row>
    <row r="11" spans="2:16" s="328" customFormat="1" ht="12" customHeight="1">
      <c r="B11" s="312">
        <v>5</v>
      </c>
      <c r="C11" s="304">
        <f>IF(ROW(A5)&gt;'Tinh phi QL'!$D$12,"",ROW(A5))</f>
        <v>5</v>
      </c>
      <c r="D11" s="313">
        <f t="shared" ca="1" si="1"/>
        <v>34</v>
      </c>
      <c r="E11" s="306">
        <f ca="1">IF(IFERROR(--TRIM(C11),0)=0,0,'Tinh phi QL'!$H$12/1000)</f>
        <v>0</v>
      </c>
      <c r="F11" s="311">
        <f ca="1">E11*88%</f>
        <v>0</v>
      </c>
      <c r="G11" s="306">
        <f ca="1">VTLGTTKcamket!G11</f>
        <v>6571</v>
      </c>
      <c r="H11" s="311">
        <f ca="1">MAX('Tinh phi QL'!$E$12/1000,J11)</f>
        <v>0</v>
      </c>
      <c r="I11" s="311"/>
      <c r="J11" s="311" t="str">
        <f ca="1">IF(VLOOKUP(B11,KTVBV20namcamket!$B$4:$M$243,10,0)&lt;=0,"Mất hiệu lực",VLOOKUP(B11,KTVBV20namcamket!$B$4:$M$243,10,0))</f>
        <v>Mất hiệu lực</v>
      </c>
      <c r="K11" s="311"/>
      <c r="L11" s="311" t="str">
        <f t="shared" ca="1" si="0"/>
        <v>Mất hiệu lực</v>
      </c>
      <c r="M11" s="311" t="e">
        <f ca="1">L11-10%*E11</f>
        <v>#VALUE!</v>
      </c>
    </row>
    <row r="12" spans="2:16" s="307" customFormat="1" ht="12" customHeight="1">
      <c r="B12" s="304">
        <v>6</v>
      </c>
      <c r="C12" s="304">
        <f>IF(ROW(A6)&gt;'Tinh phi QL'!$D$12,"",ROW(A6))</f>
        <v>6</v>
      </c>
      <c r="D12" s="305">
        <f t="shared" ca="1" si="1"/>
        <v>35</v>
      </c>
      <c r="E12" s="306">
        <f ca="1">IF(IFERROR(--TRIM(C12),0)=0,0,'Tinh phi QL'!$H$12/1000)</f>
        <v>0</v>
      </c>
      <c r="F12" s="306">
        <f ca="1">E12*98.8%</f>
        <v>0</v>
      </c>
      <c r="G12" s="306">
        <f ca="1">VTLGTTKcamket!G12</f>
        <v>7495</v>
      </c>
      <c r="H12" s="306">
        <f ca="1">MAX('Tinh phi QL'!$E$12/1000,J12)</f>
        <v>0</v>
      </c>
      <c r="I12" s="306"/>
      <c r="J12" s="306" t="str">
        <f ca="1">IF(VLOOKUP(B12,KTVBV20namcamket!$B$4:$M$243,10,0)&lt;=0,"Mất hiệu lực",VLOOKUP(B12,KTVBV20namcamket!$B$4:$M$243,10,0))</f>
        <v>Mất hiệu lực</v>
      </c>
      <c r="K12" s="306"/>
      <c r="L12" s="306" t="str">
        <f t="shared" ca="1" si="0"/>
        <v>Mất hiệu lực</v>
      </c>
      <c r="M12" s="306" t="str">
        <f ca="1">L12</f>
        <v>Mất hiệu lực</v>
      </c>
    </row>
    <row r="13" spans="2:16" s="307" customFormat="1" ht="12" customHeight="1">
      <c r="B13" s="304">
        <v>7</v>
      </c>
      <c r="C13" s="304">
        <f>IF(ROW(A7)&gt;'Tinh phi QL'!$D$12,"",ROW(A7))</f>
        <v>7</v>
      </c>
      <c r="D13" s="305">
        <f t="shared" ca="1" si="1"/>
        <v>36</v>
      </c>
      <c r="E13" s="306">
        <f ca="1">IF(IFERROR(--TRIM(C13),0)=0,0,'Tinh phi QL'!$H$12/1000)</f>
        <v>0</v>
      </c>
      <c r="F13" s="306">
        <f ca="1">E13*98.8%</f>
        <v>0</v>
      </c>
      <c r="G13" s="306">
        <f ca="1">VTLGTTKcamket!G13</f>
        <v>7495</v>
      </c>
      <c r="H13" s="306">
        <f ca="1">MAX('Tinh phi QL'!$E$12/1000,J13)</f>
        <v>0</v>
      </c>
      <c r="I13" s="306"/>
      <c r="J13" s="306" t="str">
        <f ca="1">IF(VLOOKUP(B13,KTVBV20namcamket!$B$4:$M$243,10,0)&lt;=0,"Mất hiệu lực",VLOOKUP(B13,KTVBV20namcamket!$B$4:$M$243,10,0))</f>
        <v>Mất hiệu lực</v>
      </c>
      <c r="K13" s="306"/>
      <c r="L13" s="306" t="str">
        <f t="shared" ca="1" si="0"/>
        <v>Mất hiệu lực</v>
      </c>
      <c r="M13" s="306" t="str">
        <f t="shared" ref="M13:M26" ca="1" si="2">L13</f>
        <v>Mất hiệu lực</v>
      </c>
    </row>
    <row r="14" spans="2:16" s="307" customFormat="1" ht="12" customHeight="1">
      <c r="B14" s="304">
        <v>8</v>
      </c>
      <c r="C14" s="304">
        <f>IF(ROW(A8)&gt;'Tinh phi QL'!$D$12,"",ROW(A8))</f>
        <v>8</v>
      </c>
      <c r="D14" s="305">
        <f t="shared" ca="1" si="1"/>
        <v>37</v>
      </c>
      <c r="E14" s="306">
        <f ca="1">IF(IFERROR(--TRIM(C14),0)=0,0,'Tinh phi QL'!$H$12/1000)</f>
        <v>0</v>
      </c>
      <c r="F14" s="306">
        <f ca="1">E14*98.8%</f>
        <v>0</v>
      </c>
      <c r="G14" s="306">
        <f ca="1">VTLGTTKcamket!G14</f>
        <v>7495</v>
      </c>
      <c r="H14" s="306">
        <f ca="1">MAX('Tinh phi QL'!$E$12/1000,J14)</f>
        <v>0</v>
      </c>
      <c r="I14" s="306"/>
      <c r="J14" s="306" t="str">
        <f ca="1">IF(VLOOKUP(B14,KTVBV20namcamket!$B$4:$M$243,10,0)&lt;=0,"Mất hiệu lực",VLOOKUP(B14,KTVBV20namcamket!$B$4:$M$243,10,0))</f>
        <v>Mất hiệu lực</v>
      </c>
      <c r="K14" s="306"/>
      <c r="L14" s="306" t="str">
        <f t="shared" ca="1" si="0"/>
        <v>Mất hiệu lực</v>
      </c>
      <c r="M14" s="306" t="str">
        <f t="shared" ca="1" si="2"/>
        <v>Mất hiệu lực</v>
      </c>
    </row>
    <row r="15" spans="2:16" s="307" customFormat="1" ht="12" customHeight="1">
      <c r="B15" s="304">
        <v>9</v>
      </c>
      <c r="C15" s="304">
        <f>IF(ROW(A9)&gt;'Tinh phi QL'!$D$12,"",ROW(A9))</f>
        <v>9</v>
      </c>
      <c r="D15" s="305">
        <f t="shared" ca="1" si="1"/>
        <v>38</v>
      </c>
      <c r="E15" s="306">
        <f ca="1">IF(IFERROR(--TRIM(C15),0)=0,0,'Tinh phi QL'!$H$12/1000)</f>
        <v>0</v>
      </c>
      <c r="F15" s="306">
        <f ca="1">E15*98.8%</f>
        <v>0</v>
      </c>
      <c r="G15" s="306">
        <f ca="1">VTLGTTKcamket!G15</f>
        <v>7495</v>
      </c>
      <c r="H15" s="306">
        <f ca="1">MAX('Tinh phi QL'!$E$12/1000,J15)</f>
        <v>0</v>
      </c>
      <c r="I15" s="306"/>
      <c r="J15" s="306" t="str">
        <f ca="1">IF(VLOOKUP(B15,KTVBV20namcamket!$B$4:$M$243,10,0)&lt;=0,"Mất hiệu lực",VLOOKUP(B15,KTVBV20namcamket!$B$4:$M$243,10,0))</f>
        <v>Mất hiệu lực</v>
      </c>
      <c r="K15" s="306"/>
      <c r="L15" s="306" t="str">
        <f t="shared" ca="1" si="0"/>
        <v>Mất hiệu lực</v>
      </c>
      <c r="M15" s="306" t="str">
        <f t="shared" ca="1" si="2"/>
        <v>Mất hiệu lực</v>
      </c>
    </row>
    <row r="16" spans="2:16" s="328" customFormat="1" ht="12" customHeight="1">
      <c r="B16" s="308">
        <v>10</v>
      </c>
      <c r="C16" s="312">
        <f>IF(ROW(A10)&gt;'Tinh phi QL'!$D$12,"",ROW(A10))</f>
        <v>10</v>
      </c>
      <c r="D16" s="309">
        <f t="shared" ca="1" si="1"/>
        <v>39</v>
      </c>
      <c r="E16" s="311">
        <f ca="1">IF(IFERROR(--TRIM(C16),0)=0,0,'Tinh phi QL'!$H$12/1000)</f>
        <v>0</v>
      </c>
      <c r="F16" s="311">
        <f ca="1">E16*98.8%</f>
        <v>0</v>
      </c>
      <c r="G16" s="311">
        <f ca="1">VTLGTTKcamket!G16</f>
        <v>7495</v>
      </c>
      <c r="H16" s="311">
        <f ca="1">MAX('Tinh phi QL'!$E$12/1000,J16)</f>
        <v>0</v>
      </c>
      <c r="I16" s="311">
        <f ca="1">KTVBV20namcamket!I112</f>
        <v>0</v>
      </c>
      <c r="J16" s="311" t="str">
        <f ca="1">IF(VLOOKUP(B16,KTVBV20namcamket!$B$4:$M$243,10,0)&lt;=0,"Mất hiệu lực",VLOOKUP(B16,KTVBV20namcamket!$B$4:$M$243,10,0))</f>
        <v>Mất hiệu lực</v>
      </c>
      <c r="K16" s="310"/>
      <c r="L16" s="311" t="str">
        <f t="shared" ca="1" si="0"/>
        <v>Mất hiệu lực</v>
      </c>
      <c r="M16" s="311" t="str">
        <f t="shared" ca="1" si="2"/>
        <v>Mất hiệu lực</v>
      </c>
    </row>
    <row r="17" spans="2:13" s="307" customFormat="1" ht="12" customHeight="1">
      <c r="B17" s="304">
        <v>11</v>
      </c>
      <c r="C17" s="304">
        <f>IF(ROW(A11)&gt;'Tinh phi QL'!$D$12,"",ROW(A11))</f>
        <v>11</v>
      </c>
      <c r="D17" s="305">
        <f t="shared" ca="1" si="1"/>
        <v>40</v>
      </c>
      <c r="E17" s="306">
        <f ca="1">IF(IFERROR(--TRIM(C17),0)=0,0,'Tinh phi QL'!$H$12/1000)</f>
        <v>0</v>
      </c>
      <c r="F17" s="306">
        <f ca="1">E17</f>
        <v>0</v>
      </c>
      <c r="G17" s="306">
        <f ca="1">VTLGTTKcamket!G17</f>
        <v>8533</v>
      </c>
      <c r="H17" s="306">
        <f ca="1">MAX('Tinh phi QL'!$E$12/1000,J17)</f>
        <v>0</v>
      </c>
      <c r="I17" s="306"/>
      <c r="J17" s="306" t="str">
        <f ca="1">IF(VLOOKUP(B17,KTVBV20namcamket!$B$4:$M$243,10,0)&lt;=0,"Mất hiệu lực",VLOOKUP(B17,KTVBV20namcamket!$B$4:$M$243,10,0))</f>
        <v>Mất hiệu lực</v>
      </c>
      <c r="K17" s="306"/>
      <c r="L17" s="306" t="str">
        <f t="shared" ca="1" si="0"/>
        <v>Mất hiệu lực</v>
      </c>
      <c r="M17" s="306" t="str">
        <f t="shared" ca="1" si="2"/>
        <v>Mất hiệu lực</v>
      </c>
    </row>
    <row r="18" spans="2:13" s="307" customFormat="1" ht="12" customHeight="1">
      <c r="B18" s="304">
        <v>12</v>
      </c>
      <c r="C18" s="304">
        <f>IF(ROW(A12)&gt;'Tinh phi QL'!$D$12,"",ROW(A12))</f>
        <v>12</v>
      </c>
      <c r="D18" s="305">
        <f t="shared" ca="1" si="1"/>
        <v>41</v>
      </c>
      <c r="E18" s="306">
        <f ca="1">IF(IFERROR(--TRIM(C18),0)=0,0,'Tinh phi QL'!$H$12/1000)</f>
        <v>0</v>
      </c>
      <c r="F18" s="306">
        <f t="shared" ref="F18:F26" ca="1" si="3">E18</f>
        <v>0</v>
      </c>
      <c r="G18" s="306">
        <f ca="1">VTLGTTKcamket!G18</f>
        <v>8533</v>
      </c>
      <c r="H18" s="306">
        <f ca="1">MAX('Tinh phi QL'!$E$12/1000,J18)</f>
        <v>0</v>
      </c>
      <c r="I18" s="306"/>
      <c r="J18" s="306" t="str">
        <f ca="1">IF(VLOOKUP(B18,KTVBV20namcamket!$B$4:$M$243,10,0)&lt;=0,"Mất hiệu lực",VLOOKUP(B18,KTVBV20namcamket!$B$4:$M$243,10,0))</f>
        <v>Mất hiệu lực</v>
      </c>
      <c r="K18" s="306"/>
      <c r="L18" s="306" t="str">
        <f t="shared" ca="1" si="0"/>
        <v>Mất hiệu lực</v>
      </c>
      <c r="M18" s="306" t="str">
        <f t="shared" ca="1" si="2"/>
        <v>Mất hiệu lực</v>
      </c>
    </row>
    <row r="19" spans="2:13" s="307" customFormat="1" ht="12" customHeight="1">
      <c r="B19" s="304">
        <v>13</v>
      </c>
      <c r="C19" s="304">
        <f>IF(ROW(A13)&gt;'Tinh phi QL'!$D$12,"",ROW(A13))</f>
        <v>13</v>
      </c>
      <c r="D19" s="305">
        <f t="shared" ca="1" si="1"/>
        <v>42</v>
      </c>
      <c r="E19" s="306">
        <f ca="1">IF(IFERROR(--TRIM(C19),0)=0,0,'Tinh phi QL'!$H$12/1000)</f>
        <v>0</v>
      </c>
      <c r="F19" s="306">
        <f t="shared" ca="1" si="3"/>
        <v>0</v>
      </c>
      <c r="G19" s="306">
        <f ca="1">VTLGTTKcamket!G19</f>
        <v>8533</v>
      </c>
      <c r="H19" s="306">
        <f ca="1">MAX('Tinh phi QL'!$E$12/1000,J19)</f>
        <v>0</v>
      </c>
      <c r="I19" s="306"/>
      <c r="J19" s="306" t="str">
        <f ca="1">IF(VLOOKUP(B19,KTVBV20namcamket!$B$4:$M$243,10,0)&lt;=0,"Mất hiệu lực",VLOOKUP(B19,KTVBV20namcamket!$B$4:$M$243,10,0))</f>
        <v>Mất hiệu lực</v>
      </c>
      <c r="K19" s="306"/>
      <c r="L19" s="306" t="str">
        <f t="shared" ca="1" si="0"/>
        <v>Mất hiệu lực</v>
      </c>
      <c r="M19" s="306" t="str">
        <f t="shared" ca="1" si="2"/>
        <v>Mất hiệu lực</v>
      </c>
    </row>
    <row r="20" spans="2:13" s="307" customFormat="1" ht="12" customHeight="1">
      <c r="B20" s="304">
        <v>14</v>
      </c>
      <c r="C20" s="304">
        <f>IF(ROW(A14)&gt;'Tinh phi QL'!$D$12,"",ROW(A14))</f>
        <v>14</v>
      </c>
      <c r="D20" s="305">
        <f t="shared" ca="1" si="1"/>
        <v>43</v>
      </c>
      <c r="E20" s="306">
        <f ca="1">IF(IFERROR(--TRIM(C20),0)=0,0,'Tinh phi QL'!$H$12/1000)</f>
        <v>0</v>
      </c>
      <c r="F20" s="306">
        <f t="shared" ca="1" si="3"/>
        <v>0</v>
      </c>
      <c r="G20" s="306">
        <f ca="1">VTLGTTKcamket!G20</f>
        <v>8533</v>
      </c>
      <c r="H20" s="306">
        <f ca="1">MAX('Tinh phi QL'!$E$12/1000,J20)</f>
        <v>0</v>
      </c>
      <c r="I20" s="306"/>
      <c r="J20" s="306" t="str">
        <f ca="1">IF(VLOOKUP(B20,KTVBV20namcamket!$B$4:$M$243,10,0)&lt;=0,"Mất hiệu lực",VLOOKUP(B20,KTVBV20namcamket!$B$4:$M$243,10,0))</f>
        <v>Mất hiệu lực</v>
      </c>
      <c r="K20" s="306"/>
      <c r="L20" s="306" t="str">
        <f t="shared" ca="1" si="0"/>
        <v>Mất hiệu lực</v>
      </c>
      <c r="M20" s="306" t="str">
        <f t="shared" ca="1" si="2"/>
        <v>Mất hiệu lực</v>
      </c>
    </row>
    <row r="21" spans="2:13" s="328" customFormat="1" ht="12" customHeight="1">
      <c r="B21" s="312">
        <v>15</v>
      </c>
      <c r="C21" s="312">
        <f>IF(ROW(A15)&gt;'Tinh phi QL'!$D$12,"",ROW(A15))</f>
        <v>15</v>
      </c>
      <c r="D21" s="313">
        <f t="shared" ca="1" si="1"/>
        <v>44</v>
      </c>
      <c r="E21" s="311">
        <f ca="1">IF(IFERROR(--TRIM(C21),0)=0,0,'Tinh phi QL'!$H$12/1000)</f>
        <v>0</v>
      </c>
      <c r="F21" s="311">
        <f t="shared" ca="1" si="3"/>
        <v>0</v>
      </c>
      <c r="G21" s="311">
        <f ca="1">VTLGTTKcamket!G21</f>
        <v>8533</v>
      </c>
      <c r="H21" s="311">
        <f ca="1">MAX('Tinh phi QL'!$E$12/1000,J21)</f>
        <v>0</v>
      </c>
      <c r="I21" s="311"/>
      <c r="J21" s="311" t="str">
        <f ca="1">IF(VLOOKUP(B21,KTVBV20namcamket!$B$4:$M$243,10,0)&lt;=0,"Mất hiệu lực",VLOOKUP(B21,KTVBV20namcamket!$B$4:$M$243,10,0))</f>
        <v>Mất hiệu lực</v>
      </c>
      <c r="K21" s="311"/>
      <c r="L21" s="311" t="str">
        <f t="shared" ca="1" si="0"/>
        <v>Mất hiệu lực</v>
      </c>
      <c r="M21" s="311" t="str">
        <f t="shared" ca="1" si="2"/>
        <v>Mất hiệu lực</v>
      </c>
    </row>
    <row r="22" spans="2:13" s="307" customFormat="1" ht="12" customHeight="1">
      <c r="B22" s="304">
        <v>16</v>
      </c>
      <c r="C22" s="304" t="str">
        <f>IF(ROW(A16)&gt;'Tinh phi QL'!$D$12,"",ROW(A16))</f>
        <v/>
      </c>
      <c r="D22" s="305">
        <f t="shared" ca="1" si="1"/>
        <v>45</v>
      </c>
      <c r="E22" s="306">
        <f>IF(IFERROR(--TRIM(C22),0)=0,0,'Tinh phi QL'!$H$12/1000)</f>
        <v>0</v>
      </c>
      <c r="F22" s="306">
        <f t="shared" si="3"/>
        <v>0</v>
      </c>
      <c r="G22" s="306">
        <f ca="1">VTLGTTKcamket!G22</f>
        <v>10469</v>
      </c>
      <c r="H22" s="306">
        <f ca="1">MAX('Tinh phi QL'!$E$12/1000,J22)</f>
        <v>0</v>
      </c>
      <c r="I22" s="306"/>
      <c r="J22" s="306" t="str">
        <f ca="1">IF(VLOOKUP(B22,KTVBV20namcamket!$B$4:$M$243,10,0)&lt;=0,"Mất hiệu lực",VLOOKUP(B22,KTVBV20namcamket!$B$4:$M$243,10,0))</f>
        <v>Mất hiệu lực</v>
      </c>
      <c r="K22" s="306"/>
      <c r="L22" s="306" t="str">
        <f t="shared" ca="1" si="0"/>
        <v>Mất hiệu lực</v>
      </c>
      <c r="M22" s="306" t="str">
        <f t="shared" ca="1" si="2"/>
        <v>Mất hiệu lực</v>
      </c>
    </row>
    <row r="23" spans="2:13" s="307" customFormat="1" ht="12" customHeight="1">
      <c r="B23" s="304">
        <v>17</v>
      </c>
      <c r="C23" s="304" t="str">
        <f>IF(ROW(A17)&gt;'Tinh phi QL'!$D$12,"",ROW(A17))</f>
        <v/>
      </c>
      <c r="D23" s="305">
        <f t="shared" ca="1" si="1"/>
        <v>46</v>
      </c>
      <c r="E23" s="306">
        <f>IF(IFERROR(--TRIM(C23),0)=0,0,'Tinh phi QL'!$H$12/1000)</f>
        <v>0</v>
      </c>
      <c r="F23" s="306">
        <f t="shared" si="3"/>
        <v>0</v>
      </c>
      <c r="G23" s="306">
        <f ca="1">VTLGTTKcamket!G23</f>
        <v>10469</v>
      </c>
      <c r="H23" s="306">
        <f ca="1">MAX('Tinh phi QL'!$E$12/1000,J23)</f>
        <v>0</v>
      </c>
      <c r="I23" s="306"/>
      <c r="J23" s="306" t="str">
        <f ca="1">IF(VLOOKUP(B23,KTVBV20namcamket!$B$4:$M$243,10,0)&lt;=0,"Mất hiệu lực",VLOOKUP(B23,KTVBV20namcamket!$B$4:$M$243,10,0))</f>
        <v>Mất hiệu lực</v>
      </c>
      <c r="K23" s="306"/>
      <c r="L23" s="306" t="str">
        <f t="shared" ca="1" si="0"/>
        <v>Mất hiệu lực</v>
      </c>
      <c r="M23" s="306" t="str">
        <f t="shared" ca="1" si="2"/>
        <v>Mất hiệu lực</v>
      </c>
    </row>
    <row r="24" spans="2:13" s="307" customFormat="1" ht="12" customHeight="1">
      <c r="B24" s="304">
        <v>18</v>
      </c>
      <c r="C24" s="304" t="str">
        <f>IF(ROW(A18)&gt;'Tinh phi QL'!$D$12,"",ROW(A18))</f>
        <v/>
      </c>
      <c r="D24" s="305">
        <f t="shared" ca="1" si="1"/>
        <v>47</v>
      </c>
      <c r="E24" s="306">
        <f>IF(IFERROR(--TRIM(C24),0)=0,0,'Tinh phi QL'!$H$12/1000)</f>
        <v>0</v>
      </c>
      <c r="F24" s="306">
        <f t="shared" si="3"/>
        <v>0</v>
      </c>
      <c r="G24" s="306">
        <f ca="1">VTLGTTKcamket!G24</f>
        <v>10469</v>
      </c>
      <c r="H24" s="306">
        <f ca="1">MAX('Tinh phi QL'!$E$12/1000,J24)</f>
        <v>0</v>
      </c>
      <c r="I24" s="306"/>
      <c r="J24" s="306" t="str">
        <f ca="1">IF(VLOOKUP(B24,KTVBV20namcamket!$B$4:$M$243,10,0)&lt;=0,"Mất hiệu lực",VLOOKUP(B24,KTVBV20namcamket!$B$4:$M$243,10,0))</f>
        <v>Mất hiệu lực</v>
      </c>
      <c r="K24" s="306"/>
      <c r="L24" s="306" t="str">
        <f t="shared" ca="1" si="0"/>
        <v>Mất hiệu lực</v>
      </c>
      <c r="M24" s="306" t="str">
        <f t="shared" ca="1" si="2"/>
        <v>Mất hiệu lực</v>
      </c>
    </row>
    <row r="25" spans="2:13" s="307" customFormat="1" ht="12" customHeight="1">
      <c r="B25" s="304">
        <v>19</v>
      </c>
      <c r="C25" s="304" t="str">
        <f>IF(ROW(A19)&gt;'Tinh phi QL'!$D$12,"",ROW(A19))</f>
        <v/>
      </c>
      <c r="D25" s="305">
        <f t="shared" ca="1" si="1"/>
        <v>48</v>
      </c>
      <c r="E25" s="306">
        <f>IF(IFERROR(--TRIM(C25),0)=0,0,'Tinh phi QL'!$H$12/1000)</f>
        <v>0</v>
      </c>
      <c r="F25" s="306">
        <f t="shared" si="3"/>
        <v>0</v>
      </c>
      <c r="G25" s="306">
        <f ca="1">VTLGTTKcamket!G25</f>
        <v>10469</v>
      </c>
      <c r="H25" s="306">
        <f ca="1">MAX('Tinh phi QL'!$E$12/1000,J25)</f>
        <v>0</v>
      </c>
      <c r="I25" s="306"/>
      <c r="J25" s="306" t="str">
        <f ca="1">IF(VLOOKUP(B25,KTVBV20namcamket!$B$4:$M$243,10,0)&lt;=0,"Mất hiệu lực",VLOOKUP(B25,KTVBV20namcamket!$B$4:$M$243,10,0))</f>
        <v>Mất hiệu lực</v>
      </c>
      <c r="K25" s="306"/>
      <c r="L25" s="306" t="str">
        <f t="shared" ca="1" si="0"/>
        <v>Mất hiệu lực</v>
      </c>
      <c r="M25" s="306" t="str">
        <f t="shared" ca="1" si="2"/>
        <v>Mất hiệu lực</v>
      </c>
    </row>
    <row r="26" spans="2:13" s="328" customFormat="1" ht="12" customHeight="1">
      <c r="B26" s="312">
        <v>20</v>
      </c>
      <c r="C26" s="312" t="str">
        <f>IF(ROW(A20)&gt;'Tinh phi QL'!$D$12,"",ROW(A20))</f>
        <v/>
      </c>
      <c r="D26" s="313">
        <f t="shared" ca="1" si="1"/>
        <v>49</v>
      </c>
      <c r="E26" s="311">
        <f>IF(IFERROR(--TRIM(C26),0)=0,0,'Tinh phi QL'!$H$12/1000)</f>
        <v>0</v>
      </c>
      <c r="F26" s="311">
        <f t="shared" si="3"/>
        <v>0</v>
      </c>
      <c r="G26" s="311">
        <f ca="1">VTLGTTKcamket!G26</f>
        <v>10469</v>
      </c>
      <c r="H26" s="311">
        <f ca="1">MAX('Tinh phi QL'!$E$12/1000,J26)</f>
        <v>0</v>
      </c>
      <c r="I26" s="311">
        <f ca="1">KTVBV20namcamket!I232</f>
        <v>0</v>
      </c>
      <c r="J26" s="311" t="str">
        <f ca="1">IF(VLOOKUP(B26,KTVBV20namcamket!$B$4:$M$243,10,0)&lt;=0,"Mất hiệu lực",VLOOKUP(B26,KTVBV20namcamket!$B$4:$M$243,10,0))</f>
        <v>Mất hiệu lực</v>
      </c>
      <c r="K26" s="311"/>
      <c r="L26" s="311" t="str">
        <f t="shared" ca="1" si="0"/>
        <v>Mất hiệu lực</v>
      </c>
      <c r="M26" s="311" t="str">
        <f t="shared" ca="1" si="2"/>
        <v>Mất hiệu lực</v>
      </c>
    </row>
  </sheetData>
  <sheetProtection selectLockedCells="1"/>
  <mergeCells count="12">
    <mergeCell ref="H5:M5"/>
    <mergeCell ref="H2:M3"/>
    <mergeCell ref="O2:P2"/>
    <mergeCell ref="O3:P3"/>
    <mergeCell ref="C5:C6"/>
    <mergeCell ref="D5:D6"/>
    <mergeCell ref="E5:E6"/>
    <mergeCell ref="F5:F6"/>
    <mergeCell ref="G5:G6"/>
    <mergeCell ref="B2:G3"/>
    <mergeCell ref="B4:L4"/>
    <mergeCell ref="B5:B6"/>
  </mergeCells>
  <conditionalFormatting sqref="B7:B26">
    <cfRule type="expression" dxfId="284" priority="1">
      <formula>MOD(ROW(),2)&gt;0</formula>
    </cfRule>
    <cfRule type="expression" dxfId="283" priority="2">
      <formula>"mod(row(),2).0"</formula>
    </cfRule>
  </conditionalFormatting>
  <conditionalFormatting sqref="C8:G26 H16:I26">
    <cfRule type="expression" dxfId="282" priority="5">
      <formula>MOD(ROW(),2)&gt;0</formula>
    </cfRule>
    <cfRule type="expression" dxfId="281" priority="6">
      <formula>"mod(row(),2).0"</formula>
    </cfRule>
  </conditionalFormatting>
  <conditionalFormatting sqref="C7:M7 H8:M15 L8:L26 M13:M26 J16:M26 J8:J26">
    <cfRule type="expression" dxfId="280" priority="9">
      <formula>MOD(ROW(),2)&gt;0</formula>
    </cfRule>
    <cfRule type="expression" dxfId="279" priority="10">
      <formula>"mod(row(),2).0"</formula>
    </cfRule>
  </conditionalFormatting>
  <conditionalFormatting sqref="J7:J26">
    <cfRule type="cellIs" dxfId="278" priority="7" operator="lessThan">
      <formula>0</formula>
    </cfRule>
  </conditionalFormatting>
  <conditionalFormatting sqref="L1:M3 M4">
    <cfRule type="cellIs" dxfId="277" priority="11" operator="lessThan">
      <formula>0</formula>
    </cfRule>
  </conditionalFormatting>
  <conditionalFormatting sqref="L6:M1048576">
    <cfRule type="cellIs" dxfId="276" priority="8" operator="lessThan">
      <formula>0</formula>
    </cfRule>
  </conditionalFormatting>
  <conditionalFormatting sqref="O3:P3">
    <cfRule type="containsText" dxfId="275" priority="12" operator="containsText" text="Chỉ">
      <formula>NOT(ISERROR(SEARCH("Chỉ",O3)))</formula>
    </cfRule>
    <cfRule type="containsText" dxfId="274" priority="13" operator="containsText" text="Phải">
      <formula>NOT(ISERROR(SEARCH("Phải",O3)))</formula>
    </cfRule>
  </conditionalFormatting>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86AD53-CD43-4DBE-B249-762916EE3702}">
  <dimension ref="B1:P26"/>
  <sheetViews>
    <sheetView showGridLines="0" zoomScale="70" zoomScaleNormal="70" workbookViewId="0">
      <selection activeCell="E7" sqref="E7"/>
    </sheetView>
  </sheetViews>
  <sheetFormatPr defaultColWidth="8.19921875" defaultRowHeight="14.5"/>
  <cols>
    <col min="1" max="1" width="3.69921875" style="301" customWidth="1"/>
    <col min="2" max="2" width="7.19921875" style="301" customWidth="1"/>
    <col min="3" max="3" width="9" style="301" customWidth="1"/>
    <col min="4" max="4" width="7" style="301" customWidth="1"/>
    <col min="5" max="5" width="15.19921875" style="301" customWidth="1"/>
    <col min="6" max="6" width="19.296875" style="301" customWidth="1"/>
    <col min="7" max="7" width="19.796875" style="301" customWidth="1"/>
    <col min="8" max="8" width="23.19921875" style="301" customWidth="1"/>
    <col min="9" max="12" width="18.19921875" style="301" customWidth="1"/>
    <col min="13" max="13" width="17.69921875" style="301" customWidth="1"/>
    <col min="14" max="14" width="18.19921875" style="301" customWidth="1"/>
    <col min="15" max="15" width="8.19921875" style="301"/>
    <col min="16" max="16" width="12.796875" style="301" customWidth="1"/>
    <col min="17" max="16384" width="8.19921875" style="301"/>
  </cols>
  <sheetData>
    <row r="1" spans="2:16" ht="6" customHeight="1"/>
    <row r="2" spans="2:16" ht="9.75" customHeight="1">
      <c r="B2" s="937" t="s">
        <v>809</v>
      </c>
      <c r="C2" s="937"/>
      <c r="D2" s="937"/>
      <c r="E2" s="937"/>
      <c r="F2" s="938" t="s">
        <v>854</v>
      </c>
      <c r="G2" s="938"/>
      <c r="H2" s="938"/>
      <c r="I2" s="938"/>
      <c r="J2" s="938"/>
      <c r="K2" s="938"/>
      <c r="L2" s="939"/>
      <c r="M2" s="942">
        <v>4.5999999999999999E-2</v>
      </c>
      <c r="N2" s="302"/>
      <c r="O2" s="910"/>
      <c r="P2" s="910"/>
    </row>
    <row r="3" spans="2:16" ht="5.25" customHeight="1">
      <c r="B3" s="937"/>
      <c r="C3" s="937"/>
      <c r="D3" s="937"/>
      <c r="E3" s="937"/>
      <c r="F3" s="940"/>
      <c r="G3" s="940"/>
      <c r="H3" s="940"/>
      <c r="I3" s="940"/>
      <c r="J3" s="940"/>
      <c r="K3" s="940"/>
      <c r="L3" s="941"/>
      <c r="M3" s="943"/>
      <c r="N3" s="302"/>
      <c r="O3" s="910"/>
      <c r="P3" s="910"/>
    </row>
    <row r="4" spans="2:16" ht="11.25" customHeight="1">
      <c r="B4" s="917" t="s">
        <v>689</v>
      </c>
      <c r="C4" s="917"/>
      <c r="D4" s="917"/>
      <c r="E4" s="917"/>
      <c r="F4" s="917"/>
      <c r="G4" s="917"/>
      <c r="H4" s="917"/>
      <c r="I4" s="917"/>
      <c r="J4" s="917"/>
      <c r="K4" s="917"/>
      <c r="L4" s="917"/>
      <c r="M4" s="303" t="s">
        <v>712</v>
      </c>
    </row>
    <row r="5" spans="2:16" ht="12.75" customHeight="1">
      <c r="B5" s="931" t="s">
        <v>670</v>
      </c>
      <c r="C5" s="931" t="s">
        <v>842</v>
      </c>
      <c r="D5" s="931" t="s">
        <v>1</v>
      </c>
      <c r="E5" s="931" t="s">
        <v>692</v>
      </c>
      <c r="F5" s="931" t="s">
        <v>693</v>
      </c>
      <c r="G5" s="933" t="s">
        <v>694</v>
      </c>
      <c r="H5" s="928" t="s">
        <v>690</v>
      </c>
      <c r="I5" s="929"/>
      <c r="J5" s="929"/>
      <c r="K5" s="929"/>
      <c r="L5" s="929"/>
      <c r="M5" s="930"/>
    </row>
    <row r="6" spans="2:16" ht="24" customHeight="1">
      <c r="B6" s="932"/>
      <c r="C6" s="932"/>
      <c r="D6" s="932"/>
      <c r="E6" s="932"/>
      <c r="F6" s="932"/>
      <c r="G6" s="934"/>
      <c r="H6" s="317" t="s">
        <v>700</v>
      </c>
      <c r="I6" s="317" t="s">
        <v>696</v>
      </c>
      <c r="J6" s="317" t="s">
        <v>697</v>
      </c>
      <c r="K6" s="317" t="s">
        <v>698</v>
      </c>
      <c r="L6" s="317" t="s">
        <v>699</v>
      </c>
      <c r="M6" s="317" t="s">
        <v>701</v>
      </c>
    </row>
    <row r="7" spans="2:16" s="307" customFormat="1" ht="12" customHeight="1">
      <c r="B7" s="304">
        <v>1</v>
      </c>
      <c r="C7" s="304">
        <f>IF(ROW(A1)&gt;'Tinh phi QL'!$D$12,"",ROW(A1))</f>
        <v>1</v>
      </c>
      <c r="D7" s="305">
        <f ca="1">'Tinh phi QL'!I8</f>
        <v>30</v>
      </c>
      <c r="E7" s="306">
        <f ca="1">IF(IFERROR(--TRIM(C7),0)=0,0,'Tinh phi QL'!$H$12/1000)</f>
        <v>0</v>
      </c>
      <c r="F7" s="306">
        <f ca="1">E7*70%</f>
        <v>0</v>
      </c>
      <c r="G7" s="306">
        <f ca="1">KTVBVGTTKcamket!G7</f>
        <v>6571</v>
      </c>
      <c r="H7" s="306">
        <f ca="1">MAX('Tinh phi QL'!$E$12/1000,J7)</f>
        <v>0</v>
      </c>
      <c r="I7" s="306"/>
      <c r="J7" s="306" t="str">
        <f ca="1">IF(VLOOKUP(B7,KTVBV20namMH!$B$4:$M$243,10,0)&lt;=0,"Mất hiệu lực",VLOOKUP(B7,KTVBV20namMH!$B$4:$M$243,10,0))</f>
        <v>Mất hiệu lực</v>
      </c>
      <c r="K7" s="306"/>
      <c r="L7" s="306" t="str">
        <f ca="1">J7</f>
        <v>Mất hiệu lực</v>
      </c>
      <c r="M7" s="306" t="e">
        <f ca="1">IF(L7-100%*E7&gt;0,L7-100%*E7,0)</f>
        <v>#VALUE!</v>
      </c>
    </row>
    <row r="8" spans="2:16" s="307" customFormat="1" ht="12" customHeight="1">
      <c r="B8" s="304">
        <v>2</v>
      </c>
      <c r="C8" s="304">
        <f>IF(ROW(A2)&gt;'Tinh phi QL'!$D$12,"",ROW(A2))</f>
        <v>2</v>
      </c>
      <c r="D8" s="305">
        <f ca="1">D7+1</f>
        <v>31</v>
      </c>
      <c r="E8" s="306">
        <f ca="1">IF(IFERROR(--TRIM(C8),0)=0,0,'Tinh phi QL'!$H$12/1000)</f>
        <v>0</v>
      </c>
      <c r="F8" s="306">
        <f ca="1">E8*82%</f>
        <v>0</v>
      </c>
      <c r="G8" s="306">
        <f ca="1">KTVBVGTTKcamket!G8</f>
        <v>6571</v>
      </c>
      <c r="H8" s="306">
        <f ca="1">MAX('Tinh phi QL'!$E$12/1000,J8)</f>
        <v>0</v>
      </c>
      <c r="I8" s="306"/>
      <c r="J8" s="306" t="str">
        <f ca="1">IF(VLOOKUP(B8,KTVBV20namMH!$B$4:$M$243,10,0)&lt;=0,"Mất hiệu lực",VLOOKUP(B8,KTVBV20namMH!$B$4:$M$243,10,0))</f>
        <v>Mất hiệu lực</v>
      </c>
      <c r="K8" s="306"/>
      <c r="L8" s="306" t="str">
        <f t="shared" ref="L8:L26" ca="1" si="0">J8</f>
        <v>Mất hiệu lực</v>
      </c>
      <c r="M8" s="306" t="e">
        <f ca="1">IF(L8-100%*E8&gt;0,L8-100%*E8,0)</f>
        <v>#VALUE!</v>
      </c>
    </row>
    <row r="9" spans="2:16" s="307" customFormat="1" ht="12" customHeight="1">
      <c r="B9" s="304">
        <v>3</v>
      </c>
      <c r="C9" s="304">
        <f>IF(ROW(A3)&gt;'Tinh phi QL'!$D$12,"",ROW(A3))</f>
        <v>3</v>
      </c>
      <c r="D9" s="305">
        <f t="shared" ref="D9:D26" ca="1" si="1">D8+1</f>
        <v>32</v>
      </c>
      <c r="E9" s="306">
        <f ca="1">IF(IFERROR(--TRIM(C9),0)=0,0,'Tinh phi QL'!$H$12/1000)</f>
        <v>0</v>
      </c>
      <c r="F9" s="306">
        <f ca="1">E9*88%</f>
        <v>0</v>
      </c>
      <c r="G9" s="306">
        <f ca="1">KTVBVGTTKcamket!G9</f>
        <v>6571</v>
      </c>
      <c r="H9" s="306">
        <f ca="1">MAX('Tinh phi QL'!$E$12/1000,J9)</f>
        <v>0</v>
      </c>
      <c r="I9" s="306"/>
      <c r="J9" s="306" t="str">
        <f ca="1">IF(VLOOKUP(B9,KTVBV20namMH!$B$4:$M$243,10,0)&lt;=0,"Mất hiệu lực",VLOOKUP(B9,KTVBV20namMH!$B$4:$M$243,10,0))</f>
        <v>Mất hiệu lực</v>
      </c>
      <c r="K9" s="306"/>
      <c r="L9" s="306" t="str">
        <f t="shared" ca="1" si="0"/>
        <v>Mất hiệu lực</v>
      </c>
      <c r="M9" s="306" t="e">
        <f ca="1">L9-40%*E9</f>
        <v>#VALUE!</v>
      </c>
    </row>
    <row r="10" spans="2:16" s="307" customFormat="1" ht="12" customHeight="1">
      <c r="B10" s="304">
        <v>4</v>
      </c>
      <c r="C10" s="304">
        <f>IF(ROW(A4)&gt;'Tinh phi QL'!$D$12,"",ROW(A4))</f>
        <v>4</v>
      </c>
      <c r="D10" s="305">
        <f t="shared" ca="1" si="1"/>
        <v>33</v>
      </c>
      <c r="E10" s="306">
        <f ca="1">IF(IFERROR(--TRIM(C10),0)=0,0,'Tinh phi QL'!$H$12/1000)</f>
        <v>0</v>
      </c>
      <c r="F10" s="306">
        <f ca="1">E10*88%</f>
        <v>0</v>
      </c>
      <c r="G10" s="306">
        <f ca="1">KTVBVGTTKcamket!G10</f>
        <v>6571</v>
      </c>
      <c r="H10" s="306">
        <f ca="1">MAX('Tinh phi QL'!$E$12/1000,J10)</f>
        <v>0</v>
      </c>
      <c r="I10" s="306"/>
      <c r="J10" s="306" t="str">
        <f ca="1">IF(VLOOKUP(B10,KTVBV20namMH!$B$4:$M$243,10,0)&lt;=0,"Mất hiệu lực",VLOOKUP(B10,KTVBV20namMH!$B$4:$M$243,10,0))</f>
        <v>Mất hiệu lực</v>
      </c>
      <c r="K10" s="306"/>
      <c r="L10" s="306" t="str">
        <f t="shared" ca="1" si="0"/>
        <v>Mất hiệu lực</v>
      </c>
      <c r="M10" s="306" t="e">
        <f ca="1">L10-25%*E10</f>
        <v>#VALUE!</v>
      </c>
    </row>
    <row r="11" spans="2:16" s="328" customFormat="1" ht="12" customHeight="1">
      <c r="B11" s="312">
        <v>5</v>
      </c>
      <c r="C11" s="304">
        <f>IF(ROW(A5)&gt;'Tinh phi QL'!$D$12,"",ROW(A5))</f>
        <v>5</v>
      </c>
      <c r="D11" s="313">
        <f t="shared" ca="1" si="1"/>
        <v>34</v>
      </c>
      <c r="E11" s="306">
        <f ca="1">IF(IFERROR(--TRIM(C11),0)=0,0,'Tinh phi QL'!$H$12/1000)</f>
        <v>0</v>
      </c>
      <c r="F11" s="311">
        <f ca="1">E11*88%</f>
        <v>0</v>
      </c>
      <c r="G11" s="306">
        <f ca="1">KTVBVGTTKcamket!G11</f>
        <v>6571</v>
      </c>
      <c r="H11" s="311">
        <f ca="1">MAX('Tinh phi QL'!$E$12/1000,J11)</f>
        <v>0</v>
      </c>
      <c r="I11" s="311"/>
      <c r="J11" s="311" t="str">
        <f ca="1">IF(VLOOKUP(B11,KTVBV20namMH!$B$4:$M$243,10,0)&lt;=0,"Mất hiệu lực",VLOOKUP(B11,KTVBV20namMH!$B$4:$M$243,10,0))</f>
        <v>Mất hiệu lực</v>
      </c>
      <c r="K11" s="311"/>
      <c r="L11" s="311" t="str">
        <f t="shared" ca="1" si="0"/>
        <v>Mất hiệu lực</v>
      </c>
      <c r="M11" s="311" t="e">
        <f ca="1">L11-10%*E11</f>
        <v>#VALUE!</v>
      </c>
    </row>
    <row r="12" spans="2:16" s="307" customFormat="1" ht="12" customHeight="1">
      <c r="B12" s="304">
        <v>6</v>
      </c>
      <c r="C12" s="304">
        <f>IF(ROW(A6)&gt;'Tinh phi QL'!$D$12,"",ROW(A6))</f>
        <v>6</v>
      </c>
      <c r="D12" s="305">
        <f t="shared" ca="1" si="1"/>
        <v>35</v>
      </c>
      <c r="E12" s="306">
        <f ca="1">IF(IFERROR(--TRIM(C12),0)=0,0,'Tinh phi QL'!$H$12/1000)</f>
        <v>0</v>
      </c>
      <c r="F12" s="306">
        <f ca="1">E12*98.8%</f>
        <v>0</v>
      </c>
      <c r="G12" s="306">
        <f ca="1">KTVBVGTTKcamket!G12</f>
        <v>7495</v>
      </c>
      <c r="H12" s="306">
        <f ca="1">MAX('Tinh phi QL'!$E$12/1000,J12)</f>
        <v>0</v>
      </c>
      <c r="I12" s="306"/>
      <c r="J12" s="306" t="str">
        <f ca="1">IF(VLOOKUP(B12,KTVBV20namMH!$B$4:$M$243,10,0)&lt;=0,"Mất hiệu lực",VLOOKUP(B12,KTVBV20namMH!$B$4:$M$243,10,0))</f>
        <v>Mất hiệu lực</v>
      </c>
      <c r="K12" s="306"/>
      <c r="L12" s="306" t="str">
        <f t="shared" ca="1" si="0"/>
        <v>Mất hiệu lực</v>
      </c>
      <c r="M12" s="306" t="str">
        <f ca="1">L12</f>
        <v>Mất hiệu lực</v>
      </c>
    </row>
    <row r="13" spans="2:16" s="307" customFormat="1" ht="12" customHeight="1">
      <c r="B13" s="304">
        <v>7</v>
      </c>
      <c r="C13" s="304">
        <f>IF(ROW(A7)&gt;'Tinh phi QL'!$D$12,"",ROW(A7))</f>
        <v>7</v>
      </c>
      <c r="D13" s="305">
        <f t="shared" ca="1" si="1"/>
        <v>36</v>
      </c>
      <c r="E13" s="306">
        <f ca="1">IF(IFERROR(--TRIM(C13),0)=0,0,'Tinh phi QL'!$H$12/1000)</f>
        <v>0</v>
      </c>
      <c r="F13" s="306">
        <f ca="1">E13*98.8%</f>
        <v>0</v>
      </c>
      <c r="G13" s="306">
        <f ca="1">KTVBVGTTKcamket!G13</f>
        <v>7495</v>
      </c>
      <c r="H13" s="306">
        <f ca="1">MAX('Tinh phi QL'!$E$12/1000,J13)</f>
        <v>0</v>
      </c>
      <c r="I13" s="306"/>
      <c r="J13" s="306" t="str">
        <f ca="1">IF(VLOOKUP(B13,KTVBV20namMH!$B$4:$M$243,10,0)&lt;=0,"Mất hiệu lực",VLOOKUP(B13,KTVBV20namMH!$B$4:$M$243,10,0))</f>
        <v>Mất hiệu lực</v>
      </c>
      <c r="K13" s="306"/>
      <c r="L13" s="306" t="str">
        <f t="shared" ca="1" si="0"/>
        <v>Mất hiệu lực</v>
      </c>
      <c r="M13" s="306" t="str">
        <f t="shared" ref="M13:M26" ca="1" si="2">L13</f>
        <v>Mất hiệu lực</v>
      </c>
    </row>
    <row r="14" spans="2:16" s="307" customFormat="1" ht="12" customHeight="1">
      <c r="B14" s="304">
        <v>8</v>
      </c>
      <c r="C14" s="304">
        <f>IF(ROW(A8)&gt;'Tinh phi QL'!$D$12,"",ROW(A8))</f>
        <v>8</v>
      </c>
      <c r="D14" s="305">
        <f t="shared" ca="1" si="1"/>
        <v>37</v>
      </c>
      <c r="E14" s="306">
        <f ca="1">IF(IFERROR(--TRIM(C14),0)=0,0,'Tinh phi QL'!$H$12/1000)</f>
        <v>0</v>
      </c>
      <c r="F14" s="306">
        <f ca="1">E14*98.8%</f>
        <v>0</v>
      </c>
      <c r="G14" s="306">
        <f ca="1">KTVBVGTTKcamket!G14</f>
        <v>7495</v>
      </c>
      <c r="H14" s="306">
        <f ca="1">MAX('Tinh phi QL'!$E$12/1000,J14)</f>
        <v>0</v>
      </c>
      <c r="I14" s="306"/>
      <c r="J14" s="306" t="str">
        <f ca="1">IF(VLOOKUP(B14,KTVBV20namMH!$B$4:$M$243,10,0)&lt;=0,"Mất hiệu lực",VLOOKUP(B14,KTVBV20namMH!$B$4:$M$243,10,0))</f>
        <v>Mất hiệu lực</v>
      </c>
      <c r="K14" s="306"/>
      <c r="L14" s="306" t="str">
        <f t="shared" ca="1" si="0"/>
        <v>Mất hiệu lực</v>
      </c>
      <c r="M14" s="306" t="str">
        <f t="shared" ca="1" si="2"/>
        <v>Mất hiệu lực</v>
      </c>
    </row>
    <row r="15" spans="2:16" s="307" customFormat="1" ht="12" customHeight="1">
      <c r="B15" s="304">
        <v>9</v>
      </c>
      <c r="C15" s="304">
        <f>IF(ROW(A9)&gt;'Tinh phi QL'!$D$12,"",ROW(A9))</f>
        <v>9</v>
      </c>
      <c r="D15" s="305">
        <f t="shared" ca="1" si="1"/>
        <v>38</v>
      </c>
      <c r="E15" s="306">
        <f ca="1">IF(IFERROR(--TRIM(C15),0)=0,0,'Tinh phi QL'!$H$12/1000)</f>
        <v>0</v>
      </c>
      <c r="F15" s="306">
        <f ca="1">E15*98.8%</f>
        <v>0</v>
      </c>
      <c r="G15" s="306">
        <f ca="1">KTVBVGTTKcamket!G15</f>
        <v>7495</v>
      </c>
      <c r="H15" s="306">
        <f ca="1">MAX('Tinh phi QL'!$E$12/1000,J15)</f>
        <v>0</v>
      </c>
      <c r="I15" s="306"/>
      <c r="J15" s="306" t="str">
        <f ca="1">IF(VLOOKUP(B15,KTVBV20namMH!$B$4:$M$243,10,0)&lt;=0,"Mất hiệu lực",VLOOKUP(B15,KTVBV20namMH!$B$4:$M$243,10,0))</f>
        <v>Mất hiệu lực</v>
      </c>
      <c r="K15" s="306"/>
      <c r="L15" s="306" t="str">
        <f t="shared" ca="1" si="0"/>
        <v>Mất hiệu lực</v>
      </c>
      <c r="M15" s="306" t="str">
        <f t="shared" ca="1" si="2"/>
        <v>Mất hiệu lực</v>
      </c>
    </row>
    <row r="16" spans="2:16" s="328" customFormat="1" ht="12" customHeight="1">
      <c r="B16" s="308">
        <v>10</v>
      </c>
      <c r="C16" s="312">
        <f>IF(ROW(A10)&gt;'Tinh phi QL'!$D$12,"",ROW(A10))</f>
        <v>10</v>
      </c>
      <c r="D16" s="309">
        <f t="shared" ca="1" si="1"/>
        <v>39</v>
      </c>
      <c r="E16" s="311">
        <f ca="1">IF(IFERROR(--TRIM(C16),0)=0,0,'Tinh phi QL'!$H$12/1000)</f>
        <v>0</v>
      </c>
      <c r="F16" s="311">
        <f ca="1">E16*98.8%</f>
        <v>0</v>
      </c>
      <c r="G16" s="311">
        <f ca="1">KTVBVGTTKcamket!G16</f>
        <v>7495</v>
      </c>
      <c r="H16" s="311">
        <f ca="1">MAX('Tinh phi QL'!$E$12/1000,J16)</f>
        <v>0</v>
      </c>
      <c r="I16" s="311">
        <f ca="1">KTVBV20namMH!I112</f>
        <v>0</v>
      </c>
      <c r="J16" s="311" t="str">
        <f ca="1">IF(VLOOKUP(B16,KTVBV20namMH!$B$4:$M$243,10,0)&lt;=0,"Mất hiệu lực",VLOOKUP(B16,KTVBV20namMH!$B$4:$M$243,10,0))</f>
        <v>Mất hiệu lực</v>
      </c>
      <c r="K16" s="310"/>
      <c r="L16" s="311" t="str">
        <f t="shared" ca="1" si="0"/>
        <v>Mất hiệu lực</v>
      </c>
      <c r="M16" s="311" t="str">
        <f t="shared" ca="1" si="2"/>
        <v>Mất hiệu lực</v>
      </c>
    </row>
    <row r="17" spans="2:13" s="307" customFormat="1" ht="12" customHeight="1">
      <c r="B17" s="304">
        <v>11</v>
      </c>
      <c r="C17" s="304">
        <f>IF(ROW(A11)&gt;'Tinh phi QL'!$D$12,"",ROW(A11))</f>
        <v>11</v>
      </c>
      <c r="D17" s="305">
        <f t="shared" ca="1" si="1"/>
        <v>40</v>
      </c>
      <c r="E17" s="306">
        <f ca="1">IF(IFERROR(--TRIM(C17),0)=0,0,'Tinh phi QL'!$H$12/1000)</f>
        <v>0</v>
      </c>
      <c r="F17" s="306">
        <f ca="1">E17</f>
        <v>0</v>
      </c>
      <c r="G17" s="306">
        <f ca="1">KTVBVGTTKcamket!G17</f>
        <v>8533</v>
      </c>
      <c r="H17" s="306">
        <f ca="1">MAX('Tinh phi QL'!$E$12/1000,J17)</f>
        <v>0</v>
      </c>
      <c r="I17" s="306"/>
      <c r="J17" s="306" t="str">
        <f ca="1">IF(VLOOKUP(B17,KTVBV20namMH!$B$4:$M$243,10,0)&lt;=0,"Mất hiệu lực",VLOOKUP(B17,KTVBV20namMH!$B$4:$M$243,10,0))</f>
        <v>Mất hiệu lực</v>
      </c>
      <c r="K17" s="306"/>
      <c r="L17" s="306" t="str">
        <f t="shared" ca="1" si="0"/>
        <v>Mất hiệu lực</v>
      </c>
      <c r="M17" s="306" t="str">
        <f t="shared" ca="1" si="2"/>
        <v>Mất hiệu lực</v>
      </c>
    </row>
    <row r="18" spans="2:13" s="307" customFormat="1" ht="12" customHeight="1">
      <c r="B18" s="304">
        <v>12</v>
      </c>
      <c r="C18" s="304">
        <f>IF(ROW(A12)&gt;'Tinh phi QL'!$D$12,"",ROW(A12))</f>
        <v>12</v>
      </c>
      <c r="D18" s="305">
        <f t="shared" ca="1" si="1"/>
        <v>41</v>
      </c>
      <c r="E18" s="306">
        <f ca="1">IF(IFERROR(--TRIM(C18),0)=0,0,'Tinh phi QL'!$H$12/1000)</f>
        <v>0</v>
      </c>
      <c r="F18" s="306">
        <f t="shared" ref="F18:F26" ca="1" si="3">E18</f>
        <v>0</v>
      </c>
      <c r="G18" s="306">
        <f ca="1">KTVBVGTTKcamket!G18</f>
        <v>8533</v>
      </c>
      <c r="H18" s="306">
        <f ca="1">MAX('Tinh phi QL'!$E$12/1000,J18)</f>
        <v>0</v>
      </c>
      <c r="I18" s="306"/>
      <c r="J18" s="306" t="str">
        <f ca="1">IF(VLOOKUP(B18,KTVBV20namMH!$B$4:$M$243,10,0)&lt;=0,"Mất hiệu lực",VLOOKUP(B18,KTVBV20namMH!$B$4:$M$243,10,0))</f>
        <v>Mất hiệu lực</v>
      </c>
      <c r="K18" s="306"/>
      <c r="L18" s="306" t="str">
        <f t="shared" ca="1" si="0"/>
        <v>Mất hiệu lực</v>
      </c>
      <c r="M18" s="306" t="str">
        <f t="shared" ca="1" si="2"/>
        <v>Mất hiệu lực</v>
      </c>
    </row>
    <row r="19" spans="2:13" s="307" customFormat="1" ht="12" customHeight="1">
      <c r="B19" s="304">
        <v>13</v>
      </c>
      <c r="C19" s="304">
        <f>IF(ROW(A13)&gt;'Tinh phi QL'!$D$12,"",ROW(A13))</f>
        <v>13</v>
      </c>
      <c r="D19" s="305">
        <f t="shared" ca="1" si="1"/>
        <v>42</v>
      </c>
      <c r="E19" s="306">
        <f ca="1">IF(IFERROR(--TRIM(C19),0)=0,0,'Tinh phi QL'!$H$12/1000)</f>
        <v>0</v>
      </c>
      <c r="F19" s="306">
        <f t="shared" ca="1" si="3"/>
        <v>0</v>
      </c>
      <c r="G19" s="306">
        <f ca="1">KTVBVGTTKcamket!G19</f>
        <v>8533</v>
      </c>
      <c r="H19" s="306">
        <f ca="1">MAX('Tinh phi QL'!$E$12/1000,J19)</f>
        <v>0</v>
      </c>
      <c r="I19" s="306"/>
      <c r="J19" s="306" t="str">
        <f ca="1">IF(VLOOKUP(B19,KTVBV20namMH!$B$4:$M$243,10,0)&lt;=0,"Mất hiệu lực",VLOOKUP(B19,KTVBV20namMH!$B$4:$M$243,10,0))</f>
        <v>Mất hiệu lực</v>
      </c>
      <c r="K19" s="306"/>
      <c r="L19" s="306" t="str">
        <f t="shared" ca="1" si="0"/>
        <v>Mất hiệu lực</v>
      </c>
      <c r="M19" s="306" t="str">
        <f t="shared" ca="1" si="2"/>
        <v>Mất hiệu lực</v>
      </c>
    </row>
    <row r="20" spans="2:13" s="307" customFormat="1" ht="12" customHeight="1">
      <c r="B20" s="304">
        <v>14</v>
      </c>
      <c r="C20" s="304">
        <f>IF(ROW(A14)&gt;'Tinh phi QL'!$D$12,"",ROW(A14))</f>
        <v>14</v>
      </c>
      <c r="D20" s="305">
        <f t="shared" ca="1" si="1"/>
        <v>43</v>
      </c>
      <c r="E20" s="306">
        <f ca="1">IF(IFERROR(--TRIM(C20),0)=0,0,'Tinh phi QL'!$H$12/1000)</f>
        <v>0</v>
      </c>
      <c r="F20" s="306">
        <f t="shared" ca="1" si="3"/>
        <v>0</v>
      </c>
      <c r="G20" s="306">
        <f ca="1">KTVBVGTTKcamket!G20</f>
        <v>8533</v>
      </c>
      <c r="H20" s="306">
        <f ca="1">MAX('Tinh phi QL'!$E$12/1000,J20)</f>
        <v>0</v>
      </c>
      <c r="I20" s="306"/>
      <c r="J20" s="306" t="str">
        <f ca="1">IF(VLOOKUP(B20,KTVBV20namMH!$B$4:$M$243,10,0)&lt;=0,"Mất hiệu lực",VLOOKUP(B20,KTVBV20namMH!$B$4:$M$243,10,0))</f>
        <v>Mất hiệu lực</v>
      </c>
      <c r="K20" s="306"/>
      <c r="L20" s="306" t="str">
        <f t="shared" ca="1" si="0"/>
        <v>Mất hiệu lực</v>
      </c>
      <c r="M20" s="306" t="str">
        <f t="shared" ca="1" si="2"/>
        <v>Mất hiệu lực</v>
      </c>
    </row>
    <row r="21" spans="2:13" s="328" customFormat="1" ht="12" customHeight="1">
      <c r="B21" s="312">
        <v>15</v>
      </c>
      <c r="C21" s="312">
        <f>IF(ROW(A15)&gt;'Tinh phi QL'!$D$12,"",ROW(A15))</f>
        <v>15</v>
      </c>
      <c r="D21" s="313">
        <f t="shared" ca="1" si="1"/>
        <v>44</v>
      </c>
      <c r="E21" s="311">
        <f ca="1">IF(IFERROR(--TRIM(C21),0)=0,0,'Tinh phi QL'!$H$12/1000)</f>
        <v>0</v>
      </c>
      <c r="F21" s="311">
        <f t="shared" ca="1" si="3"/>
        <v>0</v>
      </c>
      <c r="G21" s="311">
        <f ca="1">KTVBVGTTKcamket!G21</f>
        <v>8533</v>
      </c>
      <c r="H21" s="311">
        <f ca="1">MAX('Tinh phi QL'!$E$12/1000,J21)</f>
        <v>0</v>
      </c>
      <c r="I21" s="311"/>
      <c r="J21" s="311" t="str">
        <f ca="1">IF(VLOOKUP(B21,KTVBV20namMH!$B$4:$M$243,10,0)&lt;=0,"Mất hiệu lực",VLOOKUP(B21,KTVBV20namMH!$B$4:$M$243,10,0))</f>
        <v>Mất hiệu lực</v>
      </c>
      <c r="K21" s="311"/>
      <c r="L21" s="311" t="str">
        <f t="shared" ca="1" si="0"/>
        <v>Mất hiệu lực</v>
      </c>
      <c r="M21" s="311" t="str">
        <f t="shared" ca="1" si="2"/>
        <v>Mất hiệu lực</v>
      </c>
    </row>
    <row r="22" spans="2:13" s="307" customFormat="1" ht="12" customHeight="1">
      <c r="B22" s="304">
        <v>16</v>
      </c>
      <c r="C22" s="304" t="str">
        <f>IF(ROW(A16)&gt;'Tinh phi QL'!$D$12,"",ROW(A16))</f>
        <v/>
      </c>
      <c r="D22" s="305">
        <f t="shared" ca="1" si="1"/>
        <v>45</v>
      </c>
      <c r="E22" s="306">
        <f>IF(IFERROR(--TRIM(C22),0)=0,0,'Tinh phi QL'!$H$12/1000)</f>
        <v>0</v>
      </c>
      <c r="F22" s="306">
        <f t="shared" si="3"/>
        <v>0</v>
      </c>
      <c r="G22" s="306">
        <f ca="1">KTVBVGTTKcamket!G22</f>
        <v>10469</v>
      </c>
      <c r="H22" s="306">
        <f ca="1">MAX('Tinh phi QL'!$E$12/1000,J22)</f>
        <v>0</v>
      </c>
      <c r="I22" s="306"/>
      <c r="J22" s="306" t="str">
        <f ca="1">IF(VLOOKUP(B22,KTVBV20namMH!$B$4:$M$243,10,0)&lt;=0,"Mất hiệu lực",VLOOKUP(B22,KTVBV20namMH!$B$4:$M$243,10,0))</f>
        <v>Mất hiệu lực</v>
      </c>
      <c r="K22" s="306"/>
      <c r="L22" s="306" t="str">
        <f t="shared" ca="1" si="0"/>
        <v>Mất hiệu lực</v>
      </c>
      <c r="M22" s="306" t="str">
        <f t="shared" ca="1" si="2"/>
        <v>Mất hiệu lực</v>
      </c>
    </row>
    <row r="23" spans="2:13" s="307" customFormat="1" ht="12" customHeight="1">
      <c r="B23" s="304">
        <v>17</v>
      </c>
      <c r="C23" s="304" t="str">
        <f>IF(ROW(A17)&gt;'Tinh phi QL'!$D$12,"",ROW(A17))</f>
        <v/>
      </c>
      <c r="D23" s="305">
        <f t="shared" ca="1" si="1"/>
        <v>46</v>
      </c>
      <c r="E23" s="306">
        <f>IF(IFERROR(--TRIM(C23),0)=0,0,'Tinh phi QL'!$H$12/1000)</f>
        <v>0</v>
      </c>
      <c r="F23" s="306">
        <f t="shared" si="3"/>
        <v>0</v>
      </c>
      <c r="G23" s="306">
        <f ca="1">KTVBVGTTKcamket!G23</f>
        <v>10469</v>
      </c>
      <c r="H23" s="306">
        <f ca="1">MAX('Tinh phi QL'!$E$12/1000,J23)</f>
        <v>0</v>
      </c>
      <c r="I23" s="306"/>
      <c r="J23" s="306" t="str">
        <f ca="1">IF(VLOOKUP(B23,KTVBV20namMH!$B$4:$M$243,10,0)&lt;=0,"Mất hiệu lực",VLOOKUP(B23,KTVBV20namMH!$B$4:$M$243,10,0))</f>
        <v>Mất hiệu lực</v>
      </c>
      <c r="K23" s="306"/>
      <c r="L23" s="306" t="str">
        <f t="shared" ca="1" si="0"/>
        <v>Mất hiệu lực</v>
      </c>
      <c r="M23" s="306" t="str">
        <f t="shared" ca="1" si="2"/>
        <v>Mất hiệu lực</v>
      </c>
    </row>
    <row r="24" spans="2:13" s="307" customFormat="1" ht="12" customHeight="1">
      <c r="B24" s="304">
        <v>18</v>
      </c>
      <c r="C24" s="304" t="str">
        <f>IF(ROW(A18)&gt;'Tinh phi QL'!$D$12,"",ROW(A18))</f>
        <v/>
      </c>
      <c r="D24" s="305">
        <f t="shared" ca="1" si="1"/>
        <v>47</v>
      </c>
      <c r="E24" s="306">
        <f>IF(IFERROR(--TRIM(C24),0)=0,0,'Tinh phi QL'!$H$12/1000)</f>
        <v>0</v>
      </c>
      <c r="F24" s="306">
        <f t="shared" si="3"/>
        <v>0</v>
      </c>
      <c r="G24" s="306">
        <f ca="1">KTVBVGTTKcamket!G24</f>
        <v>10469</v>
      </c>
      <c r="H24" s="306">
        <f ca="1">MAX('Tinh phi QL'!$E$12/1000,J24)</f>
        <v>0</v>
      </c>
      <c r="I24" s="306"/>
      <c r="J24" s="306" t="str">
        <f ca="1">IF(VLOOKUP(B24,KTVBV20namMH!$B$4:$M$243,10,0)&lt;=0,"Mất hiệu lực",VLOOKUP(B24,KTVBV20namMH!$B$4:$M$243,10,0))</f>
        <v>Mất hiệu lực</v>
      </c>
      <c r="K24" s="306"/>
      <c r="L24" s="306" t="str">
        <f t="shared" ca="1" si="0"/>
        <v>Mất hiệu lực</v>
      </c>
      <c r="M24" s="306" t="str">
        <f t="shared" ca="1" si="2"/>
        <v>Mất hiệu lực</v>
      </c>
    </row>
    <row r="25" spans="2:13" s="307" customFormat="1" ht="12" customHeight="1">
      <c r="B25" s="304">
        <v>19</v>
      </c>
      <c r="C25" s="304" t="str">
        <f>IF(ROW(A19)&gt;'Tinh phi QL'!$D$12,"",ROW(A19))</f>
        <v/>
      </c>
      <c r="D25" s="305">
        <f t="shared" ca="1" si="1"/>
        <v>48</v>
      </c>
      <c r="E25" s="306">
        <f>IF(IFERROR(--TRIM(C25),0)=0,0,'Tinh phi QL'!$H$12/1000)</f>
        <v>0</v>
      </c>
      <c r="F25" s="306">
        <f t="shared" si="3"/>
        <v>0</v>
      </c>
      <c r="G25" s="306">
        <f ca="1">KTVBVGTTKcamket!G25</f>
        <v>10469</v>
      </c>
      <c r="H25" s="306">
        <f ca="1">MAX('Tinh phi QL'!$E$12/1000,J25)</f>
        <v>0</v>
      </c>
      <c r="I25" s="306"/>
      <c r="J25" s="306" t="str">
        <f ca="1">IF(VLOOKUP(B25,KTVBV20namMH!$B$4:$M$243,10,0)&lt;=0,"Mất hiệu lực",VLOOKUP(B25,KTVBV20namMH!$B$4:$M$243,10,0))</f>
        <v>Mất hiệu lực</v>
      </c>
      <c r="K25" s="306"/>
      <c r="L25" s="306" t="str">
        <f t="shared" ca="1" si="0"/>
        <v>Mất hiệu lực</v>
      </c>
      <c r="M25" s="306" t="str">
        <f t="shared" ca="1" si="2"/>
        <v>Mất hiệu lực</v>
      </c>
    </row>
    <row r="26" spans="2:13" s="328" customFormat="1" ht="12" customHeight="1">
      <c r="B26" s="312">
        <v>20</v>
      </c>
      <c r="C26" s="312" t="str">
        <f>IF(ROW(A20)&gt;'Tinh phi QL'!$D$12,"",ROW(A20))</f>
        <v/>
      </c>
      <c r="D26" s="313">
        <f t="shared" ca="1" si="1"/>
        <v>49</v>
      </c>
      <c r="E26" s="311">
        <f>IF(IFERROR(--TRIM(C26),0)=0,0,'Tinh phi QL'!$H$12/1000)</f>
        <v>0</v>
      </c>
      <c r="F26" s="311">
        <f t="shared" si="3"/>
        <v>0</v>
      </c>
      <c r="G26" s="311">
        <f ca="1">KTVBVGTTKcamket!G26</f>
        <v>10469</v>
      </c>
      <c r="H26" s="311">
        <f ca="1">MAX('Tinh phi QL'!$E$12/1000,J26)</f>
        <v>0</v>
      </c>
      <c r="I26" s="311">
        <f ca="1">KTVBV20namMH!I232</f>
        <v>0</v>
      </c>
      <c r="J26" s="311" t="str">
        <f ca="1">IF(VLOOKUP(B26,KTVBV20namMH!$B$4:$M$243,10,0)&lt;=0,"Mất hiệu lực",VLOOKUP(B26,KTVBV20namMH!$B$4:$M$243,10,0))</f>
        <v>Mất hiệu lực</v>
      </c>
      <c r="K26" s="311"/>
      <c r="L26" s="311" t="str">
        <f t="shared" ca="1" si="0"/>
        <v>Mất hiệu lực</v>
      </c>
      <c r="M26" s="311" t="str">
        <f t="shared" ca="1" si="2"/>
        <v>Mất hiệu lực</v>
      </c>
    </row>
  </sheetData>
  <sheetProtection selectLockedCells="1"/>
  <mergeCells count="13">
    <mergeCell ref="O2:P2"/>
    <mergeCell ref="O3:P3"/>
    <mergeCell ref="C5:C6"/>
    <mergeCell ref="D5:D6"/>
    <mergeCell ref="E5:E6"/>
    <mergeCell ref="F5:F6"/>
    <mergeCell ref="G5:G6"/>
    <mergeCell ref="B2:E3"/>
    <mergeCell ref="B4:L4"/>
    <mergeCell ref="B5:B6"/>
    <mergeCell ref="H5:M5"/>
    <mergeCell ref="F2:L3"/>
    <mergeCell ref="M2:M3"/>
  </mergeCells>
  <conditionalFormatting sqref="B7:I26">
    <cfRule type="expression" dxfId="273" priority="1">
      <formula>MOD(ROW(),2)&gt;0</formula>
    </cfRule>
    <cfRule type="expression" dxfId="272" priority="2">
      <formula>"mod(row(),2).0"</formula>
    </cfRule>
  </conditionalFormatting>
  <conditionalFormatting sqref="J7:J26">
    <cfRule type="cellIs" dxfId="271" priority="17" operator="lessThan">
      <formula>0</formula>
    </cfRule>
  </conditionalFormatting>
  <conditionalFormatting sqref="J7:M26">
    <cfRule type="expression" dxfId="270" priority="19">
      <formula>MOD(ROW(),2)&gt;0</formula>
    </cfRule>
    <cfRule type="expression" dxfId="269" priority="20">
      <formula>"mod(row(),2).0"</formula>
    </cfRule>
  </conditionalFormatting>
  <conditionalFormatting sqref="L1:M1 M2 M4">
    <cfRule type="cellIs" dxfId="268" priority="21" operator="lessThan">
      <formula>0</formula>
    </cfRule>
  </conditionalFormatting>
  <conditionalFormatting sqref="L6:M1048576">
    <cfRule type="cellIs" dxfId="267" priority="18" operator="lessThan">
      <formula>0</formula>
    </cfRule>
  </conditionalFormatting>
  <conditionalFormatting sqref="O3:P3">
    <cfRule type="containsText" dxfId="266" priority="22" operator="containsText" text="Chỉ">
      <formula>NOT(ISERROR(SEARCH("Chỉ",O3)))</formula>
    </cfRule>
    <cfRule type="containsText" dxfId="265" priority="23" operator="containsText" text="Phải">
      <formula>NOT(ISERROR(SEARCH("Phải",O3)))</formula>
    </cfRule>
  </conditionalFormatting>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5D682-FF49-496D-8BB5-5ED7148A1431}">
  <dimension ref="B1:P26"/>
  <sheetViews>
    <sheetView showGridLines="0" workbookViewId="0"/>
  </sheetViews>
  <sheetFormatPr defaultColWidth="8.19921875" defaultRowHeight="14.5"/>
  <cols>
    <col min="1" max="1" width="3.69921875" style="301" customWidth="1"/>
    <col min="2" max="2" width="6" style="301" customWidth="1"/>
    <col min="3" max="3" width="9" style="301" customWidth="1"/>
    <col min="4" max="4" width="6" style="301" customWidth="1"/>
    <col min="5" max="5" width="15.19921875" style="301" customWidth="1"/>
    <col min="6" max="6" width="19.296875" style="301" customWidth="1"/>
    <col min="7" max="7" width="19.796875" style="301" customWidth="1"/>
    <col min="8" max="8" width="23.19921875" style="301" customWidth="1"/>
    <col min="9" max="12" width="18.19921875" style="301" customWidth="1"/>
    <col min="13" max="13" width="17.69921875" style="301" customWidth="1"/>
    <col min="14" max="14" width="18.19921875" style="301" customWidth="1"/>
    <col min="15" max="15" width="8.19921875" style="301"/>
    <col min="16" max="16" width="12.796875" style="301" customWidth="1"/>
    <col min="17" max="16384" width="8.19921875" style="301"/>
  </cols>
  <sheetData>
    <row r="1" spans="2:16" ht="6" customHeight="1"/>
    <row r="2" spans="2:16" ht="9.75" customHeight="1">
      <c r="B2" s="915" t="s">
        <v>856</v>
      </c>
      <c r="C2" s="915"/>
      <c r="D2" s="915"/>
      <c r="E2" s="915"/>
      <c r="F2" s="915"/>
      <c r="G2" s="916"/>
      <c r="H2" s="909" t="s">
        <v>695</v>
      </c>
      <c r="I2" s="909"/>
      <c r="J2" s="909"/>
      <c r="K2" s="909"/>
      <c r="L2" s="909"/>
      <c r="M2" s="909"/>
      <c r="N2" s="302"/>
      <c r="O2" s="910"/>
      <c r="P2" s="910"/>
    </row>
    <row r="3" spans="2:16" ht="5.25" customHeight="1">
      <c r="B3" s="915"/>
      <c r="C3" s="915"/>
      <c r="D3" s="915"/>
      <c r="E3" s="915"/>
      <c r="F3" s="915"/>
      <c r="G3" s="916"/>
      <c r="H3" s="909"/>
      <c r="I3" s="909"/>
      <c r="J3" s="909"/>
      <c r="K3" s="909"/>
      <c r="L3" s="909"/>
      <c r="M3" s="909"/>
      <c r="N3" s="302"/>
      <c r="O3" s="910"/>
      <c r="P3" s="910"/>
    </row>
    <row r="4" spans="2:16" ht="11.25" customHeight="1">
      <c r="B4" s="917" t="s">
        <v>689</v>
      </c>
      <c r="C4" s="917"/>
      <c r="D4" s="917"/>
      <c r="E4" s="917"/>
      <c r="F4" s="917"/>
      <c r="G4" s="917"/>
      <c r="H4" s="917"/>
      <c r="I4" s="917"/>
      <c r="J4" s="917"/>
      <c r="K4" s="917"/>
      <c r="L4" s="917"/>
      <c r="M4" s="303" t="s">
        <v>712</v>
      </c>
    </row>
    <row r="5" spans="2:16" ht="14.25" customHeight="1">
      <c r="B5" s="931" t="s">
        <v>670</v>
      </c>
      <c r="C5" s="931" t="s">
        <v>842</v>
      </c>
      <c r="D5" s="931" t="s">
        <v>1</v>
      </c>
      <c r="E5" s="931" t="s">
        <v>692</v>
      </c>
      <c r="F5" s="931" t="s">
        <v>693</v>
      </c>
      <c r="G5" s="933" t="s">
        <v>694</v>
      </c>
      <c r="H5" s="928" t="s">
        <v>690</v>
      </c>
      <c r="I5" s="929"/>
      <c r="J5" s="929"/>
      <c r="K5" s="929"/>
      <c r="L5" s="929"/>
      <c r="M5" s="930"/>
    </row>
    <row r="6" spans="2:16" ht="24" customHeight="1">
      <c r="B6" s="932"/>
      <c r="C6" s="932"/>
      <c r="D6" s="932"/>
      <c r="E6" s="932"/>
      <c r="F6" s="932"/>
      <c r="G6" s="934"/>
      <c r="H6" s="317" t="s">
        <v>700</v>
      </c>
      <c r="I6" s="317" t="s">
        <v>696</v>
      </c>
      <c r="J6" s="317" t="s">
        <v>697</v>
      </c>
      <c r="K6" s="317" t="s">
        <v>698</v>
      </c>
      <c r="L6" s="317" t="s">
        <v>699</v>
      </c>
      <c r="M6" s="317" t="s">
        <v>701</v>
      </c>
    </row>
    <row r="7" spans="2:16" s="307" customFormat="1" ht="12" customHeight="1">
      <c r="B7" s="304">
        <v>1</v>
      </c>
      <c r="C7" s="304">
        <f>IF(ROW(A1)&gt;'Tinh phi QL'!$D$12,"",ROW(A1))</f>
        <v>1</v>
      </c>
      <c r="D7" s="305">
        <f ca="1">'Tinh phi QL'!I8</f>
        <v>30</v>
      </c>
      <c r="E7" s="306">
        <f ca="1">IF(IFERROR(--TRIM(C7),0)=0,0,'Tinh phi QL'!$H$12/1000)</f>
        <v>0</v>
      </c>
      <c r="F7" s="306">
        <f ca="1">E7*90%</f>
        <v>0</v>
      </c>
      <c r="G7" s="306">
        <f ca="1">KTVBVPhi20nam!AI4</f>
        <v>6571</v>
      </c>
      <c r="H7" s="306">
        <f ca="1">MAX('Tinh phi QL'!$E$12/1000,J7)</f>
        <v>0</v>
      </c>
      <c r="I7" s="306"/>
      <c r="J7" s="306" t="str">
        <f ca="1">IF(VLOOKUP(B7,KTVTU20namcamket!$B$4:$M$243,10,0)&lt;=0,"Mất hiệu lực",VLOOKUP(B7,KTVTU20namcamket!$B$4:$M$243,10,0))</f>
        <v>Mất hiệu lực</v>
      </c>
      <c r="K7" s="306"/>
      <c r="L7" s="306" t="str">
        <f ca="1">J7</f>
        <v>Mất hiệu lực</v>
      </c>
      <c r="M7" s="306" t="e">
        <f ca="1">IF(L7-100%*E7&gt;0,L7-100%*E7,0)</f>
        <v>#VALUE!</v>
      </c>
    </row>
    <row r="8" spans="2:16" s="307" customFormat="1" ht="12" customHeight="1">
      <c r="B8" s="304">
        <v>2</v>
      </c>
      <c r="C8" s="304">
        <f>IF(ROW(A2)&gt;'Tinh phi QL'!$D$12,"",ROW(A2))</f>
        <v>2</v>
      </c>
      <c r="D8" s="305">
        <f ca="1">D7+1</f>
        <v>31</v>
      </c>
      <c r="E8" s="306">
        <f ca="1">IF(IFERROR(--TRIM(C8),0)=0,0,'Tinh phi QL'!$H$12/1000)</f>
        <v>0</v>
      </c>
      <c r="F8" s="306">
        <f ca="1">E8*100%</f>
        <v>0</v>
      </c>
      <c r="G8" s="306">
        <f ca="1">KTVBVPhi20nam!AI5</f>
        <v>6571</v>
      </c>
      <c r="H8" s="306">
        <f ca="1">MAX('Tinh phi QL'!$E$12/1000,J8)</f>
        <v>0</v>
      </c>
      <c r="I8" s="306"/>
      <c r="J8" s="306" t="str">
        <f ca="1">IF(VLOOKUP(B8,KTVTU20namcamket!$B$4:$M$243,10,0)&lt;=0,"Mất hiệu lực",VLOOKUP(B8,KTVTU20namcamket!$B$4:$M$243,10,0))</f>
        <v>Mất hiệu lực</v>
      </c>
      <c r="K8" s="306"/>
      <c r="L8" s="306" t="str">
        <f t="shared" ref="L8:L26" ca="1" si="0">J8</f>
        <v>Mất hiệu lực</v>
      </c>
      <c r="M8" s="306" t="e">
        <f ca="1">IF(L8-100%*E8&gt;0,L8-100%*E8,0)</f>
        <v>#VALUE!</v>
      </c>
    </row>
    <row r="9" spans="2:16" s="307" customFormat="1" ht="12" customHeight="1">
      <c r="B9" s="304">
        <v>3</v>
      </c>
      <c r="C9" s="304">
        <f>IF(ROW(A3)&gt;'Tinh phi QL'!$D$12,"",ROW(A3))</f>
        <v>3</v>
      </c>
      <c r="D9" s="305">
        <f t="shared" ref="D9:D26" ca="1" si="1">D8+1</f>
        <v>32</v>
      </c>
      <c r="E9" s="306">
        <f ca="1">IF(IFERROR(--TRIM(C9),0)=0,0,'Tinh phi QL'!$H$12/1000)</f>
        <v>0</v>
      </c>
      <c r="F9" s="306">
        <f t="shared" ref="F9:F26" ca="1" si="2">E9*100%</f>
        <v>0</v>
      </c>
      <c r="G9" s="306">
        <f ca="1">KTVBVPhi20nam!AI6</f>
        <v>6571</v>
      </c>
      <c r="H9" s="306">
        <f ca="1">MAX('Tinh phi QL'!$E$12/1000,J9)</f>
        <v>0</v>
      </c>
      <c r="I9" s="306"/>
      <c r="J9" s="306" t="str">
        <f ca="1">IF(VLOOKUP(B9,KTVTU20namcamket!$B$4:$M$243,10,0)&lt;=0,"Mất hiệu lực",VLOOKUP(B9,KTVTU20namcamket!$B$4:$M$243,10,0))</f>
        <v>Mất hiệu lực</v>
      </c>
      <c r="K9" s="306"/>
      <c r="L9" s="306" t="str">
        <f t="shared" ca="1" si="0"/>
        <v>Mất hiệu lực</v>
      </c>
      <c r="M9" s="306" t="e">
        <f ca="1">L9-40%*E9</f>
        <v>#VALUE!</v>
      </c>
    </row>
    <row r="10" spans="2:16" s="307" customFormat="1" ht="12" customHeight="1">
      <c r="B10" s="304">
        <v>4</v>
      </c>
      <c r="C10" s="304">
        <f>IF(ROW(A4)&gt;'Tinh phi QL'!$D$12,"",ROW(A4))</f>
        <v>4</v>
      </c>
      <c r="D10" s="305">
        <f t="shared" ca="1" si="1"/>
        <v>33</v>
      </c>
      <c r="E10" s="306">
        <f ca="1">IF(IFERROR(--TRIM(C10),0)=0,0,'Tinh phi QL'!$H$12/1000)</f>
        <v>0</v>
      </c>
      <c r="F10" s="306">
        <f t="shared" ca="1" si="2"/>
        <v>0</v>
      </c>
      <c r="G10" s="306">
        <f ca="1">KTVBVPhi20nam!AI7</f>
        <v>6571</v>
      </c>
      <c r="H10" s="306">
        <f ca="1">MAX('Tinh phi QL'!$E$12/1000,J10)</f>
        <v>0</v>
      </c>
      <c r="I10" s="306"/>
      <c r="J10" s="306" t="str">
        <f ca="1">IF(VLOOKUP(B10,KTVTU20namcamket!$B$4:$M$243,10,0)&lt;=0,"Mất hiệu lực",VLOOKUP(B10,KTVTU20namcamket!$B$4:$M$243,10,0))</f>
        <v>Mất hiệu lực</v>
      </c>
      <c r="K10" s="306"/>
      <c r="L10" s="306" t="str">
        <f t="shared" ca="1" si="0"/>
        <v>Mất hiệu lực</v>
      </c>
      <c r="M10" s="306" t="e">
        <f ca="1">L10-25%*E10</f>
        <v>#VALUE!</v>
      </c>
    </row>
    <row r="11" spans="2:16" s="328" customFormat="1" ht="12" customHeight="1">
      <c r="B11" s="312">
        <v>5</v>
      </c>
      <c r="C11" s="312">
        <f>IF(ROW(A5)&gt;'Tinh phi QL'!$D$12,"",ROW(A5))</f>
        <v>5</v>
      </c>
      <c r="D11" s="313">
        <f t="shared" ca="1" si="1"/>
        <v>34</v>
      </c>
      <c r="E11" s="311">
        <f ca="1">IF(IFERROR(--TRIM(C11),0)=0,0,'Tinh phi QL'!$H$12/1000)</f>
        <v>0</v>
      </c>
      <c r="F11" s="311">
        <f t="shared" ca="1" si="2"/>
        <v>0</v>
      </c>
      <c r="G11" s="311">
        <f ca="1">KTVBVPhi20nam!AI8</f>
        <v>6571</v>
      </c>
      <c r="H11" s="311">
        <f ca="1">MAX('Tinh phi QL'!$E$12/1000,J11)</f>
        <v>0</v>
      </c>
      <c r="I11" s="311"/>
      <c r="J11" s="311" t="str">
        <f ca="1">IF(VLOOKUP(B11,KTVTU20namcamket!$B$4:$M$243,10,0)&lt;=0,"Mất hiệu lực",VLOOKUP(B11,KTVTU20namcamket!$B$4:$M$243,10,0))</f>
        <v>Mất hiệu lực</v>
      </c>
      <c r="K11" s="311"/>
      <c r="L11" s="311" t="str">
        <f t="shared" ca="1" si="0"/>
        <v>Mất hiệu lực</v>
      </c>
      <c r="M11" s="311" t="e">
        <f ca="1">L11-10%*E11</f>
        <v>#VALUE!</v>
      </c>
    </row>
    <row r="12" spans="2:16" s="307" customFormat="1" ht="12" customHeight="1">
      <c r="B12" s="304">
        <v>6</v>
      </c>
      <c r="C12" s="304">
        <f>IF(ROW(A6)&gt;'Tinh phi QL'!$D$12,"",ROW(A6))</f>
        <v>6</v>
      </c>
      <c r="D12" s="305">
        <f t="shared" ca="1" si="1"/>
        <v>35</v>
      </c>
      <c r="E12" s="306">
        <f ca="1">IF(IFERROR(--TRIM(C12),0)=0,0,'Tinh phi QL'!$H$12/1000)</f>
        <v>0</v>
      </c>
      <c r="F12" s="306">
        <f t="shared" ca="1" si="2"/>
        <v>0</v>
      </c>
      <c r="G12" s="306">
        <f ca="1">KTVBVPhi20nam!AI9</f>
        <v>7495</v>
      </c>
      <c r="H12" s="306">
        <f ca="1">MAX('Tinh phi QL'!$E$12/1000,J12)</f>
        <v>0</v>
      </c>
      <c r="I12" s="306"/>
      <c r="J12" s="306" t="str">
        <f ca="1">IF(VLOOKUP(B12,KTVTU20namcamket!$B$4:$M$243,10,0)&lt;=0,"Mất hiệu lực",VLOOKUP(B12,KTVTU20namcamket!$B$4:$M$243,10,0))</f>
        <v>Mất hiệu lực</v>
      </c>
      <c r="K12" s="306"/>
      <c r="L12" s="306" t="str">
        <f t="shared" ca="1" si="0"/>
        <v>Mất hiệu lực</v>
      </c>
      <c r="M12" s="306" t="str">
        <f ca="1">L12</f>
        <v>Mất hiệu lực</v>
      </c>
    </row>
    <row r="13" spans="2:16" s="307" customFormat="1" ht="12" customHeight="1">
      <c r="B13" s="304">
        <v>7</v>
      </c>
      <c r="C13" s="304">
        <f>IF(ROW(A7)&gt;'Tinh phi QL'!$D$12,"",ROW(A7))</f>
        <v>7</v>
      </c>
      <c r="D13" s="305">
        <f t="shared" ca="1" si="1"/>
        <v>36</v>
      </c>
      <c r="E13" s="306">
        <f ca="1">IF(IFERROR(--TRIM(C13),0)=0,0,'Tinh phi QL'!$H$12/1000)</f>
        <v>0</v>
      </c>
      <c r="F13" s="306">
        <f t="shared" ca="1" si="2"/>
        <v>0</v>
      </c>
      <c r="G13" s="306">
        <f ca="1">KTVBVPhi20nam!AI10</f>
        <v>7495</v>
      </c>
      <c r="H13" s="306">
        <f ca="1">MAX('Tinh phi QL'!$E$12/1000,J13)</f>
        <v>0</v>
      </c>
      <c r="I13" s="306"/>
      <c r="J13" s="306" t="str">
        <f ca="1">IF(VLOOKUP(B13,KTVTU20namcamket!$B$4:$M$243,10,0)&lt;=0,"Mất hiệu lực",VLOOKUP(B13,KTVTU20namcamket!$B$4:$M$243,10,0))</f>
        <v>Mất hiệu lực</v>
      </c>
      <c r="K13" s="306"/>
      <c r="L13" s="306" t="str">
        <f t="shared" ca="1" si="0"/>
        <v>Mất hiệu lực</v>
      </c>
      <c r="M13" s="306" t="str">
        <f t="shared" ref="M13:M26" ca="1" si="3">L13</f>
        <v>Mất hiệu lực</v>
      </c>
    </row>
    <row r="14" spans="2:16" s="307" customFormat="1" ht="12" customHeight="1">
      <c r="B14" s="304">
        <v>8</v>
      </c>
      <c r="C14" s="304">
        <f>IF(ROW(A8)&gt;'Tinh phi QL'!$D$12,"",ROW(A8))</f>
        <v>8</v>
      </c>
      <c r="D14" s="305">
        <f t="shared" ca="1" si="1"/>
        <v>37</v>
      </c>
      <c r="E14" s="306">
        <f ca="1">IF(IFERROR(--TRIM(C14),0)=0,0,'Tinh phi QL'!$H$12/1000)</f>
        <v>0</v>
      </c>
      <c r="F14" s="306">
        <f t="shared" ca="1" si="2"/>
        <v>0</v>
      </c>
      <c r="G14" s="306">
        <f ca="1">KTVBVPhi20nam!AI11</f>
        <v>7495</v>
      </c>
      <c r="H14" s="306">
        <f ca="1">MAX('Tinh phi QL'!$E$12/1000,J14)</f>
        <v>0</v>
      </c>
      <c r="I14" s="306"/>
      <c r="J14" s="306" t="str">
        <f ca="1">IF(VLOOKUP(B14,KTVTU20namcamket!$B$4:$M$243,10,0)&lt;=0,"Mất hiệu lực",VLOOKUP(B14,KTVTU20namcamket!$B$4:$M$243,10,0))</f>
        <v>Mất hiệu lực</v>
      </c>
      <c r="K14" s="306"/>
      <c r="L14" s="306" t="str">
        <f t="shared" ca="1" si="0"/>
        <v>Mất hiệu lực</v>
      </c>
      <c r="M14" s="306" t="str">
        <f t="shared" ca="1" si="3"/>
        <v>Mất hiệu lực</v>
      </c>
    </row>
    <row r="15" spans="2:16" s="307" customFormat="1" ht="12" customHeight="1">
      <c r="B15" s="304">
        <v>9</v>
      </c>
      <c r="C15" s="304">
        <f>IF(ROW(A9)&gt;'Tinh phi QL'!$D$12,"",ROW(A9))</f>
        <v>9</v>
      </c>
      <c r="D15" s="305">
        <f t="shared" ca="1" si="1"/>
        <v>38</v>
      </c>
      <c r="E15" s="306">
        <f ca="1">IF(IFERROR(--TRIM(C15),0)=0,0,'Tinh phi QL'!$H$12/1000)</f>
        <v>0</v>
      </c>
      <c r="F15" s="306">
        <f t="shared" ca="1" si="2"/>
        <v>0</v>
      </c>
      <c r="G15" s="306">
        <f ca="1">KTVBVPhi20nam!AI12</f>
        <v>7495</v>
      </c>
      <c r="H15" s="306">
        <f ca="1">MAX('Tinh phi QL'!$E$12/1000,J15)</f>
        <v>0</v>
      </c>
      <c r="I15" s="306"/>
      <c r="J15" s="306" t="str">
        <f ca="1">IF(VLOOKUP(B15,KTVTU20namcamket!$B$4:$M$243,10,0)&lt;=0,"Mất hiệu lực",VLOOKUP(B15,KTVTU20namcamket!$B$4:$M$243,10,0))</f>
        <v>Mất hiệu lực</v>
      </c>
      <c r="K15" s="306"/>
      <c r="L15" s="306" t="str">
        <f t="shared" ca="1" si="0"/>
        <v>Mất hiệu lực</v>
      </c>
      <c r="M15" s="306" t="str">
        <f t="shared" ca="1" si="3"/>
        <v>Mất hiệu lực</v>
      </c>
    </row>
    <row r="16" spans="2:16" s="328" customFormat="1" ht="12" customHeight="1">
      <c r="B16" s="308">
        <v>10</v>
      </c>
      <c r="C16" s="312">
        <f>IF(ROW(A10)&gt;'Tinh phi QL'!$D$12,"",ROW(A10))</f>
        <v>10</v>
      </c>
      <c r="D16" s="309">
        <f t="shared" ca="1" si="1"/>
        <v>39</v>
      </c>
      <c r="E16" s="311">
        <f ca="1">IF(IFERROR(--TRIM(C16),0)=0,0,'Tinh phi QL'!$H$12/1000)</f>
        <v>0</v>
      </c>
      <c r="F16" s="311">
        <f t="shared" ca="1" si="2"/>
        <v>0</v>
      </c>
      <c r="G16" s="311">
        <f ca="1">KTVBVPhi20nam!AI13</f>
        <v>7495</v>
      </c>
      <c r="H16" s="311">
        <f ca="1">MAX('Tinh phi QL'!$E$12/1000,J16)</f>
        <v>0</v>
      </c>
      <c r="I16" s="311">
        <f ca="1">KTVTU20namcamket!I112</f>
        <v>0</v>
      </c>
      <c r="J16" s="311" t="str">
        <f ca="1">IF(VLOOKUP(B16,KTVTU20namcamket!$B$4:$M$243,10,0)&lt;=0,"Mất hiệu lực",VLOOKUP(B16,KTVTU20namcamket!$B$4:$M$243,10,0))</f>
        <v>Mất hiệu lực</v>
      </c>
      <c r="K16" s="310"/>
      <c r="L16" s="311" t="str">
        <f t="shared" ca="1" si="0"/>
        <v>Mất hiệu lực</v>
      </c>
      <c r="M16" s="311" t="str">
        <f t="shared" ca="1" si="3"/>
        <v>Mất hiệu lực</v>
      </c>
    </row>
    <row r="17" spans="2:13" s="307" customFormat="1" ht="12" customHeight="1">
      <c r="B17" s="304">
        <v>11</v>
      </c>
      <c r="C17" s="304">
        <f>IF(ROW(A11)&gt;'Tinh phi QL'!$D$12,"",ROW(A11))</f>
        <v>11</v>
      </c>
      <c r="D17" s="305">
        <f t="shared" ca="1" si="1"/>
        <v>40</v>
      </c>
      <c r="E17" s="306">
        <f ca="1">IF(IFERROR(--TRIM(C17),0)=0,0,'Tinh phi QL'!$H$12/1000)</f>
        <v>0</v>
      </c>
      <c r="F17" s="306">
        <f t="shared" ca="1" si="2"/>
        <v>0</v>
      </c>
      <c r="G17" s="306">
        <f ca="1">KTVBVPhi20nam!AI14</f>
        <v>8533</v>
      </c>
      <c r="H17" s="306">
        <f ca="1">MAX('Tinh phi QL'!$E$12/1000,J17)</f>
        <v>0</v>
      </c>
      <c r="I17" s="306"/>
      <c r="J17" s="306" t="str">
        <f ca="1">IF(VLOOKUP(B17,KTVTU20namcamket!$B$4:$M$243,10,0)&lt;=0,"Mất hiệu lực",VLOOKUP(B17,KTVTU20namcamket!$B$4:$M$243,10,0))</f>
        <v>Mất hiệu lực</v>
      </c>
      <c r="K17" s="306"/>
      <c r="L17" s="306" t="str">
        <f t="shared" ca="1" si="0"/>
        <v>Mất hiệu lực</v>
      </c>
      <c r="M17" s="306" t="str">
        <f t="shared" ca="1" si="3"/>
        <v>Mất hiệu lực</v>
      </c>
    </row>
    <row r="18" spans="2:13" s="307" customFormat="1" ht="12" customHeight="1">
      <c r="B18" s="304">
        <v>12</v>
      </c>
      <c r="C18" s="304">
        <f>IF(ROW(A12)&gt;'Tinh phi QL'!$D$12,"",ROW(A12))</f>
        <v>12</v>
      </c>
      <c r="D18" s="305">
        <f t="shared" ca="1" si="1"/>
        <v>41</v>
      </c>
      <c r="E18" s="306">
        <f ca="1">IF(IFERROR(--TRIM(C18),0)=0,0,'Tinh phi QL'!$H$12/1000)</f>
        <v>0</v>
      </c>
      <c r="F18" s="306">
        <f t="shared" ca="1" si="2"/>
        <v>0</v>
      </c>
      <c r="G18" s="306">
        <f ca="1">KTVBVPhi20nam!AI15</f>
        <v>8533</v>
      </c>
      <c r="H18" s="306">
        <f ca="1">MAX('Tinh phi QL'!$E$12/1000,J18)</f>
        <v>0</v>
      </c>
      <c r="I18" s="306"/>
      <c r="J18" s="306" t="str">
        <f ca="1">IF(VLOOKUP(B18,KTVTU20namcamket!$B$4:$M$243,10,0)&lt;=0,"Mất hiệu lực",VLOOKUP(B18,KTVTU20namcamket!$B$4:$M$243,10,0))</f>
        <v>Mất hiệu lực</v>
      </c>
      <c r="K18" s="306"/>
      <c r="L18" s="306" t="str">
        <f t="shared" ca="1" si="0"/>
        <v>Mất hiệu lực</v>
      </c>
      <c r="M18" s="306" t="str">
        <f t="shared" ca="1" si="3"/>
        <v>Mất hiệu lực</v>
      </c>
    </row>
    <row r="19" spans="2:13" s="307" customFormat="1" ht="12" customHeight="1">
      <c r="B19" s="304">
        <v>13</v>
      </c>
      <c r="C19" s="304">
        <f>IF(ROW(A13)&gt;'Tinh phi QL'!$D$12,"",ROW(A13))</f>
        <v>13</v>
      </c>
      <c r="D19" s="305">
        <f t="shared" ca="1" si="1"/>
        <v>42</v>
      </c>
      <c r="E19" s="306">
        <f ca="1">IF(IFERROR(--TRIM(C19),0)=0,0,'Tinh phi QL'!$H$12/1000)</f>
        <v>0</v>
      </c>
      <c r="F19" s="306">
        <f t="shared" ca="1" si="2"/>
        <v>0</v>
      </c>
      <c r="G19" s="306">
        <f ca="1">KTVBVPhi20nam!AI16</f>
        <v>8533</v>
      </c>
      <c r="H19" s="306">
        <f ca="1">MAX('Tinh phi QL'!$E$12/1000,J19)</f>
        <v>0</v>
      </c>
      <c r="I19" s="306"/>
      <c r="J19" s="306" t="str">
        <f ca="1">IF(VLOOKUP(B19,KTVTU20namcamket!$B$4:$M$243,10,0)&lt;=0,"Mất hiệu lực",VLOOKUP(B19,KTVTU20namcamket!$B$4:$M$243,10,0))</f>
        <v>Mất hiệu lực</v>
      </c>
      <c r="K19" s="306"/>
      <c r="L19" s="306" t="str">
        <f t="shared" ca="1" si="0"/>
        <v>Mất hiệu lực</v>
      </c>
      <c r="M19" s="306" t="str">
        <f t="shared" ca="1" si="3"/>
        <v>Mất hiệu lực</v>
      </c>
    </row>
    <row r="20" spans="2:13" s="307" customFormat="1" ht="12" customHeight="1">
      <c r="B20" s="304">
        <v>14</v>
      </c>
      <c r="C20" s="304">
        <f>IF(ROW(A14)&gt;'Tinh phi QL'!$D$12,"",ROW(A14))</f>
        <v>14</v>
      </c>
      <c r="D20" s="305">
        <f t="shared" ca="1" si="1"/>
        <v>43</v>
      </c>
      <c r="E20" s="306">
        <f ca="1">IF(IFERROR(--TRIM(C20),0)=0,0,'Tinh phi QL'!$H$12/1000)</f>
        <v>0</v>
      </c>
      <c r="F20" s="306">
        <f t="shared" ca="1" si="2"/>
        <v>0</v>
      </c>
      <c r="G20" s="306">
        <f ca="1">KTVBVPhi20nam!AI17</f>
        <v>8533</v>
      </c>
      <c r="H20" s="306">
        <f ca="1">MAX('Tinh phi QL'!$E$12/1000,J20)</f>
        <v>0</v>
      </c>
      <c r="I20" s="306"/>
      <c r="J20" s="306" t="str">
        <f ca="1">IF(VLOOKUP(B20,KTVTU20namcamket!$B$4:$M$243,10,0)&lt;=0,"Mất hiệu lực",VLOOKUP(B20,KTVTU20namcamket!$B$4:$M$243,10,0))</f>
        <v>Mất hiệu lực</v>
      </c>
      <c r="K20" s="306"/>
      <c r="L20" s="306" t="str">
        <f t="shared" ca="1" si="0"/>
        <v>Mất hiệu lực</v>
      </c>
      <c r="M20" s="306" t="str">
        <f t="shared" ca="1" si="3"/>
        <v>Mất hiệu lực</v>
      </c>
    </row>
    <row r="21" spans="2:13" s="328" customFormat="1" ht="12" customHeight="1">
      <c r="B21" s="312">
        <v>15</v>
      </c>
      <c r="C21" s="312">
        <f>IF(ROW(A15)&gt;'Tinh phi QL'!$D$12,"",ROW(A15))</f>
        <v>15</v>
      </c>
      <c r="D21" s="313">
        <f t="shared" ca="1" si="1"/>
        <v>44</v>
      </c>
      <c r="E21" s="311">
        <f ca="1">IF(IFERROR(--TRIM(C21),0)=0,0,'Tinh phi QL'!$H$12/1000)</f>
        <v>0</v>
      </c>
      <c r="F21" s="311">
        <f t="shared" ca="1" si="2"/>
        <v>0</v>
      </c>
      <c r="G21" s="311">
        <f ca="1">KTVBVPhi20nam!AI18</f>
        <v>8533</v>
      </c>
      <c r="H21" s="311">
        <f ca="1">MAX('Tinh phi QL'!$E$12/1000,J21)</f>
        <v>0</v>
      </c>
      <c r="I21" s="311"/>
      <c r="J21" s="311" t="str">
        <f ca="1">IF(VLOOKUP(B21,KTVTU20namcamket!$B$4:$M$243,10,0)&lt;=0,"Mất hiệu lực",VLOOKUP(B21,KTVTU20namcamket!$B$4:$M$243,10,0))</f>
        <v>Mất hiệu lực</v>
      </c>
      <c r="K21" s="311"/>
      <c r="L21" s="311" t="str">
        <f t="shared" ca="1" si="0"/>
        <v>Mất hiệu lực</v>
      </c>
      <c r="M21" s="311" t="str">
        <f t="shared" ca="1" si="3"/>
        <v>Mất hiệu lực</v>
      </c>
    </row>
    <row r="22" spans="2:13" s="307" customFormat="1" ht="12" customHeight="1">
      <c r="B22" s="304">
        <v>16</v>
      </c>
      <c r="C22" s="304" t="str">
        <f>IF(ROW(A16)&gt;'Tinh phi QL'!$D$12,"",ROW(A16))</f>
        <v/>
      </c>
      <c r="D22" s="305">
        <f t="shared" ca="1" si="1"/>
        <v>45</v>
      </c>
      <c r="E22" s="306">
        <f>IF(IFERROR(--TRIM(C22),0)=0,0,'Tinh phi QL'!$H$12/1000)</f>
        <v>0</v>
      </c>
      <c r="F22" s="306">
        <f t="shared" si="2"/>
        <v>0</v>
      </c>
      <c r="G22" s="306">
        <f ca="1">KTVBVPhi20nam!AI19</f>
        <v>10469</v>
      </c>
      <c r="H22" s="306">
        <f ca="1">MAX('Tinh phi QL'!$E$12/1000,J22)</f>
        <v>0</v>
      </c>
      <c r="I22" s="306"/>
      <c r="J22" s="306" t="str">
        <f ca="1">IF(VLOOKUP(B22,KTVTU20namcamket!$B$4:$M$243,10,0)&lt;=0,"Mất hiệu lực",VLOOKUP(B22,KTVTU20namcamket!$B$4:$M$243,10,0))</f>
        <v>Mất hiệu lực</v>
      </c>
      <c r="K22" s="306"/>
      <c r="L22" s="306" t="str">
        <f t="shared" ca="1" si="0"/>
        <v>Mất hiệu lực</v>
      </c>
      <c r="M22" s="306" t="str">
        <f t="shared" ca="1" si="3"/>
        <v>Mất hiệu lực</v>
      </c>
    </row>
    <row r="23" spans="2:13" s="307" customFormat="1" ht="12" customHeight="1">
      <c r="B23" s="304">
        <v>17</v>
      </c>
      <c r="C23" s="304" t="str">
        <f>IF(ROW(A17)&gt;'Tinh phi QL'!$D$12,"",ROW(A17))</f>
        <v/>
      </c>
      <c r="D23" s="305">
        <f t="shared" ca="1" si="1"/>
        <v>46</v>
      </c>
      <c r="E23" s="306">
        <f>IF(IFERROR(--TRIM(C23),0)=0,0,'Tinh phi QL'!$H$12/1000)</f>
        <v>0</v>
      </c>
      <c r="F23" s="306">
        <f t="shared" si="2"/>
        <v>0</v>
      </c>
      <c r="G23" s="306">
        <f ca="1">KTVBVPhi20nam!AI20</f>
        <v>10469</v>
      </c>
      <c r="H23" s="306">
        <f ca="1">MAX('Tinh phi QL'!$E$12/1000,J23)</f>
        <v>0</v>
      </c>
      <c r="I23" s="306"/>
      <c r="J23" s="306" t="str">
        <f ca="1">IF(VLOOKUP(B23,KTVTU20namcamket!$B$4:$M$243,10,0)&lt;=0,"Mất hiệu lực",VLOOKUP(B23,KTVTU20namcamket!$B$4:$M$243,10,0))</f>
        <v>Mất hiệu lực</v>
      </c>
      <c r="K23" s="306"/>
      <c r="L23" s="306" t="str">
        <f t="shared" ca="1" si="0"/>
        <v>Mất hiệu lực</v>
      </c>
      <c r="M23" s="306" t="str">
        <f t="shared" ca="1" si="3"/>
        <v>Mất hiệu lực</v>
      </c>
    </row>
    <row r="24" spans="2:13" s="307" customFormat="1" ht="12" customHeight="1">
      <c r="B24" s="304">
        <v>18</v>
      </c>
      <c r="C24" s="304" t="str">
        <f>IF(ROW(A18)&gt;'Tinh phi QL'!$D$12,"",ROW(A18))</f>
        <v/>
      </c>
      <c r="D24" s="305">
        <f t="shared" ca="1" si="1"/>
        <v>47</v>
      </c>
      <c r="E24" s="306">
        <f>IF(IFERROR(--TRIM(C24),0)=0,0,'Tinh phi QL'!$H$12/1000)</f>
        <v>0</v>
      </c>
      <c r="F24" s="306">
        <f t="shared" si="2"/>
        <v>0</v>
      </c>
      <c r="G24" s="306">
        <f ca="1">KTVBVPhi20nam!AI21</f>
        <v>10469</v>
      </c>
      <c r="H24" s="306">
        <f ca="1">MAX('Tinh phi QL'!$E$12/1000,J24)</f>
        <v>0</v>
      </c>
      <c r="I24" s="306"/>
      <c r="J24" s="306" t="str">
        <f ca="1">IF(VLOOKUP(B24,KTVTU20namcamket!$B$4:$M$243,10,0)&lt;=0,"Mất hiệu lực",VLOOKUP(B24,KTVTU20namcamket!$B$4:$M$243,10,0))</f>
        <v>Mất hiệu lực</v>
      </c>
      <c r="K24" s="306"/>
      <c r="L24" s="306" t="str">
        <f t="shared" ca="1" si="0"/>
        <v>Mất hiệu lực</v>
      </c>
      <c r="M24" s="306" t="str">
        <f t="shared" ca="1" si="3"/>
        <v>Mất hiệu lực</v>
      </c>
    </row>
    <row r="25" spans="2:13" s="307" customFormat="1" ht="12" customHeight="1">
      <c r="B25" s="304">
        <v>19</v>
      </c>
      <c r="C25" s="304" t="str">
        <f>IF(ROW(A19)&gt;'Tinh phi QL'!$D$12,"",ROW(A19))</f>
        <v/>
      </c>
      <c r="D25" s="305">
        <f t="shared" ca="1" si="1"/>
        <v>48</v>
      </c>
      <c r="E25" s="306">
        <f>IF(IFERROR(--TRIM(C25),0)=0,0,'Tinh phi QL'!$H$12/1000)</f>
        <v>0</v>
      </c>
      <c r="F25" s="306">
        <f t="shared" si="2"/>
        <v>0</v>
      </c>
      <c r="G25" s="306">
        <f ca="1">KTVBVPhi20nam!AI22</f>
        <v>10469</v>
      </c>
      <c r="H25" s="306">
        <f ca="1">MAX('Tinh phi QL'!$E$12/1000,J25)</f>
        <v>0</v>
      </c>
      <c r="I25" s="306"/>
      <c r="J25" s="306" t="str">
        <f ca="1">IF(VLOOKUP(B25,KTVTU20namcamket!$B$4:$M$243,10,0)&lt;=0,"Mất hiệu lực",VLOOKUP(B25,KTVTU20namcamket!$B$4:$M$243,10,0))</f>
        <v>Mất hiệu lực</v>
      </c>
      <c r="K25" s="306"/>
      <c r="L25" s="306" t="str">
        <f t="shared" ca="1" si="0"/>
        <v>Mất hiệu lực</v>
      </c>
      <c r="M25" s="306" t="str">
        <f t="shared" ca="1" si="3"/>
        <v>Mất hiệu lực</v>
      </c>
    </row>
    <row r="26" spans="2:13" s="328" customFormat="1" ht="12" customHeight="1">
      <c r="B26" s="312">
        <v>20</v>
      </c>
      <c r="C26" s="312" t="str">
        <f>IF(ROW(A20)&gt;'Tinh phi QL'!$D$12,"",ROW(A20))</f>
        <v/>
      </c>
      <c r="D26" s="313">
        <f t="shared" ca="1" si="1"/>
        <v>49</v>
      </c>
      <c r="E26" s="311">
        <f>IF(IFERROR(--TRIM(C26),0)=0,0,'Tinh phi QL'!$H$12/1000)</f>
        <v>0</v>
      </c>
      <c r="F26" s="306">
        <f t="shared" si="2"/>
        <v>0</v>
      </c>
      <c r="G26" s="311">
        <f ca="1">KTVBVPhi20nam!AI23</f>
        <v>10469</v>
      </c>
      <c r="H26" s="311">
        <f ca="1">MAX('Tinh phi QL'!$E$12/1000,J26)</f>
        <v>0</v>
      </c>
      <c r="I26" s="311">
        <f ca="1">KTVTU20namcamket!I232</f>
        <v>0</v>
      </c>
      <c r="J26" s="311" t="str">
        <f ca="1">IF(VLOOKUP(B26,KTVTU20namcamket!$B$4:$M$243,10,0)&lt;=0,"Mất hiệu lực",VLOOKUP(B26,KTVTU20namcamket!$B$4:$M$243,10,0))</f>
        <v>Mất hiệu lực</v>
      </c>
      <c r="K26" s="311"/>
      <c r="L26" s="311" t="str">
        <f t="shared" ca="1" si="0"/>
        <v>Mất hiệu lực</v>
      </c>
      <c r="M26" s="311" t="str">
        <f t="shared" ca="1" si="3"/>
        <v>Mất hiệu lực</v>
      </c>
    </row>
  </sheetData>
  <sheetProtection selectLockedCells="1"/>
  <mergeCells count="12">
    <mergeCell ref="G5:G6"/>
    <mergeCell ref="H5:M5"/>
    <mergeCell ref="B2:G3"/>
    <mergeCell ref="H2:M3"/>
    <mergeCell ref="O2:P2"/>
    <mergeCell ref="O3:P3"/>
    <mergeCell ref="B4:L4"/>
    <mergeCell ref="B5:B6"/>
    <mergeCell ref="C5:C6"/>
    <mergeCell ref="D5:D6"/>
    <mergeCell ref="E5:E6"/>
    <mergeCell ref="F5:F6"/>
  </mergeCells>
  <conditionalFormatting sqref="B7:G26">
    <cfRule type="expression" dxfId="264" priority="1">
      <formula>MOD(ROW(),2)&gt;0</formula>
    </cfRule>
    <cfRule type="expression" dxfId="263" priority="2">
      <formula>"mod(row(),2).0"</formula>
    </cfRule>
  </conditionalFormatting>
  <conditionalFormatting sqref="H16:I26">
    <cfRule type="expression" dxfId="262" priority="5">
      <formula>MOD(ROW(),2)&gt;0</formula>
    </cfRule>
    <cfRule type="expression" dxfId="261" priority="6">
      <formula>"mod(row(),2).0"</formula>
    </cfRule>
  </conditionalFormatting>
  <conditionalFormatting sqref="H7:M15 J16:M26">
    <cfRule type="expression" dxfId="260" priority="9">
      <formula>MOD(ROW(),2)&gt;0</formula>
    </cfRule>
    <cfRule type="expression" dxfId="259" priority="10">
      <formula>"mod(row(),2).0"</formula>
    </cfRule>
  </conditionalFormatting>
  <conditionalFormatting sqref="J7:J26">
    <cfRule type="cellIs" dxfId="258" priority="7" operator="lessThan">
      <formula>0</formula>
    </cfRule>
  </conditionalFormatting>
  <conditionalFormatting sqref="L1:M3 M4">
    <cfRule type="cellIs" dxfId="257" priority="11" operator="lessThan">
      <formula>0</formula>
    </cfRule>
  </conditionalFormatting>
  <conditionalFormatting sqref="L6:M1048576">
    <cfRule type="cellIs" dxfId="256" priority="8" operator="lessThan">
      <formula>0</formula>
    </cfRule>
  </conditionalFormatting>
  <conditionalFormatting sqref="O3:P3">
    <cfRule type="containsText" dxfId="255" priority="12" operator="containsText" text="Chỉ">
      <formula>NOT(ISERROR(SEARCH("Chỉ",O3)))</formula>
    </cfRule>
    <cfRule type="containsText" dxfId="254" priority="13" operator="containsText" text="Phải">
      <formula>NOT(ISERROR(SEARCH("Phải",O3)))</formula>
    </cfRule>
  </conditionalFormatting>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1C8BC-261E-4135-942E-0C8E42BC92EE}">
  <dimension ref="B1:P26"/>
  <sheetViews>
    <sheetView showGridLines="0" zoomScale="70" zoomScaleNormal="70" workbookViewId="0"/>
  </sheetViews>
  <sheetFormatPr defaultColWidth="8.19921875" defaultRowHeight="14.5"/>
  <cols>
    <col min="1" max="1" width="3.69921875" style="301" customWidth="1"/>
    <col min="2" max="2" width="5.19921875" style="301" customWidth="1"/>
    <col min="3" max="3" width="9" style="301" customWidth="1"/>
    <col min="4" max="4" width="8.5" style="301" customWidth="1"/>
    <col min="5" max="5" width="15.19921875" style="301" customWidth="1"/>
    <col min="6" max="6" width="19.296875" style="301" customWidth="1"/>
    <col min="7" max="7" width="16.19921875" style="301" customWidth="1"/>
    <col min="8" max="8" width="23.19921875" style="301" customWidth="1"/>
    <col min="9" max="12" width="18.19921875" style="301" customWidth="1"/>
    <col min="13" max="13" width="17.69921875" style="301" customWidth="1"/>
    <col min="14" max="14" width="18.19921875" style="301" customWidth="1"/>
    <col min="15" max="15" width="8.19921875" style="301"/>
    <col min="16" max="16" width="12.796875" style="301" customWidth="1"/>
    <col min="17" max="16384" width="8.19921875" style="301"/>
  </cols>
  <sheetData>
    <row r="1" spans="2:16" ht="6" customHeight="1"/>
    <row r="2" spans="2:16" ht="9.75" customHeight="1">
      <c r="B2" s="915" t="s">
        <v>800</v>
      </c>
      <c r="C2" s="915"/>
      <c r="D2" s="915"/>
      <c r="E2" s="915"/>
      <c r="F2" s="915"/>
      <c r="G2" s="916"/>
      <c r="H2" s="909" t="s">
        <v>695</v>
      </c>
      <c r="I2" s="909"/>
      <c r="J2" s="909"/>
      <c r="K2" s="909"/>
      <c r="L2" s="909"/>
      <c r="M2" s="909"/>
      <c r="N2" s="302"/>
      <c r="O2" s="910"/>
      <c r="P2" s="910"/>
    </row>
    <row r="3" spans="2:16" ht="9" customHeight="1">
      <c r="B3" s="915"/>
      <c r="C3" s="915"/>
      <c r="D3" s="915"/>
      <c r="E3" s="915"/>
      <c r="F3" s="915"/>
      <c r="G3" s="916"/>
      <c r="H3" s="909"/>
      <c r="I3" s="909"/>
      <c r="J3" s="909"/>
      <c r="K3" s="909"/>
      <c r="L3" s="909"/>
      <c r="M3" s="909"/>
      <c r="N3" s="302"/>
      <c r="O3" s="910"/>
      <c r="P3" s="910"/>
    </row>
    <row r="4" spans="2:16" ht="17.25" customHeight="1">
      <c r="B4" s="944" t="s">
        <v>689</v>
      </c>
      <c r="C4" s="944"/>
      <c r="D4" s="944"/>
      <c r="E4" s="944"/>
      <c r="F4" s="944"/>
      <c r="G4" s="944"/>
      <c r="H4" s="944"/>
      <c r="I4" s="944"/>
      <c r="J4" s="944"/>
      <c r="K4" s="944"/>
      <c r="L4" s="944"/>
      <c r="M4" s="303" t="s">
        <v>712</v>
      </c>
    </row>
    <row r="5" spans="2:16" ht="13.5" customHeight="1">
      <c r="B5" s="931" t="s">
        <v>670</v>
      </c>
      <c r="C5" s="931" t="s">
        <v>842</v>
      </c>
      <c r="D5" s="931" t="s">
        <v>1</v>
      </c>
      <c r="E5" s="931" t="s">
        <v>692</v>
      </c>
      <c r="F5" s="931" t="s">
        <v>693</v>
      </c>
      <c r="G5" s="933" t="s">
        <v>694</v>
      </c>
      <c r="H5" s="928" t="s">
        <v>690</v>
      </c>
      <c r="I5" s="929"/>
      <c r="J5" s="929"/>
      <c r="K5" s="929"/>
      <c r="L5" s="929"/>
      <c r="M5" s="930"/>
    </row>
    <row r="6" spans="2:16" ht="24" customHeight="1">
      <c r="B6" s="932"/>
      <c r="C6" s="932"/>
      <c r="D6" s="932"/>
      <c r="E6" s="932"/>
      <c r="F6" s="932"/>
      <c r="G6" s="934"/>
      <c r="H6" s="317" t="s">
        <v>700</v>
      </c>
      <c r="I6" s="317" t="s">
        <v>696</v>
      </c>
      <c r="J6" s="317" t="s">
        <v>697</v>
      </c>
      <c r="K6" s="317" t="s">
        <v>698</v>
      </c>
      <c r="L6" s="317" t="s">
        <v>699</v>
      </c>
      <c r="M6" s="317" t="s">
        <v>701</v>
      </c>
    </row>
    <row r="7" spans="2:16" s="307" customFormat="1" ht="12" customHeight="1">
      <c r="B7" s="304">
        <v>1</v>
      </c>
      <c r="C7" s="304">
        <f>IF(ROW(A1)&gt;'Tinh phi QL'!$D$12,"",ROW(A1))</f>
        <v>1</v>
      </c>
      <c r="D7" s="305">
        <f ca="1">'Tinh phi QL'!I8</f>
        <v>30</v>
      </c>
      <c r="E7" s="306">
        <f ca="1">IF(IFERROR(--TRIM(C7),0)=0,0,'Tinh phi QL'!$H$12/1000)</f>
        <v>0</v>
      </c>
      <c r="F7" s="306">
        <f ca="1">E7*50%</f>
        <v>0</v>
      </c>
      <c r="G7" s="306">
        <f ca="1">KTVBVPhi20nam!AI4</f>
        <v>6571</v>
      </c>
      <c r="H7" s="306">
        <f ca="1">MAX('Tinh phi QL'!$E$12/1000,J7)</f>
        <v>0</v>
      </c>
      <c r="I7" s="306"/>
      <c r="J7" s="306" t="str">
        <f ca="1">IF(VLOOKUP(B7,KTVTD20namcamket!$B$4:$M$243,10,0)&lt;=0,"Mất hiệu lực",VLOOKUP(B7,KTVTD20namcamket!$B$4:$M$243,10,0))</f>
        <v>Mất hiệu lực</v>
      </c>
      <c r="K7" s="306"/>
      <c r="L7" s="306" t="str">
        <f ca="1">J7</f>
        <v>Mất hiệu lực</v>
      </c>
      <c r="M7" s="306" t="e">
        <f ca="1">IF(L7-100%*E7&gt;0,L7-100%*E7,0)</f>
        <v>#VALUE!</v>
      </c>
    </row>
    <row r="8" spans="2:16" s="307" customFormat="1" ht="12" customHeight="1">
      <c r="B8" s="304">
        <v>2</v>
      </c>
      <c r="C8" s="304">
        <f>IF(ROW(A2)&gt;'Tinh phi QL'!$D$12,"",ROW(A2))</f>
        <v>2</v>
      </c>
      <c r="D8" s="305">
        <f ca="1">D7+1</f>
        <v>31</v>
      </c>
      <c r="E8" s="306">
        <f ca="1">IF(IFERROR(--TRIM(C8),0)=0,0,'Tinh phi QL'!$H$12/1000)</f>
        <v>0</v>
      </c>
      <c r="F8" s="306">
        <f ca="1">E8*70%</f>
        <v>0</v>
      </c>
      <c r="G8" s="306">
        <f ca="1">KTVBVPhi20nam!AI5</f>
        <v>6571</v>
      </c>
      <c r="H8" s="306">
        <f ca="1">MAX('Tinh phi QL'!$E$12/1000,J8)</f>
        <v>0</v>
      </c>
      <c r="I8" s="306"/>
      <c r="J8" s="306" t="str">
        <f ca="1">IF(VLOOKUP(B8,KTVTD20namcamket!$B$4:$M$243,10,0)&lt;=0,"Mất hiệu lực",VLOOKUP(B8,KTVTD20namcamket!$B$4:$M$243,10,0))</f>
        <v>Mất hiệu lực</v>
      </c>
      <c r="K8" s="306"/>
      <c r="L8" s="306" t="str">
        <f t="shared" ref="L8:L26" ca="1" si="0">J8</f>
        <v>Mất hiệu lực</v>
      </c>
      <c r="M8" s="306" t="e">
        <f ca="1">IF(L8-100%*E8&gt;0,L8-100%*E8,0)</f>
        <v>#VALUE!</v>
      </c>
    </row>
    <row r="9" spans="2:16" s="307" customFormat="1" ht="12" customHeight="1">
      <c r="B9" s="304">
        <v>3</v>
      </c>
      <c r="C9" s="304">
        <f>IF(ROW(A3)&gt;'Tinh phi QL'!$D$12,"",ROW(A3))</f>
        <v>3</v>
      </c>
      <c r="D9" s="305">
        <f t="shared" ref="D9:D26" ca="1" si="1">D8+1</f>
        <v>32</v>
      </c>
      <c r="E9" s="306">
        <f ca="1">IF(IFERROR(--TRIM(C9),0)=0,0,'Tinh phi QL'!$H$12/1000)</f>
        <v>0</v>
      </c>
      <c r="F9" s="306">
        <f ca="1">E9*80%</f>
        <v>0</v>
      </c>
      <c r="G9" s="306">
        <f ca="1">KTVBVPhi20nam!AI6</f>
        <v>6571</v>
      </c>
      <c r="H9" s="306">
        <f ca="1">MAX('Tinh phi QL'!$E$12/1000,J9)</f>
        <v>0</v>
      </c>
      <c r="I9" s="306"/>
      <c r="J9" s="306" t="str">
        <f ca="1">IF(VLOOKUP(B9,KTVTD20namcamket!$B$4:$M$243,10,0)&lt;=0,"Mất hiệu lực",VLOOKUP(B9,KTVTD20namcamket!$B$4:$M$243,10,0))</f>
        <v>Mất hiệu lực</v>
      </c>
      <c r="K9" s="306"/>
      <c r="L9" s="306" t="str">
        <f t="shared" ca="1" si="0"/>
        <v>Mất hiệu lực</v>
      </c>
      <c r="M9" s="306" t="e">
        <f ca="1">L9-45%*E9</f>
        <v>#VALUE!</v>
      </c>
    </row>
    <row r="10" spans="2:16" s="307" customFormat="1" ht="12" customHeight="1">
      <c r="B10" s="304">
        <v>4</v>
      </c>
      <c r="C10" s="304">
        <f>IF(ROW(A4)&gt;'Tinh phi QL'!$D$12,"",ROW(A4))</f>
        <v>4</v>
      </c>
      <c r="D10" s="305">
        <f t="shared" ca="1" si="1"/>
        <v>33</v>
      </c>
      <c r="E10" s="306">
        <f ca="1">IF(IFERROR(--TRIM(C10),0)=0,0,'Tinh phi QL'!$H$12/1000)</f>
        <v>0</v>
      </c>
      <c r="F10" s="306">
        <f ca="1">E10*80%</f>
        <v>0</v>
      </c>
      <c r="G10" s="306">
        <f ca="1">KTVBVPhi20nam!AI7</f>
        <v>6571</v>
      </c>
      <c r="H10" s="306">
        <f ca="1">MAX('Tinh phi QL'!$E$12/1000,J10)</f>
        <v>0</v>
      </c>
      <c r="I10" s="306"/>
      <c r="J10" s="306" t="str">
        <f ca="1">IF(VLOOKUP(B10,KTVTD20namcamket!$B$4:$M$243,10,0)&lt;=0,"Mất hiệu lực",VLOOKUP(B10,KTVTD20namcamket!$B$4:$M$243,10,0))</f>
        <v>Mất hiệu lực</v>
      </c>
      <c r="K10" s="306"/>
      <c r="L10" s="306" t="str">
        <f t="shared" ca="1" si="0"/>
        <v>Mất hiệu lực</v>
      </c>
      <c r="M10" s="306" t="e">
        <f ca="1">L10-30%*E10</f>
        <v>#VALUE!</v>
      </c>
    </row>
    <row r="11" spans="2:16" s="328" customFormat="1" ht="12" customHeight="1">
      <c r="B11" s="312">
        <v>5</v>
      </c>
      <c r="C11" s="304">
        <f>IF(ROW(A5)&gt;'Tinh phi QL'!$D$12,"",ROW(A5))</f>
        <v>5</v>
      </c>
      <c r="D11" s="313">
        <f t="shared" ca="1" si="1"/>
        <v>34</v>
      </c>
      <c r="E11" s="306">
        <f ca="1">IF(IFERROR(--TRIM(C11),0)=0,0,'Tinh phi QL'!$H$12/1000)</f>
        <v>0</v>
      </c>
      <c r="F11" s="311">
        <f ca="1">E11*80%</f>
        <v>0</v>
      </c>
      <c r="G11" s="311">
        <f ca="1">KTVBVPhi20nam!AI8</f>
        <v>6571</v>
      </c>
      <c r="H11" s="311">
        <f ca="1">MAX('Tinh phi QL'!$E$12/1000,J11)</f>
        <v>0</v>
      </c>
      <c r="I11" s="311"/>
      <c r="J11" s="311" t="str">
        <f ca="1">IF(VLOOKUP(B11,KTVTD20namcamket!$B$4:$M$243,10,0)&lt;=0,"Mất hiệu lực",VLOOKUP(B11,KTVTD20namcamket!$B$4:$M$243,10,0))</f>
        <v>Mất hiệu lực</v>
      </c>
      <c r="K11" s="311"/>
      <c r="L11" s="311" t="str">
        <f t="shared" ca="1" si="0"/>
        <v>Mất hiệu lực</v>
      </c>
      <c r="M11" s="311" t="e">
        <f ca="1">L11-20%*E11</f>
        <v>#VALUE!</v>
      </c>
    </row>
    <row r="12" spans="2:16" s="307" customFormat="1" ht="12" customHeight="1">
      <c r="B12" s="304">
        <v>6</v>
      </c>
      <c r="C12" s="304">
        <f>IF(ROW(A6)&gt;'Tinh phi QL'!$D$12,"",ROW(A6))</f>
        <v>6</v>
      </c>
      <c r="D12" s="305">
        <f t="shared" ca="1" si="1"/>
        <v>35</v>
      </c>
      <c r="E12" s="306">
        <f ca="1">IF(IFERROR(--TRIM(C12),0)=0,0,'Tinh phi QL'!$H$12/1000)</f>
        <v>0</v>
      </c>
      <c r="F12" s="306">
        <f ca="1">E12*98%</f>
        <v>0</v>
      </c>
      <c r="G12" s="306">
        <f ca="1">KTVBVPhi20nam!AI9</f>
        <v>7495</v>
      </c>
      <c r="H12" s="306">
        <f ca="1">MAX('Tinh phi QL'!$E$12/1000,J12)</f>
        <v>0</v>
      </c>
      <c r="I12" s="306"/>
      <c r="J12" s="306" t="str">
        <f ca="1">IF(VLOOKUP(B12,KTVTD20namcamket!$B$4:$M$243,10,0)&lt;=0,"Mất hiệu lực",VLOOKUP(B12,KTVTD20namcamket!$B$4:$M$243,10,0))</f>
        <v>Mất hiệu lực</v>
      </c>
      <c r="K12" s="306"/>
      <c r="L12" s="306" t="str">
        <f t="shared" ca="1" si="0"/>
        <v>Mất hiệu lực</v>
      </c>
      <c r="M12" s="306" t="str">
        <f ca="1">L12</f>
        <v>Mất hiệu lực</v>
      </c>
    </row>
    <row r="13" spans="2:16" s="307" customFormat="1" ht="12" customHeight="1">
      <c r="B13" s="304">
        <v>7</v>
      </c>
      <c r="C13" s="304">
        <f>IF(ROW(A7)&gt;'Tinh phi QL'!$D$12,"",ROW(A7))</f>
        <v>7</v>
      </c>
      <c r="D13" s="305">
        <f t="shared" ca="1" si="1"/>
        <v>36</v>
      </c>
      <c r="E13" s="306">
        <f ca="1">IF(IFERROR(--TRIM(C13),0)=0,0,'Tinh phi QL'!$H$12/1000)</f>
        <v>0</v>
      </c>
      <c r="F13" s="306">
        <f t="shared" ref="F13:F16" ca="1" si="2">E13*98%</f>
        <v>0</v>
      </c>
      <c r="G13" s="306">
        <f ca="1">KTVBVPhi20nam!AI10</f>
        <v>7495</v>
      </c>
      <c r="H13" s="306">
        <f ca="1">MAX('Tinh phi QL'!$E$12/1000,J13)</f>
        <v>0</v>
      </c>
      <c r="I13" s="306"/>
      <c r="J13" s="306" t="str">
        <f ca="1">IF(VLOOKUP(B13,KTVTD20namcamket!$B$4:$M$243,10,0)&lt;=0,"Mất hiệu lực",VLOOKUP(B13,KTVTD20namcamket!$B$4:$M$243,10,0))</f>
        <v>Mất hiệu lực</v>
      </c>
      <c r="K13" s="306"/>
      <c r="L13" s="306" t="str">
        <f t="shared" ca="1" si="0"/>
        <v>Mất hiệu lực</v>
      </c>
      <c r="M13" s="306" t="str">
        <f t="shared" ref="M13:M26" ca="1" si="3">L13</f>
        <v>Mất hiệu lực</v>
      </c>
    </row>
    <row r="14" spans="2:16" s="307" customFormat="1" ht="12" customHeight="1">
      <c r="B14" s="304">
        <v>8</v>
      </c>
      <c r="C14" s="304">
        <f>IF(ROW(A8)&gt;'Tinh phi QL'!$D$12,"",ROW(A8))</f>
        <v>8</v>
      </c>
      <c r="D14" s="305">
        <f t="shared" ca="1" si="1"/>
        <v>37</v>
      </c>
      <c r="E14" s="306">
        <f ca="1">IF(IFERROR(--TRIM(C14),0)=0,0,'Tinh phi QL'!$H$12/1000)</f>
        <v>0</v>
      </c>
      <c r="F14" s="306">
        <f t="shared" ca="1" si="2"/>
        <v>0</v>
      </c>
      <c r="G14" s="306">
        <f ca="1">KTVBVPhi20nam!AI11</f>
        <v>7495</v>
      </c>
      <c r="H14" s="306">
        <f ca="1">MAX('Tinh phi QL'!$E$12/1000,J14)</f>
        <v>0</v>
      </c>
      <c r="I14" s="306"/>
      <c r="J14" s="306" t="str">
        <f ca="1">IF(VLOOKUP(B14,KTVTD20namcamket!$B$4:$M$243,10,0)&lt;=0,"Mất hiệu lực",VLOOKUP(B14,KTVTD20namcamket!$B$4:$M$243,10,0))</f>
        <v>Mất hiệu lực</v>
      </c>
      <c r="K14" s="306"/>
      <c r="L14" s="306" t="str">
        <f t="shared" ca="1" si="0"/>
        <v>Mất hiệu lực</v>
      </c>
      <c r="M14" s="306" t="str">
        <f t="shared" ca="1" si="3"/>
        <v>Mất hiệu lực</v>
      </c>
    </row>
    <row r="15" spans="2:16" s="307" customFormat="1" ht="12" customHeight="1">
      <c r="B15" s="304">
        <v>9</v>
      </c>
      <c r="C15" s="304">
        <f>IF(ROW(A9)&gt;'Tinh phi QL'!$D$12,"",ROW(A9))</f>
        <v>9</v>
      </c>
      <c r="D15" s="305">
        <f t="shared" ca="1" si="1"/>
        <v>38</v>
      </c>
      <c r="E15" s="306">
        <f ca="1">IF(IFERROR(--TRIM(C15),0)=0,0,'Tinh phi QL'!$H$12/1000)</f>
        <v>0</v>
      </c>
      <c r="F15" s="306">
        <f t="shared" ca="1" si="2"/>
        <v>0</v>
      </c>
      <c r="G15" s="306">
        <f ca="1">KTVBVPhi20nam!AI12</f>
        <v>7495</v>
      </c>
      <c r="H15" s="306">
        <f ca="1">MAX('Tinh phi QL'!$E$12/1000,J15)</f>
        <v>0</v>
      </c>
      <c r="I15" s="306"/>
      <c r="J15" s="306" t="str">
        <f ca="1">IF(VLOOKUP(B15,KTVTD20namcamket!$B$4:$M$243,10,0)&lt;=0,"Mất hiệu lực",VLOOKUP(B15,KTVTD20namcamket!$B$4:$M$243,10,0))</f>
        <v>Mất hiệu lực</v>
      </c>
      <c r="K15" s="306"/>
      <c r="L15" s="306" t="str">
        <f t="shared" ca="1" si="0"/>
        <v>Mất hiệu lực</v>
      </c>
      <c r="M15" s="306" t="str">
        <f t="shared" ca="1" si="3"/>
        <v>Mất hiệu lực</v>
      </c>
    </row>
    <row r="16" spans="2:16" s="328" customFormat="1" ht="12" customHeight="1">
      <c r="B16" s="308">
        <v>10</v>
      </c>
      <c r="C16" s="312">
        <f>IF(ROW(A10)&gt;'Tinh phi QL'!$D$12,"",ROW(A10))</f>
        <v>10</v>
      </c>
      <c r="D16" s="309">
        <f t="shared" ca="1" si="1"/>
        <v>39</v>
      </c>
      <c r="E16" s="311">
        <f ca="1">IF(IFERROR(--TRIM(C16),0)=0,0,'Tinh phi QL'!$H$12/1000)</f>
        <v>0</v>
      </c>
      <c r="F16" s="311">
        <f t="shared" ca="1" si="2"/>
        <v>0</v>
      </c>
      <c r="G16" s="311">
        <f ca="1">KTVBVPhi20nam!AI13</f>
        <v>7495</v>
      </c>
      <c r="H16" s="311">
        <f ca="1">MAX('Tinh phi QL'!$E$12/1000,J16)</f>
        <v>0</v>
      </c>
      <c r="I16" s="311">
        <f ca="1">KTVTD20namcamket!I112</f>
        <v>0</v>
      </c>
      <c r="J16" s="311" t="str">
        <f ca="1">IF(VLOOKUP(B16,KTVTD20namcamket!$B$4:$M$243,10,0)&lt;=0,"Mất hiệu lực",VLOOKUP(B16,KTVTD20namcamket!$B$4:$M$243,10,0))</f>
        <v>Mất hiệu lực</v>
      </c>
      <c r="K16" s="310"/>
      <c r="L16" s="311" t="str">
        <f t="shared" ca="1" si="0"/>
        <v>Mất hiệu lực</v>
      </c>
      <c r="M16" s="311" t="str">
        <f t="shared" ca="1" si="3"/>
        <v>Mất hiệu lực</v>
      </c>
    </row>
    <row r="17" spans="2:13" s="307" customFormat="1" ht="12" customHeight="1">
      <c r="B17" s="304">
        <v>11</v>
      </c>
      <c r="C17" s="304">
        <f>IF(ROW(A11)&gt;'Tinh phi QL'!$D$12,"",ROW(A11))</f>
        <v>11</v>
      </c>
      <c r="D17" s="305">
        <f t="shared" ca="1" si="1"/>
        <v>40</v>
      </c>
      <c r="E17" s="306">
        <f ca="1">IF(IFERROR(--TRIM(C17),0)=0,0,'Tinh phi QL'!$H$12/1000)</f>
        <v>0</v>
      </c>
      <c r="F17" s="306">
        <f ca="1">E17</f>
        <v>0</v>
      </c>
      <c r="G17" s="306">
        <f ca="1">KTVBVPhi20nam!AI14</f>
        <v>8533</v>
      </c>
      <c r="H17" s="306">
        <f ca="1">MAX('Tinh phi QL'!$E$12/1000,J17)</f>
        <v>0</v>
      </c>
      <c r="I17" s="306"/>
      <c r="J17" s="306" t="str">
        <f ca="1">IF(VLOOKUP(B17,KTVTD20namcamket!$B$4:$M$243,10,0)&lt;=0,"Mất hiệu lực",VLOOKUP(B17,KTVTD20namcamket!$B$4:$M$243,10,0))</f>
        <v>Mất hiệu lực</v>
      </c>
      <c r="K17" s="306"/>
      <c r="L17" s="306" t="str">
        <f t="shared" ca="1" si="0"/>
        <v>Mất hiệu lực</v>
      </c>
      <c r="M17" s="306" t="str">
        <f t="shared" ca="1" si="3"/>
        <v>Mất hiệu lực</v>
      </c>
    </row>
    <row r="18" spans="2:13" s="307" customFormat="1" ht="12" customHeight="1">
      <c r="B18" s="304">
        <v>12</v>
      </c>
      <c r="C18" s="304">
        <f>IF(ROW(A12)&gt;'Tinh phi QL'!$D$12,"",ROW(A12))</f>
        <v>12</v>
      </c>
      <c r="D18" s="305">
        <f t="shared" ca="1" si="1"/>
        <v>41</v>
      </c>
      <c r="E18" s="306">
        <f ca="1">IF(IFERROR(--TRIM(C18),0)=0,0,'Tinh phi QL'!$H$12/1000)</f>
        <v>0</v>
      </c>
      <c r="F18" s="306">
        <f t="shared" ref="F18:F26" ca="1" si="4">E18</f>
        <v>0</v>
      </c>
      <c r="G18" s="306">
        <f ca="1">KTVBVPhi20nam!AI15</f>
        <v>8533</v>
      </c>
      <c r="H18" s="306">
        <f ca="1">MAX('Tinh phi QL'!$E$12/1000,J18)</f>
        <v>0</v>
      </c>
      <c r="I18" s="306"/>
      <c r="J18" s="306" t="str">
        <f ca="1">IF(VLOOKUP(B18,KTVTD20namcamket!$B$4:$M$243,10,0)&lt;=0,"Mất hiệu lực",VLOOKUP(B18,KTVTD20namcamket!$B$4:$M$243,10,0))</f>
        <v>Mất hiệu lực</v>
      </c>
      <c r="K18" s="306"/>
      <c r="L18" s="306" t="str">
        <f t="shared" ca="1" si="0"/>
        <v>Mất hiệu lực</v>
      </c>
      <c r="M18" s="306" t="str">
        <f t="shared" ca="1" si="3"/>
        <v>Mất hiệu lực</v>
      </c>
    </row>
    <row r="19" spans="2:13" s="307" customFormat="1" ht="12" customHeight="1">
      <c r="B19" s="304">
        <v>13</v>
      </c>
      <c r="C19" s="304">
        <f>IF(ROW(A13)&gt;'Tinh phi QL'!$D$12,"",ROW(A13))</f>
        <v>13</v>
      </c>
      <c r="D19" s="305">
        <f t="shared" ca="1" si="1"/>
        <v>42</v>
      </c>
      <c r="E19" s="306">
        <f ca="1">IF(IFERROR(--TRIM(C19),0)=0,0,'Tinh phi QL'!$H$12/1000)</f>
        <v>0</v>
      </c>
      <c r="F19" s="306">
        <f t="shared" ca="1" si="4"/>
        <v>0</v>
      </c>
      <c r="G19" s="306">
        <f ca="1">KTVBVPhi20nam!AI16</f>
        <v>8533</v>
      </c>
      <c r="H19" s="306">
        <f ca="1">MAX('Tinh phi QL'!$E$12/1000,J19)</f>
        <v>0</v>
      </c>
      <c r="I19" s="306"/>
      <c r="J19" s="306" t="str">
        <f ca="1">IF(VLOOKUP(B19,KTVTD20namcamket!$B$4:$M$243,10,0)&lt;=0,"Mất hiệu lực",VLOOKUP(B19,KTVTD20namcamket!$B$4:$M$243,10,0))</f>
        <v>Mất hiệu lực</v>
      </c>
      <c r="K19" s="306"/>
      <c r="L19" s="306" t="str">
        <f t="shared" ca="1" si="0"/>
        <v>Mất hiệu lực</v>
      </c>
      <c r="M19" s="306" t="str">
        <f t="shared" ca="1" si="3"/>
        <v>Mất hiệu lực</v>
      </c>
    </row>
    <row r="20" spans="2:13" s="307" customFormat="1" ht="12" customHeight="1">
      <c r="B20" s="304">
        <v>14</v>
      </c>
      <c r="C20" s="304">
        <f>IF(ROW(A14)&gt;'Tinh phi QL'!$D$12,"",ROW(A14))</f>
        <v>14</v>
      </c>
      <c r="D20" s="305">
        <f t="shared" ca="1" si="1"/>
        <v>43</v>
      </c>
      <c r="E20" s="306">
        <f ca="1">IF(IFERROR(--TRIM(C20),0)=0,0,'Tinh phi QL'!$H$12/1000)</f>
        <v>0</v>
      </c>
      <c r="F20" s="306">
        <f t="shared" ca="1" si="4"/>
        <v>0</v>
      </c>
      <c r="G20" s="306">
        <f ca="1">KTVBVPhi20nam!AI17</f>
        <v>8533</v>
      </c>
      <c r="H20" s="306">
        <f ca="1">MAX('Tinh phi QL'!$E$12/1000,J20)</f>
        <v>0</v>
      </c>
      <c r="I20" s="306"/>
      <c r="J20" s="306" t="str">
        <f ca="1">IF(VLOOKUP(B20,KTVTD20namcamket!$B$4:$M$243,10,0)&lt;=0,"Mất hiệu lực",VLOOKUP(B20,KTVTD20namcamket!$B$4:$M$243,10,0))</f>
        <v>Mất hiệu lực</v>
      </c>
      <c r="K20" s="306"/>
      <c r="L20" s="306" t="str">
        <f t="shared" ca="1" si="0"/>
        <v>Mất hiệu lực</v>
      </c>
      <c r="M20" s="306" t="str">
        <f t="shared" ca="1" si="3"/>
        <v>Mất hiệu lực</v>
      </c>
    </row>
    <row r="21" spans="2:13" s="328" customFormat="1" ht="12" customHeight="1">
      <c r="B21" s="312">
        <v>15</v>
      </c>
      <c r="C21" s="312">
        <f>IF(ROW(A15)&gt;'Tinh phi QL'!$D$12,"",ROW(A15))</f>
        <v>15</v>
      </c>
      <c r="D21" s="313">
        <f t="shared" ca="1" si="1"/>
        <v>44</v>
      </c>
      <c r="E21" s="311">
        <f ca="1">IF(IFERROR(--TRIM(C21),0)=0,0,'Tinh phi QL'!$H$12/1000)</f>
        <v>0</v>
      </c>
      <c r="F21" s="311">
        <f t="shared" ca="1" si="4"/>
        <v>0</v>
      </c>
      <c r="G21" s="311">
        <f ca="1">KTVBVPhi20nam!AI18</f>
        <v>8533</v>
      </c>
      <c r="H21" s="311">
        <f ca="1">MAX('Tinh phi QL'!$E$12/1000,J21)</f>
        <v>0</v>
      </c>
      <c r="I21" s="311"/>
      <c r="J21" s="311" t="str">
        <f ca="1">IF(VLOOKUP(B21,KTVTD20namcamket!$B$4:$M$243,10,0)&lt;=0,"Mất hiệu lực",VLOOKUP(B21,KTVTD20namcamket!$B$4:$M$243,10,0))</f>
        <v>Mất hiệu lực</v>
      </c>
      <c r="K21" s="311"/>
      <c r="L21" s="311" t="str">
        <f t="shared" ca="1" si="0"/>
        <v>Mất hiệu lực</v>
      </c>
      <c r="M21" s="311" t="str">
        <f t="shared" ca="1" si="3"/>
        <v>Mất hiệu lực</v>
      </c>
    </row>
    <row r="22" spans="2:13" s="307" customFormat="1" ht="12" customHeight="1">
      <c r="B22" s="304">
        <v>16</v>
      </c>
      <c r="C22" s="304" t="str">
        <f>IF(ROW(A16)&gt;'Tinh phi QL'!$D$12,"",ROW(A16))</f>
        <v/>
      </c>
      <c r="D22" s="305">
        <f t="shared" ca="1" si="1"/>
        <v>45</v>
      </c>
      <c r="E22" s="306">
        <f>IF(IFERROR(--TRIM(C22),0)=0,0,'Tinh phi QL'!$H$12/1000)</f>
        <v>0</v>
      </c>
      <c r="F22" s="306">
        <f t="shared" si="4"/>
        <v>0</v>
      </c>
      <c r="G22" s="306">
        <f ca="1">KTVBVPhi20nam!AI19</f>
        <v>10469</v>
      </c>
      <c r="H22" s="306">
        <f ca="1">MAX('Tinh phi QL'!$E$12/1000,J22)</f>
        <v>0</v>
      </c>
      <c r="I22" s="306"/>
      <c r="J22" s="306" t="str">
        <f ca="1">IF(VLOOKUP(B22,KTVTD20namcamket!$B$4:$M$243,10,0)&lt;=0,"Mất hiệu lực",VLOOKUP(B22,KTVTD20namcamket!$B$4:$M$243,10,0))</f>
        <v>Mất hiệu lực</v>
      </c>
      <c r="K22" s="306"/>
      <c r="L22" s="306" t="str">
        <f t="shared" ca="1" si="0"/>
        <v>Mất hiệu lực</v>
      </c>
      <c r="M22" s="306" t="str">
        <f t="shared" ca="1" si="3"/>
        <v>Mất hiệu lực</v>
      </c>
    </row>
    <row r="23" spans="2:13" s="307" customFormat="1" ht="12" customHeight="1">
      <c r="B23" s="304">
        <v>17</v>
      </c>
      <c r="C23" s="304" t="str">
        <f>IF(ROW(A17)&gt;'Tinh phi QL'!$D$12,"",ROW(A17))</f>
        <v/>
      </c>
      <c r="D23" s="305">
        <f t="shared" ca="1" si="1"/>
        <v>46</v>
      </c>
      <c r="E23" s="306">
        <f>IF(IFERROR(--TRIM(C23),0)=0,0,'Tinh phi QL'!$H$12/1000)</f>
        <v>0</v>
      </c>
      <c r="F23" s="306">
        <f t="shared" si="4"/>
        <v>0</v>
      </c>
      <c r="G23" s="306">
        <f ca="1">KTVBVPhi20nam!AI20</f>
        <v>10469</v>
      </c>
      <c r="H23" s="306">
        <f ca="1">MAX('Tinh phi QL'!$E$12/1000,J23)</f>
        <v>0</v>
      </c>
      <c r="I23" s="306"/>
      <c r="J23" s="306" t="str">
        <f ca="1">IF(VLOOKUP(B23,KTVTD20namcamket!$B$4:$M$243,10,0)&lt;=0,"Mất hiệu lực",VLOOKUP(B23,KTVTD20namcamket!$B$4:$M$243,10,0))</f>
        <v>Mất hiệu lực</v>
      </c>
      <c r="K23" s="306"/>
      <c r="L23" s="306" t="str">
        <f t="shared" ca="1" si="0"/>
        <v>Mất hiệu lực</v>
      </c>
      <c r="M23" s="306" t="str">
        <f t="shared" ca="1" si="3"/>
        <v>Mất hiệu lực</v>
      </c>
    </row>
    <row r="24" spans="2:13" s="307" customFormat="1" ht="12" customHeight="1">
      <c r="B24" s="304">
        <v>18</v>
      </c>
      <c r="C24" s="304" t="str">
        <f>IF(ROW(A18)&gt;'Tinh phi QL'!$D$12,"",ROW(A18))</f>
        <v/>
      </c>
      <c r="D24" s="305">
        <f t="shared" ca="1" si="1"/>
        <v>47</v>
      </c>
      <c r="E24" s="306">
        <f>IF(IFERROR(--TRIM(C24),0)=0,0,'Tinh phi QL'!$H$12/1000)</f>
        <v>0</v>
      </c>
      <c r="F24" s="306">
        <f t="shared" si="4"/>
        <v>0</v>
      </c>
      <c r="G24" s="306">
        <f ca="1">KTVBVPhi20nam!AI21</f>
        <v>10469</v>
      </c>
      <c r="H24" s="306">
        <f ca="1">MAX('Tinh phi QL'!$E$12/1000,J24)</f>
        <v>0</v>
      </c>
      <c r="I24" s="306"/>
      <c r="J24" s="306" t="str">
        <f ca="1">IF(VLOOKUP(B24,KTVTD20namcamket!$B$4:$M$243,10,0)&lt;=0,"Mất hiệu lực",VLOOKUP(B24,KTVTD20namcamket!$B$4:$M$243,10,0))</f>
        <v>Mất hiệu lực</v>
      </c>
      <c r="K24" s="306"/>
      <c r="L24" s="306" t="str">
        <f t="shared" ca="1" si="0"/>
        <v>Mất hiệu lực</v>
      </c>
      <c r="M24" s="306" t="str">
        <f t="shared" ca="1" si="3"/>
        <v>Mất hiệu lực</v>
      </c>
    </row>
    <row r="25" spans="2:13" s="307" customFormat="1" ht="12" customHeight="1">
      <c r="B25" s="304">
        <v>19</v>
      </c>
      <c r="C25" s="304" t="str">
        <f>IF(ROW(A19)&gt;'Tinh phi QL'!$D$12,"",ROW(A19))</f>
        <v/>
      </c>
      <c r="D25" s="305">
        <f t="shared" ca="1" si="1"/>
        <v>48</v>
      </c>
      <c r="E25" s="306">
        <f>IF(IFERROR(--TRIM(C25),0)=0,0,'Tinh phi QL'!$H$12/1000)</f>
        <v>0</v>
      </c>
      <c r="F25" s="306">
        <f t="shared" si="4"/>
        <v>0</v>
      </c>
      <c r="G25" s="306">
        <f ca="1">KTVBVPhi20nam!AI22</f>
        <v>10469</v>
      </c>
      <c r="H25" s="306">
        <f ca="1">MAX('Tinh phi QL'!$E$12/1000,J25)</f>
        <v>0</v>
      </c>
      <c r="I25" s="306"/>
      <c r="J25" s="306" t="str">
        <f ca="1">IF(VLOOKUP(B25,KTVTD20namcamket!$B$4:$M$243,10,0)&lt;=0,"Mất hiệu lực",VLOOKUP(B25,KTVTD20namcamket!$B$4:$M$243,10,0))</f>
        <v>Mất hiệu lực</v>
      </c>
      <c r="K25" s="306"/>
      <c r="L25" s="306" t="str">
        <f t="shared" ca="1" si="0"/>
        <v>Mất hiệu lực</v>
      </c>
      <c r="M25" s="306" t="str">
        <f t="shared" ca="1" si="3"/>
        <v>Mất hiệu lực</v>
      </c>
    </row>
    <row r="26" spans="2:13" s="328" customFormat="1" ht="12" customHeight="1">
      <c r="B26" s="312">
        <v>20</v>
      </c>
      <c r="C26" s="312" t="str">
        <f>IF(ROW(A20)&gt;'Tinh phi QL'!$D$12,"",ROW(A20))</f>
        <v/>
      </c>
      <c r="D26" s="313">
        <f t="shared" ca="1" si="1"/>
        <v>49</v>
      </c>
      <c r="E26" s="311">
        <f>IF(IFERROR(--TRIM(C26),0)=0,0,'Tinh phi QL'!$H$12/1000)</f>
        <v>0</v>
      </c>
      <c r="F26" s="311">
        <f t="shared" si="4"/>
        <v>0</v>
      </c>
      <c r="G26" s="311">
        <f ca="1">KTVBVPhi20nam!AI23</f>
        <v>10469</v>
      </c>
      <c r="H26" s="311">
        <f ca="1">MAX('Tinh phi QL'!$E$12/1000,J26)</f>
        <v>0</v>
      </c>
      <c r="I26" s="311">
        <f ca="1">KTVTD20namcamket!I232</f>
        <v>0</v>
      </c>
      <c r="J26" s="311" t="str">
        <f ca="1">IF(VLOOKUP(B26,KTVTD20namcamket!$B$4:$M$243,10,0)&lt;=0,"Mất hiệu lực",VLOOKUP(B26,KTVTD20namcamket!$B$4:$M$243,10,0))</f>
        <v>Mất hiệu lực</v>
      </c>
      <c r="K26" s="311"/>
      <c r="L26" s="311" t="str">
        <f t="shared" ca="1" si="0"/>
        <v>Mất hiệu lực</v>
      </c>
      <c r="M26" s="311" t="str">
        <f t="shared" ca="1" si="3"/>
        <v>Mất hiệu lực</v>
      </c>
    </row>
  </sheetData>
  <sheetProtection selectLockedCells="1"/>
  <mergeCells count="12">
    <mergeCell ref="B5:B6"/>
    <mergeCell ref="B2:G3"/>
    <mergeCell ref="B4:L4"/>
    <mergeCell ref="H5:M5"/>
    <mergeCell ref="H2:M3"/>
    <mergeCell ref="O2:P2"/>
    <mergeCell ref="O3:P3"/>
    <mergeCell ref="C5:C6"/>
    <mergeCell ref="D5:D6"/>
    <mergeCell ref="E5:E6"/>
    <mergeCell ref="F5:F6"/>
    <mergeCell ref="G5:G6"/>
  </mergeCells>
  <conditionalFormatting sqref="B7:G26">
    <cfRule type="expression" dxfId="253" priority="1">
      <formula>MOD(ROW(),2)&gt;0</formula>
    </cfRule>
    <cfRule type="expression" dxfId="252" priority="2">
      <formula>"mod(row(),2).0"</formula>
    </cfRule>
  </conditionalFormatting>
  <conditionalFormatting sqref="H16:I26">
    <cfRule type="expression" dxfId="251" priority="10">
      <formula>MOD(ROW(),2)&gt;0</formula>
    </cfRule>
    <cfRule type="expression" dxfId="250" priority="11">
      <formula>"mod(row(),2).0"</formula>
    </cfRule>
  </conditionalFormatting>
  <conditionalFormatting sqref="H7:M15 L8:L26 M13:M26 J16:M26 J8:J26">
    <cfRule type="expression" dxfId="249" priority="16">
      <formula>MOD(ROW(),2)&gt;0</formula>
    </cfRule>
    <cfRule type="expression" dxfId="248" priority="17">
      <formula>"mod(row(),2).0"</formula>
    </cfRule>
  </conditionalFormatting>
  <conditionalFormatting sqref="J7:J26">
    <cfRule type="cellIs" dxfId="247" priority="14" operator="lessThan">
      <formula>0</formula>
    </cfRule>
  </conditionalFormatting>
  <conditionalFormatting sqref="J7:M26">
    <cfRule type="containsText" dxfId="246" priority="7" operator="containsText" text="mất">
      <formula>NOT(ISERROR(SEARCH("mất",J7)))</formula>
    </cfRule>
  </conditionalFormatting>
  <conditionalFormatting sqref="L1:M3 M4">
    <cfRule type="cellIs" dxfId="245" priority="18" operator="lessThan">
      <formula>0</formula>
    </cfRule>
  </conditionalFormatting>
  <conditionalFormatting sqref="L6:M1048576">
    <cfRule type="cellIs" dxfId="244" priority="15" operator="lessThan">
      <formula>0</formula>
    </cfRule>
  </conditionalFormatting>
  <conditionalFormatting sqref="O3:P3">
    <cfRule type="containsText" dxfId="243" priority="19" operator="containsText" text="Chỉ">
      <formula>NOT(ISERROR(SEARCH("Chỉ",O3)))</formula>
    </cfRule>
    <cfRule type="containsText" dxfId="242" priority="20" operator="containsText" text="Phải">
      <formula>NOT(ISERROR(SEARCH("Phải",O3)))</formula>
    </cfRule>
  </conditionalFormatting>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8AFCF-D38C-4C0E-8E0C-F3C9A46AA002}">
  <dimension ref="B1:P26"/>
  <sheetViews>
    <sheetView showGridLines="0" workbookViewId="0"/>
  </sheetViews>
  <sheetFormatPr defaultColWidth="8.19921875" defaultRowHeight="14.5"/>
  <cols>
    <col min="1" max="1" width="3.69921875" style="301" customWidth="1"/>
    <col min="2" max="2" width="5.5" style="301" customWidth="1"/>
    <col min="3" max="3" width="9" style="301" customWidth="1"/>
    <col min="4" max="4" width="7.296875" style="301" customWidth="1"/>
    <col min="5" max="5" width="15.19921875" style="301" customWidth="1"/>
    <col min="6" max="6" width="19.296875" style="301" customWidth="1"/>
    <col min="7" max="7" width="19.796875" style="301" customWidth="1"/>
    <col min="8" max="8" width="23.19921875" style="301" customWidth="1"/>
    <col min="9" max="12" width="18.19921875" style="301" customWidth="1"/>
    <col min="13" max="13" width="17.69921875" style="301" customWidth="1"/>
    <col min="14" max="14" width="18.19921875" style="301" customWidth="1"/>
    <col min="15" max="15" width="8.19921875" style="301"/>
    <col min="16" max="16" width="12.796875" style="301" customWidth="1"/>
    <col min="17" max="16384" width="8.19921875" style="301"/>
  </cols>
  <sheetData>
    <row r="1" spans="2:16" ht="6" customHeight="1"/>
    <row r="2" spans="2:16" ht="12.75" customHeight="1">
      <c r="B2" s="915" t="s">
        <v>800</v>
      </c>
      <c r="C2" s="915"/>
      <c r="D2" s="915"/>
      <c r="E2" s="915"/>
      <c r="F2" s="938" t="s">
        <v>854</v>
      </c>
      <c r="G2" s="938"/>
      <c r="H2" s="938"/>
      <c r="I2" s="938"/>
      <c r="J2" s="938"/>
      <c r="K2" s="938"/>
      <c r="L2" s="939"/>
      <c r="M2" s="942">
        <v>4.5999999999999999E-2</v>
      </c>
      <c r="N2" s="302"/>
      <c r="O2" s="910"/>
      <c r="P2" s="910"/>
    </row>
    <row r="3" spans="2:16" ht="5.25" customHeight="1">
      <c r="B3" s="915"/>
      <c r="C3" s="915"/>
      <c r="D3" s="915"/>
      <c r="E3" s="915"/>
      <c r="F3" s="940"/>
      <c r="G3" s="940"/>
      <c r="H3" s="940"/>
      <c r="I3" s="940"/>
      <c r="J3" s="940"/>
      <c r="K3" s="940"/>
      <c r="L3" s="941"/>
      <c r="M3" s="943"/>
      <c r="N3" s="302"/>
      <c r="O3" s="910"/>
      <c r="P3" s="910"/>
    </row>
    <row r="4" spans="2:16" ht="16.5" customHeight="1">
      <c r="B4" s="917" t="s">
        <v>689</v>
      </c>
      <c r="C4" s="917"/>
      <c r="D4" s="917"/>
      <c r="E4" s="917"/>
      <c r="F4" s="917"/>
      <c r="G4" s="917"/>
      <c r="H4" s="917"/>
      <c r="I4" s="917"/>
      <c r="J4" s="917"/>
      <c r="K4" s="917"/>
      <c r="L4" s="917"/>
      <c r="M4" s="303" t="s">
        <v>712</v>
      </c>
    </row>
    <row r="5" spans="2:16" ht="13.5" customHeight="1">
      <c r="B5" s="931" t="s">
        <v>670</v>
      </c>
      <c r="C5" s="931" t="s">
        <v>842</v>
      </c>
      <c r="D5" s="931" t="s">
        <v>1</v>
      </c>
      <c r="E5" s="931" t="s">
        <v>692</v>
      </c>
      <c r="F5" s="931" t="s">
        <v>693</v>
      </c>
      <c r="G5" s="933" t="s">
        <v>694</v>
      </c>
      <c r="H5" s="928" t="s">
        <v>690</v>
      </c>
      <c r="I5" s="929"/>
      <c r="J5" s="929"/>
      <c r="K5" s="929"/>
      <c r="L5" s="929"/>
      <c r="M5" s="930"/>
    </row>
    <row r="6" spans="2:16" ht="24" customHeight="1">
      <c r="B6" s="932"/>
      <c r="C6" s="932"/>
      <c r="D6" s="932"/>
      <c r="E6" s="932"/>
      <c r="F6" s="932"/>
      <c r="G6" s="934"/>
      <c r="H6" s="317" t="s">
        <v>700</v>
      </c>
      <c r="I6" s="317" t="s">
        <v>696</v>
      </c>
      <c r="J6" s="317" t="s">
        <v>697</v>
      </c>
      <c r="K6" s="317" t="s">
        <v>698</v>
      </c>
      <c r="L6" s="317" t="s">
        <v>699</v>
      </c>
      <c r="M6" s="317" t="s">
        <v>701</v>
      </c>
    </row>
    <row r="7" spans="2:16" s="307" customFormat="1" ht="12" customHeight="1">
      <c r="B7" s="304">
        <v>1</v>
      </c>
      <c r="C7" s="304">
        <f>IF(ROW(A1)&gt;'Tinh phi QL'!$D$12,"",ROW(A1))</f>
        <v>1</v>
      </c>
      <c r="D7" s="305">
        <f ca="1">'Tinh phi QL'!I8</f>
        <v>30</v>
      </c>
      <c r="E7" s="306">
        <f ca="1">IF(IFERROR(--TRIM(C7),0)=0,0,'Tinh phi QL'!$H$12/1000)</f>
        <v>0</v>
      </c>
      <c r="F7" s="306">
        <f ca="1">E7*50%</f>
        <v>0</v>
      </c>
      <c r="G7" s="306">
        <f ca="1">KTVBVPhi20nam!AI4</f>
        <v>6571</v>
      </c>
      <c r="H7" s="306">
        <f ca="1">MAX('Tinh phi QL'!$E$12/1000,J7)</f>
        <v>0</v>
      </c>
      <c r="I7" s="306"/>
      <c r="J7" s="306" t="str">
        <f ca="1">IF(VLOOKUP(B7,KTVTD20namMH!$B$4:$M$243,10,0)&lt;=0,"Mất hiệu lực",VLOOKUP(B7,KTVTD20namMH!$B$4:$M$243,10,0))</f>
        <v>Mất hiệu lực</v>
      </c>
      <c r="K7" s="306"/>
      <c r="L7" s="306" t="str">
        <f ca="1">J7</f>
        <v>Mất hiệu lực</v>
      </c>
      <c r="M7" s="306" t="e">
        <f ca="1">IF(L7-100%*E7&gt;0,L7-100%*E7,0)</f>
        <v>#VALUE!</v>
      </c>
    </row>
    <row r="8" spans="2:16" s="307" customFormat="1" ht="12" customHeight="1">
      <c r="B8" s="304">
        <v>2</v>
      </c>
      <c r="C8" s="304">
        <f>IF(ROW(A2)&gt;'Tinh phi QL'!$D$12,"",ROW(A2))</f>
        <v>2</v>
      </c>
      <c r="D8" s="305">
        <f ca="1">D7+1</f>
        <v>31</v>
      </c>
      <c r="E8" s="306">
        <f ca="1">IF(IFERROR(--TRIM(C8),0)=0,0,'Tinh phi QL'!$H$12/1000)</f>
        <v>0</v>
      </c>
      <c r="F8" s="306">
        <f ca="1">E8*70%</f>
        <v>0</v>
      </c>
      <c r="G8" s="306">
        <f ca="1">KTVBVPhi20nam!AI5</f>
        <v>6571</v>
      </c>
      <c r="H8" s="306">
        <f ca="1">MAX('Tinh phi QL'!$E$12/1000,J8)</f>
        <v>0</v>
      </c>
      <c r="I8" s="306"/>
      <c r="J8" s="306" t="str">
        <f ca="1">IF(VLOOKUP(B8,KTVTD20namMH!$B$4:$M$243,10,0)&lt;=0,"Mất hiệu lực",VLOOKUP(B8,KTVTD20namMH!$B$4:$M$243,10,0))</f>
        <v>Mất hiệu lực</v>
      </c>
      <c r="K8" s="306"/>
      <c r="L8" s="306" t="str">
        <f t="shared" ref="L8:L26" ca="1" si="0">J8</f>
        <v>Mất hiệu lực</v>
      </c>
      <c r="M8" s="306" t="e">
        <f ca="1">IF(L8-100%*E8&gt;0,L8-100%*E8,0)</f>
        <v>#VALUE!</v>
      </c>
    </row>
    <row r="9" spans="2:16" s="307" customFormat="1" ht="12" customHeight="1">
      <c r="B9" s="304">
        <v>3</v>
      </c>
      <c r="C9" s="304">
        <f>IF(ROW(A3)&gt;'Tinh phi QL'!$D$12,"",ROW(A3))</f>
        <v>3</v>
      </c>
      <c r="D9" s="305">
        <f t="shared" ref="D9:D26" ca="1" si="1">D8+1</f>
        <v>32</v>
      </c>
      <c r="E9" s="306">
        <f ca="1">IF(IFERROR(--TRIM(C9),0)=0,0,'Tinh phi QL'!$H$12/1000)</f>
        <v>0</v>
      </c>
      <c r="F9" s="306">
        <f ca="1">E9*80%</f>
        <v>0</v>
      </c>
      <c r="G9" s="306">
        <f ca="1">KTVBVPhi20nam!AI6</f>
        <v>6571</v>
      </c>
      <c r="H9" s="306">
        <f ca="1">MAX('Tinh phi QL'!$E$12/1000,J9)</f>
        <v>0</v>
      </c>
      <c r="I9" s="306"/>
      <c r="J9" s="306" t="str">
        <f ca="1">IF(VLOOKUP(B9,KTVTD20namMH!$B$4:$M$243,10,0)&lt;=0,"Mất hiệu lực",VLOOKUP(B9,KTVTD20namMH!$B$4:$M$243,10,0))</f>
        <v>Mất hiệu lực</v>
      </c>
      <c r="K9" s="306"/>
      <c r="L9" s="306" t="str">
        <f t="shared" ca="1" si="0"/>
        <v>Mất hiệu lực</v>
      </c>
      <c r="M9" s="306" t="e">
        <f ca="1">L9-45%*E9</f>
        <v>#VALUE!</v>
      </c>
    </row>
    <row r="10" spans="2:16" s="307" customFormat="1" ht="12" customHeight="1">
      <c r="B10" s="304">
        <v>4</v>
      </c>
      <c r="C10" s="304">
        <f>IF(ROW(A4)&gt;'Tinh phi QL'!$D$12,"",ROW(A4))</f>
        <v>4</v>
      </c>
      <c r="D10" s="305">
        <f t="shared" ca="1" si="1"/>
        <v>33</v>
      </c>
      <c r="E10" s="306">
        <f ca="1">IF(IFERROR(--TRIM(C10),0)=0,0,'Tinh phi QL'!$H$12/1000)</f>
        <v>0</v>
      </c>
      <c r="F10" s="306">
        <f ca="1">E10*80%</f>
        <v>0</v>
      </c>
      <c r="G10" s="306">
        <f ca="1">KTVBVPhi20nam!AI7</f>
        <v>6571</v>
      </c>
      <c r="H10" s="306">
        <f ca="1">MAX('Tinh phi QL'!$E$12/1000,J10)</f>
        <v>0</v>
      </c>
      <c r="I10" s="306"/>
      <c r="J10" s="306" t="str">
        <f ca="1">IF(VLOOKUP(B10,KTVTD20namMH!$B$4:$M$243,10,0)&lt;=0,"Mất hiệu lực",VLOOKUP(B10,KTVTD20namMH!$B$4:$M$243,10,0))</f>
        <v>Mất hiệu lực</v>
      </c>
      <c r="K10" s="306"/>
      <c r="L10" s="306" t="str">
        <f t="shared" ca="1" si="0"/>
        <v>Mất hiệu lực</v>
      </c>
      <c r="M10" s="306" t="e">
        <f ca="1">L10-30%*E10</f>
        <v>#VALUE!</v>
      </c>
    </row>
    <row r="11" spans="2:16" s="328" customFormat="1" ht="12" customHeight="1">
      <c r="B11" s="312">
        <v>5</v>
      </c>
      <c r="C11" s="304">
        <f>IF(ROW(A5)&gt;'Tinh phi QL'!$D$12,"",ROW(A5))</f>
        <v>5</v>
      </c>
      <c r="D11" s="313">
        <f t="shared" ca="1" si="1"/>
        <v>34</v>
      </c>
      <c r="E11" s="306">
        <f ca="1">IF(IFERROR(--TRIM(C11),0)=0,0,'Tinh phi QL'!$H$12/1000)</f>
        <v>0</v>
      </c>
      <c r="F11" s="311">
        <f ca="1">E11*80%</f>
        <v>0</v>
      </c>
      <c r="G11" s="311">
        <f ca="1">KTVBVPhi20nam!AI8</f>
        <v>6571</v>
      </c>
      <c r="H11" s="311">
        <f ca="1">MAX('Tinh phi QL'!$E$12/1000,J11)</f>
        <v>0</v>
      </c>
      <c r="I11" s="311"/>
      <c r="J11" s="311" t="str">
        <f ca="1">IF(VLOOKUP(B11,KTVTD20namMH!$B$4:$M$243,10,0)&lt;=0,"Mất hiệu lực",VLOOKUP(B11,KTVTD20namMH!$B$4:$M$243,10,0))</f>
        <v>Mất hiệu lực</v>
      </c>
      <c r="K11" s="311"/>
      <c r="L11" s="311" t="str">
        <f t="shared" ca="1" si="0"/>
        <v>Mất hiệu lực</v>
      </c>
      <c r="M11" s="311" t="e">
        <f ca="1">L11-20%*E11</f>
        <v>#VALUE!</v>
      </c>
    </row>
    <row r="12" spans="2:16" s="307" customFormat="1" ht="12" customHeight="1">
      <c r="B12" s="304">
        <v>6</v>
      </c>
      <c r="C12" s="304">
        <f>IF(ROW(A6)&gt;'Tinh phi QL'!$D$12,"",ROW(A6))</f>
        <v>6</v>
      </c>
      <c r="D12" s="305">
        <f t="shared" ca="1" si="1"/>
        <v>35</v>
      </c>
      <c r="E12" s="306">
        <f ca="1">IF(IFERROR(--TRIM(C12),0)=0,0,'Tinh phi QL'!$H$12/1000)</f>
        <v>0</v>
      </c>
      <c r="F12" s="306">
        <f ca="1">E12*98%</f>
        <v>0</v>
      </c>
      <c r="G12" s="306">
        <f ca="1">KTVBVPhi20nam!AI9</f>
        <v>7495</v>
      </c>
      <c r="H12" s="306">
        <f ca="1">MAX('Tinh phi QL'!$E$12/1000,J12)</f>
        <v>0</v>
      </c>
      <c r="I12" s="306"/>
      <c r="J12" s="306" t="str">
        <f ca="1">IF(VLOOKUP(B12,KTVTD20namMH!$B$4:$M$243,10,0)&lt;=0,"Mất hiệu lực",VLOOKUP(B12,KTVTD20namMH!$B$4:$M$243,10,0))</f>
        <v>Mất hiệu lực</v>
      </c>
      <c r="K12" s="306"/>
      <c r="L12" s="306" t="str">
        <f t="shared" ca="1" si="0"/>
        <v>Mất hiệu lực</v>
      </c>
      <c r="M12" s="306" t="str">
        <f ca="1">L12</f>
        <v>Mất hiệu lực</v>
      </c>
    </row>
    <row r="13" spans="2:16" s="307" customFormat="1" ht="12" customHeight="1">
      <c r="B13" s="304">
        <v>7</v>
      </c>
      <c r="C13" s="304">
        <f>IF(ROW(A7)&gt;'Tinh phi QL'!$D$12,"",ROW(A7))</f>
        <v>7</v>
      </c>
      <c r="D13" s="305">
        <f t="shared" ca="1" si="1"/>
        <v>36</v>
      </c>
      <c r="E13" s="306">
        <f ca="1">IF(IFERROR(--TRIM(C13),0)=0,0,'Tinh phi QL'!$H$12/1000)</f>
        <v>0</v>
      </c>
      <c r="F13" s="306">
        <f t="shared" ref="F13:F16" ca="1" si="2">E13*98%</f>
        <v>0</v>
      </c>
      <c r="G13" s="306">
        <f ca="1">KTVBVPhi20nam!AI10</f>
        <v>7495</v>
      </c>
      <c r="H13" s="306">
        <f ca="1">MAX('Tinh phi QL'!$E$12/1000,J13)</f>
        <v>0</v>
      </c>
      <c r="I13" s="306"/>
      <c r="J13" s="306" t="str">
        <f ca="1">IF(VLOOKUP(B13,KTVTD20namMH!$B$4:$M$243,10,0)&lt;=0,"Mất hiệu lực",VLOOKUP(B13,KTVTD20namMH!$B$4:$M$243,10,0))</f>
        <v>Mất hiệu lực</v>
      </c>
      <c r="K13" s="306"/>
      <c r="L13" s="306" t="str">
        <f t="shared" ca="1" si="0"/>
        <v>Mất hiệu lực</v>
      </c>
      <c r="M13" s="306" t="str">
        <f t="shared" ref="M13:M26" ca="1" si="3">L13</f>
        <v>Mất hiệu lực</v>
      </c>
    </row>
    <row r="14" spans="2:16" s="307" customFormat="1" ht="12" customHeight="1">
      <c r="B14" s="304">
        <v>8</v>
      </c>
      <c r="C14" s="304">
        <f>IF(ROW(A8)&gt;'Tinh phi QL'!$D$12,"",ROW(A8))</f>
        <v>8</v>
      </c>
      <c r="D14" s="305">
        <f t="shared" ca="1" si="1"/>
        <v>37</v>
      </c>
      <c r="E14" s="306">
        <f ca="1">IF(IFERROR(--TRIM(C14),0)=0,0,'Tinh phi QL'!$H$12/1000)</f>
        <v>0</v>
      </c>
      <c r="F14" s="306">
        <f t="shared" ca="1" si="2"/>
        <v>0</v>
      </c>
      <c r="G14" s="306">
        <f ca="1">KTVBVPhi20nam!AI11</f>
        <v>7495</v>
      </c>
      <c r="H14" s="306">
        <f ca="1">MAX('Tinh phi QL'!$E$12/1000,J14)</f>
        <v>0</v>
      </c>
      <c r="I14" s="306"/>
      <c r="J14" s="306" t="str">
        <f ca="1">IF(VLOOKUP(B14,KTVTD20namMH!$B$4:$M$243,10,0)&lt;=0,"Mất hiệu lực",VLOOKUP(B14,KTVTD20namMH!$B$4:$M$243,10,0))</f>
        <v>Mất hiệu lực</v>
      </c>
      <c r="K14" s="306"/>
      <c r="L14" s="306" t="str">
        <f t="shared" ca="1" si="0"/>
        <v>Mất hiệu lực</v>
      </c>
      <c r="M14" s="306" t="str">
        <f t="shared" ca="1" si="3"/>
        <v>Mất hiệu lực</v>
      </c>
    </row>
    <row r="15" spans="2:16" s="307" customFormat="1" ht="12" customHeight="1">
      <c r="B15" s="304">
        <v>9</v>
      </c>
      <c r="C15" s="304">
        <f>IF(ROW(A9)&gt;'Tinh phi QL'!$D$12,"",ROW(A9))</f>
        <v>9</v>
      </c>
      <c r="D15" s="305">
        <f t="shared" ca="1" si="1"/>
        <v>38</v>
      </c>
      <c r="E15" s="306">
        <f ca="1">IF(IFERROR(--TRIM(C15),0)=0,0,'Tinh phi QL'!$H$12/1000)</f>
        <v>0</v>
      </c>
      <c r="F15" s="306">
        <f t="shared" ca="1" si="2"/>
        <v>0</v>
      </c>
      <c r="G15" s="306">
        <f ca="1">KTVBVPhi20nam!AI12</f>
        <v>7495</v>
      </c>
      <c r="H15" s="306">
        <f ca="1">MAX('Tinh phi QL'!$E$12/1000,J15)</f>
        <v>0</v>
      </c>
      <c r="I15" s="306"/>
      <c r="J15" s="306" t="str">
        <f ca="1">IF(VLOOKUP(B15,KTVTD20namMH!$B$4:$M$243,10,0)&lt;=0,"Mất hiệu lực",VLOOKUP(B15,KTVTD20namMH!$B$4:$M$243,10,0))</f>
        <v>Mất hiệu lực</v>
      </c>
      <c r="K15" s="306"/>
      <c r="L15" s="306" t="str">
        <f t="shared" ca="1" si="0"/>
        <v>Mất hiệu lực</v>
      </c>
      <c r="M15" s="306" t="str">
        <f t="shared" ca="1" si="3"/>
        <v>Mất hiệu lực</v>
      </c>
    </row>
    <row r="16" spans="2:16" s="328" customFormat="1" ht="12" customHeight="1">
      <c r="B16" s="308">
        <v>10</v>
      </c>
      <c r="C16" s="312">
        <f>IF(ROW(A10)&gt;'Tinh phi QL'!$D$12,"",ROW(A10))</f>
        <v>10</v>
      </c>
      <c r="D16" s="309">
        <f t="shared" ca="1" si="1"/>
        <v>39</v>
      </c>
      <c r="E16" s="311">
        <f ca="1">IF(IFERROR(--TRIM(C16),0)=0,0,'Tinh phi QL'!$H$12/1000)</f>
        <v>0</v>
      </c>
      <c r="F16" s="311">
        <f t="shared" ca="1" si="2"/>
        <v>0</v>
      </c>
      <c r="G16" s="311">
        <f ca="1">KTVBVPhi20nam!AI13</f>
        <v>7495</v>
      </c>
      <c r="H16" s="311">
        <f ca="1">MAX('Tinh phi QL'!$E$12/1000,J16)</f>
        <v>0</v>
      </c>
      <c r="I16" s="311">
        <f ca="1">IF(AND(E7&lt;&gt;0,E8&lt;&gt;0,E9&lt;&gt;0,E10&lt;&gt;0,E11&lt;&gt;0,E12&lt;&gt;0,E13&lt;&gt;0,E14&lt;&gt;0,E15&lt;&gt;0,E16&lt;&gt;0),KTVTD20namMH!I112,0)</f>
        <v>0</v>
      </c>
      <c r="J16" s="311" t="str">
        <f ca="1">IF(VLOOKUP(B16,KTVTD20namMH!$B$4:$M$243,10,0)&lt;=0,"Mất hiệu lực",VLOOKUP(B16,KTVTD20namMH!$B$4:$M$243,10,0))</f>
        <v>Mất hiệu lực</v>
      </c>
      <c r="K16" s="310"/>
      <c r="L16" s="311" t="str">
        <f t="shared" ca="1" si="0"/>
        <v>Mất hiệu lực</v>
      </c>
      <c r="M16" s="311" t="str">
        <f t="shared" ca="1" si="3"/>
        <v>Mất hiệu lực</v>
      </c>
    </row>
    <row r="17" spans="2:13" s="307" customFormat="1" ht="12" customHeight="1">
      <c r="B17" s="304">
        <v>11</v>
      </c>
      <c r="C17" s="304">
        <f>IF(ROW(A11)&gt;'Tinh phi QL'!$D$12,"",ROW(A11))</f>
        <v>11</v>
      </c>
      <c r="D17" s="305">
        <f t="shared" ca="1" si="1"/>
        <v>40</v>
      </c>
      <c r="E17" s="306">
        <f ca="1">IF(IFERROR(--TRIM(C17),0)=0,0,'Tinh phi QL'!$H$12/1000)</f>
        <v>0</v>
      </c>
      <c r="F17" s="306">
        <f ca="1">E17</f>
        <v>0</v>
      </c>
      <c r="G17" s="306">
        <f ca="1">KTVBVPhi20nam!AI14</f>
        <v>8533</v>
      </c>
      <c r="H17" s="306">
        <f ca="1">MAX('Tinh phi QL'!$E$12/1000,J17)</f>
        <v>0</v>
      </c>
      <c r="I17" s="306"/>
      <c r="J17" s="306" t="str">
        <f ca="1">IF(VLOOKUP(B17,KTVTD20namMH!$B$4:$M$243,10,0)&lt;=0,"Mất hiệu lực",VLOOKUP(B17,KTVTD20namMH!$B$4:$M$243,10,0))</f>
        <v>Mất hiệu lực</v>
      </c>
      <c r="K17" s="306"/>
      <c r="L17" s="306" t="str">
        <f t="shared" ca="1" si="0"/>
        <v>Mất hiệu lực</v>
      </c>
      <c r="M17" s="306" t="str">
        <f t="shared" ca="1" si="3"/>
        <v>Mất hiệu lực</v>
      </c>
    </row>
    <row r="18" spans="2:13" s="307" customFormat="1" ht="12" customHeight="1">
      <c r="B18" s="304">
        <v>12</v>
      </c>
      <c r="C18" s="304">
        <f>IF(ROW(A12)&gt;'Tinh phi QL'!$D$12,"",ROW(A12))</f>
        <v>12</v>
      </c>
      <c r="D18" s="305">
        <f t="shared" ca="1" si="1"/>
        <v>41</v>
      </c>
      <c r="E18" s="306">
        <f ca="1">IF(IFERROR(--TRIM(C18),0)=0,0,'Tinh phi QL'!$H$12/1000)</f>
        <v>0</v>
      </c>
      <c r="F18" s="306">
        <f t="shared" ref="F18:F26" ca="1" si="4">E18</f>
        <v>0</v>
      </c>
      <c r="G18" s="306">
        <f ca="1">KTVBVPhi20nam!AI15</f>
        <v>8533</v>
      </c>
      <c r="H18" s="306">
        <f ca="1">MAX('Tinh phi QL'!$E$12/1000,J18)</f>
        <v>0</v>
      </c>
      <c r="I18" s="306"/>
      <c r="J18" s="306" t="str">
        <f ca="1">IF(VLOOKUP(B18,KTVTD20namMH!$B$4:$M$243,10,0)&lt;=0,"Mất hiệu lực",VLOOKUP(B18,KTVTD20namMH!$B$4:$M$243,10,0))</f>
        <v>Mất hiệu lực</v>
      </c>
      <c r="K18" s="306"/>
      <c r="L18" s="306" t="str">
        <f t="shared" ca="1" si="0"/>
        <v>Mất hiệu lực</v>
      </c>
      <c r="M18" s="306" t="str">
        <f t="shared" ca="1" si="3"/>
        <v>Mất hiệu lực</v>
      </c>
    </row>
    <row r="19" spans="2:13" s="307" customFormat="1" ht="12" customHeight="1">
      <c r="B19" s="304">
        <v>13</v>
      </c>
      <c r="C19" s="304">
        <f>IF(ROW(A13)&gt;'Tinh phi QL'!$D$12,"",ROW(A13))</f>
        <v>13</v>
      </c>
      <c r="D19" s="305">
        <f t="shared" ca="1" si="1"/>
        <v>42</v>
      </c>
      <c r="E19" s="306">
        <f ca="1">IF(IFERROR(--TRIM(C19),0)=0,0,'Tinh phi QL'!$H$12/1000)</f>
        <v>0</v>
      </c>
      <c r="F19" s="306">
        <f t="shared" ca="1" si="4"/>
        <v>0</v>
      </c>
      <c r="G19" s="306">
        <f ca="1">KTVBVPhi20nam!AI16</f>
        <v>8533</v>
      </c>
      <c r="H19" s="306">
        <f ca="1">MAX('Tinh phi QL'!$E$12/1000,J19)</f>
        <v>0</v>
      </c>
      <c r="I19" s="306"/>
      <c r="J19" s="306" t="str">
        <f ca="1">IF(VLOOKUP(B19,KTVTD20namMH!$B$4:$M$243,10,0)&lt;=0,"Mất hiệu lực",VLOOKUP(B19,KTVTD20namMH!$B$4:$M$243,10,0))</f>
        <v>Mất hiệu lực</v>
      </c>
      <c r="K19" s="306"/>
      <c r="L19" s="306" t="str">
        <f t="shared" ca="1" si="0"/>
        <v>Mất hiệu lực</v>
      </c>
      <c r="M19" s="306" t="str">
        <f t="shared" ca="1" si="3"/>
        <v>Mất hiệu lực</v>
      </c>
    </row>
    <row r="20" spans="2:13" s="307" customFormat="1" ht="12" customHeight="1">
      <c r="B20" s="304">
        <v>14</v>
      </c>
      <c r="C20" s="304">
        <f>IF(ROW(A14)&gt;'Tinh phi QL'!$D$12,"",ROW(A14))</f>
        <v>14</v>
      </c>
      <c r="D20" s="305">
        <f t="shared" ca="1" si="1"/>
        <v>43</v>
      </c>
      <c r="E20" s="306">
        <f ca="1">IF(IFERROR(--TRIM(C20),0)=0,0,'Tinh phi QL'!$H$12/1000)</f>
        <v>0</v>
      </c>
      <c r="F20" s="306">
        <f t="shared" ca="1" si="4"/>
        <v>0</v>
      </c>
      <c r="G20" s="306">
        <f ca="1">KTVBVPhi20nam!AI17</f>
        <v>8533</v>
      </c>
      <c r="H20" s="306">
        <f ca="1">MAX('Tinh phi QL'!$E$12/1000,J20)</f>
        <v>0</v>
      </c>
      <c r="I20" s="306"/>
      <c r="J20" s="306" t="str">
        <f ca="1">IF(VLOOKUP(B20,KTVTD20namMH!$B$4:$M$243,10,0)&lt;=0,"Mất hiệu lực",VLOOKUP(B20,KTVTD20namMH!$B$4:$M$243,10,0))</f>
        <v>Mất hiệu lực</v>
      </c>
      <c r="K20" s="306"/>
      <c r="L20" s="306" t="str">
        <f t="shared" ca="1" si="0"/>
        <v>Mất hiệu lực</v>
      </c>
      <c r="M20" s="306" t="str">
        <f t="shared" ca="1" si="3"/>
        <v>Mất hiệu lực</v>
      </c>
    </row>
    <row r="21" spans="2:13" s="328" customFormat="1" ht="12" customHeight="1">
      <c r="B21" s="312">
        <v>15</v>
      </c>
      <c r="C21" s="312">
        <f>IF(ROW(A15)&gt;'Tinh phi QL'!$D$12,"",ROW(A15))</f>
        <v>15</v>
      </c>
      <c r="D21" s="313">
        <f t="shared" ca="1" si="1"/>
        <v>44</v>
      </c>
      <c r="E21" s="311">
        <f ca="1">IF(IFERROR(--TRIM(C21),0)=0,0,'Tinh phi QL'!$H$12/1000)</f>
        <v>0</v>
      </c>
      <c r="F21" s="311">
        <f t="shared" ca="1" si="4"/>
        <v>0</v>
      </c>
      <c r="G21" s="311">
        <f ca="1">KTVBVPhi20nam!AI18</f>
        <v>8533</v>
      </c>
      <c r="H21" s="311">
        <f ca="1">MAX('Tinh phi QL'!$E$12/1000,J21)</f>
        <v>0</v>
      </c>
      <c r="I21" s="311"/>
      <c r="J21" s="311" t="str">
        <f ca="1">IF(VLOOKUP(B21,KTVTD20namMH!$B$4:$M$243,10,0)&lt;=0,"Mất hiệu lực",VLOOKUP(B21,KTVTD20namMH!$B$4:$M$243,10,0))</f>
        <v>Mất hiệu lực</v>
      </c>
      <c r="K21" s="311"/>
      <c r="L21" s="311" t="str">
        <f t="shared" ca="1" si="0"/>
        <v>Mất hiệu lực</v>
      </c>
      <c r="M21" s="311" t="str">
        <f t="shared" ca="1" si="3"/>
        <v>Mất hiệu lực</v>
      </c>
    </row>
    <row r="22" spans="2:13" s="307" customFormat="1" ht="12" customHeight="1">
      <c r="B22" s="304">
        <v>16</v>
      </c>
      <c r="C22" s="304" t="str">
        <f>IF(ROW(A16)&gt;'Tinh phi QL'!$D$12,"",ROW(A16))</f>
        <v/>
      </c>
      <c r="D22" s="305">
        <f t="shared" ca="1" si="1"/>
        <v>45</v>
      </c>
      <c r="E22" s="306">
        <f>IF(IFERROR(--TRIM(C22),0)=0,0,'Tinh phi QL'!$H$12/1000)</f>
        <v>0</v>
      </c>
      <c r="F22" s="306">
        <f t="shared" si="4"/>
        <v>0</v>
      </c>
      <c r="G22" s="306">
        <f ca="1">KTVBVPhi20nam!AI19</f>
        <v>10469</v>
      </c>
      <c r="H22" s="306">
        <f ca="1">MAX('Tinh phi QL'!$E$12/1000,J22)</f>
        <v>0</v>
      </c>
      <c r="I22" s="306"/>
      <c r="J22" s="306" t="str">
        <f ca="1">IF(VLOOKUP(B22,KTVTD20namMH!$B$4:$M$243,10,0)&lt;=0,"Mất hiệu lực",VLOOKUP(B22,KTVTD20namMH!$B$4:$M$243,10,0))</f>
        <v>Mất hiệu lực</v>
      </c>
      <c r="K22" s="306"/>
      <c r="L22" s="306" t="str">
        <f t="shared" ca="1" si="0"/>
        <v>Mất hiệu lực</v>
      </c>
      <c r="M22" s="306" t="str">
        <f t="shared" ca="1" si="3"/>
        <v>Mất hiệu lực</v>
      </c>
    </row>
    <row r="23" spans="2:13" s="307" customFormat="1" ht="12" customHeight="1">
      <c r="B23" s="304">
        <v>17</v>
      </c>
      <c r="C23" s="304" t="str">
        <f>IF(ROW(A17)&gt;'Tinh phi QL'!$D$12,"",ROW(A17))</f>
        <v/>
      </c>
      <c r="D23" s="305">
        <f t="shared" ca="1" si="1"/>
        <v>46</v>
      </c>
      <c r="E23" s="306">
        <f>IF(IFERROR(--TRIM(C23),0)=0,0,'Tinh phi QL'!$H$12/1000)</f>
        <v>0</v>
      </c>
      <c r="F23" s="306">
        <f t="shared" si="4"/>
        <v>0</v>
      </c>
      <c r="G23" s="306">
        <f ca="1">KTVBVPhi20nam!AI20</f>
        <v>10469</v>
      </c>
      <c r="H23" s="306">
        <f ca="1">MAX('Tinh phi QL'!$E$12/1000,J23)</f>
        <v>0</v>
      </c>
      <c r="I23" s="306"/>
      <c r="J23" s="306" t="str">
        <f ca="1">IF(VLOOKUP(B23,KTVTD20namMH!$B$4:$M$243,10,0)&lt;=0,"Mất hiệu lực",VLOOKUP(B23,KTVTD20namMH!$B$4:$M$243,10,0))</f>
        <v>Mất hiệu lực</v>
      </c>
      <c r="K23" s="306"/>
      <c r="L23" s="306" t="str">
        <f t="shared" ca="1" si="0"/>
        <v>Mất hiệu lực</v>
      </c>
      <c r="M23" s="306" t="str">
        <f t="shared" ca="1" si="3"/>
        <v>Mất hiệu lực</v>
      </c>
    </row>
    <row r="24" spans="2:13" s="307" customFormat="1" ht="12" customHeight="1">
      <c r="B24" s="304">
        <v>18</v>
      </c>
      <c r="C24" s="304" t="str">
        <f>IF(ROW(A18)&gt;'Tinh phi QL'!$D$12,"",ROW(A18))</f>
        <v/>
      </c>
      <c r="D24" s="305">
        <f t="shared" ca="1" si="1"/>
        <v>47</v>
      </c>
      <c r="E24" s="306">
        <f>IF(IFERROR(--TRIM(C24),0)=0,0,'Tinh phi QL'!$H$12/1000)</f>
        <v>0</v>
      </c>
      <c r="F24" s="306">
        <f t="shared" si="4"/>
        <v>0</v>
      </c>
      <c r="G24" s="306">
        <f ca="1">KTVBVPhi20nam!AI21</f>
        <v>10469</v>
      </c>
      <c r="H24" s="306">
        <f ca="1">MAX('Tinh phi QL'!$E$12/1000,J24)</f>
        <v>0</v>
      </c>
      <c r="I24" s="306"/>
      <c r="J24" s="306" t="str">
        <f ca="1">IF(VLOOKUP(B24,KTVTD20namMH!$B$4:$M$243,10,0)&lt;=0,"Mất hiệu lực",VLOOKUP(B24,KTVTD20namMH!$B$4:$M$243,10,0))</f>
        <v>Mất hiệu lực</v>
      </c>
      <c r="K24" s="306"/>
      <c r="L24" s="306" t="str">
        <f t="shared" ca="1" si="0"/>
        <v>Mất hiệu lực</v>
      </c>
      <c r="M24" s="306" t="str">
        <f t="shared" ca="1" si="3"/>
        <v>Mất hiệu lực</v>
      </c>
    </row>
    <row r="25" spans="2:13" s="307" customFormat="1" ht="12" customHeight="1">
      <c r="B25" s="304">
        <v>19</v>
      </c>
      <c r="C25" s="304" t="str">
        <f>IF(ROW(A19)&gt;'Tinh phi QL'!$D$12,"",ROW(A19))</f>
        <v/>
      </c>
      <c r="D25" s="305">
        <f t="shared" ca="1" si="1"/>
        <v>48</v>
      </c>
      <c r="E25" s="306">
        <f>IF(IFERROR(--TRIM(C25),0)=0,0,'Tinh phi QL'!$H$12/1000)</f>
        <v>0</v>
      </c>
      <c r="F25" s="306">
        <f t="shared" si="4"/>
        <v>0</v>
      </c>
      <c r="G25" s="306">
        <f ca="1">KTVBVPhi20nam!AI22</f>
        <v>10469</v>
      </c>
      <c r="H25" s="306">
        <f ca="1">MAX('Tinh phi QL'!$E$12/1000,J25)</f>
        <v>0</v>
      </c>
      <c r="I25" s="306"/>
      <c r="J25" s="306" t="str">
        <f ca="1">IF(VLOOKUP(B25,KTVTD20namMH!$B$4:$M$243,10,0)&lt;=0,"Mất hiệu lực",VLOOKUP(B25,KTVTD20namMH!$B$4:$M$243,10,0))</f>
        <v>Mất hiệu lực</v>
      </c>
      <c r="K25" s="306"/>
      <c r="L25" s="306" t="str">
        <f t="shared" ca="1" si="0"/>
        <v>Mất hiệu lực</v>
      </c>
      <c r="M25" s="306" t="str">
        <f t="shared" ca="1" si="3"/>
        <v>Mất hiệu lực</v>
      </c>
    </row>
    <row r="26" spans="2:13" s="328" customFormat="1" ht="12" customHeight="1">
      <c r="B26" s="312">
        <v>20</v>
      </c>
      <c r="C26" s="312" t="str">
        <f>IF(ROW(A20)&gt;'Tinh phi QL'!$D$12,"",ROW(A20))</f>
        <v/>
      </c>
      <c r="D26" s="313">
        <f t="shared" ca="1" si="1"/>
        <v>49</v>
      </c>
      <c r="E26" s="311">
        <f>IF(IFERROR(--TRIM(C26),0)=0,0,'Tinh phi QL'!$H$12/1000)</f>
        <v>0</v>
      </c>
      <c r="F26" s="311">
        <f t="shared" si="4"/>
        <v>0</v>
      </c>
      <c r="G26" s="311">
        <f ca="1">KTVBVPhi20nam!AI23</f>
        <v>10469</v>
      </c>
      <c r="H26" s="311">
        <f ca="1">MAX('Tinh phi QL'!$E$12/1000,J26)</f>
        <v>0</v>
      </c>
      <c r="I26" s="311">
        <f ca="1">IF(AND(E17&lt;&gt;0,E18&lt;&gt;0,E19&lt;&gt;0,E20&lt;&gt;0,E21&lt;&gt;0,E22&lt;&gt;0,E23&lt;&gt;0,E24&lt;&gt;0,E25&lt;&gt;0,E26&lt;&gt;0),KTVTD20namMH!I232,0)</f>
        <v>0</v>
      </c>
      <c r="J26" s="311" t="str">
        <f ca="1">IF(VLOOKUP(B26,KTVTD20namMH!$B$4:$M$243,10,0)&lt;=0,"Mất hiệu lực",VLOOKUP(B26,KTVTD20namMH!$B$4:$M$243,10,0))</f>
        <v>Mất hiệu lực</v>
      </c>
      <c r="K26" s="311"/>
      <c r="L26" s="311" t="str">
        <f t="shared" ca="1" si="0"/>
        <v>Mất hiệu lực</v>
      </c>
      <c r="M26" s="311" t="str">
        <f t="shared" ca="1" si="3"/>
        <v>Mất hiệu lực</v>
      </c>
    </row>
  </sheetData>
  <sheetProtection selectLockedCells="1"/>
  <mergeCells count="13">
    <mergeCell ref="O2:P2"/>
    <mergeCell ref="O3:P3"/>
    <mergeCell ref="C5:C6"/>
    <mergeCell ref="D5:D6"/>
    <mergeCell ref="E5:E6"/>
    <mergeCell ref="F5:F6"/>
    <mergeCell ref="G5:G6"/>
    <mergeCell ref="B2:E3"/>
    <mergeCell ref="B4:L4"/>
    <mergeCell ref="B5:B6"/>
    <mergeCell ref="H5:M5"/>
    <mergeCell ref="F2:L3"/>
    <mergeCell ref="M2:M3"/>
  </mergeCells>
  <conditionalFormatting sqref="B7:G26">
    <cfRule type="expression" dxfId="241" priority="1">
      <formula>MOD(ROW(),2)&gt;0</formula>
    </cfRule>
    <cfRule type="expression" dxfId="240" priority="2">
      <formula>"mod(row(),2).0"</formula>
    </cfRule>
  </conditionalFormatting>
  <conditionalFormatting sqref="H7:M7 I8:M15 L8:L26 M13:M26 J16:M26 J8:J26 H8:H26">
    <cfRule type="expression" dxfId="239" priority="16">
      <formula>MOD(ROW(),2)&gt;0</formula>
    </cfRule>
    <cfRule type="expression" dxfId="238" priority="17">
      <formula>"mod(row(),2).0"</formula>
    </cfRule>
  </conditionalFormatting>
  <conditionalFormatting sqref="I16:I26">
    <cfRule type="expression" dxfId="237" priority="12">
      <formula>MOD(ROW(),2)&gt;0</formula>
    </cfRule>
    <cfRule type="expression" dxfId="236" priority="13">
      <formula>"mod(row(),2).0"</formula>
    </cfRule>
  </conditionalFormatting>
  <conditionalFormatting sqref="J7:J26">
    <cfRule type="cellIs" dxfId="235" priority="14" operator="lessThan">
      <formula>0</formula>
    </cfRule>
  </conditionalFormatting>
  <conditionalFormatting sqref="J1:M1048576">
    <cfRule type="containsText" dxfId="234" priority="7" operator="containsText" text="mất">
      <formula>NOT(ISERROR(SEARCH("mất",J1)))</formula>
    </cfRule>
  </conditionalFormatting>
  <conditionalFormatting sqref="L1:M1 M2 M4">
    <cfRule type="cellIs" dxfId="233" priority="18" operator="lessThan">
      <formula>0</formula>
    </cfRule>
  </conditionalFormatting>
  <conditionalFormatting sqref="L6:M1048576">
    <cfRule type="cellIs" dxfId="232" priority="15" operator="lessThan">
      <formula>0</formula>
    </cfRule>
  </conditionalFormatting>
  <conditionalFormatting sqref="O3:P3">
    <cfRule type="containsText" dxfId="231" priority="19" operator="containsText" text="Chỉ">
      <formula>NOT(ISERROR(SEARCH("Chỉ",O3)))</formula>
    </cfRule>
    <cfRule type="containsText" dxfId="230" priority="20" operator="containsText" text="Phải">
      <formula>NOT(ISERROR(SEARCH("Phải",O3)))</formula>
    </cfRule>
  </conditionalFormatting>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B18AD1-7FE4-4B1D-A9D8-996B9FF566EA}">
  <dimension ref="B1:P26"/>
  <sheetViews>
    <sheetView showGridLines="0" workbookViewId="0"/>
  </sheetViews>
  <sheetFormatPr defaultColWidth="8.19921875" defaultRowHeight="14.5"/>
  <cols>
    <col min="1" max="1" width="3.69921875" style="301" customWidth="1"/>
    <col min="2" max="2" width="7.19921875" style="301" customWidth="1"/>
    <col min="3" max="3" width="9" style="301" customWidth="1"/>
    <col min="4" max="4" width="7" style="301" customWidth="1"/>
    <col min="5" max="5" width="15.19921875" style="301" customWidth="1"/>
    <col min="6" max="6" width="19.296875" style="301" customWidth="1"/>
    <col min="7" max="7" width="19.796875" style="301" customWidth="1"/>
    <col min="8" max="8" width="23.19921875" style="301" customWidth="1"/>
    <col min="9" max="12" width="18.19921875" style="301" customWidth="1"/>
    <col min="13" max="13" width="17.69921875" style="301" customWidth="1"/>
    <col min="14" max="14" width="18.19921875" style="301" customWidth="1"/>
    <col min="15" max="15" width="8.19921875" style="301"/>
    <col min="16" max="16" width="12.796875" style="301" customWidth="1"/>
    <col min="17" max="16384" width="8.19921875" style="301"/>
  </cols>
  <sheetData>
    <row r="1" spans="2:16" ht="6" customHeight="1"/>
    <row r="2" spans="2:16" ht="9.75" customHeight="1">
      <c r="B2" s="915" t="s">
        <v>858</v>
      </c>
      <c r="C2" s="915"/>
      <c r="D2" s="915"/>
      <c r="E2" s="915"/>
      <c r="F2" s="938" t="s">
        <v>854</v>
      </c>
      <c r="G2" s="938"/>
      <c r="H2" s="938"/>
      <c r="I2" s="938"/>
      <c r="J2" s="938"/>
      <c r="K2" s="938"/>
      <c r="L2" s="939"/>
      <c r="M2" s="942">
        <v>4.5999999999999999E-2</v>
      </c>
      <c r="N2" s="302"/>
      <c r="O2" s="910"/>
      <c r="P2" s="910"/>
    </row>
    <row r="3" spans="2:16" ht="5.25" customHeight="1">
      <c r="B3" s="915"/>
      <c r="C3" s="915"/>
      <c r="D3" s="915"/>
      <c r="E3" s="915"/>
      <c r="F3" s="940"/>
      <c r="G3" s="940"/>
      <c r="H3" s="940"/>
      <c r="I3" s="940"/>
      <c r="J3" s="940"/>
      <c r="K3" s="940"/>
      <c r="L3" s="941"/>
      <c r="M3" s="943"/>
      <c r="N3" s="302"/>
      <c r="O3" s="910"/>
      <c r="P3" s="910"/>
    </row>
    <row r="4" spans="2:16" ht="11.25" customHeight="1">
      <c r="B4" s="917" t="s">
        <v>689</v>
      </c>
      <c r="C4" s="917"/>
      <c r="D4" s="917"/>
      <c r="E4" s="917"/>
      <c r="F4" s="917"/>
      <c r="G4" s="917"/>
      <c r="H4" s="917"/>
      <c r="I4" s="917"/>
      <c r="J4" s="917"/>
      <c r="K4" s="917"/>
      <c r="L4" s="917"/>
      <c r="M4" s="303" t="s">
        <v>712</v>
      </c>
    </row>
    <row r="5" spans="2:16" ht="12.75" customHeight="1">
      <c r="B5" s="931" t="s">
        <v>670</v>
      </c>
      <c r="C5" s="931" t="s">
        <v>842</v>
      </c>
      <c r="D5" s="931" t="s">
        <v>1</v>
      </c>
      <c r="E5" s="931" t="s">
        <v>692</v>
      </c>
      <c r="F5" s="931" t="s">
        <v>693</v>
      </c>
      <c r="G5" s="933" t="s">
        <v>694</v>
      </c>
      <c r="H5" s="928" t="s">
        <v>690</v>
      </c>
      <c r="I5" s="929"/>
      <c r="J5" s="929"/>
      <c r="K5" s="929"/>
      <c r="L5" s="929"/>
      <c r="M5" s="930"/>
    </row>
    <row r="6" spans="2:16" ht="24" customHeight="1">
      <c r="B6" s="932"/>
      <c r="C6" s="932"/>
      <c r="D6" s="932"/>
      <c r="E6" s="932"/>
      <c r="F6" s="932"/>
      <c r="G6" s="934"/>
      <c r="H6" s="317" t="s">
        <v>700</v>
      </c>
      <c r="I6" s="317" t="s">
        <v>696</v>
      </c>
      <c r="J6" s="317" t="s">
        <v>697</v>
      </c>
      <c r="K6" s="317" t="s">
        <v>698</v>
      </c>
      <c r="L6" s="317" t="s">
        <v>699</v>
      </c>
      <c r="M6" s="317" t="s">
        <v>701</v>
      </c>
    </row>
    <row r="7" spans="2:16" s="307" customFormat="1" ht="12" customHeight="1">
      <c r="B7" s="304">
        <v>1</v>
      </c>
      <c r="C7" s="304">
        <f>IF(ROW(A1)&gt;'Tinh phi QL'!$D$12,"",ROW(A1))</f>
        <v>1</v>
      </c>
      <c r="D7" s="305">
        <f ca="1">'Tinh phi QL'!I8</f>
        <v>30</v>
      </c>
      <c r="E7" s="306">
        <f ca="1">IF(IFERROR(--TRIM(C7),0)=0,0,'Tinh phi QL'!$H$12/1000)</f>
        <v>0</v>
      </c>
      <c r="F7" s="306">
        <f ca="1">E7*90%</f>
        <v>0</v>
      </c>
      <c r="G7" s="306">
        <f ca="1">KTVBVPhi20nam!AI4</f>
        <v>6571</v>
      </c>
      <c r="H7" s="306">
        <f ca="1">MAX('Tinh phi QL'!$E$12/1000,J7)</f>
        <v>0</v>
      </c>
      <c r="I7" s="306"/>
      <c r="J7" s="306" t="str">
        <f ca="1">IF(VLOOKUP(B7,KTVTU20namMH!$B$4:$M$243,10,0)&lt;=0,"Mất hiệu lực",VLOOKUP(B7,KTVTU20namMH!$B$4:$M$243,10,0))</f>
        <v>Mất hiệu lực</v>
      </c>
      <c r="K7" s="306"/>
      <c r="L7" s="306" t="str">
        <f ca="1">J7</f>
        <v>Mất hiệu lực</v>
      </c>
      <c r="M7" s="306" t="e">
        <f ca="1">IF(L7-100%*E7&gt;0,L7-100%*E7,0)</f>
        <v>#VALUE!</v>
      </c>
    </row>
    <row r="8" spans="2:16" s="307" customFormat="1" ht="12" customHeight="1">
      <c r="B8" s="304">
        <v>2</v>
      </c>
      <c r="C8" s="304">
        <f>IF(ROW(A2)&gt;'Tinh phi QL'!$D$12,"",ROW(A2))</f>
        <v>2</v>
      </c>
      <c r="D8" s="305">
        <f ca="1">D7+1</f>
        <v>31</v>
      </c>
      <c r="E8" s="306">
        <f ca="1">IF(IFERROR(--TRIM(C8),0)=0,0,'Tinh phi QL'!$H$12/1000)</f>
        <v>0</v>
      </c>
      <c r="F8" s="306">
        <f ca="1">E8*100%</f>
        <v>0</v>
      </c>
      <c r="G8" s="306">
        <f ca="1">KTVBVPhi20nam!AI5</f>
        <v>6571</v>
      </c>
      <c r="H8" s="306">
        <f ca="1">MAX('Tinh phi QL'!$E$12/1000,J8)</f>
        <v>0</v>
      </c>
      <c r="I8" s="306"/>
      <c r="J8" s="306" t="str">
        <f ca="1">IF(VLOOKUP(B8,KTVTU20namMH!$B$4:$M$243,10,0)&lt;=0,"Mất hiệu lực",VLOOKUP(B8,KTVTU20namMH!$B$4:$M$243,10,0))</f>
        <v>Mất hiệu lực</v>
      </c>
      <c r="K8" s="306"/>
      <c r="L8" s="306" t="str">
        <f t="shared" ref="L8:L26" ca="1" si="0">J8</f>
        <v>Mất hiệu lực</v>
      </c>
      <c r="M8" s="306" t="e">
        <f ca="1">IF(L8-100%*E8&gt;0,L8-100%*E8,0)</f>
        <v>#VALUE!</v>
      </c>
    </row>
    <row r="9" spans="2:16" s="307" customFormat="1" ht="12" customHeight="1">
      <c r="B9" s="304">
        <v>3</v>
      </c>
      <c r="C9" s="304">
        <f>IF(ROW(A3)&gt;'Tinh phi QL'!$D$12,"",ROW(A3))</f>
        <v>3</v>
      </c>
      <c r="D9" s="305">
        <f t="shared" ref="D9:D26" ca="1" si="1">D8+1</f>
        <v>32</v>
      </c>
      <c r="E9" s="306">
        <f ca="1">IF(IFERROR(--TRIM(C9),0)=0,0,'Tinh phi QL'!$H$12/1000)</f>
        <v>0</v>
      </c>
      <c r="F9" s="306">
        <f t="shared" ref="F9:F26" ca="1" si="2">E9*100%</f>
        <v>0</v>
      </c>
      <c r="G9" s="306">
        <f ca="1">KTVBVPhi20nam!AI6</f>
        <v>6571</v>
      </c>
      <c r="H9" s="306">
        <f ca="1">MAX('Tinh phi QL'!$E$12/1000,J9)</f>
        <v>0</v>
      </c>
      <c r="I9" s="306"/>
      <c r="J9" s="306" t="str">
        <f ca="1">IF(VLOOKUP(B9,KTVTU20namMH!$B$4:$M$243,10,0)&lt;=0,"Mất hiệu lực",VLOOKUP(B9,KTVTU20namMH!$B$4:$M$243,10,0))</f>
        <v>Mất hiệu lực</v>
      </c>
      <c r="K9" s="306"/>
      <c r="L9" s="306" t="str">
        <f t="shared" ca="1" si="0"/>
        <v>Mất hiệu lực</v>
      </c>
      <c r="M9" s="306" t="e">
        <f ca="1">L9-40%*E9</f>
        <v>#VALUE!</v>
      </c>
    </row>
    <row r="10" spans="2:16" s="307" customFormat="1" ht="12" customHeight="1">
      <c r="B10" s="304">
        <v>4</v>
      </c>
      <c r="C10" s="304">
        <f>IF(ROW(A4)&gt;'Tinh phi QL'!$D$12,"",ROW(A4))</f>
        <v>4</v>
      </c>
      <c r="D10" s="305">
        <f t="shared" ca="1" si="1"/>
        <v>33</v>
      </c>
      <c r="E10" s="306">
        <f ca="1">IF(IFERROR(--TRIM(C10),0)=0,0,'Tinh phi QL'!$H$12/1000)</f>
        <v>0</v>
      </c>
      <c r="F10" s="306">
        <f t="shared" ca="1" si="2"/>
        <v>0</v>
      </c>
      <c r="G10" s="306">
        <f ca="1">KTVBVPhi20nam!AI7</f>
        <v>6571</v>
      </c>
      <c r="H10" s="306">
        <f ca="1">MAX('Tinh phi QL'!$E$12/1000,J10)</f>
        <v>0</v>
      </c>
      <c r="I10" s="306"/>
      <c r="J10" s="306" t="str">
        <f ca="1">IF(VLOOKUP(B10,KTVTU20namMH!$B$4:$M$243,10,0)&lt;=0,"Mất hiệu lực",VLOOKUP(B10,KTVTU20namMH!$B$4:$M$243,10,0))</f>
        <v>Mất hiệu lực</v>
      </c>
      <c r="K10" s="306"/>
      <c r="L10" s="306" t="str">
        <f t="shared" ca="1" si="0"/>
        <v>Mất hiệu lực</v>
      </c>
      <c r="M10" s="306" t="e">
        <f ca="1">L10-25%*E10</f>
        <v>#VALUE!</v>
      </c>
    </row>
    <row r="11" spans="2:16" s="328" customFormat="1" ht="12" customHeight="1">
      <c r="B11" s="312">
        <v>5</v>
      </c>
      <c r="C11" s="312">
        <f>IF(ROW(A5)&gt;'Tinh phi QL'!$D$12,"",ROW(A5))</f>
        <v>5</v>
      </c>
      <c r="D11" s="313">
        <f t="shared" ca="1" si="1"/>
        <v>34</v>
      </c>
      <c r="E11" s="311">
        <f ca="1">IF(IFERROR(--TRIM(C11),0)=0,0,'Tinh phi QL'!$H$12/1000)</f>
        <v>0</v>
      </c>
      <c r="F11" s="311">
        <f t="shared" ca="1" si="2"/>
        <v>0</v>
      </c>
      <c r="G11" s="311">
        <f ca="1">KTVBVPhi20nam!AI8</f>
        <v>6571</v>
      </c>
      <c r="H11" s="311">
        <f ca="1">MAX('Tinh phi QL'!$E$12/1000,J11)</f>
        <v>0</v>
      </c>
      <c r="I11" s="311"/>
      <c r="J11" s="311" t="str">
        <f ca="1">IF(VLOOKUP(B11,KTVTU20namMH!$B$4:$M$243,10,0)&lt;=0,"Mất hiệu lực",VLOOKUP(B11,KTVTU20namMH!$B$4:$M$243,10,0))</f>
        <v>Mất hiệu lực</v>
      </c>
      <c r="K11" s="311"/>
      <c r="L11" s="311" t="str">
        <f t="shared" ca="1" si="0"/>
        <v>Mất hiệu lực</v>
      </c>
      <c r="M11" s="311" t="e">
        <f ca="1">L11-10%*E11</f>
        <v>#VALUE!</v>
      </c>
    </row>
    <row r="12" spans="2:16" s="307" customFormat="1" ht="12" customHeight="1">
      <c r="B12" s="304">
        <v>6</v>
      </c>
      <c r="C12" s="304">
        <f>IF(ROW(A6)&gt;'Tinh phi QL'!$D$12,"",ROW(A6))</f>
        <v>6</v>
      </c>
      <c r="D12" s="305">
        <f t="shared" ca="1" si="1"/>
        <v>35</v>
      </c>
      <c r="E12" s="306">
        <f ca="1">IF(IFERROR(--TRIM(C12),0)=0,0,'Tinh phi QL'!$H$12/1000)</f>
        <v>0</v>
      </c>
      <c r="F12" s="306">
        <f t="shared" ca="1" si="2"/>
        <v>0</v>
      </c>
      <c r="G12" s="306">
        <f ca="1">KTVBVPhi20nam!AI9</f>
        <v>7495</v>
      </c>
      <c r="H12" s="306">
        <f ca="1">MAX('Tinh phi QL'!$E$12/1000,J12)</f>
        <v>0</v>
      </c>
      <c r="I12" s="306"/>
      <c r="J12" s="306" t="str">
        <f ca="1">IF(VLOOKUP(B12,KTVTU20namMH!$B$4:$M$243,10,0)&lt;=0,"Mất hiệu lực",VLOOKUP(B12,KTVTU20namMH!$B$4:$M$243,10,0))</f>
        <v>Mất hiệu lực</v>
      </c>
      <c r="K12" s="306"/>
      <c r="L12" s="306" t="str">
        <f t="shared" ca="1" si="0"/>
        <v>Mất hiệu lực</v>
      </c>
      <c r="M12" s="306" t="str">
        <f ca="1">L12</f>
        <v>Mất hiệu lực</v>
      </c>
    </row>
    <row r="13" spans="2:16" s="307" customFormat="1" ht="12" customHeight="1">
      <c r="B13" s="304">
        <v>7</v>
      </c>
      <c r="C13" s="304">
        <f>IF(ROW(A7)&gt;'Tinh phi QL'!$D$12,"",ROW(A7))</f>
        <v>7</v>
      </c>
      <c r="D13" s="305">
        <f t="shared" ca="1" si="1"/>
        <v>36</v>
      </c>
      <c r="E13" s="306">
        <f ca="1">IF(IFERROR(--TRIM(C13),0)=0,0,'Tinh phi QL'!$H$12/1000)</f>
        <v>0</v>
      </c>
      <c r="F13" s="306">
        <f t="shared" ca="1" si="2"/>
        <v>0</v>
      </c>
      <c r="G13" s="306">
        <f ca="1">KTVBVPhi20nam!AI10</f>
        <v>7495</v>
      </c>
      <c r="H13" s="306">
        <f ca="1">MAX('Tinh phi QL'!$E$12/1000,J13)</f>
        <v>0</v>
      </c>
      <c r="I13" s="306"/>
      <c r="J13" s="306" t="str">
        <f ca="1">IF(VLOOKUP(B13,KTVTU20namMH!$B$4:$M$243,10,0)&lt;=0,"Mất hiệu lực",VLOOKUP(B13,KTVTU20namMH!$B$4:$M$243,10,0))</f>
        <v>Mất hiệu lực</v>
      </c>
      <c r="K13" s="306"/>
      <c r="L13" s="306" t="str">
        <f t="shared" ca="1" si="0"/>
        <v>Mất hiệu lực</v>
      </c>
      <c r="M13" s="306" t="str">
        <f t="shared" ref="M13:M26" ca="1" si="3">L13</f>
        <v>Mất hiệu lực</v>
      </c>
    </row>
    <row r="14" spans="2:16" s="307" customFormat="1" ht="12" customHeight="1">
      <c r="B14" s="304">
        <v>8</v>
      </c>
      <c r="C14" s="304">
        <f>IF(ROW(A8)&gt;'Tinh phi QL'!$D$12,"",ROW(A8))</f>
        <v>8</v>
      </c>
      <c r="D14" s="305">
        <f t="shared" ca="1" si="1"/>
        <v>37</v>
      </c>
      <c r="E14" s="306">
        <f ca="1">IF(IFERROR(--TRIM(C14),0)=0,0,'Tinh phi QL'!$H$12/1000)</f>
        <v>0</v>
      </c>
      <c r="F14" s="306">
        <f t="shared" ca="1" si="2"/>
        <v>0</v>
      </c>
      <c r="G14" s="306">
        <f ca="1">KTVBVPhi20nam!AI11</f>
        <v>7495</v>
      </c>
      <c r="H14" s="306">
        <f ca="1">MAX('Tinh phi QL'!$E$12/1000,J14)</f>
        <v>0</v>
      </c>
      <c r="I14" s="306"/>
      <c r="J14" s="306" t="str">
        <f ca="1">IF(VLOOKUP(B14,KTVTU20namMH!$B$4:$M$243,10,0)&lt;=0,"Mất hiệu lực",VLOOKUP(B14,KTVTU20namMH!$B$4:$M$243,10,0))</f>
        <v>Mất hiệu lực</v>
      </c>
      <c r="K14" s="306"/>
      <c r="L14" s="306" t="str">
        <f t="shared" ca="1" si="0"/>
        <v>Mất hiệu lực</v>
      </c>
      <c r="M14" s="306" t="str">
        <f t="shared" ca="1" si="3"/>
        <v>Mất hiệu lực</v>
      </c>
    </row>
    <row r="15" spans="2:16" s="307" customFormat="1" ht="12" customHeight="1">
      <c r="B15" s="304">
        <v>9</v>
      </c>
      <c r="C15" s="304">
        <f>IF(ROW(A9)&gt;'Tinh phi QL'!$D$12,"",ROW(A9))</f>
        <v>9</v>
      </c>
      <c r="D15" s="305">
        <f t="shared" ca="1" si="1"/>
        <v>38</v>
      </c>
      <c r="E15" s="306">
        <f ca="1">IF(IFERROR(--TRIM(C15),0)=0,0,'Tinh phi QL'!$H$12/1000)</f>
        <v>0</v>
      </c>
      <c r="F15" s="306">
        <f t="shared" ca="1" si="2"/>
        <v>0</v>
      </c>
      <c r="G15" s="306">
        <f ca="1">KTVBVPhi20nam!AI12</f>
        <v>7495</v>
      </c>
      <c r="H15" s="306">
        <f ca="1">MAX('Tinh phi QL'!$E$12/1000,J15)</f>
        <v>0</v>
      </c>
      <c r="I15" s="306"/>
      <c r="J15" s="306" t="str">
        <f ca="1">IF(VLOOKUP(B15,KTVTU20namMH!$B$4:$M$243,10,0)&lt;=0,"Mất hiệu lực",VLOOKUP(B15,KTVTU20namMH!$B$4:$M$243,10,0))</f>
        <v>Mất hiệu lực</v>
      </c>
      <c r="K15" s="306"/>
      <c r="L15" s="306" t="str">
        <f t="shared" ca="1" si="0"/>
        <v>Mất hiệu lực</v>
      </c>
      <c r="M15" s="306" t="str">
        <f t="shared" ca="1" si="3"/>
        <v>Mất hiệu lực</v>
      </c>
    </row>
    <row r="16" spans="2:16" s="328" customFormat="1" ht="12" customHeight="1">
      <c r="B16" s="308">
        <v>10</v>
      </c>
      <c r="C16" s="312">
        <f>IF(ROW(A10)&gt;'Tinh phi QL'!$D$12,"",ROW(A10))</f>
        <v>10</v>
      </c>
      <c r="D16" s="309">
        <f t="shared" ca="1" si="1"/>
        <v>39</v>
      </c>
      <c r="E16" s="311">
        <f ca="1">IF(IFERROR(--TRIM(C16),0)=0,0,'Tinh phi QL'!$H$12/1000)</f>
        <v>0</v>
      </c>
      <c r="F16" s="311">
        <f t="shared" ca="1" si="2"/>
        <v>0</v>
      </c>
      <c r="G16" s="311">
        <f ca="1">KTVBVPhi20nam!AI13</f>
        <v>7495</v>
      </c>
      <c r="H16" s="311">
        <f ca="1">MAX('Tinh phi QL'!$E$12/1000,J16)</f>
        <v>0</v>
      </c>
      <c r="I16" s="311">
        <f ca="1">KTVTU20namMH!I112</f>
        <v>0</v>
      </c>
      <c r="J16" s="311" t="str">
        <f ca="1">IF(VLOOKUP(B16,KTVTU20namMH!$B$4:$M$243,10,0)&lt;=0,"Mất hiệu lực",VLOOKUP(B16,KTVTU20namMH!$B$4:$M$243,10,0))</f>
        <v>Mất hiệu lực</v>
      </c>
      <c r="K16" s="310"/>
      <c r="L16" s="311" t="str">
        <f t="shared" ca="1" si="0"/>
        <v>Mất hiệu lực</v>
      </c>
      <c r="M16" s="311" t="str">
        <f t="shared" ca="1" si="3"/>
        <v>Mất hiệu lực</v>
      </c>
    </row>
    <row r="17" spans="2:13" s="307" customFormat="1" ht="12" customHeight="1">
      <c r="B17" s="304">
        <v>11</v>
      </c>
      <c r="C17" s="304">
        <f>IF(ROW(A11)&gt;'Tinh phi QL'!$D$12,"",ROW(A11))</f>
        <v>11</v>
      </c>
      <c r="D17" s="305">
        <f t="shared" ca="1" si="1"/>
        <v>40</v>
      </c>
      <c r="E17" s="306">
        <f ca="1">IF(IFERROR(--TRIM(C17),0)=0,0,'Tinh phi QL'!$H$12/1000)</f>
        <v>0</v>
      </c>
      <c r="F17" s="306">
        <f t="shared" ca="1" si="2"/>
        <v>0</v>
      </c>
      <c r="G17" s="306">
        <f ca="1">KTVBVPhi20nam!AI14</f>
        <v>8533</v>
      </c>
      <c r="H17" s="306">
        <f ca="1">MAX('Tinh phi QL'!$E$12/1000,J17)</f>
        <v>0</v>
      </c>
      <c r="I17" s="306"/>
      <c r="J17" s="306" t="str">
        <f ca="1">IF(VLOOKUP(B17,KTVTU20namMH!$B$4:$M$243,10,0)&lt;=0,"Mất hiệu lực",VLOOKUP(B17,KTVTU20namMH!$B$4:$M$243,10,0))</f>
        <v>Mất hiệu lực</v>
      </c>
      <c r="K17" s="306"/>
      <c r="L17" s="306" t="str">
        <f t="shared" ca="1" si="0"/>
        <v>Mất hiệu lực</v>
      </c>
      <c r="M17" s="306" t="str">
        <f t="shared" ca="1" si="3"/>
        <v>Mất hiệu lực</v>
      </c>
    </row>
    <row r="18" spans="2:13" s="307" customFormat="1" ht="12" customHeight="1">
      <c r="B18" s="304">
        <v>12</v>
      </c>
      <c r="C18" s="304">
        <f>IF(ROW(A12)&gt;'Tinh phi QL'!$D$12,"",ROW(A12))</f>
        <v>12</v>
      </c>
      <c r="D18" s="305">
        <f t="shared" ca="1" si="1"/>
        <v>41</v>
      </c>
      <c r="E18" s="306">
        <f ca="1">IF(IFERROR(--TRIM(C18),0)=0,0,'Tinh phi QL'!$H$12/1000)</f>
        <v>0</v>
      </c>
      <c r="F18" s="306">
        <f t="shared" ca="1" si="2"/>
        <v>0</v>
      </c>
      <c r="G18" s="306">
        <f ca="1">KTVBVPhi20nam!AI15</f>
        <v>8533</v>
      </c>
      <c r="H18" s="306">
        <f ca="1">MAX('Tinh phi QL'!$E$12/1000,J18)</f>
        <v>0</v>
      </c>
      <c r="I18" s="306"/>
      <c r="J18" s="306" t="str">
        <f ca="1">IF(VLOOKUP(B18,KTVTU20namMH!$B$4:$M$243,10,0)&lt;=0,"Mất hiệu lực",VLOOKUP(B18,KTVTU20namMH!$B$4:$M$243,10,0))</f>
        <v>Mất hiệu lực</v>
      </c>
      <c r="K18" s="306"/>
      <c r="L18" s="306" t="str">
        <f t="shared" ca="1" si="0"/>
        <v>Mất hiệu lực</v>
      </c>
      <c r="M18" s="306" t="str">
        <f t="shared" ca="1" si="3"/>
        <v>Mất hiệu lực</v>
      </c>
    </row>
    <row r="19" spans="2:13" s="307" customFormat="1" ht="12" customHeight="1">
      <c r="B19" s="304">
        <v>13</v>
      </c>
      <c r="C19" s="304">
        <f>IF(ROW(A13)&gt;'Tinh phi QL'!$D$12,"",ROW(A13))</f>
        <v>13</v>
      </c>
      <c r="D19" s="305">
        <f t="shared" ca="1" si="1"/>
        <v>42</v>
      </c>
      <c r="E19" s="306">
        <f ca="1">IF(IFERROR(--TRIM(C19),0)=0,0,'Tinh phi QL'!$H$12/1000)</f>
        <v>0</v>
      </c>
      <c r="F19" s="306">
        <f t="shared" ca="1" si="2"/>
        <v>0</v>
      </c>
      <c r="G19" s="306">
        <f ca="1">KTVBVPhi20nam!AI16</f>
        <v>8533</v>
      </c>
      <c r="H19" s="306">
        <f ca="1">MAX('Tinh phi QL'!$E$12/1000,J19)</f>
        <v>0</v>
      </c>
      <c r="I19" s="306"/>
      <c r="J19" s="306" t="str">
        <f ca="1">IF(VLOOKUP(B19,KTVTU20namMH!$B$4:$M$243,10,0)&lt;=0,"Mất hiệu lực",VLOOKUP(B19,KTVTU20namMH!$B$4:$M$243,10,0))</f>
        <v>Mất hiệu lực</v>
      </c>
      <c r="K19" s="306"/>
      <c r="L19" s="306" t="str">
        <f t="shared" ca="1" si="0"/>
        <v>Mất hiệu lực</v>
      </c>
      <c r="M19" s="306" t="str">
        <f t="shared" ca="1" si="3"/>
        <v>Mất hiệu lực</v>
      </c>
    </row>
    <row r="20" spans="2:13" s="307" customFormat="1" ht="12" customHeight="1">
      <c r="B20" s="304">
        <v>14</v>
      </c>
      <c r="C20" s="304">
        <f>IF(ROW(A14)&gt;'Tinh phi QL'!$D$12,"",ROW(A14))</f>
        <v>14</v>
      </c>
      <c r="D20" s="305">
        <f t="shared" ca="1" si="1"/>
        <v>43</v>
      </c>
      <c r="E20" s="306">
        <f ca="1">IF(IFERROR(--TRIM(C20),0)=0,0,'Tinh phi QL'!$H$12/1000)</f>
        <v>0</v>
      </c>
      <c r="F20" s="306">
        <f t="shared" ca="1" si="2"/>
        <v>0</v>
      </c>
      <c r="G20" s="306">
        <f ca="1">KTVBVPhi20nam!AI17</f>
        <v>8533</v>
      </c>
      <c r="H20" s="306">
        <f ca="1">MAX('Tinh phi QL'!$E$12/1000,J20)</f>
        <v>0</v>
      </c>
      <c r="I20" s="306"/>
      <c r="J20" s="306" t="str">
        <f ca="1">IF(VLOOKUP(B20,KTVTU20namMH!$B$4:$M$243,10,0)&lt;=0,"Mất hiệu lực",VLOOKUP(B20,KTVTU20namMH!$B$4:$M$243,10,0))</f>
        <v>Mất hiệu lực</v>
      </c>
      <c r="K20" s="306"/>
      <c r="L20" s="306" t="str">
        <f t="shared" ca="1" si="0"/>
        <v>Mất hiệu lực</v>
      </c>
      <c r="M20" s="306" t="str">
        <f t="shared" ca="1" si="3"/>
        <v>Mất hiệu lực</v>
      </c>
    </row>
    <row r="21" spans="2:13" s="328" customFormat="1" ht="12" customHeight="1">
      <c r="B21" s="312">
        <v>15</v>
      </c>
      <c r="C21" s="312">
        <f>IF(ROW(A15)&gt;'Tinh phi QL'!$D$12,"",ROW(A15))</f>
        <v>15</v>
      </c>
      <c r="D21" s="313">
        <f t="shared" ca="1" si="1"/>
        <v>44</v>
      </c>
      <c r="E21" s="311">
        <f ca="1">IF(IFERROR(--TRIM(C21),0)=0,0,'Tinh phi QL'!$H$12/1000)</f>
        <v>0</v>
      </c>
      <c r="F21" s="311">
        <f t="shared" ca="1" si="2"/>
        <v>0</v>
      </c>
      <c r="G21" s="311">
        <f ca="1">KTVBVPhi20nam!AI18</f>
        <v>8533</v>
      </c>
      <c r="H21" s="311">
        <f ca="1">MAX('Tinh phi QL'!$E$12/1000,J21)</f>
        <v>0</v>
      </c>
      <c r="I21" s="311"/>
      <c r="J21" s="311" t="str">
        <f ca="1">IF(VLOOKUP(B21,KTVTU20namMH!$B$4:$M$243,10,0)&lt;=0,"Mất hiệu lực",VLOOKUP(B21,KTVTU20namMH!$B$4:$M$243,10,0))</f>
        <v>Mất hiệu lực</v>
      </c>
      <c r="K21" s="311"/>
      <c r="L21" s="311" t="str">
        <f t="shared" ca="1" si="0"/>
        <v>Mất hiệu lực</v>
      </c>
      <c r="M21" s="311" t="str">
        <f t="shared" ca="1" si="3"/>
        <v>Mất hiệu lực</v>
      </c>
    </row>
    <row r="22" spans="2:13" s="307" customFormat="1" ht="12" customHeight="1">
      <c r="B22" s="304">
        <v>16</v>
      </c>
      <c r="C22" s="304" t="str">
        <f>IF(ROW(A16)&gt;'Tinh phi QL'!$D$12,"",ROW(A16))</f>
        <v/>
      </c>
      <c r="D22" s="305">
        <f t="shared" ca="1" si="1"/>
        <v>45</v>
      </c>
      <c r="E22" s="306">
        <f>IF(IFERROR(--TRIM(C22),0)=0,0,'Tinh phi QL'!$H$12/1000)</f>
        <v>0</v>
      </c>
      <c r="F22" s="306">
        <f t="shared" si="2"/>
        <v>0</v>
      </c>
      <c r="G22" s="306">
        <f ca="1">KTVBVPhi20nam!AI19</f>
        <v>10469</v>
      </c>
      <c r="H22" s="306">
        <f ca="1">MAX('Tinh phi QL'!$E$12/1000,J22)</f>
        <v>0</v>
      </c>
      <c r="I22" s="306"/>
      <c r="J22" s="306" t="str">
        <f ca="1">IF(VLOOKUP(B22,KTVTU20namMH!$B$4:$M$243,10,0)&lt;=0,"Mất hiệu lực",VLOOKUP(B22,KTVTU20namMH!$B$4:$M$243,10,0))</f>
        <v>Mất hiệu lực</v>
      </c>
      <c r="K22" s="306"/>
      <c r="L22" s="306" t="str">
        <f t="shared" ca="1" si="0"/>
        <v>Mất hiệu lực</v>
      </c>
      <c r="M22" s="306" t="str">
        <f t="shared" ca="1" si="3"/>
        <v>Mất hiệu lực</v>
      </c>
    </row>
    <row r="23" spans="2:13" s="307" customFormat="1" ht="12" customHeight="1">
      <c r="B23" s="304">
        <v>17</v>
      </c>
      <c r="C23" s="304" t="str">
        <f>IF(ROW(A17)&gt;'Tinh phi QL'!$D$12,"",ROW(A17))</f>
        <v/>
      </c>
      <c r="D23" s="305">
        <f t="shared" ca="1" si="1"/>
        <v>46</v>
      </c>
      <c r="E23" s="306">
        <f>IF(IFERROR(--TRIM(C23),0)=0,0,'Tinh phi QL'!$H$12/1000)</f>
        <v>0</v>
      </c>
      <c r="F23" s="306">
        <f t="shared" si="2"/>
        <v>0</v>
      </c>
      <c r="G23" s="306">
        <f ca="1">KTVBVPhi20nam!AI20</f>
        <v>10469</v>
      </c>
      <c r="H23" s="306">
        <f ca="1">MAX('Tinh phi QL'!$E$12/1000,J23)</f>
        <v>0</v>
      </c>
      <c r="I23" s="306"/>
      <c r="J23" s="306" t="str">
        <f ca="1">IF(VLOOKUP(B23,KTVTU20namMH!$B$4:$M$243,10,0)&lt;=0,"Mất hiệu lực",VLOOKUP(B23,KTVTU20namMH!$B$4:$M$243,10,0))</f>
        <v>Mất hiệu lực</v>
      </c>
      <c r="K23" s="306"/>
      <c r="L23" s="306" t="str">
        <f t="shared" ca="1" si="0"/>
        <v>Mất hiệu lực</v>
      </c>
      <c r="M23" s="306" t="str">
        <f t="shared" ca="1" si="3"/>
        <v>Mất hiệu lực</v>
      </c>
    </row>
    <row r="24" spans="2:13" s="307" customFormat="1" ht="12" customHeight="1">
      <c r="B24" s="304">
        <v>18</v>
      </c>
      <c r="C24" s="304" t="str">
        <f>IF(ROW(A18)&gt;'Tinh phi QL'!$D$12,"",ROW(A18))</f>
        <v/>
      </c>
      <c r="D24" s="305">
        <f t="shared" ca="1" si="1"/>
        <v>47</v>
      </c>
      <c r="E24" s="306">
        <f>IF(IFERROR(--TRIM(C24),0)=0,0,'Tinh phi QL'!$H$12/1000)</f>
        <v>0</v>
      </c>
      <c r="F24" s="306">
        <f t="shared" si="2"/>
        <v>0</v>
      </c>
      <c r="G24" s="306">
        <f ca="1">KTVBVPhi20nam!AI21</f>
        <v>10469</v>
      </c>
      <c r="H24" s="306">
        <f ca="1">MAX('Tinh phi QL'!$E$12/1000,J24)</f>
        <v>0</v>
      </c>
      <c r="I24" s="306"/>
      <c r="J24" s="306" t="str">
        <f ca="1">IF(VLOOKUP(B24,KTVTU20namMH!$B$4:$M$243,10,0)&lt;=0,"Mất hiệu lực",VLOOKUP(B24,KTVTU20namMH!$B$4:$M$243,10,0))</f>
        <v>Mất hiệu lực</v>
      </c>
      <c r="K24" s="306"/>
      <c r="L24" s="306" t="str">
        <f t="shared" ca="1" si="0"/>
        <v>Mất hiệu lực</v>
      </c>
      <c r="M24" s="306" t="str">
        <f t="shared" ca="1" si="3"/>
        <v>Mất hiệu lực</v>
      </c>
    </row>
    <row r="25" spans="2:13" s="307" customFormat="1" ht="12" customHeight="1">
      <c r="B25" s="304">
        <v>19</v>
      </c>
      <c r="C25" s="304" t="str">
        <f>IF(ROW(A19)&gt;'Tinh phi QL'!$D$12,"",ROW(A19))</f>
        <v/>
      </c>
      <c r="D25" s="305">
        <f t="shared" ca="1" si="1"/>
        <v>48</v>
      </c>
      <c r="E25" s="306">
        <f>IF(IFERROR(--TRIM(C25),0)=0,0,'Tinh phi QL'!$H$12/1000)</f>
        <v>0</v>
      </c>
      <c r="F25" s="306">
        <f t="shared" si="2"/>
        <v>0</v>
      </c>
      <c r="G25" s="306">
        <f ca="1">KTVBVPhi20nam!AI22</f>
        <v>10469</v>
      </c>
      <c r="H25" s="306">
        <f ca="1">MAX('Tinh phi QL'!$E$12/1000,J25)</f>
        <v>0</v>
      </c>
      <c r="I25" s="306"/>
      <c r="J25" s="306" t="str">
        <f ca="1">IF(VLOOKUP(B25,KTVTU20namMH!$B$4:$M$243,10,0)&lt;=0,"Mất hiệu lực",VLOOKUP(B25,KTVTU20namMH!$B$4:$M$243,10,0))</f>
        <v>Mất hiệu lực</v>
      </c>
      <c r="K25" s="306"/>
      <c r="L25" s="306" t="str">
        <f t="shared" ca="1" si="0"/>
        <v>Mất hiệu lực</v>
      </c>
      <c r="M25" s="306" t="str">
        <f t="shared" ca="1" si="3"/>
        <v>Mất hiệu lực</v>
      </c>
    </row>
    <row r="26" spans="2:13" s="328" customFormat="1" ht="12" customHeight="1">
      <c r="B26" s="312">
        <v>20</v>
      </c>
      <c r="C26" s="312" t="str">
        <f>IF(ROW(A20)&gt;'Tinh phi QL'!$D$12,"",ROW(A20))</f>
        <v/>
      </c>
      <c r="D26" s="313">
        <f t="shared" ca="1" si="1"/>
        <v>49</v>
      </c>
      <c r="E26" s="311">
        <f>IF(IFERROR(--TRIM(C26),0)=0,0,'Tinh phi QL'!$H$12/1000)</f>
        <v>0</v>
      </c>
      <c r="F26" s="311">
        <f t="shared" si="2"/>
        <v>0</v>
      </c>
      <c r="G26" s="311">
        <f ca="1">KTVBVPhi20nam!AI23</f>
        <v>10469</v>
      </c>
      <c r="H26" s="311">
        <f ca="1">MAX('Tinh phi QL'!$E$12/1000,J26)</f>
        <v>0</v>
      </c>
      <c r="I26" s="311">
        <f ca="1">KTVTU20namMH!I232</f>
        <v>0</v>
      </c>
      <c r="J26" s="311" t="str">
        <f ca="1">IF(VLOOKUP(B26,KTVTU20namMH!$B$4:$M$243,10,0)&lt;=0,"Mất hiệu lực",VLOOKUP(B26,KTVTU20namMH!$B$4:$M$243,10,0))</f>
        <v>Mất hiệu lực</v>
      </c>
      <c r="K26" s="311"/>
      <c r="L26" s="311" t="str">
        <f t="shared" ca="1" si="0"/>
        <v>Mất hiệu lực</v>
      </c>
      <c r="M26" s="311" t="str">
        <f t="shared" ca="1" si="3"/>
        <v>Mất hiệu lực</v>
      </c>
    </row>
  </sheetData>
  <sheetProtection selectLockedCells="1"/>
  <mergeCells count="13">
    <mergeCell ref="B4:L4"/>
    <mergeCell ref="B2:E3"/>
    <mergeCell ref="F2:L3"/>
    <mergeCell ref="M2:M3"/>
    <mergeCell ref="O2:P2"/>
    <mergeCell ref="O3:P3"/>
    <mergeCell ref="H5:M5"/>
    <mergeCell ref="B5:B6"/>
    <mergeCell ref="C5:C6"/>
    <mergeCell ref="D5:D6"/>
    <mergeCell ref="E5:E6"/>
    <mergeCell ref="F5:F6"/>
    <mergeCell ref="G5:G6"/>
  </mergeCells>
  <conditionalFormatting sqref="B7:I26">
    <cfRule type="expression" dxfId="229" priority="1">
      <formula>MOD(ROW(),2)&gt;0</formula>
    </cfRule>
    <cfRule type="expression" dxfId="228" priority="2">
      <formula>"mod(row(),2).0"</formula>
    </cfRule>
  </conditionalFormatting>
  <conditionalFormatting sqref="J7:J26">
    <cfRule type="cellIs" dxfId="227" priority="7" operator="lessThan">
      <formula>0</formula>
    </cfRule>
  </conditionalFormatting>
  <conditionalFormatting sqref="J7:M26">
    <cfRule type="expression" dxfId="226" priority="9">
      <formula>MOD(ROW(),2)&gt;0</formula>
    </cfRule>
    <cfRule type="expression" dxfId="225" priority="10">
      <formula>"mod(row(),2).0"</formula>
    </cfRule>
  </conditionalFormatting>
  <conditionalFormatting sqref="L1:M1 M2 M4">
    <cfRule type="cellIs" dxfId="224" priority="11" operator="lessThan">
      <formula>0</formula>
    </cfRule>
  </conditionalFormatting>
  <conditionalFormatting sqref="L6:M1048576">
    <cfRule type="cellIs" dxfId="223" priority="8" operator="lessThan">
      <formula>0</formula>
    </cfRule>
  </conditionalFormatting>
  <conditionalFormatting sqref="O3:P3">
    <cfRule type="containsText" dxfId="222" priority="12" operator="containsText" text="Chỉ">
      <formula>NOT(ISERROR(SEARCH("Chỉ",O3)))</formula>
    </cfRule>
    <cfRule type="containsText" dxfId="221" priority="13" operator="containsText" text="Phải">
      <formula>NOT(ISERROR(SEARCH("Phải",O3)))</formula>
    </cfRule>
  </conditionalFormatting>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EF830D-217A-498A-B7EF-511FCB50133E}">
  <dimension ref="B1:Y243"/>
  <sheetViews>
    <sheetView showGridLines="0" zoomScaleNormal="100" workbookViewId="0">
      <pane ySplit="3" topLeftCell="A109" activePane="bottomLeft" state="frozen"/>
      <selection pane="bottomLeft" activeCell="H124" sqref="H124"/>
    </sheetView>
  </sheetViews>
  <sheetFormatPr defaultColWidth="7.796875" defaultRowHeight="9.75" customHeight="1"/>
  <cols>
    <col min="1" max="1" width="2.19921875" style="277" customWidth="1"/>
    <col min="2" max="2" width="5.796875" style="270" customWidth="1"/>
    <col min="3" max="3" width="6.796875" style="270" customWidth="1"/>
    <col min="4" max="4" width="9.19921875" style="270" customWidth="1"/>
    <col min="5" max="5" width="14.296875" style="271" customWidth="1"/>
    <col min="6" max="6" width="11.5" style="299" customWidth="1"/>
    <col min="7" max="7" width="13.796875" style="272" customWidth="1"/>
    <col min="8" max="8" width="14.796875" style="271" customWidth="1"/>
    <col min="9" max="9" width="17.296875" style="273" customWidth="1"/>
    <col min="10" max="10" width="15.796875" style="300" customWidth="1"/>
    <col min="11" max="11" width="2.19921875" style="318" customWidth="1"/>
    <col min="12" max="12" width="2.69921875" style="318" customWidth="1"/>
    <col min="13" max="13" width="8.19921875" style="319" customWidth="1"/>
    <col min="14" max="15" width="7.796875" style="298" hidden="1" customWidth="1"/>
    <col min="16" max="23" width="8.19921875" style="277" hidden="1" customWidth="1"/>
    <col min="24" max="16384" width="7.796875" style="277"/>
  </cols>
  <sheetData>
    <row r="1" spans="2:25" ht="9.75" customHeight="1">
      <c r="F1" s="271"/>
      <c r="J1" s="274" t="s">
        <v>681</v>
      </c>
      <c r="N1" s="275" t="s">
        <v>682</v>
      </c>
      <c r="O1" s="275" t="s">
        <v>683</v>
      </c>
      <c r="P1" s="276">
        <v>1</v>
      </c>
      <c r="Q1" s="276">
        <v>2</v>
      </c>
      <c r="R1" s="314">
        <v>3</v>
      </c>
      <c r="S1" s="314">
        <v>4</v>
      </c>
      <c r="T1" s="314">
        <v>5</v>
      </c>
      <c r="U1" s="322" t="s">
        <v>682</v>
      </c>
      <c r="V1" s="322" t="s">
        <v>702</v>
      </c>
      <c r="W1" s="314" t="s">
        <v>703</v>
      </c>
    </row>
    <row r="2" spans="2:25" ht="12" customHeight="1">
      <c r="B2" s="956" t="s">
        <v>808</v>
      </c>
      <c r="C2" s="956"/>
      <c r="D2" s="956"/>
      <c r="E2" s="956"/>
      <c r="F2" s="956"/>
      <c r="G2" s="956"/>
      <c r="H2" s="956"/>
      <c r="I2" s="956"/>
      <c r="J2" s="274"/>
      <c r="N2" s="278">
        <v>0.02</v>
      </c>
      <c r="O2" s="279">
        <v>0.01</v>
      </c>
      <c r="P2" s="315">
        <v>3.5000000000000003E-2</v>
      </c>
      <c r="Q2" s="315">
        <v>0.03</v>
      </c>
      <c r="R2" s="315">
        <v>0.03</v>
      </c>
      <c r="S2" s="315">
        <v>0.02</v>
      </c>
      <c r="T2" s="315">
        <v>0.02</v>
      </c>
      <c r="U2" s="315">
        <v>1.4999999999999999E-2</v>
      </c>
      <c r="V2" s="315">
        <v>0.01</v>
      </c>
      <c r="W2" s="323">
        <v>5.0000000000000001E-3</v>
      </c>
    </row>
    <row r="3" spans="2:25" s="286" customFormat="1" ht="39" customHeight="1">
      <c r="B3" s="280" t="s">
        <v>670</v>
      </c>
      <c r="C3" s="280" t="s">
        <v>1</v>
      </c>
      <c r="D3" s="280" t="s">
        <v>671</v>
      </c>
      <c r="E3" s="281" t="s">
        <v>678</v>
      </c>
      <c r="F3" s="281" t="s">
        <v>684</v>
      </c>
      <c r="G3" s="282" t="s">
        <v>685</v>
      </c>
      <c r="H3" s="281" t="s">
        <v>686</v>
      </c>
      <c r="I3" s="283" t="s">
        <v>804</v>
      </c>
      <c r="J3" s="284" t="s">
        <v>688</v>
      </c>
      <c r="K3" s="320"/>
      <c r="L3" s="320"/>
      <c r="M3" s="321" t="s">
        <v>857</v>
      </c>
      <c r="N3" s="285">
        <f t="shared" ref="N3:W3" si="0">(1+N2)^(1/12)-1</f>
        <v>1.6515813019202241E-3</v>
      </c>
      <c r="O3" s="285">
        <f t="shared" si="0"/>
        <v>8.295381143461622E-4</v>
      </c>
      <c r="P3" s="316">
        <f t="shared" si="0"/>
        <v>2.8708987190766422E-3</v>
      </c>
      <c r="Q3" s="316">
        <f t="shared" si="0"/>
        <v>2.4662697723036864E-3</v>
      </c>
      <c r="R3" s="316">
        <f t="shared" si="0"/>
        <v>2.4662697723036864E-3</v>
      </c>
      <c r="S3" s="316">
        <f t="shared" si="0"/>
        <v>1.6515813019202241E-3</v>
      </c>
      <c r="T3" s="316">
        <f t="shared" si="0"/>
        <v>1.6515813019202241E-3</v>
      </c>
      <c r="U3" s="316">
        <f t="shared" si="0"/>
        <v>1.2414877164492744E-3</v>
      </c>
      <c r="V3" s="316">
        <f t="shared" si="0"/>
        <v>8.295381143461622E-4</v>
      </c>
      <c r="W3" s="316">
        <f t="shared" si="0"/>
        <v>4.1571484472902043E-4</v>
      </c>
      <c r="X3" s="286" t="s">
        <v>673</v>
      </c>
      <c r="Y3" s="286" t="s">
        <v>812</v>
      </c>
    </row>
    <row r="4" spans="2:25" ht="9.75" customHeight="1">
      <c r="B4" s="954">
        <v>1</v>
      </c>
      <c r="C4" s="952">
        <f ca="1">'Tinh phi QL'!I8</f>
        <v>30</v>
      </c>
      <c r="D4" s="287">
        <f ca="1">'Hoach dinh tai chinh'!J3</f>
        <v>46229</v>
      </c>
      <c r="E4" s="288">
        <f>'Tinh phi QL'!E12/1000</f>
        <v>0</v>
      </c>
      <c r="F4" s="289">
        <f ca="1">IF(YEAR(D4)=2025,40000,IF(YEAR(D4)=2026,40000,IF(YEAR(D4)=2027,40000,IF(YEAR(D4)=2028,40000,IF(YEAR(D4)=2029,40000,IF(YEAR(D4)=2030,50000,IF(YEAR(D4)=2031,50000,IF(YEAR(D4)=2032,50000,IF(YEAR(D4)=2033,50000,IF(YEAR(D4)=2034,50000,IF(YEAR(D4)&gt;=2035,60000,0)))))))))))/1000</f>
        <v>40</v>
      </c>
      <c r="G4" s="290">
        <f ca="1">KTVTUCOI!P3</f>
        <v>0</v>
      </c>
      <c r="H4" s="290">
        <f ca="1">(KTVTUGTTKcamket!F7-KTVTU20namcamket!F4-G4)*(1+KTVTU20namcamket!P3)</f>
        <v>-40.114835948763066</v>
      </c>
      <c r="I4" s="291"/>
      <c r="J4" s="292">
        <f ca="1">H4</f>
        <v>-40.114835948763066</v>
      </c>
      <c r="K4" s="949">
        <f ca="1">J15</f>
        <v>-489.3296841329107</v>
      </c>
      <c r="L4" s="949"/>
      <c r="M4" s="949"/>
      <c r="N4" s="950">
        <f ca="1">SUM(G4:G15)</f>
        <v>0.2740849208134159</v>
      </c>
      <c r="O4" s="950"/>
      <c r="X4" s="945">
        <f ca="1">SUM(F4:F15)</f>
        <v>480</v>
      </c>
      <c r="Y4" s="945">
        <f ca="1">SUM(G4:G15)</f>
        <v>0.2740849208134159</v>
      </c>
    </row>
    <row r="5" spans="2:25" ht="9.75" customHeight="1">
      <c r="B5" s="954"/>
      <c r="C5" s="952"/>
      <c r="D5" s="287">
        <f t="shared" ref="D5:D68" ca="1" si="1">EDATE(D4,1)</f>
        <v>46260</v>
      </c>
      <c r="E5" s="288">
        <f>E4</f>
        <v>0</v>
      </c>
      <c r="F5" s="289">
        <f t="shared" ref="F5:F68" ca="1" si="2">IF(YEAR(D5)=2025,40000,IF(YEAR(D5)=2026,40000,IF(YEAR(D5)=2027,40000,IF(YEAR(D5)=2028,40000,IF(YEAR(D5)=2029,40000,IF(YEAR(D5)=2030,50000,IF(YEAR(D5)=2031,50000,IF(YEAR(D5)=2032,50000,IF(YEAR(D5)=2033,50000,IF(YEAR(D5)=2034,50000,IF(YEAR(D5)&gt;=2035,60000,0)))))))))))/1000</f>
        <v>40</v>
      </c>
      <c r="G5" s="290">
        <f ca="1">KTVTUCOI!P4</f>
        <v>4.1117706847482146E-3</v>
      </c>
      <c r="H5" s="290">
        <f t="shared" ref="H5:H15" ca="1" si="3">(H4-F5-G5)*(1+$P$3)</f>
        <v>-80.348961103829353</v>
      </c>
      <c r="I5" s="291"/>
      <c r="J5" s="292">
        <f t="shared" ref="J5:J68" ca="1" si="4">H5</f>
        <v>-80.348961103829353</v>
      </c>
      <c r="K5" s="949"/>
      <c r="L5" s="949"/>
      <c r="M5" s="949"/>
      <c r="N5" s="950"/>
      <c r="O5" s="950"/>
      <c r="X5" s="945"/>
      <c r="Y5" s="945"/>
    </row>
    <row r="6" spans="2:25" ht="9.75" customHeight="1">
      <c r="B6" s="954"/>
      <c r="C6" s="952"/>
      <c r="D6" s="287">
        <f t="shared" ca="1" si="1"/>
        <v>46291</v>
      </c>
      <c r="E6" s="288">
        <f t="shared" ref="E6:E69" si="5">E5</f>
        <v>0</v>
      </c>
      <c r="F6" s="289">
        <f t="shared" ca="1" si="2"/>
        <v>40</v>
      </c>
      <c r="G6" s="290">
        <f ca="1">KTVTUCOI!P5</f>
        <v>8.2357685131425086E-3</v>
      </c>
      <c r="H6" s="290">
        <f t="shared" ca="1" si="3"/>
        <v>-120.70273019467496</v>
      </c>
      <c r="I6" s="291"/>
      <c r="J6" s="292">
        <f t="shared" ca="1" si="4"/>
        <v>-120.70273019467496</v>
      </c>
      <c r="K6" s="949"/>
      <c r="L6" s="949"/>
      <c r="M6" s="949"/>
      <c r="N6" s="950"/>
      <c r="O6" s="950"/>
      <c r="X6" s="945"/>
      <c r="Y6" s="945"/>
    </row>
    <row r="7" spans="2:25" ht="9.75" customHeight="1">
      <c r="B7" s="954"/>
      <c r="C7" s="952"/>
      <c r="D7" s="287">
        <f t="shared" ca="1" si="1"/>
        <v>46321</v>
      </c>
      <c r="E7" s="288">
        <f t="shared" si="5"/>
        <v>0</v>
      </c>
      <c r="F7" s="289">
        <f t="shared" ca="1" si="2"/>
        <v>40</v>
      </c>
      <c r="G7" s="290">
        <f ca="1">KTVTUCOI!P6</f>
        <v>1.2372029844954183E-2</v>
      </c>
      <c r="H7" s="290">
        <f t="shared" ca="1" si="3"/>
        <v>-161.17649900563256</v>
      </c>
      <c r="I7" s="291"/>
      <c r="J7" s="292">
        <f t="shared" ca="1" si="4"/>
        <v>-161.17649900563256</v>
      </c>
      <c r="K7" s="949"/>
      <c r="L7" s="949"/>
      <c r="M7" s="949"/>
      <c r="N7" s="950"/>
      <c r="O7" s="950"/>
      <c r="X7" s="945"/>
      <c r="Y7" s="945"/>
    </row>
    <row r="8" spans="2:25" ht="9.75" customHeight="1">
      <c r="B8" s="954"/>
      <c r="C8" s="952"/>
      <c r="D8" s="287">
        <f t="shared" ca="1" si="1"/>
        <v>46352</v>
      </c>
      <c r="E8" s="288">
        <f t="shared" si="5"/>
        <v>0</v>
      </c>
      <c r="F8" s="289">
        <f t="shared" ca="1" si="2"/>
        <v>40</v>
      </c>
      <c r="G8" s="290">
        <f ca="1">KTVTUCOI!P7</f>
        <v>1.6520591148077336E-2</v>
      </c>
      <c r="H8" s="290">
        <f t="shared" ca="1" si="3"/>
        <v>-201.77062437902819</v>
      </c>
      <c r="I8" s="291"/>
      <c r="J8" s="292">
        <f t="shared" ca="1" si="4"/>
        <v>-201.77062437902819</v>
      </c>
      <c r="K8" s="949"/>
      <c r="L8" s="949"/>
      <c r="M8" s="949"/>
      <c r="N8" s="950"/>
      <c r="O8" s="950"/>
      <c r="X8" s="945"/>
      <c r="Y8" s="945"/>
    </row>
    <row r="9" spans="2:25" ht="9.75" customHeight="1">
      <c r="B9" s="954"/>
      <c r="C9" s="952"/>
      <c r="D9" s="287">
        <f t="shared" ca="1" si="1"/>
        <v>46382</v>
      </c>
      <c r="E9" s="288">
        <f t="shared" si="5"/>
        <v>0</v>
      </c>
      <c r="F9" s="289">
        <f t="shared" ca="1" si="2"/>
        <v>40</v>
      </c>
      <c r="G9" s="290">
        <f ca="1">KTVTUCOI!P8</f>
        <v>2.0681488998850389E-2</v>
      </c>
      <c r="H9" s="290">
        <f t="shared" ca="1" si="3"/>
        <v>-242.48546421832745</v>
      </c>
      <c r="I9" s="291"/>
      <c r="J9" s="292">
        <f t="shared" ca="1" si="4"/>
        <v>-242.48546421832745</v>
      </c>
      <c r="K9" s="949"/>
      <c r="L9" s="949"/>
      <c r="M9" s="949"/>
      <c r="N9" s="950"/>
      <c r="O9" s="950"/>
      <c r="X9" s="945"/>
      <c r="Y9" s="945"/>
    </row>
    <row r="10" spans="2:25" ht="9.75" customHeight="1">
      <c r="B10" s="954"/>
      <c r="C10" s="952"/>
      <c r="D10" s="287">
        <f t="shared" ca="1" si="1"/>
        <v>46413</v>
      </c>
      <c r="E10" s="288">
        <f t="shared" si="5"/>
        <v>0</v>
      </c>
      <c r="F10" s="289">
        <f t="shared" ca="1" si="2"/>
        <v>40</v>
      </c>
      <c r="G10" s="290">
        <f ca="1">KTVTUCOI!P9</f>
        <v>2.4854760082378562E-2</v>
      </c>
      <c r="H10" s="290">
        <f t="shared" ca="1" si="3"/>
        <v>-283.32137749129095</v>
      </c>
      <c r="I10" s="291"/>
      <c r="J10" s="292">
        <f t="shared" ca="1" si="4"/>
        <v>-283.32137749129095</v>
      </c>
      <c r="K10" s="949"/>
      <c r="L10" s="949"/>
      <c r="M10" s="949"/>
      <c r="N10" s="950"/>
      <c r="O10" s="950"/>
      <c r="X10" s="945"/>
      <c r="Y10" s="945"/>
    </row>
    <row r="11" spans="2:25" ht="9.75" customHeight="1">
      <c r="B11" s="954"/>
      <c r="C11" s="952"/>
      <c r="D11" s="287">
        <f t="shared" ca="1" si="1"/>
        <v>46444</v>
      </c>
      <c r="E11" s="288">
        <f t="shared" si="5"/>
        <v>0</v>
      </c>
      <c r="F11" s="289">
        <f t="shared" ca="1" si="2"/>
        <v>40</v>
      </c>
      <c r="G11" s="290">
        <f ca="1">KTVTUCOI!P10</f>
        <v>2.9040441192857317E-2</v>
      </c>
      <c r="H11" s="290">
        <f t="shared" ca="1" si="3"/>
        <v>-324.27872423313909</v>
      </c>
      <c r="I11" s="291"/>
      <c r="J11" s="292">
        <f t="shared" ca="1" si="4"/>
        <v>-324.27872423313909</v>
      </c>
      <c r="K11" s="949"/>
      <c r="L11" s="949"/>
      <c r="M11" s="949"/>
      <c r="N11" s="950"/>
      <c r="O11" s="950"/>
      <c r="X11" s="945"/>
      <c r="Y11" s="945"/>
    </row>
    <row r="12" spans="2:25" ht="9.75" customHeight="1">
      <c r="B12" s="954"/>
      <c r="C12" s="952"/>
      <c r="D12" s="287">
        <f t="shared" ca="1" si="1"/>
        <v>46472</v>
      </c>
      <c r="E12" s="288">
        <f t="shared" si="5"/>
        <v>0</v>
      </c>
      <c r="F12" s="289">
        <f t="shared" ca="1" si="2"/>
        <v>40</v>
      </c>
      <c r="G12" s="290">
        <f ca="1">KTVTUCOI!P11</f>
        <v>3.3238569233896752E-2</v>
      </c>
      <c r="H12" s="290">
        <f t="shared" ca="1" si="3"/>
        <v>-365.35786554972663</v>
      </c>
      <c r="I12" s="291"/>
      <c r="J12" s="292">
        <f t="shared" ca="1" si="4"/>
        <v>-365.35786554972663</v>
      </c>
      <c r="K12" s="949"/>
      <c r="L12" s="949"/>
      <c r="M12" s="949"/>
      <c r="N12" s="950"/>
      <c r="O12" s="950"/>
      <c r="X12" s="945"/>
      <c r="Y12" s="945"/>
    </row>
    <row r="13" spans="2:25" ht="9.75" customHeight="1">
      <c r="B13" s="954"/>
      <c r="C13" s="952"/>
      <c r="D13" s="287">
        <f t="shared" ca="1" si="1"/>
        <v>46503</v>
      </c>
      <c r="E13" s="288">
        <f t="shared" si="5"/>
        <v>0</v>
      </c>
      <c r="F13" s="289">
        <f t="shared" ca="1" si="2"/>
        <v>40</v>
      </c>
      <c r="G13" s="290">
        <f ca="1">KTVTUCOI!P12</f>
        <v>3.744918121884698E-2</v>
      </c>
      <c r="H13" s="290">
        <f t="shared" ca="1" si="3"/>
        <v>-406.55916362072622</v>
      </c>
      <c r="I13" s="291"/>
      <c r="J13" s="292">
        <f t="shared" ca="1" si="4"/>
        <v>-406.55916362072622</v>
      </c>
      <c r="K13" s="949"/>
      <c r="L13" s="949"/>
      <c r="M13" s="949"/>
      <c r="N13" s="950"/>
      <c r="O13" s="950"/>
      <c r="X13" s="945"/>
      <c r="Y13" s="945"/>
    </row>
    <row r="14" spans="2:25" ht="9.75" customHeight="1">
      <c r="B14" s="954"/>
      <c r="C14" s="952"/>
      <c r="D14" s="287">
        <f t="shared" ca="1" si="1"/>
        <v>46533</v>
      </c>
      <c r="E14" s="288">
        <f t="shared" si="5"/>
        <v>0</v>
      </c>
      <c r="F14" s="289">
        <f t="shared" ca="1" si="2"/>
        <v>40</v>
      </c>
      <c r="G14" s="290">
        <f ca="1">KTVTUCOI!P13</f>
        <v>4.1672314271124444E-2</v>
      </c>
      <c r="H14" s="290">
        <f t="shared" ca="1" si="3"/>
        <v>-447.88298170282167</v>
      </c>
      <c r="I14" s="291"/>
      <c r="J14" s="292">
        <f t="shared" ca="1" si="4"/>
        <v>-447.88298170282167</v>
      </c>
      <c r="K14" s="949"/>
      <c r="L14" s="949"/>
      <c r="M14" s="949"/>
      <c r="N14" s="950"/>
      <c r="O14" s="950"/>
      <c r="X14" s="945"/>
      <c r="Y14" s="945"/>
    </row>
    <row r="15" spans="2:25" ht="9.75" customHeight="1">
      <c r="B15" s="954"/>
      <c r="C15" s="952"/>
      <c r="D15" s="287">
        <f t="shared" ca="1" si="1"/>
        <v>46564</v>
      </c>
      <c r="E15" s="288">
        <f t="shared" si="5"/>
        <v>0</v>
      </c>
      <c r="F15" s="289">
        <f t="shared" ca="1" si="2"/>
        <v>40</v>
      </c>
      <c r="G15" s="290">
        <f ca="1">KTVTUCOI!P14</f>
        <v>4.5908005624539228E-2</v>
      </c>
      <c r="H15" s="290">
        <f t="shared" ca="1" si="3"/>
        <v>-489.3296841329107</v>
      </c>
      <c r="I15" s="291"/>
      <c r="J15" s="293">
        <f t="shared" ca="1" si="4"/>
        <v>-489.3296841329107</v>
      </c>
      <c r="K15" s="949"/>
      <c r="L15" s="949"/>
      <c r="M15" s="949"/>
      <c r="N15" s="950"/>
      <c r="O15" s="950"/>
      <c r="X15" s="945"/>
      <c r="Y15" s="945"/>
    </row>
    <row r="16" spans="2:25" ht="9.75" customHeight="1">
      <c r="B16" s="955">
        <v>2</v>
      </c>
      <c r="C16" s="947">
        <f ca="1">C4+1</f>
        <v>31</v>
      </c>
      <c r="D16" s="294">
        <f t="shared" ca="1" si="1"/>
        <v>46594</v>
      </c>
      <c r="E16" s="359">
        <f>E15</f>
        <v>0</v>
      </c>
      <c r="F16" s="360">
        <f t="shared" ca="1" si="2"/>
        <v>40</v>
      </c>
      <c r="G16" s="290">
        <f ca="1">KTVTUCOI!P15</f>
        <v>5.1379616833955623E-2</v>
      </c>
      <c r="H16" s="295">
        <f ca="1">(H15+KTVBVGTTKcamket!F8-F16-G16)*(1+Q3)</f>
        <v>-530.68666026530059</v>
      </c>
      <c r="I16" s="324"/>
      <c r="J16" s="296">
        <f t="shared" ca="1" si="4"/>
        <v>-530.68666026530059</v>
      </c>
      <c r="K16" s="949">
        <f ca="1">J27</f>
        <v>-992.6930567584925</v>
      </c>
      <c r="L16" s="949"/>
      <c r="M16" s="949"/>
      <c r="N16" s="950">
        <f ca="1">SUM(G16:G27)</f>
        <v>0.90563021965211399</v>
      </c>
      <c r="O16" s="950"/>
      <c r="X16" s="945">
        <f t="shared" ref="X16:Y16" ca="1" si="6">SUM(F16:F27)</f>
        <v>480</v>
      </c>
      <c r="Y16" s="945">
        <f t="shared" ca="1" si="6"/>
        <v>0.90563021965211399</v>
      </c>
    </row>
    <row r="17" spans="2:25" ht="9.75" customHeight="1">
      <c r="B17" s="955"/>
      <c r="C17" s="947"/>
      <c r="D17" s="294">
        <f t="shared" ca="1" si="1"/>
        <v>46625</v>
      </c>
      <c r="E17" s="359">
        <f t="shared" si="5"/>
        <v>0</v>
      </c>
      <c r="F17" s="360">
        <f t="shared" ca="1" si="2"/>
        <v>40</v>
      </c>
      <c r="G17" s="290">
        <f ca="1">KTVTUCOI!P16</f>
        <v>5.5722099327856565E-2</v>
      </c>
      <c r="H17" s="295">
        <f ca="1">(H16-F17-G17)*(1+$Q$3)</f>
        <v>-572.14998705002699</v>
      </c>
      <c r="I17" s="324"/>
      <c r="J17" s="296">
        <f t="shared" ca="1" si="4"/>
        <v>-572.14998705002699</v>
      </c>
      <c r="K17" s="949"/>
      <c r="L17" s="949"/>
      <c r="M17" s="949"/>
      <c r="N17" s="950"/>
      <c r="O17" s="950"/>
      <c r="X17" s="945"/>
      <c r="Y17" s="945"/>
    </row>
    <row r="18" spans="2:25" ht="9.75" customHeight="1">
      <c r="B18" s="955"/>
      <c r="C18" s="947"/>
      <c r="D18" s="294">
        <f t="shared" ca="1" si="1"/>
        <v>46656</v>
      </c>
      <c r="E18" s="359">
        <f t="shared" si="5"/>
        <v>0</v>
      </c>
      <c r="F18" s="360">
        <f t="shared" ca="1" si="2"/>
        <v>40</v>
      </c>
      <c r="G18" s="290">
        <f ca="1">KTVTUCOI!P17</f>
        <v>6.0075748640252835E-2</v>
      </c>
      <c r="H18" s="295">
        <f t="shared" ref="H18:H27" ca="1" si="7">(H17-F18-G18)*(1+$Q$3)</f>
        <v>-613.7199379708477</v>
      </c>
      <c r="I18" s="324"/>
      <c r="J18" s="296">
        <f t="shared" ca="1" si="4"/>
        <v>-613.7199379708477</v>
      </c>
      <c r="K18" s="949"/>
      <c r="L18" s="949"/>
      <c r="M18" s="949"/>
      <c r="N18" s="950"/>
      <c r="O18" s="950"/>
      <c r="X18" s="945"/>
      <c r="Y18" s="945"/>
    </row>
    <row r="19" spans="2:25" ht="9.75" customHeight="1">
      <c r="B19" s="955"/>
      <c r="C19" s="947"/>
      <c r="D19" s="294">
        <f t="shared" ca="1" si="1"/>
        <v>46686</v>
      </c>
      <c r="E19" s="359">
        <f t="shared" si="5"/>
        <v>0</v>
      </c>
      <c r="F19" s="360">
        <f t="shared" ca="1" si="2"/>
        <v>40</v>
      </c>
      <c r="G19" s="290">
        <f ca="1">KTVTUCOI!P18</f>
        <v>6.4440593486939007E-2</v>
      </c>
      <c r="H19" s="295">
        <f t="shared" ca="1" si="7"/>
        <v>-655.3967872147922</v>
      </c>
      <c r="I19" s="324"/>
      <c r="J19" s="296">
        <f t="shared" ca="1" si="4"/>
        <v>-655.3967872147922</v>
      </c>
      <c r="K19" s="949"/>
      <c r="L19" s="949"/>
      <c r="M19" s="949"/>
      <c r="N19" s="950"/>
      <c r="O19" s="950"/>
      <c r="X19" s="945"/>
      <c r="Y19" s="945"/>
    </row>
    <row r="20" spans="2:25" ht="9.75" customHeight="1">
      <c r="B20" s="955"/>
      <c r="C20" s="947"/>
      <c r="D20" s="294">
        <f t="shared" ca="1" si="1"/>
        <v>46717</v>
      </c>
      <c r="E20" s="359">
        <f t="shared" si="5"/>
        <v>0</v>
      </c>
      <c r="F20" s="360">
        <f t="shared" ca="1" si="2"/>
        <v>40</v>
      </c>
      <c r="G20" s="290">
        <f ca="1">KTVTUCOI!P19</f>
        <v>6.8816662657553193E-2</v>
      </c>
      <c r="H20" s="295">
        <f t="shared" ca="1" si="7"/>
        <v>-697.18080967396963</v>
      </c>
      <c r="I20" s="324"/>
      <c r="J20" s="296">
        <f t="shared" ca="1" si="4"/>
        <v>-697.18080967396963</v>
      </c>
      <c r="K20" s="949"/>
      <c r="L20" s="949"/>
      <c r="M20" s="949"/>
      <c r="N20" s="950"/>
      <c r="O20" s="950"/>
      <c r="X20" s="945"/>
      <c r="Y20" s="945"/>
    </row>
    <row r="21" spans="2:25" ht="9.75" customHeight="1">
      <c r="B21" s="955"/>
      <c r="C21" s="947"/>
      <c r="D21" s="294">
        <f t="shared" ca="1" si="1"/>
        <v>46747</v>
      </c>
      <c r="E21" s="359">
        <f t="shared" si="5"/>
        <v>0</v>
      </c>
      <c r="F21" s="360">
        <f t="shared" ca="1" si="2"/>
        <v>40</v>
      </c>
      <c r="G21" s="290">
        <f ca="1">KTVTUCOI!P20</f>
        <v>7.3203985015766818E-2</v>
      </c>
      <c r="H21" s="295">
        <f t="shared" ca="1" si="7"/>
        <v>-739.07228094738207</v>
      </c>
      <c r="I21" s="324"/>
      <c r="J21" s="296">
        <f t="shared" ca="1" si="4"/>
        <v>-739.07228094738207</v>
      </c>
      <c r="K21" s="949"/>
      <c r="L21" s="949"/>
      <c r="M21" s="949"/>
      <c r="N21" s="950"/>
      <c r="O21" s="950"/>
      <c r="X21" s="945"/>
      <c r="Y21" s="945"/>
    </row>
    <row r="22" spans="2:25" ht="9.75" customHeight="1">
      <c r="B22" s="955"/>
      <c r="C22" s="947"/>
      <c r="D22" s="294">
        <f t="shared" ca="1" si="1"/>
        <v>46778</v>
      </c>
      <c r="E22" s="359">
        <f t="shared" si="5"/>
        <v>0</v>
      </c>
      <c r="F22" s="360">
        <f t="shared" ca="1" si="2"/>
        <v>40</v>
      </c>
      <c r="G22" s="290">
        <f ca="1">KTVTUCOI!P21</f>
        <v>7.7602589499475114E-2</v>
      </c>
      <c r="H22" s="295">
        <f t="shared" ca="1" si="7"/>
        <v>-781.07147734274258</v>
      </c>
      <c r="I22" s="324"/>
      <c r="J22" s="296">
        <f t="shared" ca="1" si="4"/>
        <v>-781.07147734274258</v>
      </c>
      <c r="K22" s="949"/>
      <c r="L22" s="949"/>
      <c r="M22" s="949"/>
      <c r="N22" s="950"/>
      <c r="O22" s="950"/>
      <c r="X22" s="945"/>
      <c r="Y22" s="945"/>
    </row>
    <row r="23" spans="2:25" ht="9.75" customHeight="1">
      <c r="B23" s="955"/>
      <c r="C23" s="947"/>
      <c r="D23" s="294">
        <f t="shared" ca="1" si="1"/>
        <v>46809</v>
      </c>
      <c r="E23" s="359">
        <f t="shared" si="5"/>
        <v>0</v>
      </c>
      <c r="F23" s="360">
        <f t="shared" ca="1" si="2"/>
        <v>40</v>
      </c>
      <c r="G23" s="290">
        <f ca="1">KTVTUCOI!P22</f>
        <v>8.2012505120987969E-2</v>
      </c>
      <c r="H23" s="295">
        <f t="shared" ca="1" si="7"/>
        <v>-823.1786758782971</v>
      </c>
      <c r="I23" s="324"/>
      <c r="J23" s="296">
        <f t="shared" ca="1" si="4"/>
        <v>-823.1786758782971</v>
      </c>
      <c r="K23" s="949"/>
      <c r="L23" s="949"/>
      <c r="M23" s="949"/>
      <c r="N23" s="950"/>
      <c r="O23" s="950"/>
      <c r="X23" s="945"/>
      <c r="Y23" s="945"/>
    </row>
    <row r="24" spans="2:25" ht="9.75" customHeight="1">
      <c r="B24" s="955"/>
      <c r="C24" s="947"/>
      <c r="D24" s="294">
        <f t="shared" ca="1" si="1"/>
        <v>46838</v>
      </c>
      <c r="E24" s="359">
        <f t="shared" si="5"/>
        <v>0</v>
      </c>
      <c r="F24" s="360">
        <f t="shared" ca="1" si="2"/>
        <v>40</v>
      </c>
      <c r="G24" s="290">
        <f ca="1">KTVTUCOI!P23</f>
        <v>8.6433760967221177E-2</v>
      </c>
      <c r="H24" s="295">
        <f t="shared" ca="1" si="7"/>
        <v>-865.39415428465202</v>
      </c>
      <c r="I24" s="324"/>
      <c r="J24" s="296">
        <f t="shared" ca="1" si="4"/>
        <v>-865.39415428465202</v>
      </c>
      <c r="K24" s="949"/>
      <c r="L24" s="949"/>
      <c r="M24" s="949"/>
      <c r="N24" s="950"/>
      <c r="O24" s="950"/>
      <c r="X24" s="945"/>
      <c r="Y24" s="945"/>
    </row>
    <row r="25" spans="2:25" ht="9.75" customHeight="1">
      <c r="B25" s="955"/>
      <c r="C25" s="947"/>
      <c r="D25" s="294">
        <f t="shared" ca="1" si="1"/>
        <v>46869</v>
      </c>
      <c r="E25" s="359">
        <f t="shared" si="5"/>
        <v>0</v>
      </c>
      <c r="F25" s="360">
        <f t="shared" ca="1" si="2"/>
        <v>40</v>
      </c>
      <c r="G25" s="290">
        <f ca="1">KTVTUCOI!P24</f>
        <v>9.086638619988846E-2</v>
      </c>
      <c r="H25" s="295">
        <f t="shared" ca="1" si="7"/>
        <v>-907.71819100660616</v>
      </c>
      <c r="I25" s="324"/>
      <c r="J25" s="296">
        <f t="shared" ca="1" si="4"/>
        <v>-907.71819100660616</v>
      </c>
      <c r="K25" s="949"/>
      <c r="L25" s="949"/>
      <c r="M25" s="949"/>
      <c r="N25" s="950"/>
      <c r="O25" s="950"/>
      <c r="X25" s="945"/>
      <c r="Y25" s="945"/>
    </row>
    <row r="26" spans="2:25" ht="9.75" customHeight="1">
      <c r="B26" s="955"/>
      <c r="C26" s="947"/>
      <c r="D26" s="294">
        <f t="shared" ca="1" si="1"/>
        <v>46899</v>
      </c>
      <c r="E26" s="359">
        <f t="shared" si="5"/>
        <v>0</v>
      </c>
      <c r="F26" s="360">
        <f t="shared" ca="1" si="2"/>
        <v>40</v>
      </c>
      <c r="G26" s="290">
        <f ca="1">KTVTUCOI!P25</f>
        <v>9.531041005569367E-2</v>
      </c>
      <c r="H26" s="295">
        <f t="shared" ca="1" si="7"/>
        <v>-950.15106520498716</v>
      </c>
      <c r="I26" s="324"/>
      <c r="J26" s="296">
        <f t="shared" ca="1" si="4"/>
        <v>-950.15106520498716</v>
      </c>
      <c r="K26" s="949"/>
      <c r="L26" s="949"/>
      <c r="M26" s="949"/>
      <c r="N26" s="950"/>
      <c r="O26" s="950"/>
      <c r="X26" s="945"/>
      <c r="Y26" s="945"/>
    </row>
    <row r="27" spans="2:25" ht="9.75" customHeight="1">
      <c r="B27" s="955"/>
      <c r="C27" s="947"/>
      <c r="D27" s="294">
        <f t="shared" ca="1" si="1"/>
        <v>46930</v>
      </c>
      <c r="E27" s="359">
        <f t="shared" si="5"/>
        <v>0</v>
      </c>
      <c r="F27" s="360">
        <f t="shared" ca="1" si="2"/>
        <v>40</v>
      </c>
      <c r="G27" s="290">
        <f ca="1">KTVTUCOI!P26</f>
        <v>9.976586184652364E-2</v>
      </c>
      <c r="H27" s="295">
        <f t="shared" ca="1" si="7"/>
        <v>-992.6930567584925</v>
      </c>
      <c r="I27" s="324"/>
      <c r="J27" s="297">
        <f t="shared" ca="1" si="4"/>
        <v>-992.6930567584925</v>
      </c>
      <c r="K27" s="949"/>
      <c r="L27" s="949"/>
      <c r="M27" s="949"/>
      <c r="N27" s="950"/>
      <c r="O27" s="950"/>
      <c r="X27" s="945"/>
      <c r="Y27" s="945"/>
    </row>
    <row r="28" spans="2:25" ht="9.75" customHeight="1">
      <c r="B28" s="954">
        <v>3</v>
      </c>
      <c r="C28" s="952">
        <f ca="1">C16+1</f>
        <v>32</v>
      </c>
      <c r="D28" s="287">
        <f t="shared" ca="1" si="1"/>
        <v>46960</v>
      </c>
      <c r="E28" s="359">
        <f t="shared" si="5"/>
        <v>0</v>
      </c>
      <c r="F28" s="289">
        <f t="shared" ca="1" si="2"/>
        <v>40</v>
      </c>
      <c r="G28" s="290">
        <f ca="1">KTVTUCOI!P27</f>
        <v>0.10836899202946877</v>
      </c>
      <c r="H28" s="290">
        <f ca="1">(H27+KTVBVGTTKcamket!F9-F28-G28)*(1+$R$3)</f>
        <v>-1035.3485926876426</v>
      </c>
      <c r="I28" s="291"/>
      <c r="J28" s="292">
        <f t="shared" ca="1" si="4"/>
        <v>-1035.3485926876426</v>
      </c>
      <c r="K28" s="949">
        <f ca="1">J39</f>
        <v>-1511.8734025299057</v>
      </c>
      <c r="L28" s="949"/>
      <c r="M28" s="949"/>
      <c r="N28" s="950">
        <f t="shared" ref="N28" ca="1" si="8">SUM(G28:G39)</f>
        <v>1.6104150615685178</v>
      </c>
      <c r="O28" s="950"/>
      <c r="X28" s="945">
        <f t="shared" ref="X28:Y28" ca="1" si="9">SUM(F28:F39)</f>
        <v>480</v>
      </c>
      <c r="Y28" s="945">
        <f t="shared" ca="1" si="9"/>
        <v>1.6104150615685178</v>
      </c>
    </row>
    <row r="29" spans="2:25" ht="9.75" customHeight="1">
      <c r="B29" s="954"/>
      <c r="C29" s="952"/>
      <c r="D29" s="287">
        <f t="shared" ca="1" si="1"/>
        <v>46991</v>
      </c>
      <c r="E29" s="359">
        <f t="shared" si="5"/>
        <v>0</v>
      </c>
      <c r="F29" s="289">
        <f t="shared" ca="1" si="2"/>
        <v>40</v>
      </c>
      <c r="G29" s="290">
        <f ca="1">KTVTUCOI!P28</f>
        <v>0.11302555470173431</v>
      </c>
      <c r="H29" s="290">
        <f ca="1">(H28-F29-G29)*(1+$R$3)</f>
        <v>-1078.1139967226884</v>
      </c>
      <c r="I29" s="291"/>
      <c r="J29" s="292">
        <f t="shared" ca="1" si="4"/>
        <v>-1078.1139967226884</v>
      </c>
      <c r="K29" s="949"/>
      <c r="L29" s="949"/>
      <c r="M29" s="949"/>
      <c r="N29" s="950"/>
      <c r="O29" s="950"/>
      <c r="X29" s="945"/>
      <c r="Y29" s="945"/>
    </row>
    <row r="30" spans="2:25" ht="9.75" customHeight="1">
      <c r="B30" s="954"/>
      <c r="C30" s="952"/>
      <c r="D30" s="287">
        <f t="shared" ca="1" si="1"/>
        <v>47022</v>
      </c>
      <c r="E30" s="359">
        <f t="shared" si="5"/>
        <v>0</v>
      </c>
      <c r="F30" s="289">
        <f t="shared" ca="1" si="2"/>
        <v>40</v>
      </c>
      <c r="G30" s="290">
        <f ca="1">KTVTUCOI!P29</f>
        <v>0.1176941113088935</v>
      </c>
      <c r="H30" s="290">
        <f t="shared" ref="H30:H39" ca="1" si="10">(H29-F30-G30)*(1+$R$3)</f>
        <v>-1120.9895518515334</v>
      </c>
      <c r="I30" s="291"/>
      <c r="J30" s="292">
        <f t="shared" ca="1" si="4"/>
        <v>-1120.9895518515334</v>
      </c>
      <c r="K30" s="949"/>
      <c r="L30" s="949"/>
      <c r="M30" s="949"/>
      <c r="N30" s="950"/>
      <c r="O30" s="950"/>
      <c r="X30" s="945"/>
      <c r="Y30" s="945"/>
    </row>
    <row r="31" spans="2:25" ht="9.75" customHeight="1">
      <c r="B31" s="954"/>
      <c r="C31" s="952"/>
      <c r="D31" s="287">
        <f t="shared" ca="1" si="1"/>
        <v>47052</v>
      </c>
      <c r="E31" s="359">
        <f t="shared" si="5"/>
        <v>0</v>
      </c>
      <c r="F31" s="289">
        <f t="shared" ca="1" si="2"/>
        <v>40</v>
      </c>
      <c r="G31" s="290">
        <f ca="1">KTVTUCOI!P30</f>
        <v>0.12237469274379241</v>
      </c>
      <c r="H31" s="290">
        <f t="shared" ca="1" si="10"/>
        <v>-1163.9755417909746</v>
      </c>
      <c r="I31" s="291"/>
      <c r="J31" s="292">
        <f t="shared" ca="1" si="4"/>
        <v>-1163.9755417909746</v>
      </c>
      <c r="K31" s="949"/>
      <c r="L31" s="949"/>
      <c r="M31" s="949"/>
      <c r="N31" s="950"/>
      <c r="O31" s="950"/>
      <c r="X31" s="945"/>
      <c r="Y31" s="945"/>
    </row>
    <row r="32" spans="2:25" ht="9.75" customHeight="1">
      <c r="B32" s="954"/>
      <c r="C32" s="952"/>
      <c r="D32" s="287">
        <f t="shared" ca="1" si="1"/>
        <v>47083</v>
      </c>
      <c r="E32" s="359">
        <f t="shared" si="5"/>
        <v>0</v>
      </c>
      <c r="F32" s="289">
        <f t="shared" ca="1" si="2"/>
        <v>40</v>
      </c>
      <c r="G32" s="290">
        <f ca="1">KTVTUCOI!P31</f>
        <v>0.12706732997884806</v>
      </c>
      <c r="H32" s="290">
        <f t="shared" ca="1" si="10"/>
        <v>-1207.0722509885804</v>
      </c>
      <c r="I32" s="291"/>
      <c r="J32" s="292">
        <f t="shared" ca="1" si="4"/>
        <v>-1207.0722509885804</v>
      </c>
      <c r="K32" s="949"/>
      <c r="L32" s="949"/>
      <c r="M32" s="949"/>
      <c r="N32" s="950"/>
      <c r="O32" s="950"/>
      <c r="X32" s="945"/>
      <c r="Y32" s="945"/>
    </row>
    <row r="33" spans="2:25" ht="9.75" customHeight="1">
      <c r="B33" s="954"/>
      <c r="C33" s="952"/>
      <c r="D33" s="287">
        <f t="shared" ca="1" si="1"/>
        <v>47113</v>
      </c>
      <c r="E33" s="359">
        <f t="shared" si="5"/>
        <v>0</v>
      </c>
      <c r="F33" s="289">
        <f t="shared" ca="1" si="2"/>
        <v>40</v>
      </c>
      <c r="G33" s="290">
        <f ca="1">KTVTUCOI!P32</f>
        <v>0.13177205406625336</v>
      </c>
      <c r="H33" s="290">
        <f t="shared" ca="1" si="10"/>
        <v>-1250.2799646245724</v>
      </c>
      <c r="I33" s="291"/>
      <c r="J33" s="292">
        <f t="shared" ca="1" si="4"/>
        <v>-1250.2799646245724</v>
      </c>
      <c r="K33" s="949"/>
      <c r="L33" s="949"/>
      <c r="M33" s="949"/>
      <c r="N33" s="950"/>
      <c r="O33" s="950"/>
      <c r="X33" s="945"/>
      <c r="Y33" s="945"/>
    </row>
    <row r="34" spans="2:25" ht="9.75" customHeight="1">
      <c r="B34" s="954"/>
      <c r="C34" s="952"/>
      <c r="D34" s="287">
        <f t="shared" ca="1" si="1"/>
        <v>47144</v>
      </c>
      <c r="E34" s="359">
        <f t="shared" si="5"/>
        <v>0</v>
      </c>
      <c r="F34" s="289">
        <f t="shared" ca="1" si="2"/>
        <v>40</v>
      </c>
      <c r="G34" s="290">
        <f ca="1">KTVTUCOI!P33</f>
        <v>0.13648889613818249</v>
      </c>
      <c r="H34" s="290">
        <f t="shared" ca="1" si="10"/>
        <v>-1293.598968613712</v>
      </c>
      <c r="I34" s="291"/>
      <c r="J34" s="292">
        <f t="shared" ca="1" si="4"/>
        <v>-1293.598968613712</v>
      </c>
      <c r="K34" s="949"/>
      <c r="L34" s="949"/>
      <c r="M34" s="949"/>
      <c r="N34" s="950"/>
      <c r="O34" s="950"/>
      <c r="X34" s="945"/>
      <c r="Y34" s="945"/>
    </row>
    <row r="35" spans="2:25" ht="9.75" customHeight="1">
      <c r="B35" s="954"/>
      <c r="C35" s="952"/>
      <c r="D35" s="287">
        <f t="shared" ca="1" si="1"/>
        <v>47175</v>
      </c>
      <c r="E35" s="359">
        <f t="shared" si="5"/>
        <v>0</v>
      </c>
      <c r="F35" s="289">
        <f t="shared" ca="1" si="2"/>
        <v>40</v>
      </c>
      <c r="G35" s="290">
        <f ca="1">KTVTUCOI!P34</f>
        <v>0.14121788740699689</v>
      </c>
      <c r="H35" s="290">
        <f t="shared" ca="1" si="10"/>
        <v>-1337.0295496071935</v>
      </c>
      <c r="I35" s="291"/>
      <c r="J35" s="292">
        <f t="shared" ca="1" si="4"/>
        <v>-1337.0295496071935</v>
      </c>
      <c r="K35" s="949"/>
      <c r="L35" s="949"/>
      <c r="M35" s="949"/>
      <c r="N35" s="950"/>
      <c r="O35" s="950"/>
      <c r="X35" s="945"/>
      <c r="Y35" s="945"/>
    </row>
    <row r="36" spans="2:25" ht="9.75" customHeight="1">
      <c r="B36" s="954"/>
      <c r="C36" s="952"/>
      <c r="D36" s="287">
        <f t="shared" ca="1" si="1"/>
        <v>47203</v>
      </c>
      <c r="E36" s="359">
        <f t="shared" si="5"/>
        <v>0</v>
      </c>
      <c r="F36" s="289">
        <f t="shared" ca="1" si="2"/>
        <v>40</v>
      </c>
      <c r="G36" s="290">
        <f ca="1">KTVTUCOI!P35</f>
        <v>0.14595905916545196</v>
      </c>
      <c r="H36" s="290">
        <f t="shared" ca="1" si="10"/>
        <v>-1380.5719949945399</v>
      </c>
      <c r="I36" s="291"/>
      <c r="J36" s="292">
        <f t="shared" ca="1" si="4"/>
        <v>-1380.5719949945399</v>
      </c>
      <c r="K36" s="949"/>
      <c r="L36" s="949"/>
      <c r="M36" s="949"/>
      <c r="N36" s="950"/>
      <c r="O36" s="950"/>
      <c r="X36" s="945"/>
      <c r="Y36" s="945"/>
    </row>
    <row r="37" spans="2:25" ht="9.75" customHeight="1">
      <c r="B37" s="954"/>
      <c r="C37" s="952"/>
      <c r="D37" s="287">
        <f t="shared" ca="1" si="1"/>
        <v>47234</v>
      </c>
      <c r="E37" s="359">
        <f t="shared" si="5"/>
        <v>0</v>
      </c>
      <c r="F37" s="289">
        <f t="shared" ca="1" si="2"/>
        <v>40</v>
      </c>
      <c r="G37" s="290">
        <f ca="1">KTVTUCOI!P36</f>
        <v>0.15071244278690393</v>
      </c>
      <c r="H37" s="290">
        <f t="shared" ca="1" si="10"/>
        <v>-1424.226592905505</v>
      </c>
      <c r="I37" s="291"/>
      <c r="J37" s="292">
        <f t="shared" ca="1" si="4"/>
        <v>-1424.226592905505</v>
      </c>
      <c r="K37" s="949"/>
      <c r="L37" s="949"/>
      <c r="M37" s="949"/>
      <c r="N37" s="950"/>
      <c r="O37" s="950"/>
      <c r="X37" s="945"/>
      <c r="Y37" s="945"/>
    </row>
    <row r="38" spans="2:25" ht="9.75" customHeight="1">
      <c r="B38" s="954"/>
      <c r="C38" s="952"/>
      <c r="D38" s="287">
        <f t="shared" ca="1" si="1"/>
        <v>47264</v>
      </c>
      <c r="E38" s="359">
        <f t="shared" si="5"/>
        <v>0</v>
      </c>
      <c r="F38" s="289">
        <f t="shared" ca="1" si="2"/>
        <v>40</v>
      </c>
      <c r="G38" s="290">
        <f ca="1">KTVTUCOI!P37</f>
        <v>0.15547806972551761</v>
      </c>
      <c r="H38" s="290">
        <f t="shared" ca="1" si="10"/>
        <v>-1467.99363221198</v>
      </c>
      <c r="I38" s="291"/>
      <c r="J38" s="292">
        <f t="shared" ca="1" si="4"/>
        <v>-1467.99363221198</v>
      </c>
      <c r="K38" s="949"/>
      <c r="L38" s="949"/>
      <c r="M38" s="949"/>
      <c r="N38" s="950"/>
      <c r="O38" s="950"/>
      <c r="X38" s="945"/>
      <c r="Y38" s="945"/>
    </row>
    <row r="39" spans="2:25" ht="9.75" customHeight="1">
      <c r="B39" s="954"/>
      <c r="C39" s="952"/>
      <c r="D39" s="287">
        <f t="shared" ca="1" si="1"/>
        <v>47295</v>
      </c>
      <c r="E39" s="359">
        <f t="shared" si="5"/>
        <v>0</v>
      </c>
      <c r="F39" s="289">
        <f t="shared" ca="1" si="2"/>
        <v>40</v>
      </c>
      <c r="G39" s="290">
        <f ca="1">KTVTUCOI!P38</f>
        <v>0.16025597151647447</v>
      </c>
      <c r="H39" s="290">
        <f t="shared" ca="1" si="10"/>
        <v>-1511.8734025299057</v>
      </c>
      <c r="I39" s="291"/>
      <c r="J39" s="293">
        <f t="shared" ca="1" si="4"/>
        <v>-1511.8734025299057</v>
      </c>
      <c r="K39" s="949"/>
      <c r="L39" s="949"/>
      <c r="M39" s="949"/>
      <c r="N39" s="950"/>
      <c r="O39" s="950"/>
      <c r="X39" s="945"/>
      <c r="Y39" s="945"/>
    </row>
    <row r="40" spans="2:25" ht="9.75" customHeight="1">
      <c r="B40" s="955">
        <v>4</v>
      </c>
      <c r="C40" s="947">
        <f ca="1">C28+1</f>
        <v>33</v>
      </c>
      <c r="D40" s="294">
        <f t="shared" ca="1" si="1"/>
        <v>47325</v>
      </c>
      <c r="E40" s="359">
        <f t="shared" si="5"/>
        <v>0</v>
      </c>
      <c r="F40" s="360">
        <f t="shared" ca="1" si="2"/>
        <v>40</v>
      </c>
      <c r="G40" s="290">
        <f ca="1">KTVTUCOI!P39</f>
        <v>0.17260554678883092</v>
      </c>
      <c r="H40" s="295">
        <f ca="1">(H39+KTVBVGTTKcamket!F10-F40-G40)*(1+S3)</f>
        <v>-1554.6093382433539</v>
      </c>
      <c r="I40" s="948"/>
      <c r="J40" s="296">
        <f t="shared" ca="1" si="4"/>
        <v>-1554.6093382433539</v>
      </c>
      <c r="K40" s="949">
        <f ca="1">J51</f>
        <v>-2090.0800671571092</v>
      </c>
      <c r="L40" s="949"/>
      <c r="M40" s="949"/>
      <c r="N40" s="950">
        <f t="shared" ref="N40" ca="1" si="11">SUM(G40:G51)</f>
        <v>2.4123786441312647</v>
      </c>
      <c r="O40" s="950"/>
      <c r="X40" s="945">
        <f t="shared" ref="X40:Y40" ca="1" si="12">SUM(F40:F51)</f>
        <v>540</v>
      </c>
      <c r="Y40" s="945">
        <f t="shared" ca="1" si="12"/>
        <v>2.4123786441312647</v>
      </c>
    </row>
    <row r="41" spans="2:25" ht="9.75" customHeight="1">
      <c r="B41" s="955"/>
      <c r="C41" s="946"/>
      <c r="D41" s="294">
        <f t="shared" ca="1" si="1"/>
        <v>47356</v>
      </c>
      <c r="E41" s="359">
        <f t="shared" si="5"/>
        <v>0</v>
      </c>
      <c r="F41" s="360">
        <f t="shared" ca="1" si="2"/>
        <v>40</v>
      </c>
      <c r="G41" s="290">
        <f ca="1">KTVTUCOI!P40</f>
        <v>0.17748456611611627</v>
      </c>
      <c r="H41" s="295">
        <f ca="1">(H40-F41-G41)*(1+$S$3)</f>
        <v>-1597.4207429065709</v>
      </c>
      <c r="I41" s="948"/>
      <c r="J41" s="296">
        <f t="shared" ca="1" si="4"/>
        <v>-1597.4207429065709</v>
      </c>
      <c r="K41" s="949"/>
      <c r="L41" s="949"/>
      <c r="M41" s="949"/>
      <c r="N41" s="950"/>
      <c r="O41" s="950"/>
      <c r="X41" s="945"/>
      <c r="Y41" s="945"/>
    </row>
    <row r="42" spans="2:25" ht="9.75" customHeight="1">
      <c r="B42" s="955"/>
      <c r="C42" s="946"/>
      <c r="D42" s="294">
        <f t="shared" ca="1" si="1"/>
        <v>47387</v>
      </c>
      <c r="E42" s="359">
        <f t="shared" si="5"/>
        <v>0</v>
      </c>
      <c r="F42" s="360">
        <f t="shared" ca="1" si="2"/>
        <v>40</v>
      </c>
      <c r="G42" s="290">
        <f ca="1">KTVTUCOI!P41</f>
        <v>0.18237220148183353</v>
      </c>
      <c r="H42" s="295">
        <f t="shared" ref="H42:H51" ca="1" si="13">(H41-F42-G42)*(1+$S$3)</f>
        <v>-1640.3077497929316</v>
      </c>
      <c r="I42" s="948"/>
      <c r="J42" s="296">
        <f t="shared" ca="1" si="4"/>
        <v>-1640.3077497929316</v>
      </c>
      <c r="K42" s="949"/>
      <c r="L42" s="949"/>
      <c r="M42" s="949"/>
      <c r="N42" s="950"/>
      <c r="O42" s="950"/>
      <c r="X42" s="945"/>
      <c r="Y42" s="945"/>
    </row>
    <row r="43" spans="2:25" ht="9.75" customHeight="1">
      <c r="B43" s="955"/>
      <c r="C43" s="946"/>
      <c r="D43" s="294">
        <f t="shared" ca="1" si="1"/>
        <v>47417</v>
      </c>
      <c r="E43" s="359">
        <f t="shared" si="5"/>
        <v>0</v>
      </c>
      <c r="F43" s="360">
        <f t="shared" ca="1" si="2"/>
        <v>40</v>
      </c>
      <c r="G43" s="290">
        <f ca="1">KTVTUCOI!P42</f>
        <v>0.18726846810135975</v>
      </c>
      <c r="H43" s="295">
        <f t="shared" ca="1" si="13"/>
        <v>-1683.2704924111631</v>
      </c>
      <c r="I43" s="948"/>
      <c r="J43" s="296">
        <f t="shared" ca="1" si="4"/>
        <v>-1683.2704924111631</v>
      </c>
      <c r="K43" s="949"/>
      <c r="L43" s="949"/>
      <c r="M43" s="949"/>
      <c r="N43" s="950"/>
      <c r="O43" s="950"/>
      <c r="X43" s="945"/>
      <c r="Y43" s="945"/>
    </row>
    <row r="44" spans="2:25" ht="9.75" customHeight="1">
      <c r="B44" s="955"/>
      <c r="C44" s="946"/>
      <c r="D44" s="294">
        <f t="shared" ca="1" si="1"/>
        <v>47448</v>
      </c>
      <c r="E44" s="359">
        <f t="shared" si="5"/>
        <v>0</v>
      </c>
      <c r="F44" s="360">
        <f t="shared" ca="1" si="2"/>
        <v>40</v>
      </c>
      <c r="G44" s="290">
        <f ca="1">KTVTUCOI!P43</f>
        <v>0.19217338121694116</v>
      </c>
      <c r="H44" s="295">
        <f t="shared" ca="1" si="13"/>
        <v>-1726.3091045057602</v>
      </c>
      <c r="I44" s="948"/>
      <c r="J44" s="296">
        <f t="shared" ca="1" si="4"/>
        <v>-1726.3091045057602</v>
      </c>
      <c r="K44" s="949"/>
      <c r="L44" s="949"/>
      <c r="M44" s="949"/>
      <c r="N44" s="950"/>
      <c r="O44" s="950"/>
      <c r="X44" s="945"/>
      <c r="Y44" s="945"/>
    </row>
    <row r="45" spans="2:25" ht="9.75" customHeight="1">
      <c r="B45" s="955"/>
      <c r="C45" s="946"/>
      <c r="D45" s="294">
        <f t="shared" ca="1" si="1"/>
        <v>47478</v>
      </c>
      <c r="E45" s="359">
        <f t="shared" si="5"/>
        <v>0</v>
      </c>
      <c r="F45" s="360">
        <f t="shared" ca="1" si="2"/>
        <v>40</v>
      </c>
      <c r="G45" s="290">
        <f ca="1">KTVTUCOI!P44</f>
        <v>0.19708695609774096</v>
      </c>
      <c r="H45" s="295">
        <f t="shared" ca="1" si="13"/>
        <v>-1769.4237200574028</v>
      </c>
      <c r="I45" s="948"/>
      <c r="J45" s="296">
        <f t="shared" ca="1" si="4"/>
        <v>-1769.4237200574028</v>
      </c>
      <c r="K45" s="949"/>
      <c r="L45" s="949"/>
      <c r="M45" s="949"/>
      <c r="N45" s="950"/>
      <c r="O45" s="950"/>
      <c r="X45" s="945"/>
      <c r="Y45" s="945"/>
    </row>
    <row r="46" spans="2:25" ht="9.75" customHeight="1">
      <c r="B46" s="955"/>
      <c r="C46" s="946"/>
      <c r="D46" s="294">
        <f t="shared" ca="1" si="1"/>
        <v>47509</v>
      </c>
      <c r="E46" s="359">
        <f t="shared" si="5"/>
        <v>0</v>
      </c>
      <c r="F46" s="360">
        <f t="shared" ca="1" si="2"/>
        <v>50</v>
      </c>
      <c r="G46" s="290">
        <f ca="1">KTVTUCOI!P45</f>
        <v>0.20200920803988684</v>
      </c>
      <c r="H46" s="295">
        <f t="shared" ca="1" si="13"/>
        <v>-1822.6309890963905</v>
      </c>
      <c r="I46" s="948"/>
      <c r="J46" s="296">
        <f t="shared" ca="1" si="4"/>
        <v>-1822.6309890963905</v>
      </c>
      <c r="K46" s="949"/>
      <c r="L46" s="949"/>
      <c r="M46" s="949"/>
      <c r="N46" s="950"/>
      <c r="O46" s="950"/>
      <c r="X46" s="945"/>
      <c r="Y46" s="945"/>
    </row>
    <row r="47" spans="2:25" ht="9.75" customHeight="1">
      <c r="B47" s="955"/>
      <c r="C47" s="946"/>
      <c r="D47" s="294">
        <f t="shared" ca="1" si="1"/>
        <v>47540</v>
      </c>
      <c r="E47" s="359">
        <f t="shared" si="5"/>
        <v>0</v>
      </c>
      <c r="F47" s="360">
        <f t="shared" ca="1" si="2"/>
        <v>50</v>
      </c>
      <c r="G47" s="290">
        <f ca="1">KTVTUCOI!P46</f>
        <v>0.20808370458850459</v>
      </c>
      <c r="H47" s="295">
        <f t="shared" ca="1" si="13"/>
        <v>-1875.9322187951227</v>
      </c>
      <c r="I47" s="948"/>
      <c r="J47" s="296">
        <f t="shared" ca="1" si="4"/>
        <v>-1875.9322187951227</v>
      </c>
      <c r="K47" s="949"/>
      <c r="L47" s="949"/>
      <c r="M47" s="949"/>
      <c r="N47" s="950"/>
      <c r="O47" s="950"/>
      <c r="X47" s="945"/>
      <c r="Y47" s="945"/>
    </row>
    <row r="48" spans="2:25" ht="9.75" customHeight="1">
      <c r="B48" s="955"/>
      <c r="C48" s="946"/>
      <c r="D48" s="294">
        <f t="shared" ca="1" si="1"/>
        <v>47568</v>
      </c>
      <c r="E48" s="359">
        <f t="shared" si="5"/>
        <v>0</v>
      </c>
      <c r="F48" s="360">
        <f t="shared" ca="1" si="2"/>
        <v>50</v>
      </c>
      <c r="G48" s="290">
        <f ca="1">KTVTUCOI!P47</f>
        <v>0.21416892831244319</v>
      </c>
      <c r="H48" s="295">
        <f t="shared" ca="1" si="13"/>
        <v>-1929.3275750821604</v>
      </c>
      <c r="I48" s="948"/>
      <c r="J48" s="296">
        <f t="shared" ca="1" si="4"/>
        <v>-1929.3275750821604</v>
      </c>
      <c r="K48" s="949"/>
      <c r="L48" s="949"/>
      <c r="M48" s="949"/>
      <c r="N48" s="950"/>
      <c r="O48" s="950"/>
      <c r="X48" s="945"/>
      <c r="Y48" s="945"/>
    </row>
    <row r="49" spans="2:25" ht="9.75" customHeight="1">
      <c r="B49" s="955"/>
      <c r="C49" s="946"/>
      <c r="D49" s="294">
        <f t="shared" ca="1" si="1"/>
        <v>47599</v>
      </c>
      <c r="E49" s="359">
        <f t="shared" si="5"/>
        <v>0</v>
      </c>
      <c r="F49" s="360">
        <f t="shared" ca="1" si="2"/>
        <v>50</v>
      </c>
      <c r="G49" s="290">
        <f ca="1">KTVTUCOI!P48</f>
        <v>0.22026489815521333</v>
      </c>
      <c r="H49" s="295">
        <f t="shared" ca="1" si="13"/>
        <v>-1982.8172241790835</v>
      </c>
      <c r="I49" s="948"/>
      <c r="J49" s="296">
        <f t="shared" ca="1" si="4"/>
        <v>-1982.8172241790835</v>
      </c>
      <c r="K49" s="949"/>
      <c r="L49" s="949"/>
      <c r="M49" s="949"/>
      <c r="N49" s="950"/>
      <c r="O49" s="950"/>
      <c r="X49" s="945"/>
      <c r="Y49" s="945"/>
    </row>
    <row r="50" spans="2:25" ht="9.75" customHeight="1">
      <c r="B50" s="955"/>
      <c r="C50" s="946"/>
      <c r="D50" s="294">
        <f t="shared" ca="1" si="1"/>
        <v>47629</v>
      </c>
      <c r="E50" s="359">
        <f t="shared" si="5"/>
        <v>0</v>
      </c>
      <c r="F50" s="360">
        <f t="shared" ca="1" si="2"/>
        <v>50</v>
      </c>
      <c r="G50" s="290">
        <f ca="1">KTVTUCOI!P49</f>
        <v>0.22637163309377872</v>
      </c>
      <c r="H50" s="295">
        <f t="shared" ca="1" si="13"/>
        <v>-2036.4013326010092</v>
      </c>
      <c r="I50" s="948"/>
      <c r="J50" s="296">
        <f t="shared" ca="1" si="4"/>
        <v>-2036.4013326010092</v>
      </c>
      <c r="K50" s="949"/>
      <c r="L50" s="949"/>
      <c r="M50" s="949"/>
      <c r="N50" s="950"/>
      <c r="O50" s="950"/>
      <c r="X50" s="945"/>
      <c r="Y50" s="945"/>
    </row>
    <row r="51" spans="2:25" ht="9.75" customHeight="1">
      <c r="B51" s="955"/>
      <c r="C51" s="946"/>
      <c r="D51" s="294">
        <f t="shared" ca="1" si="1"/>
        <v>47660</v>
      </c>
      <c r="E51" s="359">
        <f t="shared" si="5"/>
        <v>0</v>
      </c>
      <c r="F51" s="360">
        <f t="shared" ca="1" si="2"/>
        <v>50</v>
      </c>
      <c r="G51" s="290">
        <f ca="1">KTVTUCOI!P50</f>
        <v>0.23248915213861523</v>
      </c>
      <c r="H51" s="295">
        <f t="shared" ca="1" si="13"/>
        <v>-2090.0800671571092</v>
      </c>
      <c r="I51" s="948"/>
      <c r="J51" s="297">
        <f ca="1">H51+I40</f>
        <v>-2090.0800671571092</v>
      </c>
      <c r="K51" s="949"/>
      <c r="L51" s="949"/>
      <c r="M51" s="949"/>
      <c r="N51" s="950"/>
      <c r="O51" s="950"/>
      <c r="X51" s="945"/>
      <c r="Y51" s="945"/>
    </row>
    <row r="52" spans="2:25" ht="9.75" customHeight="1">
      <c r="B52" s="954">
        <v>5</v>
      </c>
      <c r="C52" s="952">
        <f ca="1">C40+1</f>
        <v>34</v>
      </c>
      <c r="D52" s="287">
        <f t="shared" ca="1" si="1"/>
        <v>47690</v>
      </c>
      <c r="E52" s="359">
        <f t="shared" si="5"/>
        <v>0</v>
      </c>
      <c r="F52" s="289">
        <f t="shared" ca="1" si="2"/>
        <v>50</v>
      </c>
      <c r="G52" s="290">
        <f ca="1">KTVTUCOI!P51</f>
        <v>0.25080960805885305</v>
      </c>
      <c r="H52" s="290">
        <f ca="1">(J51+KTVBVGTTKcamket!F11-F52-G52)*(1+T3)</f>
        <v>-2143.8658072211556</v>
      </c>
      <c r="I52" s="953"/>
      <c r="J52" s="292">
        <f t="shared" ca="1" si="4"/>
        <v>-2143.8658072211556</v>
      </c>
      <c r="K52" s="949">
        <f ca="1">J63</f>
        <v>-2741.8358092798862</v>
      </c>
      <c r="L52" s="949"/>
      <c r="M52" s="949"/>
      <c r="N52" s="950">
        <f t="shared" ref="N52" ca="1" si="14">SUM(G52:G63)</f>
        <v>3.4382242426968466</v>
      </c>
      <c r="O52" s="950"/>
      <c r="X52" s="945">
        <f t="shared" ref="X52:Y52" ca="1" si="15">SUM(F52:F63)</f>
        <v>600</v>
      </c>
      <c r="Y52" s="945">
        <f t="shared" ca="1" si="15"/>
        <v>3.4382242426968466</v>
      </c>
    </row>
    <row r="53" spans="2:25" ht="9.75" customHeight="1">
      <c r="B53" s="954"/>
      <c r="C53" s="951"/>
      <c r="D53" s="287">
        <f t="shared" ca="1" si="1"/>
        <v>47721</v>
      </c>
      <c r="E53" s="359">
        <f t="shared" si="5"/>
        <v>0</v>
      </c>
      <c r="F53" s="289">
        <f t="shared" ca="1" si="2"/>
        <v>50</v>
      </c>
      <c r="G53" s="290">
        <f ca="1">KTVTUCOI!P52</f>
        <v>0.25726389686653867</v>
      </c>
      <c r="H53" s="290">
        <f ca="1">(H52-F53-G53)*(1+$T$3)</f>
        <v>-2197.7468437563921</v>
      </c>
      <c r="I53" s="953"/>
      <c r="J53" s="292">
        <f t="shared" ca="1" si="4"/>
        <v>-2197.7468437563921</v>
      </c>
      <c r="K53" s="949"/>
      <c r="L53" s="949"/>
      <c r="M53" s="949"/>
      <c r="N53" s="950"/>
      <c r="O53" s="950"/>
      <c r="X53" s="945"/>
      <c r="Y53" s="945"/>
    </row>
    <row r="54" spans="2:25" ht="9.75" customHeight="1">
      <c r="B54" s="954"/>
      <c r="C54" s="951"/>
      <c r="D54" s="287">
        <f t="shared" ca="1" si="1"/>
        <v>47752</v>
      </c>
      <c r="E54" s="359">
        <f t="shared" si="5"/>
        <v>0</v>
      </c>
      <c r="F54" s="289">
        <f t="shared" ca="1" si="2"/>
        <v>50</v>
      </c>
      <c r="G54" s="290">
        <f ca="1">KTVTUCOI!P53</f>
        <v>0.26372962125076704</v>
      </c>
      <c r="H54" s="290">
        <f t="shared" ref="H54:H63" ca="1" si="16">(H53-F54-G54)*(1+$T$3)</f>
        <v>-2251.7233456071522</v>
      </c>
      <c r="I54" s="953"/>
      <c r="J54" s="292">
        <f t="shared" ca="1" si="4"/>
        <v>-2251.7233456071522</v>
      </c>
      <c r="K54" s="949"/>
      <c r="L54" s="949"/>
      <c r="M54" s="949"/>
      <c r="N54" s="950"/>
      <c r="O54" s="950"/>
      <c r="X54" s="945"/>
      <c r="Y54" s="945"/>
    </row>
    <row r="55" spans="2:25" ht="9.75" customHeight="1">
      <c r="B55" s="954"/>
      <c r="C55" s="951"/>
      <c r="D55" s="287">
        <f t="shared" ca="1" si="1"/>
        <v>47782</v>
      </c>
      <c r="E55" s="359">
        <f t="shared" si="5"/>
        <v>0</v>
      </c>
      <c r="F55" s="289">
        <f t="shared" ca="1" si="2"/>
        <v>50</v>
      </c>
      <c r="G55" s="290">
        <f ca="1">KTVTUCOI!P54</f>
        <v>0.27020680147285825</v>
      </c>
      <c r="H55" s="290">
        <f t="shared" ca="1" si="16"/>
        <v>-2305.795481916924</v>
      </c>
      <c r="I55" s="953"/>
      <c r="J55" s="292">
        <f t="shared" ca="1" si="4"/>
        <v>-2305.795481916924</v>
      </c>
      <c r="K55" s="949"/>
      <c r="L55" s="949"/>
      <c r="M55" s="949"/>
      <c r="N55" s="950"/>
      <c r="O55" s="950"/>
      <c r="X55" s="945"/>
      <c r="Y55" s="945"/>
    </row>
    <row r="56" spans="2:25" ht="9.75" customHeight="1">
      <c r="B56" s="954"/>
      <c r="C56" s="951"/>
      <c r="D56" s="287">
        <f t="shared" ca="1" si="1"/>
        <v>47813</v>
      </c>
      <c r="E56" s="359">
        <f t="shared" si="5"/>
        <v>0</v>
      </c>
      <c r="F56" s="289">
        <f t="shared" ca="1" si="2"/>
        <v>50</v>
      </c>
      <c r="G56" s="290">
        <f ca="1">KTVTUCOI!P55</f>
        <v>0.27669545783003086</v>
      </c>
      <c r="H56" s="290">
        <f t="shared" ca="1" si="16"/>
        <v>-2359.9634221288807</v>
      </c>
      <c r="I56" s="953"/>
      <c r="J56" s="292">
        <f t="shared" ca="1" si="4"/>
        <v>-2359.9634221288807</v>
      </c>
      <c r="K56" s="949"/>
      <c r="L56" s="949"/>
      <c r="M56" s="949"/>
      <c r="N56" s="950"/>
      <c r="O56" s="950"/>
      <c r="X56" s="945"/>
      <c r="Y56" s="945"/>
    </row>
    <row r="57" spans="2:25" ht="9.75" customHeight="1">
      <c r="B57" s="954"/>
      <c r="C57" s="951"/>
      <c r="D57" s="287">
        <f t="shared" ca="1" si="1"/>
        <v>47843</v>
      </c>
      <c r="E57" s="359">
        <f t="shared" si="5"/>
        <v>0</v>
      </c>
      <c r="F57" s="289">
        <f t="shared" ca="1" si="2"/>
        <v>50</v>
      </c>
      <c r="G57" s="290">
        <f ca="1">KTVTUCOI!P56</f>
        <v>0.28319561065546567</v>
      </c>
      <c r="H57" s="290">
        <f t="shared" ca="1" si="16"/>
        <v>-2414.2273359864112</v>
      </c>
      <c r="I57" s="953"/>
      <c r="J57" s="292">
        <f t="shared" ca="1" si="4"/>
        <v>-2414.2273359864112</v>
      </c>
      <c r="K57" s="949"/>
      <c r="L57" s="949"/>
      <c r="M57" s="949"/>
      <c r="N57" s="950"/>
      <c r="O57" s="950"/>
      <c r="X57" s="945"/>
      <c r="Y57" s="945"/>
    </row>
    <row r="58" spans="2:25" ht="9.75" customHeight="1">
      <c r="B58" s="954"/>
      <c r="C58" s="951"/>
      <c r="D58" s="287">
        <f t="shared" ca="1" si="1"/>
        <v>47874</v>
      </c>
      <c r="E58" s="359">
        <f t="shared" si="5"/>
        <v>0</v>
      </c>
      <c r="F58" s="289">
        <f t="shared" ca="1" si="2"/>
        <v>50</v>
      </c>
      <c r="G58" s="290">
        <f ca="1">KTVTUCOI!P57</f>
        <v>0.28970728031836934</v>
      </c>
      <c r="H58" s="290">
        <f t="shared" ca="1" si="16"/>
        <v>-2468.5873935336526</v>
      </c>
      <c r="I58" s="953"/>
      <c r="J58" s="292">
        <f t="shared" ca="1" si="4"/>
        <v>-2468.5873935336526</v>
      </c>
      <c r="K58" s="949"/>
      <c r="L58" s="949"/>
      <c r="M58" s="949"/>
      <c r="N58" s="950"/>
      <c r="O58" s="950"/>
      <c r="X58" s="945"/>
      <c r="Y58" s="945"/>
    </row>
    <row r="59" spans="2:25" ht="9.75" customHeight="1">
      <c r="B59" s="954"/>
      <c r="C59" s="951"/>
      <c r="D59" s="287">
        <f t="shared" ca="1" si="1"/>
        <v>47905</v>
      </c>
      <c r="E59" s="359">
        <f t="shared" si="5"/>
        <v>0</v>
      </c>
      <c r="F59" s="289">
        <f t="shared" ca="1" si="2"/>
        <v>50</v>
      </c>
      <c r="G59" s="290">
        <f ca="1">KTVTUCOI!P58</f>
        <v>0.29623048722403827</v>
      </c>
      <c r="H59" s="290">
        <f t="shared" ca="1" si="16"/>
        <v>-2523.0437651160223</v>
      </c>
      <c r="I59" s="953"/>
      <c r="J59" s="292">
        <f t="shared" ca="1" si="4"/>
        <v>-2523.0437651160223</v>
      </c>
      <c r="K59" s="949"/>
      <c r="L59" s="949"/>
      <c r="M59" s="949"/>
      <c r="N59" s="950"/>
      <c r="O59" s="950"/>
      <c r="X59" s="945"/>
      <c r="Y59" s="945"/>
    </row>
    <row r="60" spans="2:25" ht="9.75" customHeight="1">
      <c r="B60" s="954"/>
      <c r="C60" s="951"/>
      <c r="D60" s="287">
        <f t="shared" ca="1" si="1"/>
        <v>47933</v>
      </c>
      <c r="E60" s="359">
        <f t="shared" si="5"/>
        <v>0</v>
      </c>
      <c r="F60" s="289">
        <f t="shared" ca="1" si="2"/>
        <v>50</v>
      </c>
      <c r="G60" s="290">
        <f ca="1">KTVTUCOI!P59</f>
        <v>0.30276525181392272</v>
      </c>
      <c r="H60" s="290">
        <f t="shared" ca="1" si="16"/>
        <v>-2577.5966213807533</v>
      </c>
      <c r="I60" s="953"/>
      <c r="J60" s="292">
        <f t="shared" ca="1" si="4"/>
        <v>-2577.5966213807533</v>
      </c>
      <c r="K60" s="949"/>
      <c r="L60" s="949"/>
      <c r="M60" s="949"/>
      <c r="N60" s="950"/>
      <c r="O60" s="950"/>
      <c r="X60" s="945"/>
      <c r="Y60" s="945"/>
    </row>
    <row r="61" spans="2:25" ht="9.75" customHeight="1">
      <c r="B61" s="954"/>
      <c r="C61" s="951"/>
      <c r="D61" s="287">
        <f t="shared" ca="1" si="1"/>
        <v>47964</v>
      </c>
      <c r="E61" s="359">
        <f t="shared" si="5"/>
        <v>0</v>
      </c>
      <c r="F61" s="289">
        <f t="shared" ca="1" si="2"/>
        <v>50</v>
      </c>
      <c r="G61" s="290">
        <f ca="1">KTVTUCOI!P60</f>
        <v>0.30931159456569041</v>
      </c>
      <c r="H61" s="290">
        <f t="shared" ca="1" si="16"/>
        <v>-2632.2461332774265</v>
      </c>
      <c r="I61" s="953"/>
      <c r="J61" s="292">
        <f t="shared" ca="1" si="4"/>
        <v>-2632.2461332774265</v>
      </c>
      <c r="K61" s="949"/>
      <c r="L61" s="949"/>
      <c r="M61" s="949"/>
      <c r="N61" s="950"/>
      <c r="O61" s="950"/>
      <c r="X61" s="945"/>
      <c r="Y61" s="945"/>
    </row>
    <row r="62" spans="2:25" ht="9.75" customHeight="1">
      <c r="B62" s="954"/>
      <c r="C62" s="951"/>
      <c r="D62" s="287">
        <f t="shared" ca="1" si="1"/>
        <v>47994</v>
      </c>
      <c r="E62" s="359">
        <f t="shared" si="5"/>
        <v>0</v>
      </c>
      <c r="F62" s="289">
        <f t="shared" ca="1" si="2"/>
        <v>50</v>
      </c>
      <c r="G62" s="290">
        <f ca="1">KTVTUCOI!P61</f>
        <v>0.31586953599329115</v>
      </c>
      <c r="H62" s="290">
        <f t="shared" ca="1" si="16"/>
        <v>-2686.9924720585082</v>
      </c>
      <c r="I62" s="953"/>
      <c r="J62" s="292">
        <f t="shared" ca="1" si="4"/>
        <v>-2686.9924720585082</v>
      </c>
      <c r="K62" s="949"/>
      <c r="L62" s="949"/>
      <c r="M62" s="949"/>
      <c r="N62" s="950"/>
      <c r="O62" s="950"/>
      <c r="X62" s="945"/>
      <c r="Y62" s="945"/>
    </row>
    <row r="63" spans="2:25" ht="9.75" customHeight="1">
      <c r="B63" s="954"/>
      <c r="C63" s="951"/>
      <c r="D63" s="287">
        <f t="shared" ca="1" si="1"/>
        <v>48025</v>
      </c>
      <c r="E63" s="359">
        <f t="shared" si="5"/>
        <v>0</v>
      </c>
      <c r="F63" s="289">
        <f t="shared" ca="1" si="2"/>
        <v>50</v>
      </c>
      <c r="G63" s="290">
        <f ca="1">KTVTUCOI!P62</f>
        <v>0.32243909664702097</v>
      </c>
      <c r="H63" s="290">
        <f t="shared" ca="1" si="16"/>
        <v>-2741.8358092798862</v>
      </c>
      <c r="I63" s="953"/>
      <c r="J63" s="293">
        <f ca="1">H63+I52</f>
        <v>-2741.8358092798862</v>
      </c>
      <c r="K63" s="949"/>
      <c r="L63" s="949"/>
      <c r="M63" s="949"/>
      <c r="N63" s="950"/>
      <c r="O63" s="950"/>
      <c r="X63" s="945"/>
      <c r="Y63" s="945"/>
    </row>
    <row r="64" spans="2:25" ht="9.75" customHeight="1">
      <c r="B64" s="946">
        <f>B52+1</f>
        <v>6</v>
      </c>
      <c r="C64" s="947">
        <f ca="1">C52+1</f>
        <v>35</v>
      </c>
      <c r="D64" s="294">
        <f t="shared" ca="1" si="1"/>
        <v>48055</v>
      </c>
      <c r="E64" s="359">
        <f t="shared" si="5"/>
        <v>0</v>
      </c>
      <c r="F64" s="360">
        <f t="shared" ca="1" si="2"/>
        <v>50</v>
      </c>
      <c r="G64" s="290">
        <f ca="1">KTVTUCOI!P63</f>
        <v>0.3472992025087856</v>
      </c>
      <c r="H64" s="295">
        <f ca="1">(J63+KTVBVGTTKcamket!F12-F64-G64)*(1+U3)</f>
        <v>-2795.6495695136528</v>
      </c>
      <c r="I64" s="948"/>
      <c r="J64" s="296">
        <f t="shared" ca="1" si="4"/>
        <v>-2795.6495695136528</v>
      </c>
      <c r="K64" s="949">
        <f ca="1">J75</f>
        <v>-3392.4830100443837</v>
      </c>
      <c r="L64" s="949"/>
      <c r="M64" s="949"/>
      <c r="N64" s="950">
        <f t="shared" ref="N64" ca="1" si="17">SUM(G64:G75)</f>
        <v>4.6195317307817962</v>
      </c>
      <c r="O64" s="950"/>
      <c r="X64" s="945">
        <f t="shared" ref="X64:Y64" ca="1" si="18">SUM(F64:F75)</f>
        <v>600</v>
      </c>
      <c r="Y64" s="945">
        <f t="shared" ca="1" si="18"/>
        <v>4.6195317307817962</v>
      </c>
    </row>
    <row r="65" spans="2:25" ht="9.75" customHeight="1">
      <c r="B65" s="946"/>
      <c r="C65" s="946"/>
      <c r="D65" s="294">
        <f t="shared" ca="1" si="1"/>
        <v>48086</v>
      </c>
      <c r="E65" s="359">
        <f t="shared" si="5"/>
        <v>0</v>
      </c>
      <c r="F65" s="360">
        <f t="shared" ca="1" si="2"/>
        <v>50</v>
      </c>
      <c r="G65" s="290">
        <f ca="1">KTVTUCOI!P64</f>
        <v>0.3541156121383961</v>
      </c>
      <c r="H65" s="295">
        <f ca="1">(H64-F65-G65)*(1+$U$3)</f>
        <v>-2849.5369637418439</v>
      </c>
      <c r="I65" s="948"/>
      <c r="J65" s="296">
        <f t="shared" ca="1" si="4"/>
        <v>-2849.5369637418439</v>
      </c>
      <c r="K65" s="949"/>
      <c r="L65" s="949"/>
      <c r="M65" s="949"/>
      <c r="N65" s="950"/>
      <c r="O65" s="950"/>
      <c r="X65" s="945"/>
      <c r="Y65" s="945"/>
    </row>
    <row r="66" spans="2:25" ht="9.75" customHeight="1">
      <c r="B66" s="946"/>
      <c r="C66" s="946"/>
      <c r="D66" s="294">
        <f t="shared" ca="1" si="1"/>
        <v>48117</v>
      </c>
      <c r="E66" s="359">
        <f t="shared" si="5"/>
        <v>0</v>
      </c>
      <c r="F66" s="360">
        <f t="shared" ca="1" si="2"/>
        <v>50</v>
      </c>
      <c r="G66" s="290">
        <f ca="1">KTVTUCOI!P65</f>
        <v>0.36094134874063361</v>
      </c>
      <c r="H66" s="295">
        <f t="shared" ref="H66:H75" ca="1" si="19">(H65-F66-G66)*(1+$U$3)</f>
        <v>-2903.4980927187116</v>
      </c>
      <c r="I66" s="948"/>
      <c r="J66" s="296">
        <f t="shared" ca="1" si="4"/>
        <v>-2903.4980927187116</v>
      </c>
      <c r="K66" s="949"/>
      <c r="L66" s="949"/>
      <c r="M66" s="949"/>
      <c r="N66" s="950"/>
      <c r="O66" s="950"/>
      <c r="X66" s="945"/>
      <c r="Y66" s="945"/>
    </row>
    <row r="67" spans="2:25" ht="9.75" customHeight="1">
      <c r="B67" s="946"/>
      <c r="C67" s="946"/>
      <c r="D67" s="294">
        <f t="shared" ca="1" si="1"/>
        <v>48147</v>
      </c>
      <c r="E67" s="359">
        <f t="shared" si="5"/>
        <v>0</v>
      </c>
      <c r="F67" s="360">
        <f t="shared" ca="1" si="2"/>
        <v>50</v>
      </c>
      <c r="G67" s="290">
        <f ca="1">KTVTUCOI!P66</f>
        <v>0.36777642507770342</v>
      </c>
      <c r="H67" s="295">
        <f t="shared" ca="1" si="19"/>
        <v>-2957.5330573363703</v>
      </c>
      <c r="I67" s="948"/>
      <c r="J67" s="296">
        <f t="shared" ca="1" si="4"/>
        <v>-2957.5330573363703</v>
      </c>
      <c r="K67" s="949"/>
      <c r="L67" s="949"/>
      <c r="M67" s="949"/>
      <c r="N67" s="950"/>
      <c r="O67" s="950"/>
      <c r="X67" s="945"/>
      <c r="Y67" s="945"/>
    </row>
    <row r="68" spans="2:25" ht="9.75" customHeight="1">
      <c r="B68" s="946"/>
      <c r="C68" s="946"/>
      <c r="D68" s="294">
        <f t="shared" ca="1" si="1"/>
        <v>48178</v>
      </c>
      <c r="E68" s="359">
        <f t="shared" si="5"/>
        <v>0</v>
      </c>
      <c r="F68" s="360">
        <f t="shared" ca="1" si="2"/>
        <v>50</v>
      </c>
      <c r="G68" s="290">
        <f ca="1">KTVTUCOI!P67</f>
        <v>0.37462085392927363</v>
      </c>
      <c r="H68" s="295">
        <f t="shared" ca="1" si="19"/>
        <v>-3011.6419586249863</v>
      </c>
      <c r="I68" s="948"/>
      <c r="J68" s="296">
        <f t="shared" ca="1" si="4"/>
        <v>-3011.6419586249863</v>
      </c>
      <c r="K68" s="949"/>
      <c r="L68" s="949"/>
      <c r="M68" s="949"/>
      <c r="N68" s="950"/>
      <c r="O68" s="950"/>
      <c r="X68" s="945"/>
      <c r="Y68" s="945"/>
    </row>
    <row r="69" spans="2:25" ht="9.75" customHeight="1">
      <c r="B69" s="946"/>
      <c r="C69" s="946"/>
      <c r="D69" s="294">
        <f t="shared" ref="D69:D132" ca="1" si="20">EDATE(D68,1)</f>
        <v>48208</v>
      </c>
      <c r="E69" s="359">
        <f t="shared" si="5"/>
        <v>0</v>
      </c>
      <c r="F69" s="360">
        <f t="shared" ref="F69:F132" ca="1" si="21">IF(YEAR(D69)=2025,40000,IF(YEAR(D69)=2026,40000,IF(YEAR(D69)=2027,40000,IF(YEAR(D69)=2028,40000,IF(YEAR(D69)=2029,40000,IF(YEAR(D69)=2030,50000,IF(YEAR(D69)=2031,50000,IF(YEAR(D69)=2032,50000,IF(YEAR(D69)=2033,50000,IF(YEAR(D69)=2034,50000,IF(YEAR(D69)&gt;=2035,60000,0)))))))))))/1000</f>
        <v>50</v>
      </c>
      <c r="G69" s="290">
        <f ca="1">KTVTUCOI!P68</f>
        <v>0.3814746480924982</v>
      </c>
      <c r="H69" s="295">
        <f t="shared" ca="1" si="19"/>
        <v>-3065.824897752967</v>
      </c>
      <c r="I69" s="948"/>
      <c r="J69" s="296">
        <f t="shared" ref="J69:J132" ca="1" si="22">H69</f>
        <v>-3065.824897752967</v>
      </c>
      <c r="K69" s="949"/>
      <c r="L69" s="949"/>
      <c r="M69" s="949"/>
      <c r="N69" s="950"/>
      <c r="O69" s="950"/>
      <c r="X69" s="945"/>
      <c r="Y69" s="945"/>
    </row>
    <row r="70" spans="2:25" ht="9.75" customHeight="1">
      <c r="B70" s="946"/>
      <c r="C70" s="946"/>
      <c r="D70" s="294">
        <f t="shared" ca="1" si="20"/>
        <v>48239</v>
      </c>
      <c r="E70" s="359">
        <f t="shared" ref="E70:E133" si="23">E69</f>
        <v>0</v>
      </c>
      <c r="F70" s="360">
        <f t="shared" ca="1" si="21"/>
        <v>50</v>
      </c>
      <c r="G70" s="290">
        <f ca="1">KTVTUCOI!P69</f>
        <v>0.38833782038204245</v>
      </c>
      <c r="H70" s="295">
        <f t="shared" ca="1" si="19"/>
        <v>-3120.0819760271497</v>
      </c>
      <c r="I70" s="948"/>
      <c r="J70" s="296">
        <f t="shared" ca="1" si="22"/>
        <v>-3120.0819760271497</v>
      </c>
      <c r="K70" s="949"/>
      <c r="L70" s="949"/>
      <c r="M70" s="949"/>
      <c r="N70" s="950"/>
      <c r="O70" s="950"/>
      <c r="X70" s="945"/>
      <c r="Y70" s="945"/>
    </row>
    <row r="71" spans="2:25" ht="9.75" customHeight="1">
      <c r="B71" s="946"/>
      <c r="C71" s="946"/>
      <c r="D71" s="294">
        <f t="shared" ca="1" si="20"/>
        <v>48270</v>
      </c>
      <c r="E71" s="359">
        <f t="shared" si="23"/>
        <v>0</v>
      </c>
      <c r="F71" s="360">
        <f t="shared" ca="1" si="21"/>
        <v>50</v>
      </c>
      <c r="G71" s="290">
        <f ca="1">KTVTUCOI!P70</f>
        <v>0.39521038363010558</v>
      </c>
      <c r="H71" s="295">
        <f t="shared" ca="1" si="19"/>
        <v>-3174.4132948929914</v>
      </c>
      <c r="I71" s="948"/>
      <c r="J71" s="296">
        <f t="shared" ca="1" si="22"/>
        <v>-3174.4132948929914</v>
      </c>
      <c r="K71" s="949"/>
      <c r="L71" s="949"/>
      <c r="M71" s="949"/>
      <c r="N71" s="950"/>
      <c r="O71" s="950"/>
      <c r="X71" s="945"/>
      <c r="Y71" s="945"/>
    </row>
    <row r="72" spans="2:25" ht="9.75" customHeight="1">
      <c r="B72" s="946"/>
      <c r="C72" s="946"/>
      <c r="D72" s="294">
        <f t="shared" ca="1" si="20"/>
        <v>48299</v>
      </c>
      <c r="E72" s="359">
        <f t="shared" si="23"/>
        <v>0</v>
      </c>
      <c r="F72" s="360">
        <f t="shared" ca="1" si="21"/>
        <v>50</v>
      </c>
      <c r="G72" s="290">
        <f ca="1">KTVTUCOI!P71</f>
        <v>0.40209235068644555</v>
      </c>
      <c r="H72" s="295">
        <f t="shared" ca="1" si="19"/>
        <v>-3228.8189559347575</v>
      </c>
      <c r="I72" s="948"/>
      <c r="J72" s="296">
        <f t="shared" ca="1" si="22"/>
        <v>-3228.8189559347575</v>
      </c>
      <c r="K72" s="949"/>
      <c r="L72" s="949"/>
      <c r="M72" s="949"/>
      <c r="N72" s="950"/>
      <c r="O72" s="950"/>
      <c r="X72" s="945"/>
      <c r="Y72" s="945"/>
    </row>
    <row r="73" spans="2:25" ht="9.75" customHeight="1">
      <c r="B73" s="946"/>
      <c r="C73" s="946"/>
      <c r="D73" s="294">
        <f t="shared" ca="1" si="20"/>
        <v>48330</v>
      </c>
      <c r="E73" s="359">
        <f t="shared" si="23"/>
        <v>0</v>
      </c>
      <c r="F73" s="360">
        <f t="shared" ca="1" si="21"/>
        <v>50</v>
      </c>
      <c r="G73" s="290">
        <f ca="1">KTVTUCOI!P72</f>
        <v>0.40898373441840263</v>
      </c>
      <c r="H73" s="295">
        <f t="shared" ca="1" si="19"/>
        <v>-3283.2990608757127</v>
      </c>
      <c r="I73" s="948"/>
      <c r="J73" s="296">
        <f t="shared" ca="1" si="22"/>
        <v>-3283.2990608757127</v>
      </c>
      <c r="K73" s="949"/>
      <c r="L73" s="949"/>
      <c r="M73" s="949"/>
      <c r="N73" s="950"/>
      <c r="O73" s="950"/>
      <c r="X73" s="945"/>
      <c r="Y73" s="945"/>
    </row>
    <row r="74" spans="2:25" ht="9.75" customHeight="1">
      <c r="B74" s="946"/>
      <c r="C74" s="946"/>
      <c r="D74" s="294">
        <f t="shared" ca="1" si="20"/>
        <v>48360</v>
      </c>
      <c r="E74" s="359">
        <f t="shared" si="23"/>
        <v>0</v>
      </c>
      <c r="F74" s="360">
        <f t="shared" ca="1" si="21"/>
        <v>50</v>
      </c>
      <c r="G74" s="290">
        <f ca="1">KTVTUCOI!P73</f>
        <v>0.41588454771092365</v>
      </c>
      <c r="H74" s="295">
        <f t="shared" ca="1" si="19"/>
        <v>-3337.8537115783101</v>
      </c>
      <c r="I74" s="948"/>
      <c r="J74" s="296">
        <f t="shared" ca="1" si="22"/>
        <v>-3337.8537115783101</v>
      </c>
      <c r="K74" s="949"/>
      <c r="L74" s="949"/>
      <c r="M74" s="949"/>
      <c r="N74" s="950"/>
      <c r="O74" s="950"/>
      <c r="X74" s="945"/>
      <c r="Y74" s="945"/>
    </row>
    <row r="75" spans="2:25" ht="9.75" customHeight="1">
      <c r="B75" s="946"/>
      <c r="C75" s="946"/>
      <c r="D75" s="294">
        <f t="shared" ca="1" si="20"/>
        <v>48391</v>
      </c>
      <c r="E75" s="359">
        <f t="shared" si="23"/>
        <v>0</v>
      </c>
      <c r="F75" s="360">
        <f t="shared" ca="1" si="21"/>
        <v>50</v>
      </c>
      <c r="G75" s="290">
        <f ca="1">KTVTUCOI!P74</f>
        <v>0.42279480346658599</v>
      </c>
      <c r="H75" s="295">
        <f t="shared" ca="1" si="19"/>
        <v>-3392.4830100443837</v>
      </c>
      <c r="I75" s="948"/>
      <c r="J75" s="297">
        <f ca="1">H75+I64</f>
        <v>-3392.4830100443837</v>
      </c>
      <c r="K75" s="949"/>
      <c r="L75" s="949"/>
      <c r="M75" s="949"/>
      <c r="N75" s="950"/>
      <c r="O75" s="950"/>
      <c r="X75" s="945"/>
      <c r="Y75" s="945"/>
    </row>
    <row r="76" spans="2:25" ht="9.75" customHeight="1">
      <c r="B76" s="951">
        <f>B64+1</f>
        <v>7</v>
      </c>
      <c r="C76" s="952">
        <f ca="1">C64+1</f>
        <v>36</v>
      </c>
      <c r="D76" s="287">
        <f t="shared" ca="1" si="20"/>
        <v>48421</v>
      </c>
      <c r="E76" s="359">
        <f t="shared" si="23"/>
        <v>0</v>
      </c>
      <c r="F76" s="289">
        <f t="shared" ca="1" si="21"/>
        <v>50</v>
      </c>
      <c r="G76" s="290">
        <f ca="1">KTVTUCOI!P75</f>
        <v>0.45798520635599188</v>
      </c>
      <c r="H76" s="290">
        <f ca="1">(J75+KTVBVGTTKcamket!F13-F76-G76)*(1+$U$3)</f>
        <v>-3447.2153642048033</v>
      </c>
      <c r="I76" s="953"/>
      <c r="J76" s="292">
        <f t="shared" ca="1" si="22"/>
        <v>-3447.2153642048033</v>
      </c>
      <c r="K76" s="949">
        <f ca="1">J87</f>
        <v>-4054.2670915954509</v>
      </c>
      <c r="L76" s="949"/>
      <c r="M76" s="949"/>
      <c r="N76" s="950">
        <f t="shared" ref="N76" ca="1" si="24">SUM(G76:G87)</f>
        <v>5.9857325220498145</v>
      </c>
      <c r="O76" s="950"/>
      <c r="X76" s="945">
        <f t="shared" ref="X76:Y76" ca="1" si="25">SUM(F76:F87)</f>
        <v>600</v>
      </c>
      <c r="Y76" s="945">
        <f t="shared" ca="1" si="25"/>
        <v>5.9857325220498145</v>
      </c>
    </row>
    <row r="77" spans="2:25" ht="9.75" customHeight="1">
      <c r="B77" s="951"/>
      <c r="C77" s="951"/>
      <c r="D77" s="287">
        <f t="shared" ca="1" si="20"/>
        <v>48452</v>
      </c>
      <c r="E77" s="359">
        <f t="shared" si="23"/>
        <v>0</v>
      </c>
      <c r="F77" s="289">
        <f t="shared" ca="1" si="21"/>
        <v>50</v>
      </c>
      <c r="G77" s="290">
        <f ca="1">KTVTUCOI!P76</f>
        <v>0.46537407416764848</v>
      </c>
      <c r="H77" s="290">
        <f ca="1">(H76-F77-G77)*(1+$U$3)</f>
        <v>-3502.0230659516055</v>
      </c>
      <c r="I77" s="953"/>
      <c r="J77" s="292">
        <f t="shared" ca="1" si="22"/>
        <v>-3502.0230659516055</v>
      </c>
      <c r="K77" s="949"/>
      <c r="L77" s="949"/>
      <c r="M77" s="949"/>
      <c r="N77" s="950"/>
      <c r="O77" s="950"/>
      <c r="X77" s="945"/>
      <c r="Y77" s="945"/>
    </row>
    <row r="78" spans="2:25" ht="9.75" customHeight="1">
      <c r="B78" s="951"/>
      <c r="C78" s="951"/>
      <c r="D78" s="287">
        <f t="shared" ca="1" si="20"/>
        <v>48483</v>
      </c>
      <c r="E78" s="359">
        <f t="shared" si="23"/>
        <v>0</v>
      </c>
      <c r="F78" s="289">
        <f t="shared" ca="1" si="21"/>
        <v>50</v>
      </c>
      <c r="G78" s="290">
        <f ca="1">KTVTUCOI!P77</f>
        <v>0.47277311390346677</v>
      </c>
      <c r="H78" s="290">
        <f t="shared" ref="H78:H87" ca="1" si="26">(H77-F78-G78)*(1+$U$3)</f>
        <v>-3556.9062190124459</v>
      </c>
      <c r="I78" s="953"/>
      <c r="J78" s="292">
        <f t="shared" ca="1" si="22"/>
        <v>-3556.9062190124459</v>
      </c>
      <c r="K78" s="949"/>
      <c r="L78" s="949"/>
      <c r="M78" s="949"/>
      <c r="N78" s="950"/>
      <c r="O78" s="950"/>
      <c r="X78" s="945"/>
      <c r="Y78" s="945"/>
    </row>
    <row r="79" spans="2:25" ht="9.75" customHeight="1">
      <c r="B79" s="951"/>
      <c r="C79" s="951"/>
      <c r="D79" s="287">
        <f t="shared" ca="1" si="20"/>
        <v>48513</v>
      </c>
      <c r="E79" s="359">
        <f t="shared" si="23"/>
        <v>0</v>
      </c>
      <c r="F79" s="289">
        <f t="shared" ca="1" si="21"/>
        <v>50</v>
      </c>
      <c r="G79" s="290">
        <f ca="1">KTVTUCOI!P78</f>
        <v>0.48018233956668027</v>
      </c>
      <c r="H79" s="290">
        <f t="shared" ca="1" si="26"/>
        <v>-3611.8649272577773</v>
      </c>
      <c r="I79" s="953"/>
      <c r="J79" s="292">
        <f t="shared" ca="1" si="22"/>
        <v>-3611.8649272577773</v>
      </c>
      <c r="K79" s="949"/>
      <c r="L79" s="949"/>
      <c r="M79" s="949"/>
      <c r="N79" s="950"/>
      <c r="O79" s="950"/>
      <c r="X79" s="945"/>
      <c r="Y79" s="945"/>
    </row>
    <row r="80" spans="2:25" ht="9.75" customHeight="1">
      <c r="B80" s="951"/>
      <c r="C80" s="951"/>
      <c r="D80" s="287">
        <f t="shared" ca="1" si="20"/>
        <v>48544</v>
      </c>
      <c r="E80" s="359">
        <f t="shared" si="23"/>
        <v>0</v>
      </c>
      <c r="F80" s="289">
        <f t="shared" ca="1" si="21"/>
        <v>50</v>
      </c>
      <c r="G80" s="290">
        <f ca="1">KTVTUCOI!P79</f>
        <v>0.48760176517979992</v>
      </c>
      <c r="H80" s="290">
        <f t="shared" ca="1" si="26"/>
        <v>-3666.8992947010461</v>
      </c>
      <c r="I80" s="953"/>
      <c r="J80" s="292">
        <f t="shared" ca="1" si="22"/>
        <v>-3666.8992947010461</v>
      </c>
      <c r="K80" s="949"/>
      <c r="L80" s="949"/>
      <c r="M80" s="949"/>
      <c r="N80" s="950"/>
      <c r="O80" s="950"/>
      <c r="X80" s="945"/>
      <c r="Y80" s="945"/>
    </row>
    <row r="81" spans="2:25" ht="9.75" customHeight="1">
      <c r="B81" s="951"/>
      <c r="C81" s="951"/>
      <c r="D81" s="287">
        <f t="shared" ca="1" si="20"/>
        <v>48574</v>
      </c>
      <c r="E81" s="359">
        <f t="shared" si="23"/>
        <v>0</v>
      </c>
      <c r="F81" s="289">
        <f t="shared" ca="1" si="21"/>
        <v>50</v>
      </c>
      <c r="G81" s="290">
        <f ca="1">KTVTUCOI!P80</f>
        <v>0.49503140478464119</v>
      </c>
      <c r="H81" s="290">
        <f t="shared" ca="1" si="26"/>
        <v>-3722.0094254988894</v>
      </c>
      <c r="I81" s="953"/>
      <c r="J81" s="292">
        <f t="shared" ca="1" si="22"/>
        <v>-3722.0094254988894</v>
      </c>
      <c r="K81" s="949"/>
      <c r="L81" s="949"/>
      <c r="M81" s="949"/>
      <c r="N81" s="950"/>
      <c r="O81" s="950"/>
      <c r="X81" s="945"/>
      <c r="Y81" s="945"/>
    </row>
    <row r="82" spans="2:25" ht="9.75" customHeight="1">
      <c r="B82" s="951"/>
      <c r="C82" s="951"/>
      <c r="D82" s="287">
        <f t="shared" ca="1" si="20"/>
        <v>48605</v>
      </c>
      <c r="E82" s="359">
        <f t="shared" si="23"/>
        <v>0</v>
      </c>
      <c r="F82" s="289">
        <f t="shared" ca="1" si="21"/>
        <v>50</v>
      </c>
      <c r="G82" s="290">
        <f ca="1">KTVTUCOI!P81</f>
        <v>0.50247127244235013</v>
      </c>
      <c r="H82" s="290">
        <f t="shared" ca="1" si="26"/>
        <v>-3777.1954239513325</v>
      </c>
      <c r="I82" s="953"/>
      <c r="J82" s="292">
        <f t="shared" ca="1" si="22"/>
        <v>-3777.1954239513325</v>
      </c>
      <c r="K82" s="949"/>
      <c r="L82" s="949"/>
      <c r="M82" s="949"/>
      <c r="N82" s="950"/>
      <c r="O82" s="950"/>
      <c r="X82" s="945"/>
      <c r="Y82" s="945"/>
    </row>
    <row r="83" spans="2:25" ht="9.75" customHeight="1">
      <c r="B83" s="951"/>
      <c r="C83" s="951"/>
      <c r="D83" s="287">
        <f t="shared" ca="1" si="20"/>
        <v>48636</v>
      </c>
      <c r="E83" s="359">
        <f t="shared" si="23"/>
        <v>0</v>
      </c>
      <c r="F83" s="289">
        <f t="shared" ca="1" si="21"/>
        <v>50</v>
      </c>
      <c r="G83" s="290">
        <f ca="1">KTVTUCOI!P82</f>
        <v>0.50992138223342998</v>
      </c>
      <c r="H83" s="290">
        <f t="shared" ca="1" si="26"/>
        <v>-3832.4573945019852</v>
      </c>
      <c r="I83" s="953"/>
      <c r="J83" s="292">
        <f t="shared" ca="1" si="22"/>
        <v>-3832.4573945019852</v>
      </c>
      <c r="K83" s="949"/>
      <c r="L83" s="949"/>
      <c r="M83" s="949"/>
      <c r="N83" s="950"/>
      <c r="O83" s="950"/>
      <c r="X83" s="945"/>
      <c r="Y83" s="945"/>
    </row>
    <row r="84" spans="2:25" ht="9.75" customHeight="1">
      <c r="B84" s="951"/>
      <c r="C84" s="951"/>
      <c r="D84" s="287">
        <f t="shared" ca="1" si="20"/>
        <v>48664</v>
      </c>
      <c r="E84" s="359">
        <f t="shared" si="23"/>
        <v>0</v>
      </c>
      <c r="F84" s="289">
        <f t="shared" ca="1" si="21"/>
        <v>50</v>
      </c>
      <c r="G84" s="290">
        <f ca="1">KTVTUCOI!P83</f>
        <v>0.51738174825776795</v>
      </c>
      <c r="H84" s="290">
        <f t="shared" ca="1" si="26"/>
        <v>-3887.7954417382398</v>
      </c>
      <c r="I84" s="953"/>
      <c r="J84" s="292">
        <f t="shared" ca="1" si="22"/>
        <v>-3887.7954417382398</v>
      </c>
      <c r="K84" s="949"/>
      <c r="L84" s="949"/>
      <c r="M84" s="949"/>
      <c r="N84" s="950"/>
      <c r="O84" s="950"/>
      <c r="X84" s="945"/>
      <c r="Y84" s="945"/>
    </row>
    <row r="85" spans="2:25" ht="9.75" customHeight="1">
      <c r="B85" s="951"/>
      <c r="C85" s="951"/>
      <c r="D85" s="287">
        <f t="shared" ca="1" si="20"/>
        <v>48695</v>
      </c>
      <c r="E85" s="359">
        <f t="shared" si="23"/>
        <v>0</v>
      </c>
      <c r="F85" s="289">
        <f t="shared" ca="1" si="21"/>
        <v>50</v>
      </c>
      <c r="G85" s="290">
        <f ca="1">KTVTUCOI!P84</f>
        <v>0.52485238463466244</v>
      </c>
      <c r="H85" s="290">
        <f t="shared" ca="1" si="26"/>
        <v>-3943.2096703914713</v>
      </c>
      <c r="I85" s="953"/>
      <c r="J85" s="292">
        <f t="shared" ca="1" si="22"/>
        <v>-3943.2096703914713</v>
      </c>
      <c r="K85" s="949"/>
      <c r="L85" s="949"/>
      <c r="M85" s="949"/>
      <c r="N85" s="950"/>
      <c r="O85" s="950"/>
      <c r="X85" s="945"/>
      <c r="Y85" s="945"/>
    </row>
    <row r="86" spans="2:25" ht="9.75" customHeight="1">
      <c r="B86" s="951"/>
      <c r="C86" s="951"/>
      <c r="D86" s="287">
        <f t="shared" ca="1" si="20"/>
        <v>48725</v>
      </c>
      <c r="E86" s="359">
        <f t="shared" si="23"/>
        <v>0</v>
      </c>
      <c r="F86" s="289">
        <f t="shared" ca="1" si="21"/>
        <v>50</v>
      </c>
      <c r="G86" s="290">
        <f ca="1">KTVTUCOI!P85</f>
        <v>0.53233330550284863</v>
      </c>
      <c r="H86" s="290">
        <f t="shared" ca="1" si="26"/>
        <v>-3998.7001853372317</v>
      </c>
      <c r="I86" s="953"/>
      <c r="J86" s="292">
        <f t="shared" ca="1" si="22"/>
        <v>-3998.7001853372317</v>
      </c>
      <c r="K86" s="949"/>
      <c r="L86" s="949"/>
      <c r="M86" s="949"/>
      <c r="N86" s="950"/>
      <c r="O86" s="950"/>
      <c r="X86" s="945"/>
      <c r="Y86" s="945"/>
    </row>
    <row r="87" spans="2:25" ht="9.75" customHeight="1">
      <c r="B87" s="951"/>
      <c r="C87" s="951"/>
      <c r="D87" s="287">
        <f t="shared" ca="1" si="20"/>
        <v>48756</v>
      </c>
      <c r="E87" s="359">
        <f t="shared" si="23"/>
        <v>0</v>
      </c>
      <c r="F87" s="289">
        <f t="shared" ca="1" si="21"/>
        <v>50</v>
      </c>
      <c r="G87" s="290">
        <f ca="1">KTVTUCOI!P86</f>
        <v>0.53982452502052636</v>
      </c>
      <c r="H87" s="290">
        <f t="shared" ca="1" si="26"/>
        <v>-4054.2670915954509</v>
      </c>
      <c r="I87" s="953"/>
      <c r="J87" s="293">
        <f ca="1">H87+I76</f>
        <v>-4054.2670915954509</v>
      </c>
      <c r="K87" s="949"/>
      <c r="L87" s="949"/>
      <c r="M87" s="949"/>
      <c r="N87" s="950"/>
      <c r="O87" s="950"/>
      <c r="X87" s="945"/>
      <c r="Y87" s="945"/>
    </row>
    <row r="88" spans="2:25" ht="9.75" customHeight="1">
      <c r="B88" s="946">
        <f>B76+1</f>
        <v>8</v>
      </c>
      <c r="C88" s="947">
        <f ca="1">C76+1</f>
        <v>37</v>
      </c>
      <c r="D88" s="294">
        <f t="shared" ca="1" si="20"/>
        <v>48786</v>
      </c>
      <c r="E88" s="359">
        <f t="shared" si="23"/>
        <v>0</v>
      </c>
      <c r="F88" s="360">
        <f t="shared" ca="1" si="21"/>
        <v>50</v>
      </c>
      <c r="G88" s="290">
        <f ca="1">KTVTUCOI!P87</f>
        <v>0.58786872828134029</v>
      </c>
      <c r="H88" s="295">
        <f ca="1">(J87+KTVBVGTTKcamket!F14-F88-G88)*(1+U3)</f>
        <v>-4109.9510873347799</v>
      </c>
      <c r="I88" s="948"/>
      <c r="J88" s="296">
        <f t="shared" ca="1" si="22"/>
        <v>-4109.9510873347799</v>
      </c>
      <c r="K88" s="949">
        <f ca="1">J99</f>
        <v>-4727.5948731326234</v>
      </c>
      <c r="L88" s="949"/>
      <c r="M88" s="949"/>
      <c r="N88" s="950">
        <f t="shared" ref="N88" ca="1" si="27">SUM(G88:G99)</f>
        <v>7.5897914456429341</v>
      </c>
      <c r="O88" s="950"/>
      <c r="X88" s="945">
        <f t="shared" ref="X88:Y88" ca="1" si="28">SUM(F88:F99)</f>
        <v>600</v>
      </c>
      <c r="Y88" s="945">
        <f t="shared" ca="1" si="28"/>
        <v>7.5897914456429341</v>
      </c>
    </row>
    <row r="89" spans="2:25" ht="9.75" customHeight="1">
      <c r="B89" s="946"/>
      <c r="C89" s="946"/>
      <c r="D89" s="294">
        <f t="shared" ca="1" si="20"/>
        <v>48817</v>
      </c>
      <c r="E89" s="359">
        <f t="shared" si="23"/>
        <v>0</v>
      </c>
      <c r="F89" s="360">
        <f t="shared" ca="1" si="21"/>
        <v>50</v>
      </c>
      <c r="G89" s="290">
        <f ca="1">KTVTUCOI!P88</f>
        <v>0.59594290766354308</v>
      </c>
      <c r="H89" s="295">
        <f ca="1">(H88-F89-G89)*(1+$U$3)</f>
        <v>-4165.7122982741994</v>
      </c>
      <c r="I89" s="948"/>
      <c r="J89" s="296">
        <f t="shared" ca="1" si="22"/>
        <v>-4165.7122982741994</v>
      </c>
      <c r="K89" s="949"/>
      <c r="L89" s="949"/>
      <c r="M89" s="949"/>
      <c r="N89" s="950"/>
      <c r="O89" s="950"/>
      <c r="X89" s="945"/>
      <c r="Y89" s="945"/>
    </row>
    <row r="90" spans="2:25" ht="9.75" customHeight="1">
      <c r="B90" s="946"/>
      <c r="C90" s="946"/>
      <c r="D90" s="294">
        <f t="shared" ca="1" si="20"/>
        <v>48848</v>
      </c>
      <c r="E90" s="359">
        <f t="shared" si="23"/>
        <v>0</v>
      </c>
      <c r="F90" s="360">
        <f t="shared" ca="1" si="21"/>
        <v>50</v>
      </c>
      <c r="G90" s="290">
        <f ca="1">KTVTUCOI!P89</f>
        <v>0.60402828324975888</v>
      </c>
      <c r="H90" s="295">
        <f t="shared" ref="H90:H99" ca="1" si="29">(H89-F90-G90)*(1+$U$3)</f>
        <v>-4221.5508314855351</v>
      </c>
      <c r="I90" s="948"/>
      <c r="J90" s="296">
        <f t="shared" ca="1" si="22"/>
        <v>-4221.5508314855351</v>
      </c>
      <c r="K90" s="949"/>
      <c r="L90" s="949"/>
      <c r="M90" s="949"/>
      <c r="N90" s="950"/>
      <c r="O90" s="950"/>
      <c r="X90" s="945"/>
      <c r="Y90" s="945"/>
    </row>
    <row r="91" spans="2:25" ht="9.75" customHeight="1">
      <c r="B91" s="946"/>
      <c r="C91" s="946"/>
      <c r="D91" s="294">
        <f t="shared" ca="1" si="20"/>
        <v>48878</v>
      </c>
      <c r="E91" s="359">
        <f t="shared" si="23"/>
        <v>0</v>
      </c>
      <c r="F91" s="360">
        <f t="shared" ca="1" si="21"/>
        <v>50</v>
      </c>
      <c r="G91" s="290">
        <f ca="1">KTVTUCOI!P90</f>
        <v>0.61212487056540255</v>
      </c>
      <c r="H91" s="295">
        <f t="shared" ca="1" si="29"/>
        <v>-4277.4667941890866</v>
      </c>
      <c r="I91" s="948"/>
      <c r="J91" s="296">
        <f t="shared" ca="1" si="22"/>
        <v>-4277.4667941890866</v>
      </c>
      <c r="K91" s="949"/>
      <c r="L91" s="949"/>
      <c r="M91" s="949"/>
      <c r="N91" s="950"/>
      <c r="O91" s="950"/>
      <c r="X91" s="945"/>
      <c r="Y91" s="945"/>
    </row>
    <row r="92" spans="2:25" ht="9.75" customHeight="1">
      <c r="B92" s="946"/>
      <c r="C92" s="946"/>
      <c r="D92" s="294">
        <f t="shared" ca="1" si="20"/>
        <v>48909</v>
      </c>
      <c r="E92" s="359">
        <f t="shared" si="23"/>
        <v>0</v>
      </c>
      <c r="F92" s="360">
        <f t="shared" ca="1" si="21"/>
        <v>50</v>
      </c>
      <c r="G92" s="290">
        <f ca="1">KTVTUCOI!P91</f>
        <v>0.62023268515741758</v>
      </c>
      <c r="H92" s="295">
        <f t="shared" ca="1" si="29"/>
        <v>-4333.4602937538311</v>
      </c>
      <c r="I92" s="948"/>
      <c r="J92" s="296">
        <f t="shared" ca="1" si="22"/>
        <v>-4333.4602937538311</v>
      </c>
      <c r="K92" s="949"/>
      <c r="L92" s="949"/>
      <c r="M92" s="949"/>
      <c r="N92" s="950"/>
      <c r="O92" s="950"/>
      <c r="X92" s="945"/>
      <c r="Y92" s="945"/>
    </row>
    <row r="93" spans="2:25" ht="9.75" customHeight="1">
      <c r="B93" s="946"/>
      <c r="C93" s="946"/>
      <c r="D93" s="294">
        <f t="shared" ca="1" si="20"/>
        <v>48939</v>
      </c>
      <c r="E93" s="359">
        <f t="shared" si="23"/>
        <v>0</v>
      </c>
      <c r="F93" s="360">
        <f t="shared" ca="1" si="21"/>
        <v>50</v>
      </c>
      <c r="G93" s="290">
        <f ca="1">KTVTUCOI!P92</f>
        <v>0.62835174259430548</v>
      </c>
      <c r="H93" s="295">
        <f t="shared" ca="1" si="29"/>
        <v>-4389.5314376976339</v>
      </c>
      <c r="I93" s="948"/>
      <c r="J93" s="296">
        <f t="shared" ca="1" si="22"/>
        <v>-4389.5314376976339</v>
      </c>
      <c r="K93" s="949"/>
      <c r="L93" s="949"/>
      <c r="M93" s="949"/>
      <c r="N93" s="950"/>
      <c r="O93" s="950"/>
      <c r="X93" s="945"/>
      <c r="Y93" s="945"/>
    </row>
    <row r="94" spans="2:25" ht="9.75" customHeight="1">
      <c r="B94" s="946"/>
      <c r="C94" s="946"/>
      <c r="D94" s="294">
        <f t="shared" ca="1" si="20"/>
        <v>48970</v>
      </c>
      <c r="E94" s="359">
        <f t="shared" si="23"/>
        <v>0</v>
      </c>
      <c r="F94" s="360">
        <f t="shared" ca="1" si="21"/>
        <v>50</v>
      </c>
      <c r="G94" s="290">
        <f ca="1">KTVTUCOI!P93</f>
        <v>0.63648205846615691</v>
      </c>
      <c r="H94" s="295">
        <f t="shared" ca="1" si="29"/>
        <v>-4445.6803336874491</v>
      </c>
      <c r="I94" s="948"/>
      <c r="J94" s="296">
        <f t="shared" ca="1" si="22"/>
        <v>-4445.6803336874491</v>
      </c>
      <c r="K94" s="949"/>
      <c r="L94" s="949"/>
      <c r="M94" s="949"/>
      <c r="N94" s="950"/>
      <c r="O94" s="950"/>
      <c r="X94" s="945"/>
      <c r="Y94" s="945"/>
    </row>
    <row r="95" spans="2:25" ht="9.75" customHeight="1">
      <c r="B95" s="946"/>
      <c r="C95" s="946"/>
      <c r="D95" s="294">
        <f t="shared" ca="1" si="20"/>
        <v>49001</v>
      </c>
      <c r="E95" s="359">
        <f t="shared" si="23"/>
        <v>0</v>
      </c>
      <c r="F95" s="360">
        <f t="shared" ca="1" si="21"/>
        <v>50</v>
      </c>
      <c r="G95" s="290">
        <f ca="1">KTVTUCOI!P94</f>
        <v>0.64462364838468011</v>
      </c>
      <c r="H95" s="295">
        <f t="shared" ca="1" si="29"/>
        <v>-4501.9070895395298</v>
      </c>
      <c r="I95" s="948"/>
      <c r="J95" s="296">
        <f t="shared" ca="1" si="22"/>
        <v>-4501.9070895395298</v>
      </c>
      <c r="K95" s="949"/>
      <c r="L95" s="949"/>
      <c r="M95" s="949"/>
      <c r="N95" s="950"/>
      <c r="O95" s="950"/>
      <c r="X95" s="945"/>
      <c r="Y95" s="945"/>
    </row>
    <row r="96" spans="2:25" ht="9.75" customHeight="1">
      <c r="B96" s="946"/>
      <c r="C96" s="946"/>
      <c r="D96" s="294">
        <f t="shared" ca="1" si="20"/>
        <v>49029</v>
      </c>
      <c r="E96" s="359">
        <f t="shared" si="23"/>
        <v>0</v>
      </c>
      <c r="F96" s="360">
        <f t="shared" ca="1" si="21"/>
        <v>50</v>
      </c>
      <c r="G96" s="290">
        <f ca="1">KTVTUCOI!P95</f>
        <v>0.65277652798323182</v>
      </c>
      <c r="H96" s="295">
        <f t="shared" ca="1" si="29"/>
        <v>-4558.2118132196356</v>
      </c>
      <c r="I96" s="948"/>
      <c r="J96" s="296">
        <f t="shared" ca="1" si="22"/>
        <v>-4558.2118132196356</v>
      </c>
      <c r="K96" s="949"/>
      <c r="L96" s="949"/>
      <c r="M96" s="949"/>
      <c r="N96" s="950"/>
      <c r="O96" s="950"/>
      <c r="X96" s="945"/>
      <c r="Y96" s="945"/>
    </row>
    <row r="97" spans="2:25" ht="9.75" customHeight="1">
      <c r="B97" s="946"/>
      <c r="C97" s="946"/>
      <c r="D97" s="294">
        <f t="shared" ca="1" si="20"/>
        <v>49060</v>
      </c>
      <c r="E97" s="359">
        <f t="shared" si="23"/>
        <v>0</v>
      </c>
      <c r="F97" s="360">
        <f t="shared" ca="1" si="21"/>
        <v>50</v>
      </c>
      <c r="G97" s="290">
        <f ca="1">KTVTUCOI!P96</f>
        <v>0.66094071291684708</v>
      </c>
      <c r="H97" s="295">
        <f t="shared" ca="1" si="29"/>
        <v>-4614.5946128432379</v>
      </c>
      <c r="I97" s="948"/>
      <c r="J97" s="296">
        <f t="shared" ca="1" si="22"/>
        <v>-4614.5946128432379</v>
      </c>
      <c r="K97" s="949"/>
      <c r="L97" s="949"/>
      <c r="M97" s="949"/>
      <c r="N97" s="950"/>
      <c r="O97" s="950"/>
      <c r="X97" s="945"/>
      <c r="Y97" s="945"/>
    </row>
    <row r="98" spans="2:25" ht="9.75" customHeight="1">
      <c r="B98" s="946"/>
      <c r="C98" s="946"/>
      <c r="D98" s="294">
        <f t="shared" ca="1" si="20"/>
        <v>49090</v>
      </c>
      <c r="E98" s="359">
        <f t="shared" si="23"/>
        <v>0</v>
      </c>
      <c r="F98" s="360">
        <f t="shared" ca="1" si="21"/>
        <v>50</v>
      </c>
      <c r="G98" s="290">
        <f ca="1">KTVTUCOI!P97</f>
        <v>0.66911621886226946</v>
      </c>
      <c r="H98" s="295">
        <f t="shared" ca="1" si="29"/>
        <v>-4671.0555966757274</v>
      </c>
      <c r="I98" s="948"/>
      <c r="J98" s="296">
        <f t="shared" ca="1" si="22"/>
        <v>-4671.0555966757274</v>
      </c>
      <c r="K98" s="949"/>
      <c r="L98" s="949"/>
      <c r="M98" s="949"/>
      <c r="N98" s="950"/>
      <c r="O98" s="950"/>
      <c r="X98" s="945"/>
      <c r="Y98" s="945"/>
    </row>
    <row r="99" spans="2:25" ht="9.75" customHeight="1">
      <c r="B99" s="946"/>
      <c r="C99" s="946"/>
      <c r="D99" s="294">
        <f t="shared" ca="1" si="20"/>
        <v>49121</v>
      </c>
      <c r="E99" s="359">
        <f t="shared" si="23"/>
        <v>0</v>
      </c>
      <c r="F99" s="360">
        <f t="shared" ca="1" si="21"/>
        <v>50</v>
      </c>
      <c r="G99" s="290">
        <f ca="1">KTVTUCOI!P98</f>
        <v>0.67730306151798059</v>
      </c>
      <c r="H99" s="295">
        <f t="shared" ca="1" si="29"/>
        <v>-4727.5948731326234</v>
      </c>
      <c r="I99" s="948"/>
      <c r="J99" s="297">
        <f ca="1">H99+I88</f>
        <v>-4727.5948731326234</v>
      </c>
      <c r="K99" s="949"/>
      <c r="L99" s="949"/>
      <c r="M99" s="949"/>
      <c r="N99" s="950"/>
      <c r="O99" s="950"/>
      <c r="X99" s="945"/>
      <c r="Y99" s="945"/>
    </row>
    <row r="100" spans="2:25" ht="9.75" customHeight="1">
      <c r="B100" s="951">
        <f>B88+1</f>
        <v>9</v>
      </c>
      <c r="C100" s="952">
        <f ca="1">C88+1</f>
        <v>38</v>
      </c>
      <c r="D100" s="287">
        <f t="shared" ca="1" si="20"/>
        <v>49151</v>
      </c>
      <c r="E100" s="359">
        <f t="shared" si="23"/>
        <v>0</v>
      </c>
      <c r="F100" s="289">
        <f t="shared" ca="1" si="21"/>
        <v>50</v>
      </c>
      <c r="G100" s="290">
        <f ca="1">KTVTUCOI!P99</f>
        <v>0.74065653012411092</v>
      </c>
      <c r="H100" s="290">
        <f ca="1">(J99+KTVBVGTTKcamket!F15-F100-G100)*(1+$U$3)</f>
        <v>-4784.267774527897</v>
      </c>
      <c r="I100" s="953"/>
      <c r="J100" s="292">
        <f t="shared" ca="1" si="22"/>
        <v>-4784.267774527897</v>
      </c>
      <c r="K100" s="949">
        <f ca="1">J111</f>
        <v>-5473.2094407052455</v>
      </c>
      <c r="L100" s="949"/>
      <c r="M100" s="949"/>
      <c r="N100" s="950">
        <f t="shared" ref="N100" ca="1" si="30">SUM(G100:G111)</f>
        <v>9.5001892965913441</v>
      </c>
      <c r="O100" s="950"/>
      <c r="X100" s="945">
        <f t="shared" ref="X100:Y100" ca="1" si="31">SUM(F100:F111)</f>
        <v>660</v>
      </c>
      <c r="Y100" s="945">
        <f t="shared" ca="1" si="31"/>
        <v>9.5001892965913441</v>
      </c>
    </row>
    <row r="101" spans="2:25" ht="9.75" customHeight="1">
      <c r="B101" s="951"/>
      <c r="C101" s="951"/>
      <c r="D101" s="287">
        <f t="shared" ca="1" si="20"/>
        <v>49182</v>
      </c>
      <c r="E101" s="359">
        <f t="shared" si="23"/>
        <v>0</v>
      </c>
      <c r="F101" s="289">
        <f t="shared" ca="1" si="21"/>
        <v>50</v>
      </c>
      <c r="G101" s="290">
        <f ca="1">KTVTUCOI!P100</f>
        <v>0.74953528467603714</v>
      </c>
      <c r="H101" s="290">
        <f ca="1">(H100-F101-G101)*(1+$U$3)</f>
        <v>-4841.0199244115256</v>
      </c>
      <c r="I101" s="953"/>
      <c r="J101" s="292">
        <f t="shared" ca="1" si="22"/>
        <v>-4841.0199244115256</v>
      </c>
      <c r="K101" s="949"/>
      <c r="L101" s="949"/>
      <c r="M101" s="949"/>
      <c r="N101" s="950"/>
      <c r="O101" s="950"/>
      <c r="X101" s="945"/>
      <c r="Y101" s="945"/>
    </row>
    <row r="102" spans="2:25" ht="9.75" customHeight="1">
      <c r="B102" s="951"/>
      <c r="C102" s="951"/>
      <c r="D102" s="287">
        <f t="shared" ca="1" si="20"/>
        <v>49213</v>
      </c>
      <c r="E102" s="359">
        <f t="shared" si="23"/>
        <v>0</v>
      </c>
      <c r="F102" s="289">
        <f t="shared" ca="1" si="21"/>
        <v>50</v>
      </c>
      <c r="G102" s="290">
        <f ca="1">KTVTUCOI!P101</f>
        <v>0.75842645482447235</v>
      </c>
      <c r="H102" s="290">
        <f t="shared" ref="H102:H111" ca="1" si="32">(H101-F102-G102)*(1+$U$3)</f>
        <v>-4897.8514336005428</v>
      </c>
      <c r="I102" s="953"/>
      <c r="J102" s="292">
        <f t="shared" ca="1" si="22"/>
        <v>-4897.8514336005428</v>
      </c>
      <c r="K102" s="949"/>
      <c r="L102" s="949"/>
      <c r="M102" s="949"/>
      <c r="N102" s="950"/>
      <c r="O102" s="950"/>
      <c r="X102" s="945"/>
      <c r="Y102" s="945"/>
    </row>
    <row r="103" spans="2:25" ht="9.75" customHeight="1">
      <c r="B103" s="951"/>
      <c r="C103" s="951"/>
      <c r="D103" s="287">
        <f t="shared" ca="1" si="20"/>
        <v>49243</v>
      </c>
      <c r="E103" s="359">
        <f t="shared" si="23"/>
        <v>0</v>
      </c>
      <c r="F103" s="289">
        <f t="shared" ca="1" si="21"/>
        <v>50</v>
      </c>
      <c r="G103" s="290">
        <f ca="1">KTVTUCOI!P102</f>
        <v>0.76733005793075171</v>
      </c>
      <c r="H103" s="290">
        <f t="shared" ca="1" si="32"/>
        <v>-4954.7624130669465</v>
      </c>
      <c r="I103" s="953"/>
      <c r="J103" s="292">
        <f t="shared" ca="1" si="22"/>
        <v>-4954.7624130669465</v>
      </c>
      <c r="K103" s="949"/>
      <c r="L103" s="949"/>
      <c r="M103" s="949"/>
      <c r="N103" s="950"/>
      <c r="O103" s="950"/>
      <c r="X103" s="945"/>
      <c r="Y103" s="945"/>
    </row>
    <row r="104" spans="2:25" ht="9.75" customHeight="1">
      <c r="B104" s="951"/>
      <c r="C104" s="951"/>
      <c r="D104" s="287">
        <f t="shared" ca="1" si="20"/>
        <v>49274</v>
      </c>
      <c r="E104" s="359">
        <f t="shared" si="23"/>
        <v>0</v>
      </c>
      <c r="F104" s="289">
        <f t="shared" ca="1" si="21"/>
        <v>50</v>
      </c>
      <c r="G104" s="290">
        <f ca="1">KTVTUCOI!P103</f>
        <v>0.77624611138048827</v>
      </c>
      <c r="H104" s="290">
        <f t="shared" ca="1" si="32"/>
        <v>-5011.7529739379088</v>
      </c>
      <c r="I104" s="953"/>
      <c r="J104" s="292">
        <f t="shared" ca="1" si="22"/>
        <v>-5011.7529739379088</v>
      </c>
      <c r="K104" s="949"/>
      <c r="L104" s="949"/>
      <c r="M104" s="949"/>
      <c r="N104" s="950"/>
      <c r="O104" s="950"/>
      <c r="X104" s="945"/>
      <c r="Y104" s="945"/>
    </row>
    <row r="105" spans="2:25" ht="9.75" customHeight="1">
      <c r="B105" s="951"/>
      <c r="C105" s="951"/>
      <c r="D105" s="287">
        <f t="shared" ca="1" si="20"/>
        <v>49304</v>
      </c>
      <c r="E105" s="359">
        <f t="shared" si="23"/>
        <v>0</v>
      </c>
      <c r="F105" s="289">
        <f t="shared" ca="1" si="21"/>
        <v>50</v>
      </c>
      <c r="G105" s="290">
        <f ca="1">KTVTUCOI!P104</f>
        <v>0.78517463258360565</v>
      </c>
      <c r="H105" s="290">
        <f t="shared" ca="1" si="32"/>
        <v>-5068.8232274959983</v>
      </c>
      <c r="I105" s="953"/>
      <c r="J105" s="292">
        <f t="shared" ca="1" si="22"/>
        <v>-5068.8232274959983</v>
      </c>
      <c r="K105" s="949"/>
      <c r="L105" s="949"/>
      <c r="M105" s="949"/>
      <c r="N105" s="950"/>
      <c r="O105" s="950"/>
      <c r="X105" s="945"/>
      <c r="Y105" s="945"/>
    </row>
    <row r="106" spans="2:25" ht="9.75" customHeight="1">
      <c r="B106" s="951"/>
      <c r="C106" s="951"/>
      <c r="D106" s="287">
        <f t="shared" ca="1" si="20"/>
        <v>49335</v>
      </c>
      <c r="E106" s="359">
        <f t="shared" si="23"/>
        <v>0</v>
      </c>
      <c r="F106" s="289">
        <f t="shared" ca="1" si="21"/>
        <v>60</v>
      </c>
      <c r="G106" s="290">
        <f ca="1">KTVTUCOI!P105</f>
        <v>0.79411563897437298</v>
      </c>
      <c r="H106" s="290">
        <f t="shared" ca="1" si="32"/>
        <v>-5135.9857000565598</v>
      </c>
      <c r="I106" s="953"/>
      <c r="J106" s="292">
        <f t="shared" ca="1" si="22"/>
        <v>-5135.9857000565598</v>
      </c>
      <c r="K106" s="949"/>
      <c r="L106" s="949"/>
      <c r="M106" s="949"/>
      <c r="N106" s="950"/>
      <c r="O106" s="950"/>
      <c r="X106" s="945"/>
      <c r="Y106" s="945"/>
    </row>
    <row r="107" spans="2:25" ht="9.75" customHeight="1">
      <c r="B107" s="951"/>
      <c r="C107" s="951"/>
      <c r="D107" s="287">
        <f t="shared" ca="1" si="20"/>
        <v>49366</v>
      </c>
      <c r="E107" s="359">
        <f t="shared" si="23"/>
        <v>0</v>
      </c>
      <c r="F107" s="289">
        <f t="shared" ca="1" si="21"/>
        <v>60</v>
      </c>
      <c r="G107" s="290">
        <f ca="1">KTVTUCOI!P106</f>
        <v>0.80463775967552775</v>
      </c>
      <c r="H107" s="290">
        <f t="shared" ca="1" si="32"/>
        <v>-5203.2420891855963</v>
      </c>
      <c r="I107" s="953"/>
      <c r="J107" s="292">
        <f t="shared" ca="1" si="22"/>
        <v>-5203.2420891855963</v>
      </c>
      <c r="K107" s="949"/>
      <c r="L107" s="949"/>
      <c r="M107" s="949"/>
      <c r="N107" s="950"/>
      <c r="O107" s="950"/>
      <c r="X107" s="945"/>
      <c r="Y107" s="945"/>
    </row>
    <row r="108" spans="2:25" ht="9.75" customHeight="1">
      <c r="B108" s="951"/>
      <c r="C108" s="951"/>
      <c r="D108" s="287">
        <f t="shared" ca="1" si="20"/>
        <v>49394</v>
      </c>
      <c r="E108" s="359">
        <f t="shared" si="23"/>
        <v>0</v>
      </c>
      <c r="F108" s="289">
        <f t="shared" ca="1" si="21"/>
        <v>60</v>
      </c>
      <c r="G108" s="290">
        <f ca="1">KTVTUCOI!P107</f>
        <v>0.8151745939724101</v>
      </c>
      <c r="H108" s="290">
        <f t="shared" ca="1" si="32"/>
        <v>-5270.5925262112369</v>
      </c>
      <c r="I108" s="953"/>
      <c r="J108" s="292">
        <f t="shared" ca="1" si="22"/>
        <v>-5270.5925262112369</v>
      </c>
      <c r="K108" s="949"/>
      <c r="L108" s="949"/>
      <c r="M108" s="949"/>
      <c r="N108" s="950"/>
      <c r="O108" s="950"/>
      <c r="X108" s="945"/>
      <c r="Y108" s="945"/>
    </row>
    <row r="109" spans="2:25" ht="9.75" customHeight="1">
      <c r="B109" s="951"/>
      <c r="C109" s="951"/>
      <c r="D109" s="287">
        <f t="shared" ca="1" si="20"/>
        <v>49425</v>
      </c>
      <c r="E109" s="359">
        <f t="shared" si="23"/>
        <v>0</v>
      </c>
      <c r="F109" s="289">
        <f t="shared" ca="1" si="21"/>
        <v>60</v>
      </c>
      <c r="G109" s="290">
        <f ca="1">KTVTUCOI!P108</f>
        <v>0.82572616243976027</v>
      </c>
      <c r="H109" s="290">
        <f t="shared" ca="1" si="32"/>
        <v>-5338.0371426452521</v>
      </c>
      <c r="I109" s="953"/>
      <c r="J109" s="292">
        <f t="shared" ca="1" si="22"/>
        <v>-5338.0371426452521</v>
      </c>
      <c r="K109" s="949"/>
      <c r="L109" s="949"/>
      <c r="M109" s="949"/>
      <c r="N109" s="950"/>
      <c r="O109" s="950"/>
      <c r="X109" s="945"/>
      <c r="Y109" s="945"/>
    </row>
    <row r="110" spans="2:25" ht="9.75" customHeight="1">
      <c r="B110" s="951"/>
      <c r="C110" s="951"/>
      <c r="D110" s="287">
        <f t="shared" ca="1" si="20"/>
        <v>49455</v>
      </c>
      <c r="E110" s="359">
        <f t="shared" si="23"/>
        <v>0</v>
      </c>
      <c r="F110" s="289">
        <f t="shared" ca="1" si="21"/>
        <v>60</v>
      </c>
      <c r="G110" s="290">
        <f ca="1">KTVTUCOI!P109</f>
        <v>0.83629248568108938</v>
      </c>
      <c r="H110" s="290">
        <f t="shared" ca="1" si="32"/>
        <v>-5405.5760701833124</v>
      </c>
      <c r="I110" s="953"/>
      <c r="J110" s="292">
        <f t="shared" ca="1" si="22"/>
        <v>-5405.5760701833124</v>
      </c>
      <c r="K110" s="949"/>
      <c r="L110" s="949"/>
      <c r="M110" s="949"/>
      <c r="N110" s="950"/>
      <c r="O110" s="950"/>
      <c r="X110" s="945"/>
      <c r="Y110" s="945"/>
    </row>
    <row r="111" spans="2:25" ht="9.75" customHeight="1">
      <c r="B111" s="951"/>
      <c r="C111" s="951"/>
      <c r="D111" s="287">
        <f t="shared" ca="1" si="20"/>
        <v>49486</v>
      </c>
      <c r="E111" s="359">
        <f t="shared" si="23"/>
        <v>0</v>
      </c>
      <c r="F111" s="289">
        <f t="shared" ca="1" si="21"/>
        <v>60</v>
      </c>
      <c r="G111" s="290">
        <f ca="1">KTVTUCOI!P110</f>
        <v>0.84687358432871884</v>
      </c>
      <c r="H111" s="290">
        <f t="shared" ca="1" si="32"/>
        <v>-5473.2094407052455</v>
      </c>
      <c r="I111" s="953"/>
      <c r="J111" s="293">
        <f ca="1">H111+I100</f>
        <v>-5473.2094407052455</v>
      </c>
      <c r="K111" s="949"/>
      <c r="L111" s="949"/>
      <c r="M111" s="949"/>
      <c r="N111" s="950"/>
      <c r="O111" s="950"/>
      <c r="X111" s="945"/>
      <c r="Y111" s="945"/>
    </row>
    <row r="112" spans="2:25" ht="9.75" customHeight="1">
      <c r="B112" s="946">
        <f>B100+1</f>
        <v>10</v>
      </c>
      <c r="C112" s="947">
        <f ca="1">C100+1</f>
        <v>39</v>
      </c>
      <c r="D112" s="294">
        <f t="shared" ca="1" si="20"/>
        <v>49516</v>
      </c>
      <c r="E112" s="359">
        <f t="shared" si="23"/>
        <v>0</v>
      </c>
      <c r="F112" s="360">
        <f t="shared" ca="1" si="21"/>
        <v>60</v>
      </c>
      <c r="G112" s="290">
        <f ca="1">KTVTUCOI!P111</f>
        <v>0.92588459705263715</v>
      </c>
      <c r="H112" s="295">
        <f ca="1">(J111+KTVBVGTTKcamket!F16-F112-G112)*(1+$U$3)</f>
        <v>-5541.0058863298291</v>
      </c>
      <c r="I112" s="948">
        <f ca="1">5%*'Tinh phi QL'!H12/1000</f>
        <v>0</v>
      </c>
      <c r="J112" s="296">
        <f t="shared" ca="1" si="22"/>
        <v>-5541.0058863298291</v>
      </c>
      <c r="K112" s="949">
        <f ca="1">J123</f>
        <v>-6293.1095770247539</v>
      </c>
      <c r="L112" s="949"/>
      <c r="M112" s="949"/>
      <c r="N112" s="950">
        <f t="shared" ref="N112" ca="1" si="33">SUM(G112:G123)</f>
        <v>11.871133639480286</v>
      </c>
      <c r="O112" s="950"/>
      <c r="X112" s="945">
        <f t="shared" ref="X112:Y112" ca="1" si="34">SUM(F112:F123)</f>
        <v>720</v>
      </c>
      <c r="Y112" s="945">
        <f t="shared" ca="1" si="34"/>
        <v>11.871133639480286</v>
      </c>
    </row>
    <row r="113" spans="2:25" ht="9.75" customHeight="1">
      <c r="B113" s="946"/>
      <c r="C113" s="946"/>
      <c r="D113" s="294">
        <f t="shared" ca="1" si="20"/>
        <v>49547</v>
      </c>
      <c r="E113" s="359">
        <f t="shared" si="23"/>
        <v>0</v>
      </c>
      <c r="F113" s="360">
        <f t="shared" ca="1" si="21"/>
        <v>60</v>
      </c>
      <c r="G113" s="290">
        <f ca="1">KTVTUCOI!P112</f>
        <v>0.93735349577079596</v>
      </c>
      <c r="H113" s="295">
        <f ca="1">(H112-F113-G113)*(1+$U$3)</f>
        <v>-5608.8979835460887</v>
      </c>
      <c r="I113" s="948"/>
      <c r="J113" s="296">
        <f t="shared" ca="1" si="22"/>
        <v>-5608.8979835460887</v>
      </c>
      <c r="K113" s="949"/>
      <c r="L113" s="949"/>
      <c r="M113" s="949"/>
      <c r="N113" s="950"/>
      <c r="O113" s="950"/>
      <c r="X113" s="945"/>
      <c r="Y113" s="945"/>
    </row>
    <row r="114" spans="2:25" ht="9.75" customHeight="1">
      <c r="B114" s="946"/>
      <c r="C114" s="946"/>
      <c r="D114" s="294">
        <f t="shared" ca="1" si="20"/>
        <v>49578</v>
      </c>
      <c r="E114" s="359">
        <f t="shared" si="23"/>
        <v>0</v>
      </c>
      <c r="F114" s="360">
        <f t="shared" ca="1" si="21"/>
        <v>60</v>
      </c>
      <c r="G114" s="290">
        <f ca="1">KTVTUCOI!P113</f>
        <v>0.94883857554987994</v>
      </c>
      <c r="H114" s="295">
        <f t="shared" ref="H114:H123" ca="1" si="35">(H113-F114-G114)*(1+$U$3)</f>
        <v>-5676.8858673054519</v>
      </c>
      <c r="I114" s="948"/>
      <c r="J114" s="296">
        <f t="shared" ca="1" si="22"/>
        <v>-5676.8858673054519</v>
      </c>
      <c r="K114" s="949"/>
      <c r="L114" s="949"/>
      <c r="M114" s="949"/>
      <c r="N114" s="950"/>
      <c r="O114" s="950"/>
      <c r="X114" s="945"/>
      <c r="Y114" s="945"/>
    </row>
    <row r="115" spans="2:25" ht="9.75" customHeight="1">
      <c r="B115" s="946"/>
      <c r="C115" s="946"/>
      <c r="D115" s="294">
        <f t="shared" ca="1" si="20"/>
        <v>49608</v>
      </c>
      <c r="E115" s="359">
        <f t="shared" si="23"/>
        <v>0</v>
      </c>
      <c r="F115" s="360">
        <f t="shared" ca="1" si="21"/>
        <v>60</v>
      </c>
      <c r="G115" s="290">
        <f ca="1">KTVTUCOI!P114</f>
        <v>0.9603398592191722</v>
      </c>
      <c r="H115" s="295">
        <f t="shared" ca="1" si="35"/>
        <v>-5744.9696727497412</v>
      </c>
      <c r="I115" s="948"/>
      <c r="J115" s="296">
        <f t="shared" ca="1" si="22"/>
        <v>-5744.9696727497412</v>
      </c>
      <c r="K115" s="949"/>
      <c r="L115" s="949"/>
      <c r="M115" s="949"/>
      <c r="N115" s="950"/>
      <c r="O115" s="950"/>
      <c r="X115" s="945"/>
      <c r="Y115" s="945"/>
    </row>
    <row r="116" spans="2:25" ht="9.75" customHeight="1">
      <c r="B116" s="946"/>
      <c r="C116" s="946"/>
      <c r="D116" s="294">
        <f t="shared" ca="1" si="20"/>
        <v>49639</v>
      </c>
      <c r="E116" s="359">
        <f t="shared" si="23"/>
        <v>0</v>
      </c>
      <c r="F116" s="360">
        <f t="shared" ca="1" si="21"/>
        <v>60</v>
      </c>
      <c r="G116" s="290">
        <f ca="1">KTVTUCOI!P115</f>
        <v>0.97185736964016456</v>
      </c>
      <c r="H116" s="295">
        <f t="shared" ca="1" si="35"/>
        <v>-5813.1495352114471</v>
      </c>
      <c r="I116" s="948"/>
      <c r="J116" s="296">
        <f t="shared" ca="1" si="22"/>
        <v>-5813.1495352114471</v>
      </c>
      <c r="K116" s="949"/>
      <c r="L116" s="949"/>
      <c r="M116" s="949"/>
      <c r="N116" s="950"/>
      <c r="O116" s="950"/>
      <c r="X116" s="945"/>
      <c r="Y116" s="945"/>
    </row>
    <row r="117" spans="2:25" ht="9.75" customHeight="1">
      <c r="B117" s="946"/>
      <c r="C117" s="946"/>
      <c r="D117" s="294">
        <f t="shared" ca="1" si="20"/>
        <v>49669</v>
      </c>
      <c r="E117" s="359">
        <f t="shared" si="23"/>
        <v>0</v>
      </c>
      <c r="F117" s="360">
        <f t="shared" ca="1" si="21"/>
        <v>60</v>
      </c>
      <c r="G117" s="290">
        <f ca="1">KTVTUCOI!P116</f>
        <v>0.98339112970660303</v>
      </c>
      <c r="H117" s="295">
        <f t="shared" ca="1" si="35"/>
        <v>-5881.4255902139967</v>
      </c>
      <c r="I117" s="948"/>
      <c r="J117" s="296">
        <f t="shared" ca="1" si="22"/>
        <v>-5881.4255902139967</v>
      </c>
      <c r="K117" s="949"/>
      <c r="L117" s="949"/>
      <c r="M117" s="949"/>
      <c r="N117" s="950"/>
      <c r="O117" s="950"/>
      <c r="X117" s="945"/>
      <c r="Y117" s="945"/>
    </row>
    <row r="118" spans="2:25" ht="9.75" customHeight="1">
      <c r="B118" s="946"/>
      <c r="C118" s="946"/>
      <c r="D118" s="294">
        <f t="shared" ca="1" si="20"/>
        <v>49700</v>
      </c>
      <c r="E118" s="359">
        <f t="shared" si="23"/>
        <v>0</v>
      </c>
      <c r="F118" s="360">
        <f t="shared" ca="1" si="21"/>
        <v>60</v>
      </c>
      <c r="G118" s="290">
        <f ca="1">KTVTUCOI!P117</f>
        <v>0.99494116234453445</v>
      </c>
      <c r="H118" s="295">
        <f t="shared" ca="1" si="35"/>
        <v>-5949.7979734720211</v>
      </c>
      <c r="I118" s="948"/>
      <c r="J118" s="296">
        <f t="shared" ca="1" si="22"/>
        <v>-5949.7979734720211</v>
      </c>
      <c r="K118" s="949"/>
      <c r="L118" s="949"/>
      <c r="M118" s="949"/>
      <c r="N118" s="950"/>
      <c r="O118" s="950"/>
      <c r="X118" s="945"/>
      <c r="Y118" s="945"/>
    </row>
    <row r="119" spans="2:25" ht="9.75" customHeight="1">
      <c r="B119" s="946"/>
      <c r="C119" s="946"/>
      <c r="D119" s="294">
        <f t="shared" ca="1" si="20"/>
        <v>49731</v>
      </c>
      <c r="E119" s="359">
        <f t="shared" si="23"/>
        <v>0</v>
      </c>
      <c r="F119" s="360">
        <f t="shared" ca="1" si="21"/>
        <v>60</v>
      </c>
      <c r="G119" s="290">
        <f ca="1">KTVTUCOI!P118</f>
        <v>1.0065074905123501</v>
      </c>
      <c r="H119" s="295">
        <f t="shared" ca="1" si="35"/>
        <v>-6018.2668208916266</v>
      </c>
      <c r="I119" s="948"/>
      <c r="J119" s="296">
        <f t="shared" ca="1" si="22"/>
        <v>-6018.2668208916266</v>
      </c>
      <c r="K119" s="949"/>
      <c r="L119" s="949"/>
      <c r="M119" s="949"/>
      <c r="N119" s="950"/>
      <c r="O119" s="950"/>
      <c r="X119" s="945"/>
      <c r="Y119" s="945"/>
    </row>
    <row r="120" spans="2:25" ht="9.75" customHeight="1">
      <c r="B120" s="946"/>
      <c r="C120" s="946"/>
      <c r="D120" s="294">
        <f t="shared" ca="1" si="20"/>
        <v>49760</v>
      </c>
      <c r="E120" s="359">
        <f t="shared" si="23"/>
        <v>0</v>
      </c>
      <c r="F120" s="360">
        <f t="shared" ca="1" si="21"/>
        <v>60</v>
      </c>
      <c r="G120" s="290">
        <f ca="1">KTVTUCOI!P119</f>
        <v>1.0180901372008335</v>
      </c>
      <c r="H120" s="295">
        <f t="shared" ca="1" si="35"/>
        <v>-6086.8322685706644</v>
      </c>
      <c r="I120" s="948"/>
      <c r="J120" s="296">
        <f t="shared" ca="1" si="22"/>
        <v>-6086.8322685706644</v>
      </c>
      <c r="K120" s="949"/>
      <c r="L120" s="949"/>
      <c r="M120" s="949"/>
      <c r="N120" s="950"/>
      <c r="O120" s="950"/>
      <c r="X120" s="945"/>
      <c r="Y120" s="945"/>
    </row>
    <row r="121" spans="2:25" ht="9.75" customHeight="1">
      <c r="B121" s="946"/>
      <c r="C121" s="946"/>
      <c r="D121" s="294">
        <f t="shared" ca="1" si="20"/>
        <v>49791</v>
      </c>
      <c r="E121" s="359">
        <f t="shared" si="23"/>
        <v>0</v>
      </c>
      <c r="F121" s="360">
        <f t="shared" ca="1" si="21"/>
        <v>60</v>
      </c>
      <c r="G121" s="290">
        <f ca="1">KTVTUCOI!P120</f>
        <v>1.0296891254332039</v>
      </c>
      <c r="H121" s="295">
        <f t="shared" ca="1" si="35"/>
        <v>-6155.4944527990028</v>
      </c>
      <c r="I121" s="948"/>
      <c r="J121" s="296">
        <f t="shared" ca="1" si="22"/>
        <v>-6155.4944527990028</v>
      </c>
      <c r="K121" s="949"/>
      <c r="L121" s="949"/>
      <c r="M121" s="949"/>
      <c r="N121" s="950"/>
      <c r="O121" s="950"/>
      <c r="X121" s="945"/>
      <c r="Y121" s="945"/>
    </row>
    <row r="122" spans="2:25" ht="9.75" customHeight="1">
      <c r="B122" s="946"/>
      <c r="C122" s="946"/>
      <c r="D122" s="294">
        <f t="shared" ca="1" si="20"/>
        <v>49821</v>
      </c>
      <c r="E122" s="359">
        <f t="shared" si="23"/>
        <v>0</v>
      </c>
      <c r="F122" s="360">
        <f t="shared" ca="1" si="21"/>
        <v>60</v>
      </c>
      <c r="G122" s="290">
        <f ca="1">KTVTUCOI!P121</f>
        <v>1.0413044782651646</v>
      </c>
      <c r="H122" s="295">
        <f t="shared" ca="1" si="35"/>
        <v>-6224.2535100587957</v>
      </c>
      <c r="I122" s="948"/>
      <c r="J122" s="296">
        <f t="shared" ca="1" si="22"/>
        <v>-6224.2535100587957</v>
      </c>
      <c r="K122" s="949"/>
      <c r="L122" s="949"/>
      <c r="M122" s="949"/>
      <c r="N122" s="950"/>
      <c r="O122" s="950"/>
      <c r="X122" s="945"/>
      <c r="Y122" s="945"/>
    </row>
    <row r="123" spans="2:25" ht="9.75" customHeight="1">
      <c r="B123" s="946"/>
      <c r="C123" s="946"/>
      <c r="D123" s="294">
        <f t="shared" ca="1" si="20"/>
        <v>49852</v>
      </c>
      <c r="E123" s="359">
        <f t="shared" si="23"/>
        <v>0</v>
      </c>
      <c r="F123" s="360">
        <f t="shared" ca="1" si="21"/>
        <v>60</v>
      </c>
      <c r="G123" s="290">
        <f ca="1">KTVTUCOI!P122</f>
        <v>1.0529362187849463</v>
      </c>
      <c r="H123" s="295">
        <f t="shared" ca="1" si="35"/>
        <v>-6293.1095770247539</v>
      </c>
      <c r="I123" s="948"/>
      <c r="J123" s="297">
        <f ca="1">H123+I112</f>
        <v>-6293.1095770247539</v>
      </c>
      <c r="K123" s="949"/>
      <c r="L123" s="949"/>
      <c r="M123" s="949"/>
      <c r="N123" s="950"/>
      <c r="O123" s="950"/>
      <c r="X123" s="945"/>
      <c r="Y123" s="945"/>
    </row>
    <row r="124" spans="2:25" ht="9.75" customHeight="1">
      <c r="B124" s="951">
        <f>B112+1</f>
        <v>11</v>
      </c>
      <c r="C124" s="952">
        <f ca="1">C112+1</f>
        <v>40</v>
      </c>
      <c r="D124" s="287">
        <f t="shared" ca="1" si="20"/>
        <v>49882</v>
      </c>
      <c r="E124" s="359">
        <f t="shared" si="23"/>
        <v>0</v>
      </c>
      <c r="F124" s="289">
        <f t="shared" ca="1" si="21"/>
        <v>60</v>
      </c>
      <c r="G124" s="290">
        <f ca="1">KTVTUCOI!P123</f>
        <v>1.1589810137687255</v>
      </c>
      <c r="H124" s="290">
        <f ca="1">(J123+KTVBVGTTKcamket!F17-F124-G124)*(1+$V$3)</f>
        <v>-6359.5396659962071</v>
      </c>
      <c r="I124" s="953"/>
      <c r="J124" s="292">
        <f t="shared" ca="1" si="22"/>
        <v>-6359.5396659962071</v>
      </c>
      <c r="K124" s="949">
        <f ca="1">J135</f>
        <v>-7094.7308442159492</v>
      </c>
      <c r="L124" s="949"/>
      <c r="M124" s="949"/>
      <c r="N124" s="950">
        <f t="shared" ref="N124" ca="1" si="36">SUM(G124:G135)</f>
        <v>14.717964955455326</v>
      </c>
      <c r="O124" s="950"/>
      <c r="X124" s="945">
        <f t="shared" ref="X124:Y124" ca="1" si="37">SUM(F124:F135)</f>
        <v>720</v>
      </c>
      <c r="Y124" s="945">
        <f t="shared" ca="1" si="37"/>
        <v>14.717964955455326</v>
      </c>
    </row>
    <row r="125" spans="2:25" ht="9.75" customHeight="1">
      <c r="B125" s="951"/>
      <c r="C125" s="951"/>
      <c r="D125" s="287">
        <f t="shared" ca="1" si="20"/>
        <v>49913</v>
      </c>
      <c r="E125" s="359">
        <f t="shared" si="23"/>
        <v>0</v>
      </c>
      <c r="F125" s="289">
        <f t="shared" ca="1" si="21"/>
        <v>60</v>
      </c>
      <c r="G125" s="290">
        <f ca="1">KTVTUCOI!P124</f>
        <v>1.1712152218209682</v>
      </c>
      <c r="H125" s="290">
        <f ca="1">(H124-F125-G125)*(1+$V$3)</f>
        <v>-6426.0371056151953</v>
      </c>
      <c r="I125" s="953"/>
      <c r="J125" s="292">
        <f t="shared" ca="1" si="22"/>
        <v>-6426.0371056151953</v>
      </c>
      <c r="K125" s="949"/>
      <c r="L125" s="949"/>
      <c r="M125" s="949"/>
      <c r="N125" s="950"/>
      <c r="O125" s="950"/>
      <c r="X125" s="945"/>
      <c r="Y125" s="945"/>
    </row>
    <row r="126" spans="2:25" ht="9.75" customHeight="1">
      <c r="B126" s="951"/>
      <c r="C126" s="951"/>
      <c r="D126" s="287">
        <f t="shared" ca="1" si="20"/>
        <v>49944</v>
      </c>
      <c r="E126" s="359">
        <f t="shared" si="23"/>
        <v>0</v>
      </c>
      <c r="F126" s="289">
        <f t="shared" ca="1" si="21"/>
        <v>60</v>
      </c>
      <c r="G126" s="290">
        <f ca="1">KTVTUCOI!P125</f>
        <v>1.1834618336174649</v>
      </c>
      <c r="H126" s="290">
        <f t="shared" ref="H126:H135" ca="1" si="38">(H125-F126-G126)*(1+$V$3)</f>
        <v>-6492.6019641656821</v>
      </c>
      <c r="I126" s="953"/>
      <c r="J126" s="292">
        <f t="shared" ca="1" si="22"/>
        <v>-6492.6019641656821</v>
      </c>
      <c r="K126" s="949"/>
      <c r="L126" s="949"/>
      <c r="M126" s="949"/>
      <c r="N126" s="950"/>
      <c r="O126" s="950"/>
      <c r="X126" s="945"/>
      <c r="Y126" s="945"/>
    </row>
    <row r="127" spans="2:25" ht="9.75" customHeight="1">
      <c r="B127" s="951"/>
      <c r="C127" s="951"/>
      <c r="D127" s="287">
        <f t="shared" ca="1" si="20"/>
        <v>49974</v>
      </c>
      <c r="E127" s="359">
        <f t="shared" si="23"/>
        <v>0</v>
      </c>
      <c r="F127" s="289">
        <f t="shared" ca="1" si="21"/>
        <v>60</v>
      </c>
      <c r="G127" s="290">
        <f ca="1">KTVTUCOI!P126</f>
        <v>1.1957208617338464</v>
      </c>
      <c r="H127" s="290">
        <f t="shared" ca="1" si="38"/>
        <v>-6559.2343100008602</v>
      </c>
      <c r="I127" s="953"/>
      <c r="J127" s="292">
        <f t="shared" ca="1" si="22"/>
        <v>-6559.2343100008602</v>
      </c>
      <c r="K127" s="949"/>
      <c r="L127" s="949"/>
      <c r="M127" s="949"/>
      <c r="N127" s="950"/>
      <c r="O127" s="950"/>
      <c r="X127" s="945"/>
      <c r="Y127" s="945"/>
    </row>
    <row r="128" spans="2:25" ht="9.75" customHeight="1">
      <c r="B128" s="951"/>
      <c r="C128" s="951"/>
      <c r="D128" s="287">
        <f t="shared" ca="1" si="20"/>
        <v>50005</v>
      </c>
      <c r="E128" s="359">
        <f t="shared" si="23"/>
        <v>0</v>
      </c>
      <c r="F128" s="289">
        <f t="shared" ca="1" si="21"/>
        <v>60</v>
      </c>
      <c r="G128" s="290">
        <f ca="1">KTVTUCOI!P127</f>
        <v>1.2079923187584918</v>
      </c>
      <c r="H128" s="290">
        <f t="shared" ca="1" si="38"/>
        <v>-6625.9342115432228</v>
      </c>
      <c r="I128" s="953"/>
      <c r="J128" s="292">
        <f t="shared" ca="1" si="22"/>
        <v>-6625.9342115432228</v>
      </c>
      <c r="K128" s="949"/>
      <c r="L128" s="949"/>
      <c r="M128" s="949"/>
      <c r="N128" s="950"/>
      <c r="O128" s="950"/>
      <c r="X128" s="945"/>
      <c r="Y128" s="945"/>
    </row>
    <row r="129" spans="2:25" ht="9.75" customHeight="1">
      <c r="B129" s="951"/>
      <c r="C129" s="951"/>
      <c r="D129" s="287">
        <f t="shared" ca="1" si="20"/>
        <v>50035</v>
      </c>
      <c r="E129" s="359">
        <f t="shared" si="23"/>
        <v>0</v>
      </c>
      <c r="F129" s="289">
        <f t="shared" ca="1" si="21"/>
        <v>60</v>
      </c>
      <c r="G129" s="290">
        <f ca="1">KTVTUCOI!P128</f>
        <v>1.2202762172925434</v>
      </c>
      <c r="H129" s="290">
        <f t="shared" ca="1" si="38"/>
        <v>-6692.701737284634</v>
      </c>
      <c r="I129" s="953"/>
      <c r="J129" s="292">
        <f t="shared" ca="1" si="22"/>
        <v>-6692.701737284634</v>
      </c>
      <c r="K129" s="949"/>
      <c r="L129" s="949"/>
      <c r="M129" s="949"/>
      <c r="N129" s="950"/>
      <c r="O129" s="950"/>
      <c r="X129" s="945"/>
      <c r="Y129" s="945"/>
    </row>
    <row r="130" spans="2:25" ht="9.75" customHeight="1">
      <c r="B130" s="951"/>
      <c r="C130" s="951"/>
      <c r="D130" s="287">
        <f t="shared" ca="1" si="20"/>
        <v>50066</v>
      </c>
      <c r="E130" s="359">
        <f t="shared" si="23"/>
        <v>0</v>
      </c>
      <c r="F130" s="289">
        <f t="shared" ca="1" si="21"/>
        <v>60</v>
      </c>
      <c r="G130" s="290">
        <f ca="1">KTVTUCOI!P129</f>
        <v>1.2325725699499201</v>
      </c>
      <c r="H130" s="290">
        <f t="shared" ca="1" si="38"/>
        <v>-6759.5369557863987</v>
      </c>
      <c r="I130" s="953"/>
      <c r="J130" s="292">
        <f t="shared" ca="1" si="22"/>
        <v>-6759.5369557863987</v>
      </c>
      <c r="K130" s="949"/>
      <c r="L130" s="949"/>
      <c r="M130" s="949"/>
      <c r="N130" s="950"/>
      <c r="O130" s="950"/>
      <c r="X130" s="945"/>
      <c r="Y130" s="945"/>
    </row>
    <row r="131" spans="2:25" ht="9.75" customHeight="1">
      <c r="B131" s="951"/>
      <c r="C131" s="951"/>
      <c r="D131" s="287">
        <f t="shared" ca="1" si="20"/>
        <v>50097</v>
      </c>
      <c r="E131" s="359">
        <f t="shared" si="23"/>
        <v>0</v>
      </c>
      <c r="F131" s="289">
        <f t="shared" ca="1" si="21"/>
        <v>60</v>
      </c>
      <c r="G131" s="290">
        <f ca="1">KTVTUCOI!P130</f>
        <v>1.2448813893573285</v>
      </c>
      <c r="H131" s="290">
        <f t="shared" ca="1" si="38"/>
        <v>-6826.4399356793328</v>
      </c>
      <c r="I131" s="953"/>
      <c r="J131" s="292">
        <f t="shared" ca="1" si="22"/>
        <v>-6826.4399356793328</v>
      </c>
      <c r="K131" s="949"/>
      <c r="L131" s="949"/>
      <c r="M131" s="949"/>
      <c r="N131" s="950"/>
      <c r="O131" s="950"/>
      <c r="X131" s="945"/>
      <c r="Y131" s="945"/>
    </row>
    <row r="132" spans="2:25" ht="9.75" customHeight="1">
      <c r="B132" s="951"/>
      <c r="C132" s="951"/>
      <c r="D132" s="287">
        <f t="shared" ca="1" si="20"/>
        <v>50125</v>
      </c>
      <c r="E132" s="359">
        <f t="shared" si="23"/>
        <v>0</v>
      </c>
      <c r="F132" s="289">
        <f t="shared" ca="1" si="21"/>
        <v>60</v>
      </c>
      <c r="G132" s="290">
        <f ca="1">KTVTUCOI!P131</f>
        <v>1.2572026881542773</v>
      </c>
      <c r="H132" s="290">
        <f t="shared" ca="1" si="38"/>
        <v>-6893.4107456638358</v>
      </c>
      <c r="I132" s="953"/>
      <c r="J132" s="292">
        <f t="shared" ca="1" si="22"/>
        <v>-6893.4107456638358</v>
      </c>
      <c r="K132" s="949"/>
      <c r="L132" s="949"/>
      <c r="M132" s="949"/>
      <c r="N132" s="950"/>
      <c r="O132" s="950"/>
      <c r="X132" s="945"/>
      <c r="Y132" s="945"/>
    </row>
    <row r="133" spans="2:25" ht="9.75" customHeight="1">
      <c r="B133" s="951"/>
      <c r="C133" s="951"/>
      <c r="D133" s="287">
        <f t="shared" ref="D133:D196" ca="1" si="39">EDATE(D132,1)</f>
        <v>50156</v>
      </c>
      <c r="E133" s="359">
        <f t="shared" si="23"/>
        <v>0</v>
      </c>
      <c r="F133" s="289">
        <f t="shared" ref="F133:F196" ca="1" si="40">IF(YEAR(D133)=2025,40000,IF(YEAR(D133)=2026,40000,IF(YEAR(D133)=2027,40000,IF(YEAR(D133)=2028,40000,IF(YEAR(D133)=2029,40000,IF(YEAR(D133)=2030,50000,IF(YEAR(D133)=2031,50000,IF(YEAR(D133)=2032,50000,IF(YEAR(D133)=2033,50000,IF(YEAR(D133)=2034,50000,IF(YEAR(D133)&gt;=2035,60000,0)))))))))))/1000</f>
        <v>60</v>
      </c>
      <c r="G133" s="290">
        <f ca="1">KTVTUCOI!P132</f>
        <v>1.2695364789930896</v>
      </c>
      <c r="H133" s="290">
        <f t="shared" ca="1" si="38"/>
        <v>-6960.4494545099587</v>
      </c>
      <c r="I133" s="953"/>
      <c r="J133" s="292">
        <f t="shared" ref="J133:J196" ca="1" si="41">H133</f>
        <v>-6960.4494545099587</v>
      </c>
      <c r="K133" s="949"/>
      <c r="L133" s="949"/>
      <c r="M133" s="949"/>
      <c r="N133" s="950"/>
      <c r="O133" s="950"/>
      <c r="X133" s="945"/>
      <c r="Y133" s="945"/>
    </row>
    <row r="134" spans="2:25" ht="9.75" customHeight="1">
      <c r="B134" s="951"/>
      <c r="C134" s="951"/>
      <c r="D134" s="287">
        <f t="shared" ca="1" si="39"/>
        <v>50186</v>
      </c>
      <c r="E134" s="359">
        <f t="shared" ref="E134:E197" si="42">E133</f>
        <v>0</v>
      </c>
      <c r="F134" s="289">
        <f t="shared" ca="1" si="40"/>
        <v>60</v>
      </c>
      <c r="G134" s="290">
        <f ca="1">KTVTUCOI!P133</f>
        <v>1.2818827745389174</v>
      </c>
      <c r="H134" s="290">
        <f t="shared" ca="1" si="38"/>
        <v>-7027.556131057474</v>
      </c>
      <c r="I134" s="953"/>
      <c r="J134" s="292">
        <f t="shared" ca="1" si="41"/>
        <v>-7027.556131057474</v>
      </c>
      <c r="K134" s="949"/>
      <c r="L134" s="949"/>
      <c r="M134" s="949"/>
      <c r="N134" s="950"/>
      <c r="O134" s="950"/>
      <c r="X134" s="945"/>
      <c r="Y134" s="945"/>
    </row>
    <row r="135" spans="2:25" ht="9.75" customHeight="1">
      <c r="B135" s="951"/>
      <c r="C135" s="951"/>
      <c r="D135" s="287">
        <f t="shared" ca="1" si="39"/>
        <v>50217</v>
      </c>
      <c r="E135" s="359">
        <f t="shared" si="42"/>
        <v>0</v>
      </c>
      <c r="F135" s="289">
        <f t="shared" ca="1" si="40"/>
        <v>60</v>
      </c>
      <c r="G135" s="290">
        <f ca="1">KTVTUCOI!P134</f>
        <v>1.2942415874697515</v>
      </c>
      <c r="H135" s="290">
        <f t="shared" ca="1" si="38"/>
        <v>-7094.7308442159492</v>
      </c>
      <c r="I135" s="953"/>
      <c r="J135" s="293">
        <f ca="1">H135+I124</f>
        <v>-7094.7308442159492</v>
      </c>
      <c r="K135" s="949"/>
      <c r="L135" s="949"/>
      <c r="M135" s="949"/>
      <c r="N135" s="950"/>
      <c r="O135" s="950"/>
      <c r="X135" s="945"/>
      <c r="Y135" s="945"/>
    </row>
    <row r="136" spans="2:25" ht="9.75" customHeight="1">
      <c r="B136" s="946">
        <f>B124+1</f>
        <v>12</v>
      </c>
      <c r="C136" s="947">
        <f ca="1">C124+1</f>
        <v>41</v>
      </c>
      <c r="D136" s="294">
        <f t="shared" ca="1" si="39"/>
        <v>50247</v>
      </c>
      <c r="E136" s="359">
        <f t="shared" si="42"/>
        <v>0</v>
      </c>
      <c r="F136" s="360">
        <f t="shared" ca="1" si="40"/>
        <v>60</v>
      </c>
      <c r="G136" s="290">
        <f ca="1">KTVTUCOI!P135</f>
        <v>1.4130338931396766</v>
      </c>
      <c r="H136" s="295">
        <f ca="1">(J135+KTVBVGTTKcamket!F18-F136-G136)*(1+$V$3)</f>
        <v>-7162.0801722077258</v>
      </c>
      <c r="I136" s="948"/>
      <c r="J136" s="296">
        <f t="shared" ca="1" si="41"/>
        <v>-7162.0801722077258</v>
      </c>
      <c r="K136" s="949">
        <f ca="1">J147</f>
        <v>-7907.5118856054451</v>
      </c>
      <c r="L136" s="949"/>
      <c r="M136" s="949"/>
      <c r="N136" s="950">
        <f t="shared" ref="N136" ca="1" si="43">SUM(G136:G147)</f>
        <v>17.844756893513281</v>
      </c>
      <c r="O136" s="950"/>
      <c r="X136" s="945">
        <f t="shared" ref="X136:Y136" ca="1" si="44">SUM(F136:F147)</f>
        <v>720</v>
      </c>
      <c r="Y136" s="945">
        <f t="shared" ca="1" si="44"/>
        <v>17.844756893513281</v>
      </c>
    </row>
    <row r="137" spans="2:25" ht="9.75" customHeight="1">
      <c r="B137" s="946"/>
      <c r="C137" s="946"/>
      <c r="D137" s="294">
        <f t="shared" ca="1" si="39"/>
        <v>50278</v>
      </c>
      <c r="E137" s="359">
        <f t="shared" si="42"/>
        <v>0</v>
      </c>
      <c r="F137" s="360">
        <f t="shared" ca="1" si="40"/>
        <v>60</v>
      </c>
      <c r="G137" s="290">
        <f ca="1">KTVTUCOI!P136</f>
        <v>1.4264476342980388</v>
      </c>
      <c r="H137" s="295">
        <f ca="1">(H136-F137-G137)*(1+$V$3)</f>
        <v>-7229.498793902414</v>
      </c>
      <c r="I137" s="948"/>
      <c r="J137" s="296">
        <f t="shared" ca="1" si="41"/>
        <v>-7229.498793902414</v>
      </c>
      <c r="K137" s="949"/>
      <c r="L137" s="949"/>
      <c r="M137" s="949"/>
      <c r="N137" s="950"/>
      <c r="O137" s="950"/>
      <c r="X137" s="945"/>
      <c r="Y137" s="945"/>
    </row>
    <row r="138" spans="2:25" ht="9.75" customHeight="1">
      <c r="B138" s="946"/>
      <c r="C138" s="946"/>
      <c r="D138" s="294">
        <f t="shared" ca="1" si="39"/>
        <v>50309</v>
      </c>
      <c r="E138" s="359">
        <f t="shared" si="42"/>
        <v>0</v>
      </c>
      <c r="F138" s="360">
        <f t="shared" ca="1" si="40"/>
        <v>60</v>
      </c>
      <c r="G138" s="290">
        <f ca="1">KTVTUCOI!P137</f>
        <v>1.4398751764522311</v>
      </c>
      <c r="H138" s="295">
        <f t="shared" ref="H138:H147" ca="1" si="45">(H137-F138-G138)*(1+$V$3)</f>
        <v>-7296.9867805942276</v>
      </c>
      <c r="I138" s="948"/>
      <c r="J138" s="296">
        <f t="shared" ca="1" si="41"/>
        <v>-7296.9867805942276</v>
      </c>
      <c r="K138" s="949"/>
      <c r="L138" s="949"/>
      <c r="M138" s="949"/>
      <c r="N138" s="950"/>
      <c r="O138" s="950"/>
      <c r="X138" s="945"/>
      <c r="Y138" s="945"/>
    </row>
    <row r="139" spans="2:25" ht="9.75" customHeight="1">
      <c r="B139" s="946"/>
      <c r="C139" s="946"/>
      <c r="D139" s="294">
        <f t="shared" ca="1" si="39"/>
        <v>50339</v>
      </c>
      <c r="E139" s="359">
        <f t="shared" si="42"/>
        <v>0</v>
      </c>
      <c r="F139" s="360">
        <f t="shared" ca="1" si="40"/>
        <v>60</v>
      </c>
      <c r="G139" s="290">
        <f ca="1">KTVTUCOI!P138</f>
        <v>1.4533165338016838</v>
      </c>
      <c r="H139" s="295">
        <f t="shared" ca="1" si="45"/>
        <v>-7364.5442036507302</v>
      </c>
      <c r="I139" s="948"/>
      <c r="J139" s="296">
        <f t="shared" ca="1" si="41"/>
        <v>-7364.5442036507302</v>
      </c>
      <c r="K139" s="949"/>
      <c r="L139" s="949"/>
      <c r="M139" s="949"/>
      <c r="N139" s="950"/>
      <c r="O139" s="950"/>
      <c r="X139" s="945"/>
      <c r="Y139" s="945"/>
    </row>
    <row r="140" spans="2:25" ht="9.75" customHeight="1">
      <c r="B140" s="946"/>
      <c r="C140" s="946"/>
      <c r="D140" s="294">
        <f t="shared" ca="1" si="39"/>
        <v>50370</v>
      </c>
      <c r="E140" s="359">
        <f t="shared" si="42"/>
        <v>0</v>
      </c>
      <c r="F140" s="360">
        <f t="shared" ca="1" si="40"/>
        <v>60</v>
      </c>
      <c r="G140" s="290">
        <f ca="1">KTVTUCOI!P139</f>
        <v>1.4667717205604369</v>
      </c>
      <c r="H140" s="295">
        <f t="shared" ca="1" si="45"/>
        <v>-7432.1711345129143</v>
      </c>
      <c r="I140" s="948"/>
      <c r="J140" s="296">
        <f t="shared" ca="1" si="41"/>
        <v>-7432.1711345129143</v>
      </c>
      <c r="K140" s="949"/>
      <c r="L140" s="949"/>
      <c r="M140" s="949"/>
      <c r="N140" s="950"/>
      <c r="O140" s="950"/>
      <c r="X140" s="945"/>
      <c r="Y140" s="945"/>
    </row>
    <row r="141" spans="2:25" ht="9.75" customHeight="1">
      <c r="B141" s="946"/>
      <c r="C141" s="946"/>
      <c r="D141" s="294">
        <f t="shared" ca="1" si="39"/>
        <v>50400</v>
      </c>
      <c r="E141" s="359">
        <f t="shared" si="42"/>
        <v>0</v>
      </c>
      <c r="F141" s="360">
        <f t="shared" ca="1" si="40"/>
        <v>60</v>
      </c>
      <c r="G141" s="290">
        <f ca="1">KTVTUCOI!P140</f>
        <v>1.4802407509571553</v>
      </c>
      <c r="H141" s="295">
        <f t="shared" ca="1" si="45"/>
        <v>-7499.867644695275</v>
      </c>
      <c r="I141" s="948"/>
      <c r="J141" s="296">
        <f t="shared" ca="1" si="41"/>
        <v>-7499.867644695275</v>
      </c>
      <c r="K141" s="949"/>
      <c r="L141" s="949"/>
      <c r="M141" s="949"/>
      <c r="N141" s="950"/>
      <c r="O141" s="950"/>
      <c r="X141" s="945"/>
      <c r="Y141" s="945"/>
    </row>
    <row r="142" spans="2:25" ht="9.75" customHeight="1">
      <c r="B142" s="946"/>
      <c r="C142" s="946"/>
      <c r="D142" s="294">
        <f t="shared" ca="1" si="39"/>
        <v>50431</v>
      </c>
      <c r="E142" s="359">
        <f t="shared" si="42"/>
        <v>0</v>
      </c>
      <c r="F142" s="360">
        <f t="shared" ca="1" si="40"/>
        <v>60</v>
      </c>
      <c r="G142" s="290">
        <f ca="1">KTVTUCOI!P141</f>
        <v>1.4937236392351423</v>
      </c>
      <c r="H142" s="295">
        <f t="shared" ca="1" si="45"/>
        <v>-7567.6338057858884</v>
      </c>
      <c r="I142" s="948"/>
      <c r="J142" s="296">
        <f t="shared" ca="1" si="41"/>
        <v>-7567.6338057858884</v>
      </c>
      <c r="K142" s="949"/>
      <c r="L142" s="949"/>
      <c r="M142" s="949"/>
      <c r="N142" s="950"/>
      <c r="O142" s="950"/>
      <c r="X142" s="945"/>
      <c r="Y142" s="945"/>
    </row>
    <row r="143" spans="2:25" ht="9.75" customHeight="1">
      <c r="B143" s="946"/>
      <c r="C143" s="946"/>
      <c r="D143" s="294">
        <f t="shared" ca="1" si="39"/>
        <v>50462</v>
      </c>
      <c r="E143" s="359">
        <f t="shared" si="42"/>
        <v>0</v>
      </c>
      <c r="F143" s="360">
        <f t="shared" ca="1" si="40"/>
        <v>60</v>
      </c>
      <c r="G143" s="290">
        <f ca="1">KTVTUCOI!P142</f>
        <v>1.5072203996523561</v>
      </c>
      <c r="H143" s="295">
        <f t="shared" ca="1" si="45"/>
        <v>-7635.4696894464832</v>
      </c>
      <c r="I143" s="948"/>
      <c r="J143" s="296">
        <f t="shared" ca="1" si="41"/>
        <v>-7635.4696894464832</v>
      </c>
      <c r="K143" s="949"/>
      <c r="L143" s="949"/>
      <c r="M143" s="949"/>
      <c r="N143" s="950"/>
      <c r="O143" s="950"/>
      <c r="X143" s="945"/>
      <c r="Y143" s="945"/>
    </row>
    <row r="144" spans="2:25" ht="9.75" customHeight="1">
      <c r="B144" s="946"/>
      <c r="C144" s="946"/>
      <c r="D144" s="294">
        <f t="shared" ca="1" si="39"/>
        <v>50490</v>
      </c>
      <c r="E144" s="359">
        <f t="shared" si="42"/>
        <v>0</v>
      </c>
      <c r="F144" s="360">
        <f t="shared" ca="1" si="40"/>
        <v>60</v>
      </c>
      <c r="G144" s="290">
        <f ca="1">KTVTUCOI!P143</f>
        <v>1.5207310464814245</v>
      </c>
      <c r="H144" s="295">
        <f t="shared" ca="1" si="45"/>
        <v>-7703.375367412521</v>
      </c>
      <c r="I144" s="948"/>
      <c r="J144" s="296">
        <f t="shared" ca="1" si="41"/>
        <v>-7703.375367412521</v>
      </c>
      <c r="K144" s="949"/>
      <c r="L144" s="949"/>
      <c r="M144" s="949"/>
      <c r="N144" s="950"/>
      <c r="O144" s="950"/>
      <c r="X144" s="945"/>
      <c r="Y144" s="945"/>
    </row>
    <row r="145" spans="2:25" ht="9.75" customHeight="1">
      <c r="B145" s="946"/>
      <c r="C145" s="946"/>
      <c r="D145" s="294">
        <f t="shared" ca="1" si="39"/>
        <v>50521</v>
      </c>
      <c r="E145" s="359">
        <f t="shared" si="42"/>
        <v>0</v>
      </c>
      <c r="F145" s="360">
        <f t="shared" ca="1" si="40"/>
        <v>60</v>
      </c>
      <c r="G145" s="290">
        <f ca="1">KTVTUCOI!P144</f>
        <v>1.5342555940096607</v>
      </c>
      <c r="H145" s="295">
        <f t="shared" ca="1" si="45"/>
        <v>-7771.3509114932676</v>
      </c>
      <c r="I145" s="948"/>
      <c r="J145" s="296">
        <f t="shared" ca="1" si="41"/>
        <v>-7771.3509114932676</v>
      </c>
      <c r="K145" s="949"/>
      <c r="L145" s="949"/>
      <c r="M145" s="949"/>
      <c r="N145" s="950"/>
      <c r="O145" s="950"/>
      <c r="X145" s="945"/>
      <c r="Y145" s="945"/>
    </row>
    <row r="146" spans="2:25" ht="9.75" customHeight="1">
      <c r="B146" s="946"/>
      <c r="C146" s="946"/>
      <c r="D146" s="294">
        <f t="shared" ca="1" si="39"/>
        <v>50551</v>
      </c>
      <c r="E146" s="359">
        <f t="shared" si="42"/>
        <v>0</v>
      </c>
      <c r="F146" s="360">
        <f t="shared" ca="1" si="40"/>
        <v>60</v>
      </c>
      <c r="G146" s="290">
        <f ca="1">KTVTUCOI!P145</f>
        <v>1.547794056539076</v>
      </c>
      <c r="H146" s="295">
        <f t="shared" ca="1" si="45"/>
        <v>-7839.396393571873</v>
      </c>
      <c r="I146" s="948"/>
      <c r="J146" s="296">
        <f t="shared" ca="1" si="41"/>
        <v>-7839.396393571873</v>
      </c>
      <c r="K146" s="949"/>
      <c r="L146" s="949"/>
      <c r="M146" s="949"/>
      <c r="N146" s="950"/>
      <c r="O146" s="950"/>
      <c r="X146" s="945"/>
      <c r="Y146" s="945"/>
    </row>
    <row r="147" spans="2:25" ht="9.75" customHeight="1">
      <c r="B147" s="946"/>
      <c r="C147" s="946"/>
      <c r="D147" s="294">
        <f t="shared" ca="1" si="39"/>
        <v>50582</v>
      </c>
      <c r="E147" s="359">
        <f t="shared" si="42"/>
        <v>0</v>
      </c>
      <c r="F147" s="360">
        <f t="shared" ca="1" si="40"/>
        <v>60</v>
      </c>
      <c r="G147" s="290">
        <f ca="1">KTVTUCOI!P146</f>
        <v>1.5613464483863984</v>
      </c>
      <c r="H147" s="295">
        <f t="shared" ca="1" si="45"/>
        <v>-7907.5118856054451</v>
      </c>
      <c r="I147" s="948"/>
      <c r="J147" s="297">
        <f ca="1">H147+I136</f>
        <v>-7907.5118856054451</v>
      </c>
      <c r="K147" s="949"/>
      <c r="L147" s="949"/>
      <c r="M147" s="949"/>
      <c r="N147" s="950"/>
      <c r="O147" s="950"/>
      <c r="X147" s="945"/>
      <c r="Y147" s="945"/>
    </row>
    <row r="148" spans="2:25" ht="9.75" customHeight="1">
      <c r="B148" s="951">
        <f>B136+1</f>
        <v>13</v>
      </c>
      <c r="C148" s="952">
        <f ca="1">C136+1</f>
        <v>42</v>
      </c>
      <c r="D148" s="287">
        <f t="shared" ca="1" si="39"/>
        <v>50612</v>
      </c>
      <c r="E148" s="359">
        <f t="shared" si="42"/>
        <v>0</v>
      </c>
      <c r="F148" s="289">
        <f t="shared" ca="1" si="40"/>
        <v>60</v>
      </c>
      <c r="G148" s="290">
        <f ca="1">KTVTUCOI!P147</f>
        <v>1.7132942418811801</v>
      </c>
      <c r="H148" s="290">
        <f ca="1">(J147+KTVBVGTTKcamket!F19-F148-G148)*(1+$V$3)</f>
        <v>-7975.8359558758166</v>
      </c>
      <c r="I148" s="953"/>
      <c r="J148" s="292">
        <f t="shared" ca="1" si="41"/>
        <v>-7975.8359558758166</v>
      </c>
      <c r="K148" s="949">
        <f ca="1">J159</f>
        <v>-8732.1357801769627</v>
      </c>
      <c r="L148" s="949"/>
      <c r="M148" s="949"/>
      <c r="N148" s="950">
        <f t="shared" ref="N148" ca="1" si="46">SUM(G148:G159)</f>
        <v>21.539980989073818</v>
      </c>
      <c r="O148" s="950"/>
      <c r="X148" s="945">
        <f t="shared" ref="X148:Y148" ca="1" si="47">SUM(F148:F159)</f>
        <v>720</v>
      </c>
      <c r="Y148" s="945">
        <f t="shared" ca="1" si="47"/>
        <v>21.539980989073818</v>
      </c>
    </row>
    <row r="149" spans="2:25" ht="9.75" customHeight="1">
      <c r="B149" s="951"/>
      <c r="C149" s="951"/>
      <c r="D149" s="287">
        <f t="shared" ca="1" si="39"/>
        <v>50643</v>
      </c>
      <c r="E149" s="359">
        <f t="shared" si="42"/>
        <v>0</v>
      </c>
      <c r="F149" s="289">
        <f t="shared" ca="1" si="40"/>
        <v>60</v>
      </c>
      <c r="G149" s="290">
        <f ca="1">KTVTUCOI!P148</f>
        <v>1.7280977904397601</v>
      </c>
      <c r="H149" s="290">
        <f ca="1">(H148-F149-G149)*(1+$V$3)</f>
        <v>-8044.2315193952718</v>
      </c>
      <c r="I149" s="953"/>
      <c r="J149" s="292">
        <f t="shared" ca="1" si="41"/>
        <v>-8044.2315193952718</v>
      </c>
      <c r="K149" s="949"/>
      <c r="L149" s="949"/>
      <c r="M149" s="949"/>
      <c r="N149" s="950"/>
      <c r="O149" s="950"/>
      <c r="X149" s="945"/>
      <c r="Y149" s="945"/>
    </row>
    <row r="150" spans="2:25" ht="9.75" customHeight="1">
      <c r="B150" s="951"/>
      <c r="C150" s="951"/>
      <c r="D150" s="287">
        <f t="shared" ca="1" si="39"/>
        <v>50674</v>
      </c>
      <c r="E150" s="359">
        <f t="shared" si="42"/>
        <v>0</v>
      </c>
      <c r="F150" s="289">
        <f t="shared" ca="1" si="40"/>
        <v>60</v>
      </c>
      <c r="G150" s="290">
        <f ca="1">KTVTUCOI!P149</f>
        <v>1.7429168292023089</v>
      </c>
      <c r="H150" s="290">
        <f t="shared" ref="H150:H159" ca="1" si="48">(H149-F150-G150)*(1+$V$3)</f>
        <v>-8112.6986509732378</v>
      </c>
      <c r="I150" s="953"/>
      <c r="J150" s="292">
        <f t="shared" ca="1" si="41"/>
        <v>-8112.6986509732378</v>
      </c>
      <c r="K150" s="949"/>
      <c r="L150" s="949"/>
      <c r="M150" s="949"/>
      <c r="N150" s="950"/>
      <c r="O150" s="950"/>
      <c r="X150" s="945"/>
      <c r="Y150" s="945"/>
    </row>
    <row r="151" spans="2:25" ht="9.75" customHeight="1">
      <c r="B151" s="951"/>
      <c r="C151" s="951"/>
      <c r="D151" s="287">
        <f t="shared" ca="1" si="39"/>
        <v>50704</v>
      </c>
      <c r="E151" s="359">
        <f t="shared" si="42"/>
        <v>0</v>
      </c>
      <c r="F151" s="289">
        <f t="shared" ca="1" si="40"/>
        <v>60</v>
      </c>
      <c r="G151" s="290">
        <f ca="1">KTVTUCOI!P150</f>
        <v>1.757751374377535</v>
      </c>
      <c r="H151" s="290">
        <f t="shared" ca="1" si="48"/>
        <v>-8181.2374254974238</v>
      </c>
      <c r="I151" s="953"/>
      <c r="J151" s="292">
        <f t="shared" ca="1" si="41"/>
        <v>-8181.2374254974238</v>
      </c>
      <c r="K151" s="949"/>
      <c r="L151" s="949"/>
      <c r="M151" s="949"/>
      <c r="N151" s="950"/>
      <c r="O151" s="950"/>
      <c r="X151" s="945"/>
      <c r="Y151" s="945"/>
    </row>
    <row r="152" spans="2:25" ht="9.75" customHeight="1">
      <c r="B152" s="951"/>
      <c r="C152" s="951"/>
      <c r="D152" s="287">
        <f t="shared" ca="1" si="39"/>
        <v>50735</v>
      </c>
      <c r="E152" s="359">
        <f t="shared" si="42"/>
        <v>0</v>
      </c>
      <c r="F152" s="289">
        <f t="shared" ca="1" si="40"/>
        <v>60</v>
      </c>
      <c r="G152" s="290">
        <f ca="1">KTVTUCOI!P151</f>
        <v>1.7726014421911085</v>
      </c>
      <c r="H152" s="290">
        <f t="shared" ca="1" si="48"/>
        <v>-8249.8479179338992</v>
      </c>
      <c r="I152" s="953"/>
      <c r="J152" s="292">
        <f t="shared" ca="1" si="41"/>
        <v>-8249.8479179338992</v>
      </c>
      <c r="K152" s="949"/>
      <c r="L152" s="949"/>
      <c r="M152" s="949"/>
      <c r="N152" s="950"/>
      <c r="O152" s="950"/>
      <c r="X152" s="945"/>
      <c r="Y152" s="945"/>
    </row>
    <row r="153" spans="2:25" ht="9.75" customHeight="1">
      <c r="B153" s="951"/>
      <c r="C153" s="951"/>
      <c r="D153" s="287">
        <f t="shared" ca="1" si="39"/>
        <v>50765</v>
      </c>
      <c r="E153" s="359">
        <f t="shared" si="42"/>
        <v>0</v>
      </c>
      <c r="F153" s="289">
        <f t="shared" ca="1" si="40"/>
        <v>60</v>
      </c>
      <c r="G153" s="290">
        <f ca="1">KTVTUCOI!P152</f>
        <v>1.7874670488856781</v>
      </c>
      <c r="H153" s="290">
        <f t="shared" ca="1" si="48"/>
        <v>-8318.5302033271764</v>
      </c>
      <c r="I153" s="953"/>
      <c r="J153" s="292">
        <f t="shared" ca="1" si="41"/>
        <v>-8318.5302033271764</v>
      </c>
      <c r="K153" s="949"/>
      <c r="L153" s="949"/>
      <c r="M153" s="949"/>
      <c r="N153" s="950"/>
      <c r="O153" s="950"/>
      <c r="X153" s="945"/>
      <c r="Y153" s="945"/>
    </row>
    <row r="154" spans="2:25" ht="9.75" customHeight="1">
      <c r="B154" s="951"/>
      <c r="C154" s="951"/>
      <c r="D154" s="287">
        <f t="shared" ca="1" si="39"/>
        <v>50796</v>
      </c>
      <c r="E154" s="359">
        <f t="shared" si="42"/>
        <v>0</v>
      </c>
      <c r="F154" s="289">
        <f t="shared" ca="1" si="40"/>
        <v>60</v>
      </c>
      <c r="G154" s="290">
        <f ca="1">KTVTUCOI!P153</f>
        <v>1.8023482107208884</v>
      </c>
      <c r="H154" s="290">
        <f t="shared" ca="1" si="48"/>
        <v>-8387.2843568002936</v>
      </c>
      <c r="I154" s="953"/>
      <c r="J154" s="292">
        <f t="shared" ca="1" si="41"/>
        <v>-8387.2843568002936</v>
      </c>
      <c r="K154" s="949"/>
      <c r="L154" s="949"/>
      <c r="M154" s="949"/>
      <c r="N154" s="950"/>
      <c r="O154" s="950"/>
      <c r="X154" s="945"/>
      <c r="Y154" s="945"/>
    </row>
    <row r="155" spans="2:25" ht="9.75" customHeight="1">
      <c r="B155" s="951"/>
      <c r="C155" s="951"/>
      <c r="D155" s="287">
        <f t="shared" ca="1" si="39"/>
        <v>50827</v>
      </c>
      <c r="E155" s="359">
        <f t="shared" si="42"/>
        <v>0</v>
      </c>
      <c r="F155" s="289">
        <f t="shared" ca="1" si="40"/>
        <v>60</v>
      </c>
      <c r="G155" s="290">
        <f ca="1">KTVTUCOI!P154</f>
        <v>1.8172449439733969</v>
      </c>
      <c r="H155" s="290">
        <f t="shared" ca="1" si="48"/>
        <v>-8456.1104535548966</v>
      </c>
      <c r="I155" s="953"/>
      <c r="J155" s="292">
        <f t="shared" ca="1" si="41"/>
        <v>-8456.1104535548966</v>
      </c>
      <c r="K155" s="949"/>
      <c r="L155" s="949"/>
      <c r="M155" s="949"/>
      <c r="N155" s="950"/>
      <c r="O155" s="950"/>
      <c r="X155" s="945"/>
      <c r="Y155" s="945"/>
    </row>
    <row r="156" spans="2:25" ht="9.75" customHeight="1">
      <c r="B156" s="951"/>
      <c r="C156" s="951"/>
      <c r="D156" s="287">
        <f t="shared" ca="1" si="39"/>
        <v>50855</v>
      </c>
      <c r="E156" s="359">
        <f t="shared" si="42"/>
        <v>0</v>
      </c>
      <c r="F156" s="289">
        <f t="shared" ca="1" si="40"/>
        <v>60</v>
      </c>
      <c r="G156" s="290">
        <f ca="1">KTVTUCOI!P155</f>
        <v>1.8321572649368942</v>
      </c>
      <c r="H156" s="290">
        <f t="shared" ca="1" si="48"/>
        <v>-8525.0085688713207</v>
      </c>
      <c r="I156" s="953"/>
      <c r="J156" s="292">
        <f t="shared" ca="1" si="41"/>
        <v>-8525.0085688713207</v>
      </c>
      <c r="K156" s="949"/>
      <c r="L156" s="949"/>
      <c r="M156" s="949"/>
      <c r="N156" s="950"/>
      <c r="O156" s="950"/>
      <c r="X156" s="945"/>
      <c r="Y156" s="945"/>
    </row>
    <row r="157" spans="2:25" ht="9.75" customHeight="1">
      <c r="B157" s="951"/>
      <c r="C157" s="951"/>
      <c r="D157" s="287">
        <f t="shared" ca="1" si="39"/>
        <v>50886</v>
      </c>
      <c r="E157" s="359">
        <f t="shared" si="42"/>
        <v>0</v>
      </c>
      <c r="F157" s="289">
        <f t="shared" ca="1" si="40"/>
        <v>60</v>
      </c>
      <c r="G157" s="290">
        <f ca="1">KTVTUCOI!P156</f>
        <v>1.8470851899221195</v>
      </c>
      <c r="H157" s="290">
        <f t="shared" ca="1" si="48"/>
        <v>-8593.9787781086761</v>
      </c>
      <c r="I157" s="953"/>
      <c r="J157" s="292">
        <f t="shared" ca="1" si="41"/>
        <v>-8593.9787781086761</v>
      </c>
      <c r="K157" s="949"/>
      <c r="L157" s="949"/>
      <c r="M157" s="949"/>
      <c r="N157" s="950"/>
      <c r="O157" s="950"/>
      <c r="X157" s="945"/>
      <c r="Y157" s="945"/>
    </row>
    <row r="158" spans="2:25" ht="9.75" customHeight="1">
      <c r="B158" s="951"/>
      <c r="C158" s="951"/>
      <c r="D158" s="287">
        <f t="shared" ca="1" si="39"/>
        <v>50916</v>
      </c>
      <c r="E158" s="359">
        <f t="shared" si="42"/>
        <v>0</v>
      </c>
      <c r="F158" s="289">
        <f t="shared" ca="1" si="40"/>
        <v>60</v>
      </c>
      <c r="G158" s="290">
        <f ca="1">KTVTUCOI!P157</f>
        <v>1.8620287352568798</v>
      </c>
      <c r="H158" s="290">
        <f t="shared" ca="1" si="48"/>
        <v>-8663.0211567049228</v>
      </c>
      <c r="I158" s="953"/>
      <c r="J158" s="292">
        <f t="shared" ca="1" si="41"/>
        <v>-8663.0211567049228</v>
      </c>
      <c r="K158" s="949"/>
      <c r="L158" s="949"/>
      <c r="M158" s="949"/>
      <c r="N158" s="950"/>
      <c r="O158" s="950"/>
      <c r="X158" s="945"/>
      <c r="Y158" s="945"/>
    </row>
    <row r="159" spans="2:25" ht="9.75" customHeight="1">
      <c r="B159" s="951"/>
      <c r="C159" s="951"/>
      <c r="D159" s="287">
        <f t="shared" ca="1" si="39"/>
        <v>50947</v>
      </c>
      <c r="E159" s="359">
        <f t="shared" si="42"/>
        <v>0</v>
      </c>
      <c r="F159" s="289">
        <f t="shared" ca="1" si="40"/>
        <v>60</v>
      </c>
      <c r="G159" s="290">
        <f ca="1">KTVTUCOI!P158</f>
        <v>1.8769879172860666</v>
      </c>
      <c r="H159" s="290">
        <f t="shared" ca="1" si="48"/>
        <v>-8732.1357801769627</v>
      </c>
      <c r="I159" s="953"/>
      <c r="J159" s="293">
        <f ca="1">H159+I148</f>
        <v>-8732.1357801769627</v>
      </c>
      <c r="K159" s="949"/>
      <c r="L159" s="949"/>
      <c r="M159" s="949"/>
      <c r="N159" s="950"/>
      <c r="O159" s="950"/>
      <c r="X159" s="945"/>
      <c r="Y159" s="945"/>
    </row>
    <row r="160" spans="2:25" ht="9.75" customHeight="1">
      <c r="B160" s="946">
        <f>B148+1</f>
        <v>14</v>
      </c>
      <c r="C160" s="947">
        <f ca="1">C148+1</f>
        <v>43</v>
      </c>
      <c r="D160" s="294">
        <f t="shared" ca="1" si="39"/>
        <v>50977</v>
      </c>
      <c r="E160" s="359">
        <f t="shared" si="42"/>
        <v>0</v>
      </c>
      <c r="F160" s="360">
        <f t="shared" ca="1" si="40"/>
        <v>60</v>
      </c>
      <c r="G160" s="290">
        <f ca="1">KTVTUCOI!P159</f>
        <v>2.052051908341586</v>
      </c>
      <c r="H160" s="295">
        <f ca="1">(J159+KTVBVGTTKcamket!F20-F160-G160)*(1+$V$3)</f>
        <v>-8801.4829460767396</v>
      </c>
      <c r="I160" s="948"/>
      <c r="J160" s="296">
        <f t="shared" ca="1" si="41"/>
        <v>-8801.4829460767396</v>
      </c>
      <c r="K160" s="949">
        <f ca="1">J171</f>
        <v>-9569.1922984797002</v>
      </c>
      <c r="L160" s="949"/>
      <c r="M160" s="949"/>
      <c r="N160" s="950">
        <f t="shared" ref="N160" ca="1" si="49">SUM(G160:G171)</f>
        <v>25.704023936360215</v>
      </c>
      <c r="O160" s="950"/>
      <c r="X160" s="945">
        <f t="shared" ref="X160:Y160" ca="1" si="50">SUM(F160:F171)</f>
        <v>720</v>
      </c>
      <c r="Y160" s="945">
        <f t="shared" ca="1" si="50"/>
        <v>25.704023936360215</v>
      </c>
    </row>
    <row r="161" spans="2:25" ht="9.75" customHeight="1">
      <c r="B161" s="946"/>
      <c r="C161" s="946"/>
      <c r="D161" s="294">
        <f t="shared" ca="1" si="39"/>
        <v>51008</v>
      </c>
      <c r="E161" s="359">
        <f t="shared" si="42"/>
        <v>0</v>
      </c>
      <c r="F161" s="360">
        <f t="shared" ca="1" si="40"/>
        <v>60</v>
      </c>
      <c r="G161" s="290">
        <f ca="1">KTVTUCOI!P160</f>
        <v>2.0683484923280333</v>
      </c>
      <c r="H161" s="295">
        <f ca="1">(H160-F161-G161)*(1+$V$3)</f>
        <v>-8870.9039481963755</v>
      </c>
      <c r="I161" s="948"/>
      <c r="J161" s="296">
        <f t="shared" ca="1" si="41"/>
        <v>-8870.9039481963755</v>
      </c>
      <c r="K161" s="949"/>
      <c r="L161" s="949"/>
      <c r="M161" s="949"/>
      <c r="N161" s="950"/>
      <c r="O161" s="950"/>
      <c r="X161" s="945"/>
      <c r="Y161" s="945"/>
    </row>
    <row r="162" spans="2:25" ht="9.75" customHeight="1">
      <c r="B162" s="946"/>
      <c r="C162" s="946"/>
      <c r="D162" s="294">
        <f t="shared" ca="1" si="39"/>
        <v>51039</v>
      </c>
      <c r="E162" s="359">
        <f t="shared" si="42"/>
        <v>0</v>
      </c>
      <c r="F162" s="360">
        <f t="shared" ca="1" si="40"/>
        <v>60</v>
      </c>
      <c r="G162" s="290">
        <f ca="1">KTVTUCOI!P161</f>
        <v>2.0846624278261481</v>
      </c>
      <c r="H162" s="295">
        <f t="shared" ref="H162:H171" ca="1" si="51">(H161-F162-G162)*(1+$V$3)</f>
        <v>-8940.3988651517338</v>
      </c>
      <c r="I162" s="948"/>
      <c r="J162" s="296">
        <f t="shared" ca="1" si="41"/>
        <v>-8940.3988651517338</v>
      </c>
      <c r="K162" s="949"/>
      <c r="L162" s="949"/>
      <c r="M162" s="949"/>
      <c r="N162" s="950"/>
      <c r="O162" s="950"/>
      <c r="X162" s="945"/>
      <c r="Y162" s="945"/>
    </row>
    <row r="163" spans="2:25" ht="9.75" customHeight="1">
      <c r="B163" s="946"/>
      <c r="C163" s="946"/>
      <c r="D163" s="294">
        <f t="shared" ca="1" si="39"/>
        <v>51069</v>
      </c>
      <c r="E163" s="359">
        <f t="shared" si="42"/>
        <v>0</v>
      </c>
      <c r="F163" s="360">
        <f t="shared" ca="1" si="40"/>
        <v>60</v>
      </c>
      <c r="G163" s="290">
        <f ca="1">KTVTUCOI!P162</f>
        <v>2.100993733310657</v>
      </c>
      <c r="H163" s="295">
        <f t="shared" ca="1" si="51"/>
        <v>-9009.9677756423862</v>
      </c>
      <c r="I163" s="948"/>
      <c r="J163" s="296">
        <f t="shared" ca="1" si="41"/>
        <v>-9009.9677756423862</v>
      </c>
      <c r="K163" s="949"/>
      <c r="L163" s="949"/>
      <c r="M163" s="949"/>
      <c r="N163" s="950"/>
      <c r="O163" s="950"/>
      <c r="X163" s="945"/>
      <c r="Y163" s="945"/>
    </row>
    <row r="164" spans="2:25" ht="9.75" customHeight="1">
      <c r="B164" s="946"/>
      <c r="C164" s="946"/>
      <c r="D164" s="294">
        <f t="shared" ca="1" si="39"/>
        <v>51100</v>
      </c>
      <c r="E164" s="359">
        <f t="shared" si="42"/>
        <v>0</v>
      </c>
      <c r="F164" s="360">
        <f t="shared" ca="1" si="40"/>
        <v>60</v>
      </c>
      <c r="G164" s="290">
        <f ca="1">KTVTUCOI!P163</f>
        <v>2.1173424272759607</v>
      </c>
      <c r="H164" s="295">
        <f t="shared" ca="1" si="51"/>
        <v>-9079.610758451694</v>
      </c>
      <c r="I164" s="948"/>
      <c r="J164" s="296">
        <f t="shared" ca="1" si="41"/>
        <v>-9079.610758451694</v>
      </c>
      <c r="K164" s="949"/>
      <c r="L164" s="949"/>
      <c r="M164" s="949"/>
      <c r="N164" s="950"/>
      <c r="O164" s="950"/>
      <c r="X164" s="945"/>
      <c r="Y164" s="945"/>
    </row>
    <row r="165" spans="2:25" ht="9.75" customHeight="1">
      <c r="B165" s="946"/>
      <c r="C165" s="946"/>
      <c r="D165" s="294">
        <f t="shared" ca="1" si="39"/>
        <v>51130</v>
      </c>
      <c r="E165" s="359">
        <f t="shared" si="42"/>
        <v>0</v>
      </c>
      <c r="F165" s="360">
        <f t="shared" ca="1" si="40"/>
        <v>60</v>
      </c>
      <c r="G165" s="290">
        <f ca="1">KTVTUCOI!P164</f>
        <v>2.1337085282361481</v>
      </c>
      <c r="H165" s="295">
        <f t="shared" ca="1" si="51"/>
        <v>-9149.3278924469032</v>
      </c>
      <c r="I165" s="948"/>
      <c r="J165" s="296">
        <f t="shared" ca="1" si="41"/>
        <v>-9149.3278924469032</v>
      </c>
      <c r="K165" s="949"/>
      <c r="L165" s="949"/>
      <c r="M165" s="949"/>
      <c r="N165" s="950"/>
      <c r="O165" s="950"/>
      <c r="X165" s="945"/>
      <c r="Y165" s="945"/>
    </row>
    <row r="166" spans="2:25" ht="9.75" customHeight="1">
      <c r="B166" s="946"/>
      <c r="C166" s="946"/>
      <c r="D166" s="294">
        <f t="shared" ca="1" si="39"/>
        <v>51161</v>
      </c>
      <c r="E166" s="359">
        <f t="shared" si="42"/>
        <v>0</v>
      </c>
      <c r="F166" s="360">
        <f t="shared" ca="1" si="40"/>
        <v>60</v>
      </c>
      <c r="G166" s="290">
        <f ca="1">KTVTUCOI!P165</f>
        <v>2.1500920547250222</v>
      </c>
      <c r="H166" s="295">
        <f t="shared" ca="1" si="51"/>
        <v>-9219.1192565792317</v>
      </c>
      <c r="I166" s="948"/>
      <c r="J166" s="296">
        <f t="shared" ca="1" si="41"/>
        <v>-9219.1192565792317</v>
      </c>
      <c r="K166" s="949"/>
      <c r="L166" s="949"/>
      <c r="M166" s="949"/>
      <c r="N166" s="950"/>
      <c r="O166" s="950"/>
      <c r="X166" s="945"/>
      <c r="Y166" s="945"/>
    </row>
    <row r="167" spans="2:25" ht="9.75" customHeight="1">
      <c r="B167" s="946"/>
      <c r="C167" s="946"/>
      <c r="D167" s="294">
        <f t="shared" ca="1" si="39"/>
        <v>51192</v>
      </c>
      <c r="E167" s="359">
        <f t="shared" si="42"/>
        <v>0</v>
      </c>
      <c r="F167" s="360">
        <f t="shared" ca="1" si="40"/>
        <v>60</v>
      </c>
      <c r="G167" s="290">
        <f ca="1">KTVTUCOI!P166</f>
        <v>2.1664930252961194</v>
      </c>
      <c r="H167" s="295">
        <f t="shared" ca="1" si="51"/>
        <v>-9288.9849298839617</v>
      </c>
      <c r="I167" s="948"/>
      <c r="J167" s="296">
        <f t="shared" ca="1" si="41"/>
        <v>-9288.9849298839617</v>
      </c>
      <c r="K167" s="949"/>
      <c r="L167" s="949"/>
      <c r="M167" s="949"/>
      <c r="N167" s="950"/>
      <c r="O167" s="950"/>
      <c r="X167" s="945"/>
      <c r="Y167" s="945"/>
    </row>
    <row r="168" spans="2:25" ht="9.75" customHeight="1">
      <c r="B168" s="946"/>
      <c r="C168" s="946"/>
      <c r="D168" s="294">
        <f t="shared" ca="1" si="39"/>
        <v>51221</v>
      </c>
      <c r="E168" s="359">
        <f t="shared" si="42"/>
        <v>0</v>
      </c>
      <c r="F168" s="360">
        <f t="shared" ca="1" si="40"/>
        <v>60</v>
      </c>
      <c r="G168" s="290">
        <f ca="1">KTVTUCOI!P167</f>
        <v>2.1829114585227307</v>
      </c>
      <c r="H168" s="295">
        <f t="shared" ca="1" si="51"/>
        <v>-9358.9249914805278</v>
      </c>
      <c r="I168" s="948"/>
      <c r="J168" s="296">
        <f t="shared" ca="1" si="41"/>
        <v>-9358.9249914805278</v>
      </c>
      <c r="K168" s="949"/>
      <c r="L168" s="949"/>
      <c r="M168" s="949"/>
      <c r="N168" s="950"/>
      <c r="O168" s="950"/>
      <c r="X168" s="945"/>
      <c r="Y168" s="945"/>
    </row>
    <row r="169" spans="2:25" ht="9.75" customHeight="1">
      <c r="B169" s="946"/>
      <c r="C169" s="946"/>
      <c r="D169" s="294">
        <f t="shared" ca="1" si="39"/>
        <v>51252</v>
      </c>
      <c r="E169" s="359">
        <f t="shared" si="42"/>
        <v>0</v>
      </c>
      <c r="F169" s="360">
        <f t="shared" ca="1" si="40"/>
        <v>60</v>
      </c>
      <c r="G169" s="290">
        <f ca="1">KTVTUCOI!P168</f>
        <v>2.199347372997924</v>
      </c>
      <c r="H169" s="295">
        <f t="shared" ca="1" si="51"/>
        <v>-9428.9395205725996</v>
      </c>
      <c r="I169" s="948"/>
      <c r="J169" s="296">
        <f t="shared" ca="1" si="41"/>
        <v>-9428.9395205725996</v>
      </c>
      <c r="K169" s="949"/>
      <c r="L169" s="949"/>
      <c r="M169" s="949"/>
      <c r="N169" s="950"/>
      <c r="O169" s="950"/>
      <c r="X169" s="945"/>
      <c r="Y169" s="945"/>
    </row>
    <row r="170" spans="2:25" ht="9.75" customHeight="1">
      <c r="B170" s="946"/>
      <c r="C170" s="946"/>
      <c r="D170" s="294">
        <f t="shared" ca="1" si="39"/>
        <v>51282</v>
      </c>
      <c r="E170" s="359">
        <f t="shared" si="42"/>
        <v>0</v>
      </c>
      <c r="F170" s="360">
        <f t="shared" ca="1" si="40"/>
        <v>60</v>
      </c>
      <c r="G170" s="290">
        <f ca="1">KTVTUCOI!P169</f>
        <v>2.2158007873345609</v>
      </c>
      <c r="H170" s="295">
        <f t="shared" ca="1" si="51"/>
        <v>-9499.0285964481827</v>
      </c>
      <c r="I170" s="948"/>
      <c r="J170" s="296">
        <f t="shared" ca="1" si="41"/>
        <v>-9499.0285964481827</v>
      </c>
      <c r="K170" s="949"/>
      <c r="L170" s="949"/>
      <c r="M170" s="949"/>
      <c r="N170" s="950"/>
      <c r="O170" s="950"/>
      <c r="X170" s="945"/>
      <c r="Y170" s="945"/>
    </row>
    <row r="171" spans="2:25" ht="9.75" customHeight="1">
      <c r="B171" s="946"/>
      <c r="C171" s="946"/>
      <c r="D171" s="294">
        <f t="shared" ca="1" si="39"/>
        <v>51313</v>
      </c>
      <c r="E171" s="359">
        <f t="shared" si="42"/>
        <v>0</v>
      </c>
      <c r="F171" s="360">
        <f t="shared" ca="1" si="40"/>
        <v>60</v>
      </c>
      <c r="G171" s="290">
        <f ca="1">KTVTUCOI!P170</f>
        <v>2.2322717201653228</v>
      </c>
      <c r="H171" s="295">
        <f t="shared" ca="1" si="51"/>
        <v>-9569.1922984797002</v>
      </c>
      <c r="I171" s="948"/>
      <c r="J171" s="297">
        <f ca="1">H171+I160</f>
        <v>-9569.1922984797002</v>
      </c>
      <c r="K171" s="949"/>
      <c r="L171" s="949"/>
      <c r="M171" s="949"/>
      <c r="N171" s="950"/>
      <c r="O171" s="950"/>
      <c r="X171" s="945"/>
      <c r="Y171" s="945"/>
    </row>
    <row r="172" spans="2:25" ht="9.75" customHeight="1">
      <c r="B172" s="951">
        <f>B160+1</f>
        <v>15</v>
      </c>
      <c r="C172" s="952">
        <f ca="1">C160+1</f>
        <v>44</v>
      </c>
      <c r="D172" s="287">
        <f t="shared" ca="1" si="39"/>
        <v>51343</v>
      </c>
      <c r="E172" s="359">
        <f t="shared" si="42"/>
        <v>0</v>
      </c>
      <c r="F172" s="289">
        <f t="shared" ca="1" si="40"/>
        <v>60</v>
      </c>
      <c r="G172" s="290">
        <f ca="1">KTVTUCOI!P171</f>
        <v>2.4401440361123234</v>
      </c>
      <c r="H172" s="290">
        <f ca="1">(J171+KTVBVGTTKcamket!F20-F172-G172)*(1+$V$3)</f>
        <v>-9639.622248730253</v>
      </c>
      <c r="I172" s="953"/>
      <c r="J172" s="292">
        <f t="shared" ca="1" si="41"/>
        <v>-9639.622248730253</v>
      </c>
      <c r="K172" s="949">
        <f ca="1">J183</f>
        <v>-10419.412303263989</v>
      </c>
      <c r="L172" s="949"/>
      <c r="M172" s="949"/>
      <c r="N172" s="950">
        <f t="shared" ref="N172" ca="1" si="52">SUM(G172:G183)</f>
        <v>30.47136095121887</v>
      </c>
      <c r="O172" s="950"/>
      <c r="X172" s="945">
        <f t="shared" ref="X172:Y172" ca="1" si="53">SUM(F172:F183)</f>
        <v>720</v>
      </c>
      <c r="Y172" s="945">
        <f t="shared" ca="1" si="53"/>
        <v>30.47136095121887</v>
      </c>
    </row>
    <row r="173" spans="2:25" ht="9.75" customHeight="1">
      <c r="B173" s="951"/>
      <c r="C173" s="951"/>
      <c r="D173" s="287">
        <f t="shared" ca="1" si="39"/>
        <v>51374</v>
      </c>
      <c r="E173" s="359">
        <f t="shared" si="42"/>
        <v>0</v>
      </c>
      <c r="F173" s="289">
        <f t="shared" ca="1" si="40"/>
        <v>60</v>
      </c>
      <c r="G173" s="290">
        <f ca="1">KTVTUCOI!P172</f>
        <v>2.4581036734262147</v>
      </c>
      <c r="H173" s="290">
        <f ca="1">(H172-F173-G173)*(1+$V$3)</f>
        <v>-9710.1285978444484</v>
      </c>
      <c r="I173" s="953"/>
      <c r="J173" s="292">
        <f t="shared" ca="1" si="41"/>
        <v>-9710.1285978444484</v>
      </c>
      <c r="K173" s="949"/>
      <c r="L173" s="949"/>
      <c r="M173" s="949"/>
      <c r="N173" s="950"/>
      <c r="O173" s="950"/>
      <c r="X173" s="945"/>
      <c r="Y173" s="945"/>
    </row>
    <row r="174" spans="2:25" ht="9.75" customHeight="1">
      <c r="B174" s="951"/>
      <c r="C174" s="951"/>
      <c r="D174" s="287">
        <f t="shared" ca="1" si="39"/>
        <v>51405</v>
      </c>
      <c r="E174" s="359">
        <f t="shared" si="42"/>
        <v>0</v>
      </c>
      <c r="F174" s="289">
        <f t="shared" ca="1" si="40"/>
        <v>60</v>
      </c>
      <c r="G174" s="290">
        <f ca="1">KTVTUCOI!P173</f>
        <v>2.4760827924503341</v>
      </c>
      <c r="H174" s="290">
        <f t="shared" ref="H174:H183" ca="1" si="54">(H173-F174-G174)*(1+$V$3)</f>
        <v>-9780.7114286959259</v>
      </c>
      <c r="I174" s="953"/>
      <c r="J174" s="292">
        <f t="shared" ca="1" si="41"/>
        <v>-9780.7114286959259</v>
      </c>
      <c r="K174" s="949"/>
      <c r="L174" s="949"/>
      <c r="M174" s="949"/>
      <c r="N174" s="950"/>
      <c r="O174" s="950"/>
      <c r="X174" s="945"/>
      <c r="Y174" s="945"/>
    </row>
    <row r="175" spans="2:25" ht="9.75" customHeight="1">
      <c r="B175" s="951"/>
      <c r="C175" s="951"/>
      <c r="D175" s="287">
        <f t="shared" ca="1" si="39"/>
        <v>51435</v>
      </c>
      <c r="E175" s="359">
        <f t="shared" si="42"/>
        <v>0</v>
      </c>
      <c r="F175" s="289">
        <f t="shared" ca="1" si="40"/>
        <v>60</v>
      </c>
      <c r="G175" s="290">
        <f ca="1">KTVTUCOI!P174</f>
        <v>2.4940814143174612</v>
      </c>
      <c r="H175" s="290">
        <f t="shared" ca="1" si="54"/>
        <v>-9851.3708242482226</v>
      </c>
      <c r="I175" s="953"/>
      <c r="J175" s="292">
        <f t="shared" ca="1" si="41"/>
        <v>-9851.3708242482226</v>
      </c>
      <c r="K175" s="949"/>
      <c r="L175" s="949"/>
      <c r="M175" s="949"/>
      <c r="N175" s="950"/>
      <c r="O175" s="950"/>
      <c r="X175" s="945"/>
      <c r="Y175" s="945"/>
    </row>
    <row r="176" spans="2:25" ht="9.75" customHeight="1">
      <c r="B176" s="951"/>
      <c r="C176" s="951"/>
      <c r="D176" s="287">
        <f t="shared" ca="1" si="39"/>
        <v>51466</v>
      </c>
      <c r="E176" s="359">
        <f t="shared" si="42"/>
        <v>0</v>
      </c>
      <c r="F176" s="289">
        <f t="shared" ca="1" si="40"/>
        <v>60</v>
      </c>
      <c r="G176" s="290">
        <f ca="1">KTVTUCOI!P175</f>
        <v>2.5120995601832967</v>
      </c>
      <c r="H176" s="290">
        <f t="shared" ca="1" si="54"/>
        <v>-9922.1068675548704</v>
      </c>
      <c r="I176" s="953"/>
      <c r="J176" s="292">
        <f t="shared" ca="1" si="41"/>
        <v>-9922.1068675548704</v>
      </c>
      <c r="K176" s="949"/>
      <c r="L176" s="949"/>
      <c r="M176" s="949"/>
      <c r="N176" s="950"/>
      <c r="O176" s="950"/>
      <c r="X176" s="945"/>
      <c r="Y176" s="945"/>
    </row>
    <row r="177" spans="2:25" ht="9.75" customHeight="1">
      <c r="B177" s="951"/>
      <c r="C177" s="951"/>
      <c r="D177" s="287">
        <f t="shared" ca="1" si="39"/>
        <v>51496</v>
      </c>
      <c r="E177" s="359">
        <f t="shared" si="42"/>
        <v>0</v>
      </c>
      <c r="F177" s="289">
        <f t="shared" ca="1" si="40"/>
        <v>60</v>
      </c>
      <c r="G177" s="290">
        <f ca="1">KTVTUCOI!P176</f>
        <v>2.5301372512264919</v>
      </c>
      <c r="H177" s="290">
        <f t="shared" ca="1" si="54"/>
        <v>-9992.919641759494</v>
      </c>
      <c r="I177" s="953"/>
      <c r="J177" s="292">
        <f t="shared" ca="1" si="41"/>
        <v>-9992.919641759494</v>
      </c>
      <c r="K177" s="949"/>
      <c r="L177" s="949"/>
      <c r="M177" s="949"/>
      <c r="N177" s="950"/>
      <c r="O177" s="950"/>
      <c r="X177" s="945"/>
      <c r="Y177" s="945"/>
    </row>
    <row r="178" spans="2:25" ht="9.75" customHeight="1">
      <c r="B178" s="951"/>
      <c r="C178" s="951"/>
      <c r="D178" s="287">
        <f t="shared" ca="1" si="39"/>
        <v>51527</v>
      </c>
      <c r="E178" s="359">
        <f t="shared" si="42"/>
        <v>0</v>
      </c>
      <c r="F178" s="289">
        <f t="shared" ca="1" si="40"/>
        <v>60</v>
      </c>
      <c r="G178" s="290">
        <f ca="1">KTVTUCOI!P177</f>
        <v>2.5481945086486708</v>
      </c>
      <c r="H178" s="290">
        <f t="shared" ca="1" si="54"/>
        <v>-10063.809230095909</v>
      </c>
      <c r="I178" s="953"/>
      <c r="J178" s="292">
        <f t="shared" ca="1" si="41"/>
        <v>-10063.809230095909</v>
      </c>
      <c r="K178" s="949"/>
      <c r="L178" s="949"/>
      <c r="M178" s="949"/>
      <c r="N178" s="950"/>
      <c r="O178" s="950"/>
      <c r="X178" s="945"/>
      <c r="Y178" s="945"/>
    </row>
    <row r="179" spans="2:25" ht="9.75" customHeight="1">
      <c r="B179" s="951"/>
      <c r="C179" s="951"/>
      <c r="D179" s="287">
        <f t="shared" ca="1" si="39"/>
        <v>51558</v>
      </c>
      <c r="E179" s="359">
        <f t="shared" si="42"/>
        <v>0</v>
      </c>
      <c r="F179" s="289">
        <f t="shared" ca="1" si="40"/>
        <v>60</v>
      </c>
      <c r="G179" s="290">
        <f ca="1">KTVTUCOI!P178</f>
        <v>2.5662713536744568</v>
      </c>
      <c r="H179" s="290">
        <f t="shared" ca="1" si="54"/>
        <v>-10134.775715888218</v>
      </c>
      <c r="I179" s="953"/>
      <c r="J179" s="292">
        <f t="shared" ca="1" si="41"/>
        <v>-10134.775715888218</v>
      </c>
      <c r="K179" s="949"/>
      <c r="L179" s="949"/>
      <c r="M179" s="949"/>
      <c r="N179" s="950"/>
      <c r="O179" s="950"/>
      <c r="X179" s="945"/>
      <c r="Y179" s="945"/>
    </row>
    <row r="180" spans="2:25" ht="9.75" customHeight="1">
      <c r="B180" s="951"/>
      <c r="C180" s="951"/>
      <c r="D180" s="287">
        <f t="shared" ca="1" si="39"/>
        <v>51586</v>
      </c>
      <c r="E180" s="359">
        <f t="shared" si="42"/>
        <v>0</v>
      </c>
      <c r="F180" s="289">
        <f t="shared" ca="1" si="40"/>
        <v>60</v>
      </c>
      <c r="G180" s="290">
        <f ca="1">KTVTUCOI!P179</f>
        <v>2.5843678075514958</v>
      </c>
      <c r="H180" s="290">
        <f t="shared" ca="1" si="54"/>
        <v>-10205.819182550906</v>
      </c>
      <c r="I180" s="953"/>
      <c r="J180" s="292">
        <f t="shared" ca="1" si="41"/>
        <v>-10205.819182550906</v>
      </c>
      <c r="K180" s="949"/>
      <c r="L180" s="949"/>
      <c r="M180" s="949"/>
      <c r="N180" s="950"/>
      <c r="O180" s="950"/>
      <c r="X180" s="945"/>
      <c r="Y180" s="945"/>
    </row>
    <row r="181" spans="2:25" ht="9.75" customHeight="1">
      <c r="B181" s="951"/>
      <c r="C181" s="951"/>
      <c r="D181" s="287">
        <f t="shared" ca="1" si="39"/>
        <v>51617</v>
      </c>
      <c r="E181" s="359">
        <f t="shared" si="42"/>
        <v>0</v>
      </c>
      <c r="F181" s="289">
        <f t="shared" ca="1" si="40"/>
        <v>60</v>
      </c>
      <c r="G181" s="290">
        <f ca="1">KTVTUCOI!P180</f>
        <v>2.6024838915504809</v>
      </c>
      <c r="H181" s="290">
        <f t="shared" ca="1" si="54"/>
        <v>-10276.939713588949</v>
      </c>
      <c r="I181" s="953"/>
      <c r="J181" s="292">
        <f t="shared" ca="1" si="41"/>
        <v>-10276.939713588949</v>
      </c>
      <c r="K181" s="949"/>
      <c r="L181" s="949"/>
      <c r="M181" s="949"/>
      <c r="N181" s="950"/>
      <c r="O181" s="950"/>
      <c r="X181" s="945"/>
      <c r="Y181" s="945"/>
    </row>
    <row r="182" spans="2:25" ht="9.75" customHeight="1">
      <c r="B182" s="951"/>
      <c r="C182" s="951"/>
      <c r="D182" s="287">
        <f t="shared" ca="1" si="39"/>
        <v>51647</v>
      </c>
      <c r="E182" s="359">
        <f t="shared" si="42"/>
        <v>0</v>
      </c>
      <c r="F182" s="289">
        <f t="shared" ca="1" si="40"/>
        <v>60</v>
      </c>
      <c r="G182" s="290">
        <f ca="1">KTVTUCOI!P181</f>
        <v>2.620619626965182</v>
      </c>
      <c r="H182" s="290">
        <f t="shared" ca="1" si="54"/>
        <v>-10348.137392597897</v>
      </c>
      <c r="I182" s="953"/>
      <c r="J182" s="292">
        <f t="shared" ca="1" si="41"/>
        <v>-10348.137392597897</v>
      </c>
      <c r="K182" s="949"/>
      <c r="L182" s="949"/>
      <c r="M182" s="949"/>
      <c r="N182" s="950"/>
      <c r="O182" s="950"/>
      <c r="X182" s="945"/>
      <c r="Y182" s="945"/>
    </row>
    <row r="183" spans="2:25" ht="9.75" customHeight="1">
      <c r="B183" s="951"/>
      <c r="C183" s="951"/>
      <c r="D183" s="287">
        <f t="shared" ca="1" si="39"/>
        <v>51678</v>
      </c>
      <c r="E183" s="359">
        <f t="shared" si="42"/>
        <v>0</v>
      </c>
      <c r="F183" s="289">
        <f t="shared" ca="1" si="40"/>
        <v>60</v>
      </c>
      <c r="G183" s="290">
        <f ca="1">KTVTUCOI!P182</f>
        <v>2.6387750351124639</v>
      </c>
      <c r="H183" s="290">
        <f t="shared" ca="1" si="54"/>
        <v>-10419.412303263989</v>
      </c>
      <c r="I183" s="953"/>
      <c r="J183" s="293">
        <f ca="1">H183+I172</f>
        <v>-10419.412303263989</v>
      </c>
      <c r="K183" s="949"/>
      <c r="L183" s="949"/>
      <c r="M183" s="949"/>
      <c r="N183" s="950"/>
      <c r="O183" s="950"/>
      <c r="X183" s="945"/>
      <c r="Y183" s="945"/>
    </row>
    <row r="184" spans="2:25" ht="9.75" customHeight="1">
      <c r="B184" s="946">
        <f>B172+1</f>
        <v>16</v>
      </c>
      <c r="C184" s="947">
        <f ca="1">C172+1</f>
        <v>45</v>
      </c>
      <c r="D184" s="294">
        <f t="shared" ca="1" si="39"/>
        <v>51708</v>
      </c>
      <c r="E184" s="359">
        <f t="shared" si="42"/>
        <v>0</v>
      </c>
      <c r="F184" s="360">
        <f t="shared" ca="1" si="40"/>
        <v>60</v>
      </c>
      <c r="G184" s="290">
        <f ca="1">KTVTUCOI!P183</f>
        <v>2.8740212269836505</v>
      </c>
      <c r="H184" s="295">
        <f ca="1">(J183+KTVBVGTTKcamket!F21-F184-G184)*(1+$W$3)</f>
        <v>-10486.643966522764</v>
      </c>
      <c r="I184" s="948"/>
      <c r="J184" s="296">
        <f t="shared" ca="1" si="41"/>
        <v>-10486.643966522764</v>
      </c>
      <c r="K184" s="949">
        <f ca="1">J195</f>
        <v>-11229.268457829079</v>
      </c>
      <c r="L184" s="949"/>
      <c r="M184" s="949"/>
      <c r="N184" s="950">
        <f t="shared" ref="N184" ca="1" si="55">SUM(G184:G195)</f>
        <v>35.715033424548388</v>
      </c>
      <c r="O184" s="950"/>
      <c r="X184" s="945">
        <f t="shared" ref="X184:Y184" ca="1" si="56">SUM(F184:F195)</f>
        <v>720</v>
      </c>
      <c r="Y184" s="945">
        <f t="shared" ca="1" si="56"/>
        <v>35.715033424548388</v>
      </c>
    </row>
    <row r="185" spans="2:25" ht="9.75" customHeight="1">
      <c r="B185" s="946"/>
      <c r="C185" s="946"/>
      <c r="D185" s="294">
        <f t="shared" ca="1" si="39"/>
        <v>51739</v>
      </c>
      <c r="E185" s="359">
        <f t="shared" si="42"/>
        <v>0</v>
      </c>
      <c r="F185" s="360">
        <f t="shared" ca="1" si="40"/>
        <v>60</v>
      </c>
      <c r="G185" s="290">
        <f ca="1">KTVTUCOI!P184</f>
        <v>2.8925659607658623</v>
      </c>
      <c r="H185" s="295">
        <f ca="1">(H184-F185-G185)*(1+$W$3)</f>
        <v>-10553.922131425095</v>
      </c>
      <c r="I185" s="948"/>
      <c r="J185" s="296">
        <f t="shared" ca="1" si="41"/>
        <v>-10553.922131425095</v>
      </c>
      <c r="K185" s="949"/>
      <c r="L185" s="949"/>
      <c r="M185" s="949"/>
      <c r="N185" s="950"/>
      <c r="O185" s="950"/>
      <c r="X185" s="945"/>
      <c r="Y185" s="945"/>
    </row>
    <row r="186" spans="2:25" ht="9.75" customHeight="1">
      <c r="B186" s="946"/>
      <c r="C186" s="946"/>
      <c r="D186" s="294">
        <f t="shared" ca="1" si="39"/>
        <v>51770</v>
      </c>
      <c r="E186" s="359">
        <f t="shared" si="42"/>
        <v>0</v>
      </c>
      <c r="F186" s="360">
        <f t="shared" ca="1" si="40"/>
        <v>60</v>
      </c>
      <c r="G186" s="290">
        <f ca="1">KTVTUCOI!P185</f>
        <v>2.9111235212514219</v>
      </c>
      <c r="H186" s="295">
        <f t="shared" ref="H186:H243" ca="1" si="57">(H185-F186-G186)*(1+$W$3)</f>
        <v>-10621.24683013444</v>
      </c>
      <c r="I186" s="948"/>
      <c r="J186" s="296">
        <f t="shared" ca="1" si="41"/>
        <v>-10621.24683013444</v>
      </c>
      <c r="K186" s="949"/>
      <c r="L186" s="949"/>
      <c r="M186" s="949"/>
      <c r="N186" s="950"/>
      <c r="O186" s="950"/>
      <c r="X186" s="945"/>
      <c r="Y186" s="945"/>
    </row>
    <row r="187" spans="2:25" ht="9.75" customHeight="1">
      <c r="B187" s="946"/>
      <c r="C187" s="946"/>
      <c r="D187" s="294">
        <f t="shared" ca="1" si="39"/>
        <v>51800</v>
      </c>
      <c r="E187" s="359">
        <f t="shared" si="42"/>
        <v>0</v>
      </c>
      <c r="F187" s="360">
        <f t="shared" ca="1" si="40"/>
        <v>60</v>
      </c>
      <c r="G187" s="290">
        <f ca="1">KTVTUCOI!P186</f>
        <v>2.9296939173120831</v>
      </c>
      <c r="H187" s="295">
        <f t="shared" ca="1" si="57"/>
        <v>-10688.618094836505</v>
      </c>
      <c r="I187" s="948"/>
      <c r="J187" s="296">
        <f t="shared" ca="1" si="41"/>
        <v>-10688.618094836505</v>
      </c>
      <c r="K187" s="949"/>
      <c r="L187" s="949"/>
      <c r="M187" s="949"/>
      <c r="N187" s="950"/>
      <c r="O187" s="950"/>
      <c r="X187" s="945"/>
      <c r="Y187" s="945"/>
    </row>
    <row r="188" spans="2:25" ht="9.75" customHeight="1">
      <c r="B188" s="946"/>
      <c r="C188" s="946"/>
      <c r="D188" s="294">
        <f t="shared" ca="1" si="39"/>
        <v>51831</v>
      </c>
      <c r="E188" s="359">
        <f t="shared" si="42"/>
        <v>0</v>
      </c>
      <c r="F188" s="360">
        <f t="shared" ca="1" si="40"/>
        <v>60</v>
      </c>
      <c r="G188" s="290">
        <f ca="1">KTVTUCOI!P187</f>
        <v>2.9482771578257361</v>
      </c>
      <c r="H188" s="295">
        <f t="shared" ca="1" si="57"/>
        <v>-10756.035957739259</v>
      </c>
      <c r="I188" s="948"/>
      <c r="J188" s="296">
        <f t="shared" ca="1" si="41"/>
        <v>-10756.035957739259</v>
      </c>
      <c r="K188" s="949"/>
      <c r="L188" s="949"/>
      <c r="M188" s="949"/>
      <c r="N188" s="950"/>
      <c r="O188" s="950"/>
      <c r="X188" s="945"/>
      <c r="Y188" s="945"/>
    </row>
    <row r="189" spans="2:25" ht="9.75" customHeight="1">
      <c r="B189" s="946"/>
      <c r="C189" s="946"/>
      <c r="D189" s="294">
        <f t="shared" ca="1" si="39"/>
        <v>51861</v>
      </c>
      <c r="E189" s="359">
        <f t="shared" si="42"/>
        <v>0</v>
      </c>
      <c r="F189" s="360">
        <f t="shared" ca="1" si="40"/>
        <v>60</v>
      </c>
      <c r="G189" s="290">
        <f ca="1">KTVTUCOI!P188</f>
        <v>2.9668732516764122</v>
      </c>
      <c r="H189" s="295">
        <f t="shared" ca="1" si="57"/>
        <v>-10823.500451072943</v>
      </c>
      <c r="I189" s="948"/>
      <c r="J189" s="296">
        <f t="shared" ca="1" si="41"/>
        <v>-10823.500451072943</v>
      </c>
      <c r="K189" s="949"/>
      <c r="L189" s="949"/>
      <c r="M189" s="949"/>
      <c r="N189" s="950"/>
      <c r="O189" s="950"/>
      <c r="X189" s="945"/>
      <c r="Y189" s="945"/>
    </row>
    <row r="190" spans="2:25" ht="9.75" customHeight="1">
      <c r="B190" s="946"/>
      <c r="C190" s="946"/>
      <c r="D190" s="294">
        <f t="shared" ca="1" si="39"/>
        <v>51892</v>
      </c>
      <c r="E190" s="359">
        <f t="shared" si="42"/>
        <v>0</v>
      </c>
      <c r="F190" s="360">
        <f t="shared" ca="1" si="40"/>
        <v>60</v>
      </c>
      <c r="G190" s="290">
        <f ca="1">KTVTUCOI!P189</f>
        <v>2.9854822077542864</v>
      </c>
      <c r="H190" s="295">
        <f t="shared" ca="1" si="57"/>
        <v>-10891.011607090095</v>
      </c>
      <c r="I190" s="948"/>
      <c r="J190" s="296">
        <f t="shared" ca="1" si="41"/>
        <v>-10891.011607090095</v>
      </c>
      <c r="K190" s="949"/>
      <c r="L190" s="949"/>
      <c r="M190" s="949"/>
      <c r="N190" s="950"/>
      <c r="O190" s="950"/>
      <c r="X190" s="945"/>
      <c r="Y190" s="945"/>
    </row>
    <row r="191" spans="2:25" ht="9.75" customHeight="1">
      <c r="B191" s="946"/>
      <c r="C191" s="946"/>
      <c r="D191" s="294">
        <f t="shared" ca="1" si="39"/>
        <v>51923</v>
      </c>
      <c r="E191" s="359">
        <f t="shared" si="42"/>
        <v>0</v>
      </c>
      <c r="F191" s="360">
        <f t="shared" ca="1" si="40"/>
        <v>60</v>
      </c>
      <c r="G191" s="290">
        <f ca="1">KTVTUCOI!P190</f>
        <v>3.0041040349556849</v>
      </c>
      <c r="H191" s="295">
        <f t="shared" ca="1" si="57"/>
        <v>-10958.56945806556</v>
      </c>
      <c r="I191" s="948"/>
      <c r="J191" s="296">
        <f t="shared" ca="1" si="41"/>
        <v>-10958.56945806556</v>
      </c>
      <c r="K191" s="949"/>
      <c r="L191" s="949"/>
      <c r="M191" s="949"/>
      <c r="N191" s="950"/>
      <c r="O191" s="950"/>
      <c r="X191" s="945"/>
      <c r="Y191" s="945"/>
    </row>
    <row r="192" spans="2:25" ht="9.75" customHeight="1">
      <c r="B192" s="946"/>
      <c r="C192" s="946"/>
      <c r="D192" s="294">
        <f t="shared" ca="1" si="39"/>
        <v>51951</v>
      </c>
      <c r="E192" s="359">
        <f t="shared" si="42"/>
        <v>0</v>
      </c>
      <c r="F192" s="360">
        <f t="shared" ca="1" si="40"/>
        <v>60</v>
      </c>
      <c r="G192" s="290">
        <f ca="1">KTVTUCOI!P191</f>
        <v>3.0227387421830838</v>
      </c>
      <c r="H192" s="295">
        <f t="shared" ca="1" si="57"/>
        <v>-11026.174036296507</v>
      </c>
      <c r="I192" s="948"/>
      <c r="J192" s="296">
        <f t="shared" ca="1" si="41"/>
        <v>-11026.174036296507</v>
      </c>
      <c r="K192" s="949"/>
      <c r="L192" s="949"/>
      <c r="M192" s="949"/>
      <c r="N192" s="950"/>
      <c r="O192" s="950"/>
      <c r="X192" s="945"/>
      <c r="Y192" s="945"/>
    </row>
    <row r="193" spans="2:25" ht="9.75" customHeight="1">
      <c r="B193" s="946"/>
      <c r="C193" s="946"/>
      <c r="D193" s="294">
        <f t="shared" ca="1" si="39"/>
        <v>51982</v>
      </c>
      <c r="E193" s="359">
        <f t="shared" si="42"/>
        <v>0</v>
      </c>
      <c r="F193" s="360">
        <f t="shared" ca="1" si="40"/>
        <v>60</v>
      </c>
      <c r="G193" s="290">
        <f ca="1">KTVTUCOI!P192</f>
        <v>3.0413863383451196</v>
      </c>
      <c r="H193" s="295">
        <f t="shared" ca="1" si="57"/>
        <v>-11093.82537410244</v>
      </c>
      <c r="I193" s="948"/>
      <c r="J193" s="296">
        <f t="shared" ca="1" si="41"/>
        <v>-11093.82537410244</v>
      </c>
      <c r="K193" s="949"/>
      <c r="L193" s="949"/>
      <c r="M193" s="949"/>
      <c r="N193" s="950"/>
      <c r="O193" s="950"/>
      <c r="X193" s="945"/>
      <c r="Y193" s="945"/>
    </row>
    <row r="194" spans="2:25" ht="9.75" customHeight="1">
      <c r="B194" s="946"/>
      <c r="C194" s="946"/>
      <c r="D194" s="294">
        <f t="shared" ca="1" si="39"/>
        <v>52012</v>
      </c>
      <c r="E194" s="359">
        <f t="shared" si="42"/>
        <v>0</v>
      </c>
      <c r="F194" s="360">
        <f t="shared" ca="1" si="40"/>
        <v>60</v>
      </c>
      <c r="G194" s="290">
        <f ca="1">KTVTUCOI!P193</f>
        <v>3.0600468323565901</v>
      </c>
      <c r="H194" s="295">
        <f t="shared" ca="1" si="57"/>
        <v>-11161.523503825221</v>
      </c>
      <c r="I194" s="948"/>
      <c r="J194" s="296">
        <f t="shared" ca="1" si="41"/>
        <v>-11161.523503825221</v>
      </c>
      <c r="K194" s="949"/>
      <c r="L194" s="949"/>
      <c r="M194" s="949"/>
      <c r="N194" s="950"/>
      <c r="O194" s="950"/>
      <c r="X194" s="945"/>
      <c r="Y194" s="945"/>
    </row>
    <row r="195" spans="2:25" ht="9.75" customHeight="1">
      <c r="B195" s="946"/>
      <c r="C195" s="946"/>
      <c r="D195" s="294">
        <f t="shared" ca="1" si="39"/>
        <v>52043</v>
      </c>
      <c r="E195" s="359">
        <f t="shared" si="42"/>
        <v>0</v>
      </c>
      <c r="F195" s="360">
        <f t="shared" ca="1" si="40"/>
        <v>60</v>
      </c>
      <c r="G195" s="290">
        <f ca="1">KTVTUCOI!P194</f>
        <v>3.0787202331384567</v>
      </c>
      <c r="H195" s="295">
        <f t="shared" ca="1" si="57"/>
        <v>-11229.268457829079</v>
      </c>
      <c r="I195" s="948"/>
      <c r="J195" s="297">
        <f ca="1">H195+I184</f>
        <v>-11229.268457829079</v>
      </c>
      <c r="K195" s="949"/>
      <c r="L195" s="949"/>
      <c r="M195" s="949"/>
      <c r="N195" s="950"/>
      <c r="O195" s="950"/>
      <c r="X195" s="945"/>
      <c r="Y195" s="945"/>
    </row>
    <row r="196" spans="2:25" ht="9.75" customHeight="1">
      <c r="B196" s="951">
        <f>B184+1</f>
        <v>17</v>
      </c>
      <c r="C196" s="952">
        <f ca="1">C184+1</f>
        <v>46</v>
      </c>
      <c r="D196" s="287">
        <f t="shared" ca="1" si="39"/>
        <v>52073</v>
      </c>
      <c r="E196" s="359">
        <f t="shared" si="42"/>
        <v>0</v>
      </c>
      <c r="F196" s="289">
        <f t="shared" ca="1" si="40"/>
        <v>60</v>
      </c>
      <c r="G196" s="290">
        <f ca="1">KTVTUCOI!P195</f>
        <v>3.3500650899190085</v>
      </c>
      <c r="H196" s="290">
        <f ca="1">(J195+KTVBVGTTKcamket!F23-F196-G196)*(1+$W$3)</f>
        <v>-11297.313032074837</v>
      </c>
      <c r="I196" s="953"/>
      <c r="J196" s="292">
        <f t="shared" ca="1" si="41"/>
        <v>-11297.313032074837</v>
      </c>
      <c r="K196" s="949">
        <f ca="1">J207</f>
        <v>-12049.018302145498</v>
      </c>
      <c r="L196" s="949"/>
      <c r="M196" s="949"/>
      <c r="N196" s="950">
        <f t="shared" ref="N196" ca="1" si="58">SUM(G196:G207)</f>
        <v>41.543773364425306</v>
      </c>
      <c r="O196" s="950"/>
      <c r="X196" s="945">
        <f t="shared" ref="X196:Y196" ca="1" si="59">SUM(F196:F207)</f>
        <v>720</v>
      </c>
      <c r="Y196" s="945">
        <f t="shared" ca="1" si="59"/>
        <v>41.543773364425306</v>
      </c>
    </row>
    <row r="197" spans="2:25" ht="9.75" customHeight="1">
      <c r="B197" s="951"/>
      <c r="C197" s="951"/>
      <c r="D197" s="287">
        <f t="shared" ref="D197:D243" ca="1" si="60">EDATE(D196,1)</f>
        <v>52104</v>
      </c>
      <c r="E197" s="359">
        <f t="shared" si="42"/>
        <v>0</v>
      </c>
      <c r="F197" s="289">
        <f t="shared" ref="F197:F243" ca="1" si="61">IF(YEAR(D197)=2025,40000,IF(YEAR(D197)=2026,40000,IF(YEAR(D197)=2027,40000,IF(YEAR(D197)=2028,40000,IF(YEAR(D197)=2029,40000,IF(YEAR(D197)=2030,50000,IF(YEAR(D197)=2031,50000,IF(YEAR(D197)=2032,50000,IF(YEAR(D197)=2033,50000,IF(YEAR(D197)=2034,50000,IF(YEAR(D197)&gt;=2035,60000,0)))))))))))/1000</f>
        <v>60</v>
      </c>
      <c r="G197" s="290">
        <f ca="1">KTVTUCOI!P196</f>
        <v>3.3703650545689929</v>
      </c>
      <c r="H197" s="290">
        <f t="shared" ca="1" si="57"/>
        <v>-11365.406201863858</v>
      </c>
      <c r="I197" s="953"/>
      <c r="J197" s="292">
        <f t="shared" ref="J197:J242" ca="1" si="62">H197</f>
        <v>-11365.406201863858</v>
      </c>
      <c r="K197" s="949"/>
      <c r="L197" s="949"/>
      <c r="M197" s="949"/>
      <c r="N197" s="950"/>
      <c r="O197" s="950"/>
      <c r="X197" s="945"/>
      <c r="Y197" s="945"/>
    </row>
    <row r="198" spans="2:25" ht="9.75" customHeight="1">
      <c r="B198" s="951"/>
      <c r="C198" s="951"/>
      <c r="D198" s="287">
        <f t="shared" ca="1" si="60"/>
        <v>52135</v>
      </c>
      <c r="E198" s="359">
        <f t="shared" ref="E198:E243" si="63">E197</f>
        <v>0</v>
      </c>
      <c r="F198" s="289">
        <f t="shared" ca="1" si="61"/>
        <v>60</v>
      </c>
      <c r="G198" s="290">
        <f ca="1">KTVTUCOI!P197</f>
        <v>3.3906795168893837</v>
      </c>
      <c r="H198" s="290">
        <f t="shared" ca="1" si="57"/>
        <v>-11433.54800190173</v>
      </c>
      <c r="I198" s="953"/>
      <c r="J198" s="292">
        <f t="shared" ca="1" si="62"/>
        <v>-11433.54800190173</v>
      </c>
      <c r="K198" s="949"/>
      <c r="L198" s="949"/>
      <c r="M198" s="949"/>
      <c r="N198" s="950"/>
      <c r="O198" s="950"/>
      <c r="X198" s="945"/>
      <c r="Y198" s="945"/>
    </row>
    <row r="199" spans="2:25" ht="9.75" customHeight="1">
      <c r="B199" s="951"/>
      <c r="C199" s="951"/>
      <c r="D199" s="287">
        <f t="shared" ca="1" si="60"/>
        <v>52165</v>
      </c>
      <c r="E199" s="359">
        <f t="shared" si="63"/>
        <v>0</v>
      </c>
      <c r="F199" s="289">
        <f t="shared" ca="1" si="61"/>
        <v>60</v>
      </c>
      <c r="G199" s="290">
        <f ca="1">KTVTUCOI!P198</f>
        <v>3.4110084872340161</v>
      </c>
      <c r="H199" s="290">
        <f t="shared" ca="1" si="57"/>
        <v>-11501.738466918823</v>
      </c>
      <c r="I199" s="953"/>
      <c r="J199" s="292">
        <f t="shared" ca="1" si="62"/>
        <v>-11501.738466918823</v>
      </c>
      <c r="K199" s="949"/>
      <c r="L199" s="949"/>
      <c r="M199" s="949"/>
      <c r="N199" s="950"/>
      <c r="O199" s="950"/>
      <c r="X199" s="945"/>
      <c r="Y199" s="945"/>
    </row>
    <row r="200" spans="2:25" ht="9.75" customHeight="1">
      <c r="B200" s="951"/>
      <c r="C200" s="951"/>
      <c r="D200" s="287">
        <f t="shared" ca="1" si="60"/>
        <v>52196</v>
      </c>
      <c r="E200" s="359">
        <f t="shared" si="63"/>
        <v>0</v>
      </c>
      <c r="F200" s="289">
        <f t="shared" ca="1" si="61"/>
        <v>60</v>
      </c>
      <c r="G200" s="290">
        <f ca="1">KTVTUCOI!P199</f>
        <v>3.4313519759641156</v>
      </c>
      <c r="H200" s="290">
        <f t="shared" ca="1" si="57"/>
        <v>-11569.977631670314</v>
      </c>
      <c r="I200" s="953"/>
      <c r="J200" s="292">
        <f t="shared" ca="1" si="62"/>
        <v>-11569.977631670314</v>
      </c>
      <c r="K200" s="949"/>
      <c r="L200" s="949"/>
      <c r="M200" s="949"/>
      <c r="N200" s="950"/>
      <c r="O200" s="950"/>
      <c r="X200" s="945"/>
      <c r="Y200" s="945"/>
    </row>
    <row r="201" spans="2:25" ht="9.75" customHeight="1">
      <c r="B201" s="951"/>
      <c r="C201" s="951"/>
      <c r="D201" s="287">
        <f t="shared" ca="1" si="60"/>
        <v>52226</v>
      </c>
      <c r="E201" s="359">
        <f t="shared" si="63"/>
        <v>0</v>
      </c>
      <c r="F201" s="289">
        <f t="shared" ca="1" si="61"/>
        <v>60</v>
      </c>
      <c r="G201" s="290">
        <f ca="1">KTVTUCOI!P200</f>
        <v>3.45170999344831</v>
      </c>
      <c r="H201" s="290">
        <f t="shared" ca="1" si="57"/>
        <v>-11638.265530936198</v>
      </c>
      <c r="I201" s="953"/>
      <c r="J201" s="292">
        <f t="shared" ca="1" si="62"/>
        <v>-11638.265530936198</v>
      </c>
      <c r="K201" s="949"/>
      <c r="L201" s="949"/>
      <c r="M201" s="949"/>
      <c r="N201" s="950"/>
      <c r="O201" s="950"/>
      <c r="X201" s="945"/>
      <c r="Y201" s="945"/>
    </row>
    <row r="202" spans="2:25" ht="9.75" customHeight="1">
      <c r="B202" s="951"/>
      <c r="C202" s="951"/>
      <c r="D202" s="287">
        <f t="shared" ca="1" si="60"/>
        <v>52257</v>
      </c>
      <c r="E202" s="359">
        <f t="shared" si="63"/>
        <v>0</v>
      </c>
      <c r="F202" s="289">
        <f t="shared" ca="1" si="61"/>
        <v>60</v>
      </c>
      <c r="G202" s="290">
        <f ca="1">KTVTUCOI!P201</f>
        <v>3.4720825500626322</v>
      </c>
      <c r="H202" s="290">
        <f t="shared" ca="1" si="57"/>
        <v>-11706.60219952131</v>
      </c>
      <c r="I202" s="953"/>
      <c r="J202" s="292">
        <f t="shared" ca="1" si="62"/>
        <v>-11706.60219952131</v>
      </c>
      <c r="K202" s="949"/>
      <c r="L202" s="949"/>
      <c r="M202" s="949"/>
      <c r="N202" s="950"/>
      <c r="O202" s="950"/>
      <c r="X202" s="945"/>
      <c r="Y202" s="945"/>
    </row>
    <row r="203" spans="2:25" ht="9.75" customHeight="1">
      <c r="B203" s="951"/>
      <c r="C203" s="951"/>
      <c r="D203" s="287">
        <f t="shared" ca="1" si="60"/>
        <v>52288</v>
      </c>
      <c r="E203" s="359">
        <f t="shared" si="63"/>
        <v>0</v>
      </c>
      <c r="F203" s="289">
        <f t="shared" ca="1" si="61"/>
        <v>60</v>
      </c>
      <c r="G203" s="290">
        <f ca="1">KTVTUCOI!P202</f>
        <v>3.4924696561905244</v>
      </c>
      <c r="H203" s="290">
        <f t="shared" ca="1" si="57"/>
        <v>-11774.987672255344</v>
      </c>
      <c r="I203" s="953"/>
      <c r="J203" s="292">
        <f t="shared" ca="1" si="62"/>
        <v>-11774.987672255344</v>
      </c>
      <c r="K203" s="949"/>
      <c r="L203" s="949"/>
      <c r="M203" s="949"/>
      <c r="N203" s="950"/>
      <c r="O203" s="950"/>
      <c r="X203" s="945"/>
      <c r="Y203" s="945"/>
    </row>
    <row r="204" spans="2:25" ht="9.75" customHeight="1">
      <c r="B204" s="951"/>
      <c r="C204" s="951"/>
      <c r="D204" s="287">
        <f t="shared" ca="1" si="60"/>
        <v>52316</v>
      </c>
      <c r="E204" s="359">
        <f t="shared" si="63"/>
        <v>0</v>
      </c>
      <c r="F204" s="289">
        <f t="shared" ca="1" si="61"/>
        <v>60</v>
      </c>
      <c r="G204" s="290">
        <f ca="1">KTVTUCOI!P203</f>
        <v>3.512871322222844</v>
      </c>
      <c r="H204" s="290">
        <f t="shared" ca="1" si="57"/>
        <v>-11843.421983992863</v>
      </c>
      <c r="I204" s="953"/>
      <c r="J204" s="292">
        <f t="shared" ca="1" si="62"/>
        <v>-11843.421983992863</v>
      </c>
      <c r="K204" s="949"/>
      <c r="L204" s="949"/>
      <c r="M204" s="949"/>
      <c r="N204" s="950"/>
      <c r="O204" s="950"/>
      <c r="X204" s="945"/>
      <c r="Y204" s="945"/>
    </row>
    <row r="205" spans="2:25" ht="9.75" customHeight="1">
      <c r="B205" s="951"/>
      <c r="C205" s="951"/>
      <c r="D205" s="287">
        <f t="shared" ca="1" si="60"/>
        <v>52347</v>
      </c>
      <c r="E205" s="359">
        <f t="shared" si="63"/>
        <v>0</v>
      </c>
      <c r="F205" s="289">
        <f t="shared" ca="1" si="61"/>
        <v>60</v>
      </c>
      <c r="G205" s="290">
        <f ca="1">KTVTUCOI!P204</f>
        <v>3.5332875585578711</v>
      </c>
      <c r="H205" s="290">
        <f t="shared" ca="1" si="57"/>
        <v>-11911.905169613328</v>
      </c>
      <c r="I205" s="953"/>
      <c r="J205" s="292">
        <f t="shared" ca="1" si="62"/>
        <v>-11911.905169613328</v>
      </c>
      <c r="K205" s="949"/>
      <c r="L205" s="949"/>
      <c r="M205" s="949"/>
      <c r="N205" s="950"/>
      <c r="O205" s="950"/>
      <c r="X205" s="945"/>
      <c r="Y205" s="945"/>
    </row>
    <row r="206" spans="2:25" ht="9.75" customHeight="1">
      <c r="B206" s="951"/>
      <c r="C206" s="951"/>
      <c r="D206" s="287">
        <f t="shared" ca="1" si="60"/>
        <v>52377</v>
      </c>
      <c r="E206" s="359">
        <f t="shared" si="63"/>
        <v>0</v>
      </c>
      <c r="F206" s="289">
        <f t="shared" ca="1" si="61"/>
        <v>60</v>
      </c>
      <c r="G206" s="290">
        <f ca="1">KTVTUCOI!P205</f>
        <v>3.55371837560131</v>
      </c>
      <c r="H206" s="290">
        <f t="shared" ca="1" si="57"/>
        <v>-11980.437264021108</v>
      </c>
      <c r="I206" s="953"/>
      <c r="J206" s="292">
        <f t="shared" ca="1" si="62"/>
        <v>-11980.437264021108</v>
      </c>
      <c r="K206" s="949"/>
      <c r="L206" s="949"/>
      <c r="M206" s="949"/>
      <c r="N206" s="950"/>
      <c r="O206" s="950"/>
      <c r="X206" s="945"/>
      <c r="Y206" s="945"/>
    </row>
    <row r="207" spans="2:25" ht="9.75" customHeight="1">
      <c r="B207" s="951"/>
      <c r="C207" s="951"/>
      <c r="D207" s="287">
        <f t="shared" ca="1" si="60"/>
        <v>52408</v>
      </c>
      <c r="E207" s="359">
        <f t="shared" si="63"/>
        <v>0</v>
      </c>
      <c r="F207" s="289">
        <f t="shared" ca="1" si="61"/>
        <v>60</v>
      </c>
      <c r="G207" s="290">
        <f ca="1">KTVTUCOI!P206</f>
        <v>3.5741637837662972</v>
      </c>
      <c r="H207" s="290">
        <f t="shared" ca="1" si="57"/>
        <v>-12049.018302145498</v>
      </c>
      <c r="I207" s="953"/>
      <c r="J207" s="293">
        <f ca="1">H207+I196</f>
        <v>-12049.018302145498</v>
      </c>
      <c r="K207" s="949"/>
      <c r="L207" s="949"/>
      <c r="M207" s="949"/>
      <c r="N207" s="950"/>
      <c r="O207" s="950"/>
      <c r="X207" s="945"/>
      <c r="Y207" s="945"/>
    </row>
    <row r="208" spans="2:25" ht="9.75" customHeight="1">
      <c r="B208" s="946">
        <f>B196+1</f>
        <v>18</v>
      </c>
      <c r="C208" s="947">
        <f ca="1">C196+1</f>
        <v>47</v>
      </c>
      <c r="D208" s="294">
        <f t="shared" ca="1" si="60"/>
        <v>52438</v>
      </c>
      <c r="E208" s="359">
        <f t="shared" si="63"/>
        <v>0</v>
      </c>
      <c r="F208" s="360">
        <f t="shared" ca="1" si="61"/>
        <v>60</v>
      </c>
      <c r="G208" s="290">
        <f ca="1">KTVTUCOI!P207</f>
        <v>3.8858084024419228</v>
      </c>
      <c r="H208" s="295">
        <f ca="1">(J207+KTVBVGTTKcamket!F24-F208-G208)*(1+$W$3)</f>
        <v>-12117.939624599474</v>
      </c>
      <c r="I208" s="948"/>
      <c r="J208" s="296">
        <f t="shared" ca="1" si="62"/>
        <v>-12117.939624599474</v>
      </c>
      <c r="K208" s="949">
        <f ca="1">J219</f>
        <v>-12879.441058331984</v>
      </c>
      <c r="L208" s="949"/>
      <c r="M208" s="949"/>
      <c r="N208" s="950">
        <f t="shared" ref="N208" ca="1" si="64">SUM(G208:G219)</f>
        <v>48.100307685331003</v>
      </c>
      <c r="O208" s="950"/>
      <c r="X208" s="945">
        <f t="shared" ref="X208:Y208" ca="1" si="65">SUM(F208:F219)</f>
        <v>720</v>
      </c>
      <c r="Y208" s="945">
        <f t="shared" ca="1" si="65"/>
        <v>48.100307685331003</v>
      </c>
    </row>
    <row r="209" spans="2:25" ht="9.75" customHeight="1">
      <c r="B209" s="946"/>
      <c r="C209" s="946"/>
      <c r="D209" s="294">
        <f t="shared" ca="1" si="60"/>
        <v>52469</v>
      </c>
      <c r="E209" s="359">
        <f t="shared" si="63"/>
        <v>0</v>
      </c>
      <c r="F209" s="360">
        <f t="shared" ca="1" si="61"/>
        <v>60</v>
      </c>
      <c r="G209" s="290">
        <f ca="1">KTVTUCOI!P208</f>
        <v>3.9080355289333304</v>
      </c>
      <c r="H209" s="295">
        <f t="shared" ca="1" si="57"/>
        <v>-12186.91183503695</v>
      </c>
      <c r="I209" s="948"/>
      <c r="J209" s="296">
        <f t="shared" ca="1" si="62"/>
        <v>-12186.91183503695</v>
      </c>
      <c r="K209" s="949"/>
      <c r="L209" s="949"/>
      <c r="M209" s="949"/>
      <c r="N209" s="950"/>
      <c r="O209" s="950"/>
      <c r="X209" s="945"/>
      <c r="Y209" s="945"/>
    </row>
    <row r="210" spans="2:25" ht="9.75" customHeight="1">
      <c r="B210" s="946"/>
      <c r="C210" s="946"/>
      <c r="D210" s="294">
        <f t="shared" ca="1" si="60"/>
        <v>52500</v>
      </c>
      <c r="E210" s="359">
        <f t="shared" si="63"/>
        <v>0</v>
      </c>
      <c r="F210" s="360">
        <f t="shared" ca="1" si="61"/>
        <v>60</v>
      </c>
      <c r="G210" s="290">
        <f ca="1">KTVTUCOI!P209</f>
        <v>3.9302790667994163</v>
      </c>
      <c r="H210" s="295">
        <f t="shared" ca="1" si="57"/>
        <v>-12255.934971031013</v>
      </c>
      <c r="I210" s="948"/>
      <c r="J210" s="296">
        <f t="shared" ca="1" si="62"/>
        <v>-12255.934971031013</v>
      </c>
      <c r="K210" s="949"/>
      <c r="L210" s="949"/>
      <c r="M210" s="949"/>
      <c r="N210" s="950"/>
      <c r="O210" s="950"/>
      <c r="X210" s="945"/>
      <c r="Y210" s="945"/>
    </row>
    <row r="211" spans="2:25" ht="9.75" customHeight="1">
      <c r="B211" s="946"/>
      <c r="C211" s="946"/>
      <c r="D211" s="294">
        <f t="shared" ca="1" si="60"/>
        <v>52530</v>
      </c>
      <c r="E211" s="359">
        <f t="shared" si="63"/>
        <v>0</v>
      </c>
      <c r="F211" s="360">
        <f t="shared" ca="1" si="61"/>
        <v>60</v>
      </c>
      <c r="G211" s="290">
        <f ca="1">KTVTUCOI!P210</f>
        <v>3.9525390281575015</v>
      </c>
      <c r="H211" s="295">
        <f t="shared" ca="1" si="57"/>
        <v>-12325.009070182494</v>
      </c>
      <c r="I211" s="948"/>
      <c r="J211" s="296">
        <f t="shared" ca="1" si="62"/>
        <v>-12325.009070182494</v>
      </c>
      <c r="K211" s="949"/>
      <c r="L211" s="949"/>
      <c r="M211" s="949"/>
      <c r="N211" s="950"/>
      <c r="O211" s="950"/>
      <c r="X211" s="945"/>
      <c r="Y211" s="945"/>
    </row>
    <row r="212" spans="2:25" ht="9.75" customHeight="1">
      <c r="B212" s="946"/>
      <c r="C212" s="946"/>
      <c r="D212" s="294">
        <f t="shared" ca="1" si="60"/>
        <v>52561</v>
      </c>
      <c r="E212" s="359">
        <f t="shared" si="63"/>
        <v>0</v>
      </c>
      <c r="F212" s="360">
        <f t="shared" ca="1" si="61"/>
        <v>60</v>
      </c>
      <c r="G212" s="290">
        <f ca="1">KTVTUCOI!P211</f>
        <v>3.9748154251338548</v>
      </c>
      <c r="H212" s="295">
        <f t="shared" ca="1" si="57"/>
        <v>-12394.134170119984</v>
      </c>
      <c r="I212" s="948"/>
      <c r="J212" s="296">
        <f t="shared" ca="1" si="62"/>
        <v>-12394.134170119984</v>
      </c>
      <c r="K212" s="949"/>
      <c r="L212" s="949"/>
      <c r="M212" s="949"/>
      <c r="N212" s="950"/>
      <c r="O212" s="950"/>
      <c r="X212" s="945"/>
      <c r="Y212" s="945"/>
    </row>
    <row r="213" spans="2:25" ht="9.75" customHeight="1">
      <c r="B213" s="946"/>
      <c r="C213" s="946"/>
      <c r="D213" s="294">
        <f t="shared" ca="1" si="60"/>
        <v>52591</v>
      </c>
      <c r="E213" s="359">
        <f t="shared" si="63"/>
        <v>0</v>
      </c>
      <c r="F213" s="360">
        <f t="shared" ca="1" si="61"/>
        <v>60</v>
      </c>
      <c r="G213" s="290">
        <f ca="1">KTVTUCOI!P212</f>
        <v>3.9971082698636948</v>
      </c>
      <c r="H213" s="295">
        <f t="shared" ca="1" si="57"/>
        <v>-12463.310308499857</v>
      </c>
      <c r="I213" s="948"/>
      <c r="J213" s="296">
        <f t="shared" ca="1" si="62"/>
        <v>-12463.310308499857</v>
      </c>
      <c r="K213" s="949"/>
      <c r="L213" s="949"/>
      <c r="M213" s="949"/>
      <c r="N213" s="950"/>
      <c r="O213" s="950"/>
      <c r="X213" s="945"/>
      <c r="Y213" s="945"/>
    </row>
    <row r="214" spans="2:25" ht="9.75" customHeight="1">
      <c r="B214" s="946"/>
      <c r="C214" s="946"/>
      <c r="D214" s="294">
        <f t="shared" ca="1" si="60"/>
        <v>52622</v>
      </c>
      <c r="E214" s="359">
        <f t="shared" si="63"/>
        <v>0</v>
      </c>
      <c r="F214" s="360">
        <f t="shared" ca="1" si="61"/>
        <v>60</v>
      </c>
      <c r="G214" s="290">
        <f ca="1">KTVTUCOI!P213</f>
        <v>4.0194175744912037</v>
      </c>
      <c r="H214" s="295">
        <f t="shared" ca="1" si="57"/>
        <v>-12532.537523006291</v>
      </c>
      <c r="I214" s="948"/>
      <c r="J214" s="296">
        <f t="shared" ca="1" si="62"/>
        <v>-12532.537523006291</v>
      </c>
      <c r="K214" s="949"/>
      <c r="L214" s="949"/>
      <c r="M214" s="949"/>
      <c r="N214" s="950"/>
      <c r="O214" s="950"/>
      <c r="X214" s="945"/>
      <c r="Y214" s="945"/>
    </row>
    <row r="215" spans="2:25" ht="9.75" customHeight="1">
      <c r="B215" s="946"/>
      <c r="C215" s="946"/>
      <c r="D215" s="294">
        <f t="shared" ca="1" si="60"/>
        <v>52653</v>
      </c>
      <c r="E215" s="359">
        <f t="shared" si="63"/>
        <v>0</v>
      </c>
      <c r="F215" s="360">
        <f t="shared" ca="1" si="61"/>
        <v>60</v>
      </c>
      <c r="G215" s="290">
        <f ca="1">KTVTUCOI!P214</f>
        <v>4.0417433511695284</v>
      </c>
      <c r="H215" s="295">
        <f t="shared" ca="1" si="57"/>
        <v>-12601.815851351292</v>
      </c>
      <c r="I215" s="948"/>
      <c r="J215" s="296">
        <f t="shared" ca="1" si="62"/>
        <v>-12601.815851351292</v>
      </c>
      <c r="K215" s="949"/>
      <c r="L215" s="949"/>
      <c r="M215" s="949"/>
      <c r="N215" s="950"/>
      <c r="O215" s="950"/>
      <c r="X215" s="945"/>
      <c r="Y215" s="945"/>
    </row>
    <row r="216" spans="2:25" ht="9.75" customHeight="1">
      <c r="B216" s="946"/>
      <c r="C216" s="946"/>
      <c r="D216" s="294">
        <f t="shared" ca="1" si="60"/>
        <v>52682</v>
      </c>
      <c r="E216" s="359">
        <f t="shared" si="63"/>
        <v>0</v>
      </c>
      <c r="F216" s="360">
        <f t="shared" ca="1" si="61"/>
        <v>60</v>
      </c>
      <c r="G216" s="290">
        <f ca="1">KTVTUCOI!P215</f>
        <v>4.0640856120607909</v>
      </c>
      <c r="H216" s="295">
        <f t="shared" ca="1" si="57"/>
        <v>-12671.145331274703</v>
      </c>
      <c r="I216" s="948"/>
      <c r="J216" s="296">
        <f t="shared" ca="1" si="62"/>
        <v>-12671.145331274703</v>
      </c>
      <c r="K216" s="949"/>
      <c r="L216" s="949"/>
      <c r="M216" s="949"/>
      <c r="N216" s="950"/>
      <c r="O216" s="950"/>
      <c r="X216" s="945"/>
      <c r="Y216" s="945"/>
    </row>
    <row r="217" spans="2:25" ht="9.75" customHeight="1">
      <c r="B217" s="946"/>
      <c r="C217" s="946"/>
      <c r="D217" s="294">
        <f t="shared" ca="1" si="60"/>
        <v>52713</v>
      </c>
      <c r="E217" s="359">
        <f t="shared" si="63"/>
        <v>0</v>
      </c>
      <c r="F217" s="360">
        <f t="shared" ca="1" si="61"/>
        <v>60</v>
      </c>
      <c r="G217" s="290">
        <f ca="1">KTVTUCOI!P216</f>
        <v>4.0864443693360917</v>
      </c>
      <c r="H217" s="295">
        <f t="shared" ca="1" si="57"/>
        <v>-12740.52600054424</v>
      </c>
      <c r="I217" s="948"/>
      <c r="J217" s="296">
        <f t="shared" ca="1" si="62"/>
        <v>-12740.52600054424</v>
      </c>
      <c r="K217" s="949"/>
      <c r="L217" s="949"/>
      <c r="M217" s="949"/>
      <c r="N217" s="950"/>
      <c r="O217" s="950"/>
      <c r="X217" s="945"/>
      <c r="Y217" s="945"/>
    </row>
    <row r="218" spans="2:25" ht="9.75" customHeight="1">
      <c r="B218" s="946"/>
      <c r="C218" s="946"/>
      <c r="D218" s="294">
        <f t="shared" ca="1" si="60"/>
        <v>52743</v>
      </c>
      <c r="E218" s="359">
        <f t="shared" si="63"/>
        <v>0</v>
      </c>
      <c r="F218" s="360">
        <f t="shared" ca="1" si="61"/>
        <v>60</v>
      </c>
      <c r="G218" s="290">
        <f ca="1">KTVTUCOI!P217</f>
        <v>4.1088196351755171</v>
      </c>
      <c r="H218" s="295">
        <f t="shared" ca="1" si="57"/>
        <v>-12809.957896955499</v>
      </c>
      <c r="I218" s="948"/>
      <c r="J218" s="296">
        <f t="shared" ca="1" si="62"/>
        <v>-12809.957896955499</v>
      </c>
      <c r="K218" s="949"/>
      <c r="L218" s="949"/>
      <c r="M218" s="949"/>
      <c r="N218" s="950"/>
      <c r="O218" s="950"/>
      <c r="X218" s="945"/>
      <c r="Y218" s="945"/>
    </row>
    <row r="219" spans="2:25" ht="9.75" customHeight="1">
      <c r="B219" s="946"/>
      <c r="C219" s="946"/>
      <c r="D219" s="294">
        <f t="shared" ca="1" si="60"/>
        <v>52774</v>
      </c>
      <c r="E219" s="359">
        <f t="shared" si="63"/>
        <v>0</v>
      </c>
      <c r="F219" s="360">
        <f t="shared" ca="1" si="61"/>
        <v>60</v>
      </c>
      <c r="G219" s="290">
        <f ca="1">KTVTUCOI!P218</f>
        <v>4.1312114217681488</v>
      </c>
      <c r="H219" s="295">
        <f t="shared" ca="1" si="57"/>
        <v>-12879.441058331984</v>
      </c>
      <c r="I219" s="948"/>
      <c r="J219" s="297">
        <f ca="1">H219+I208</f>
        <v>-12879.441058331984</v>
      </c>
      <c r="K219" s="949"/>
      <c r="L219" s="949"/>
      <c r="M219" s="949"/>
      <c r="N219" s="950"/>
      <c r="O219" s="950"/>
      <c r="X219" s="945"/>
      <c r="Y219" s="945"/>
    </row>
    <row r="220" spans="2:25" ht="9.75" customHeight="1">
      <c r="B220" s="951">
        <f>B208+1</f>
        <v>19</v>
      </c>
      <c r="C220" s="952">
        <f ca="1">C208+1</f>
        <v>48</v>
      </c>
      <c r="D220" s="287">
        <f t="shared" ca="1" si="60"/>
        <v>52804</v>
      </c>
      <c r="E220" s="359">
        <f t="shared" si="63"/>
        <v>0</v>
      </c>
      <c r="F220" s="289">
        <f t="shared" ca="1" si="61"/>
        <v>60</v>
      </c>
      <c r="G220" s="290">
        <f ca="1">KTVTUCOI!P219</f>
        <v>4.4863386353189743</v>
      </c>
      <c r="H220" s="290">
        <f ca="1">(J219+KTVBVGTTKcamket!F25-F220-G220)*(1+$W$3)</f>
        <v>-12949.308379735317</v>
      </c>
      <c r="I220" s="953"/>
      <c r="J220" s="292">
        <f t="shared" ca="1" si="62"/>
        <v>-12949.308379735317</v>
      </c>
      <c r="K220" s="949">
        <f ca="1">J231</f>
        <v>-13721.38178675615</v>
      </c>
      <c r="L220" s="949"/>
      <c r="M220" s="949"/>
      <c r="N220" s="950">
        <f t="shared" ref="N220" ca="1" si="66">SUM(G220:G231)</f>
        <v>55.446412002658143</v>
      </c>
      <c r="O220" s="950"/>
      <c r="X220" s="945">
        <f t="shared" ref="X220:Y220" ca="1" si="67">SUM(F220:F231)</f>
        <v>720</v>
      </c>
      <c r="Y220" s="945">
        <f t="shared" ca="1" si="67"/>
        <v>55.446412002658143</v>
      </c>
    </row>
    <row r="221" spans="2:25" ht="9.75" customHeight="1">
      <c r="B221" s="951"/>
      <c r="C221" s="951"/>
      <c r="D221" s="287">
        <f t="shared" ca="1" si="60"/>
        <v>52835</v>
      </c>
      <c r="E221" s="359">
        <f t="shared" si="63"/>
        <v>0</v>
      </c>
      <c r="F221" s="289">
        <f t="shared" ca="1" si="61"/>
        <v>60</v>
      </c>
      <c r="G221" s="290">
        <f ca="1">KTVTUCOI!P220</f>
        <v>4.5106757522744685</v>
      </c>
      <c r="H221" s="290">
        <f t="shared" ca="1" si="57"/>
        <v>-13019.229093255577</v>
      </c>
      <c r="I221" s="953"/>
      <c r="J221" s="292">
        <f t="shared" ca="1" si="62"/>
        <v>-13019.229093255577</v>
      </c>
      <c r="K221" s="949"/>
      <c r="L221" s="949"/>
      <c r="M221" s="949"/>
      <c r="N221" s="950"/>
      <c r="O221" s="950"/>
      <c r="X221" s="945"/>
      <c r="Y221" s="945"/>
    </row>
    <row r="222" spans="2:25" ht="9.75" customHeight="1">
      <c r="B222" s="951"/>
      <c r="C222" s="951"/>
      <c r="D222" s="287">
        <f t="shared" ca="1" si="60"/>
        <v>52866</v>
      </c>
      <c r="E222" s="359">
        <f t="shared" si="63"/>
        <v>0</v>
      </c>
      <c r="F222" s="289">
        <f t="shared" ca="1" si="61"/>
        <v>60</v>
      </c>
      <c r="G222" s="290">
        <f ca="1">KTVTUCOI!P221</f>
        <v>4.5350314674840257</v>
      </c>
      <c r="H222" s="290">
        <f t="shared" ca="1" si="57"/>
        <v>-13089.203239694642</v>
      </c>
      <c r="I222" s="953"/>
      <c r="J222" s="292">
        <f t="shared" ca="1" si="62"/>
        <v>-13089.203239694642</v>
      </c>
      <c r="K222" s="949"/>
      <c r="L222" s="949"/>
      <c r="M222" s="949"/>
      <c r="N222" s="950"/>
      <c r="O222" s="950"/>
      <c r="X222" s="945"/>
      <c r="Y222" s="945"/>
    </row>
    <row r="223" spans="2:25" ht="9.75" customHeight="1">
      <c r="B223" s="951"/>
      <c r="C223" s="951"/>
      <c r="D223" s="287">
        <f t="shared" ca="1" si="60"/>
        <v>52896</v>
      </c>
      <c r="E223" s="359">
        <f t="shared" si="63"/>
        <v>0</v>
      </c>
      <c r="F223" s="289">
        <f t="shared" ca="1" si="61"/>
        <v>60</v>
      </c>
      <c r="G223" s="290">
        <f ca="1">KTVTUCOI!P222</f>
        <v>4.5594057951602993</v>
      </c>
      <c r="H223" s="290">
        <f t="shared" ca="1" si="57"/>
        <v>-13159.230859885574</v>
      </c>
      <c r="I223" s="953"/>
      <c r="J223" s="292">
        <f t="shared" ca="1" si="62"/>
        <v>-13159.230859885574</v>
      </c>
      <c r="K223" s="949"/>
      <c r="L223" s="949"/>
      <c r="M223" s="949"/>
      <c r="N223" s="950"/>
      <c r="O223" s="950"/>
      <c r="X223" s="945"/>
      <c r="Y223" s="945"/>
    </row>
    <row r="224" spans="2:25" ht="9.75" customHeight="1">
      <c r="B224" s="951"/>
      <c r="C224" s="951"/>
      <c r="D224" s="287">
        <f t="shared" ca="1" si="60"/>
        <v>52927</v>
      </c>
      <c r="E224" s="359">
        <f t="shared" si="63"/>
        <v>0</v>
      </c>
      <c r="F224" s="289">
        <f t="shared" ca="1" si="61"/>
        <v>60</v>
      </c>
      <c r="G224" s="290">
        <f ca="1">KTVTUCOI!P223</f>
        <v>4.5837987495268075</v>
      </c>
      <c r="H224" s="290">
        <f t="shared" ca="1" si="57"/>
        <v>-13229.311994692642</v>
      </c>
      <c r="I224" s="953"/>
      <c r="J224" s="292">
        <f t="shared" ca="1" si="62"/>
        <v>-13229.311994692642</v>
      </c>
      <c r="K224" s="949"/>
      <c r="L224" s="949"/>
      <c r="M224" s="949"/>
      <c r="N224" s="950"/>
      <c r="O224" s="950"/>
      <c r="X224" s="945"/>
      <c r="Y224" s="945"/>
    </row>
    <row r="225" spans="2:25" ht="9.75" customHeight="1">
      <c r="B225" s="951"/>
      <c r="C225" s="951"/>
      <c r="D225" s="287">
        <f t="shared" ca="1" si="60"/>
        <v>52957</v>
      </c>
      <c r="E225" s="359">
        <f t="shared" si="63"/>
        <v>0</v>
      </c>
      <c r="F225" s="289">
        <f t="shared" ca="1" si="61"/>
        <v>60</v>
      </c>
      <c r="G225" s="290">
        <f ca="1">KTVTUCOI!P224</f>
        <v>4.6082103448179366</v>
      </c>
      <c r="H225" s="290">
        <f t="shared" ca="1" si="57"/>
        <v>-13299.446685011337</v>
      </c>
      <c r="I225" s="953"/>
      <c r="J225" s="292">
        <f t="shared" ca="1" si="62"/>
        <v>-13299.446685011337</v>
      </c>
      <c r="K225" s="949"/>
      <c r="L225" s="949"/>
      <c r="M225" s="949"/>
      <c r="N225" s="950"/>
      <c r="O225" s="950"/>
      <c r="X225" s="945"/>
      <c r="Y225" s="945"/>
    </row>
    <row r="226" spans="2:25" ht="9.75" customHeight="1">
      <c r="B226" s="951"/>
      <c r="C226" s="951"/>
      <c r="D226" s="287">
        <f t="shared" ca="1" si="60"/>
        <v>52988</v>
      </c>
      <c r="E226" s="359">
        <f t="shared" si="63"/>
        <v>0</v>
      </c>
      <c r="F226" s="289">
        <f t="shared" ca="1" si="61"/>
        <v>60</v>
      </c>
      <c r="G226" s="290">
        <f ca="1">KTVTUCOI!P225</f>
        <v>4.6326405952789491</v>
      </c>
      <c r="H226" s="290">
        <f t="shared" ca="1" si="57"/>
        <v>-13369.634971768406</v>
      </c>
      <c r="I226" s="953"/>
      <c r="J226" s="292">
        <f t="shared" ca="1" si="62"/>
        <v>-13369.634971768406</v>
      </c>
      <c r="K226" s="949"/>
      <c r="L226" s="949"/>
      <c r="M226" s="949"/>
      <c r="N226" s="950"/>
      <c r="O226" s="950"/>
      <c r="X226" s="945"/>
      <c r="Y226" s="945"/>
    </row>
    <row r="227" spans="2:25" ht="9.75" customHeight="1">
      <c r="B227" s="951"/>
      <c r="C227" s="951"/>
      <c r="D227" s="287">
        <f t="shared" ca="1" si="60"/>
        <v>53019</v>
      </c>
      <c r="E227" s="359">
        <f t="shared" si="63"/>
        <v>0</v>
      </c>
      <c r="F227" s="289">
        <f t="shared" ca="1" si="61"/>
        <v>60</v>
      </c>
      <c r="G227" s="290">
        <f ca="1">KTVTUCOI!P226</f>
        <v>4.6570895151659943</v>
      </c>
      <c r="H227" s="290">
        <f t="shared" ca="1" si="57"/>
        <v>-13439.876895921872</v>
      </c>
      <c r="I227" s="953"/>
      <c r="J227" s="292">
        <f t="shared" ca="1" si="62"/>
        <v>-13439.876895921872</v>
      </c>
      <c r="K227" s="949"/>
      <c r="L227" s="949"/>
      <c r="M227" s="949"/>
      <c r="N227" s="950"/>
      <c r="O227" s="950"/>
      <c r="X227" s="945"/>
      <c r="Y227" s="945"/>
    </row>
    <row r="228" spans="2:25" ht="9.75" customHeight="1">
      <c r="B228" s="951"/>
      <c r="C228" s="951"/>
      <c r="D228" s="287">
        <f t="shared" ca="1" si="60"/>
        <v>53047</v>
      </c>
      <c r="E228" s="359">
        <f t="shared" si="63"/>
        <v>0</v>
      </c>
      <c r="F228" s="289">
        <f t="shared" ca="1" si="61"/>
        <v>60</v>
      </c>
      <c r="G228" s="290">
        <f ca="1">KTVTUCOI!P227</f>
        <v>4.6815571187461185</v>
      </c>
      <c r="H228" s="290">
        <f t="shared" ca="1" si="57"/>
        <v>-13510.172498461057</v>
      </c>
      <c r="I228" s="953"/>
      <c r="J228" s="292">
        <f t="shared" ca="1" si="62"/>
        <v>-13510.172498461057</v>
      </c>
      <c r="K228" s="949"/>
      <c r="L228" s="949"/>
      <c r="M228" s="949"/>
      <c r="N228" s="950"/>
      <c r="O228" s="950"/>
      <c r="X228" s="945"/>
      <c r="Y228" s="945"/>
    </row>
    <row r="229" spans="2:25" ht="9.75" customHeight="1">
      <c r="B229" s="951"/>
      <c r="C229" s="951"/>
      <c r="D229" s="287">
        <f t="shared" ca="1" si="60"/>
        <v>53078</v>
      </c>
      <c r="E229" s="359">
        <f t="shared" si="63"/>
        <v>0</v>
      </c>
      <c r="F229" s="289">
        <f t="shared" ca="1" si="61"/>
        <v>60</v>
      </c>
      <c r="G229" s="290">
        <f ca="1">KTVTUCOI!P228</f>
        <v>4.7060434202972674</v>
      </c>
      <c r="H229" s="290">
        <f t="shared" ca="1" si="57"/>
        <v>-13580.521820406608</v>
      </c>
      <c r="I229" s="953"/>
      <c r="J229" s="292">
        <f t="shared" ca="1" si="62"/>
        <v>-13580.521820406608</v>
      </c>
      <c r="K229" s="949"/>
      <c r="L229" s="949"/>
      <c r="M229" s="949"/>
      <c r="N229" s="950"/>
      <c r="O229" s="950"/>
      <c r="X229" s="945"/>
      <c r="Y229" s="945"/>
    </row>
    <row r="230" spans="2:25" ht="9.75" customHeight="1">
      <c r="B230" s="951"/>
      <c r="C230" s="951"/>
      <c r="D230" s="287">
        <f t="shared" ca="1" si="60"/>
        <v>53108</v>
      </c>
      <c r="E230" s="359">
        <f t="shared" si="63"/>
        <v>0</v>
      </c>
      <c r="F230" s="289">
        <f t="shared" ca="1" si="61"/>
        <v>60</v>
      </c>
      <c r="G230" s="290">
        <f ca="1">KTVTUCOI!P229</f>
        <v>4.7305484341083011</v>
      </c>
      <c r="H230" s="290">
        <f t="shared" ca="1" si="57"/>
        <v>-13650.924902810517</v>
      </c>
      <c r="I230" s="953"/>
      <c r="J230" s="292">
        <f t="shared" ca="1" si="62"/>
        <v>-13650.924902810517</v>
      </c>
      <c r="K230" s="949"/>
      <c r="L230" s="949"/>
      <c r="M230" s="949"/>
      <c r="N230" s="950"/>
      <c r="O230" s="950"/>
      <c r="X230" s="945"/>
      <c r="Y230" s="945"/>
    </row>
    <row r="231" spans="2:25" ht="9.75" customHeight="1">
      <c r="B231" s="951"/>
      <c r="C231" s="951"/>
      <c r="D231" s="287">
        <f t="shared" ca="1" si="60"/>
        <v>53139</v>
      </c>
      <c r="E231" s="359">
        <f t="shared" si="63"/>
        <v>0</v>
      </c>
      <c r="F231" s="289">
        <f t="shared" ca="1" si="61"/>
        <v>60</v>
      </c>
      <c r="G231" s="290">
        <f ca="1">KTVTUCOI!P230</f>
        <v>4.7550721744789968</v>
      </c>
      <c r="H231" s="290">
        <f t="shared" ca="1" si="57"/>
        <v>-13721.38178675615</v>
      </c>
      <c r="I231" s="953"/>
      <c r="J231" s="293">
        <f ca="1">H231+I220</f>
        <v>-13721.38178675615</v>
      </c>
      <c r="K231" s="949"/>
      <c r="L231" s="949"/>
      <c r="M231" s="949"/>
      <c r="N231" s="950"/>
      <c r="O231" s="950"/>
      <c r="X231" s="945"/>
      <c r="Y231" s="945"/>
    </row>
    <row r="232" spans="2:25" ht="9.75" customHeight="1">
      <c r="B232" s="946">
        <f>B220+1</f>
        <v>20</v>
      </c>
      <c r="C232" s="947">
        <f ca="1">C220+1</f>
        <v>49</v>
      </c>
      <c r="D232" s="294">
        <f t="shared" ca="1" si="60"/>
        <v>53169</v>
      </c>
      <c r="E232" s="359">
        <f t="shared" si="63"/>
        <v>0</v>
      </c>
      <c r="F232" s="360">
        <f t="shared" ca="1" si="61"/>
        <v>60</v>
      </c>
      <c r="G232" s="290">
        <f ca="1">KTVTUCOI!P231</f>
        <v>5.1683871396781491</v>
      </c>
      <c r="H232" s="295">
        <f ca="1">(J231+KTVBVGTTKcamket!F26-F232-G232)*(1+$W$3)</f>
        <v>-13792.281447460718</v>
      </c>
      <c r="I232" s="948">
        <f ca="1">IF(COUNTIF(KTVBVGTTKcamket!$E$7:E26,0)&gt;0,0,'Tinh phi QL'!H12/1000)</f>
        <v>0</v>
      </c>
      <c r="J232" s="296">
        <f t="shared" ca="1" si="62"/>
        <v>-13792.281447460718</v>
      </c>
      <c r="K232" s="949">
        <f ca="1">J243</f>
        <v>-14575.89611504512</v>
      </c>
      <c r="L232" s="949"/>
      <c r="M232" s="949"/>
      <c r="N232" s="950">
        <f t="shared" ref="N232" ca="1" si="68">SUM(G232:G243)</f>
        <v>63.787875889549007</v>
      </c>
      <c r="O232" s="950"/>
      <c r="X232" s="945">
        <f t="shared" ref="X232:Y232" ca="1" si="69">SUM(F232:F243)</f>
        <v>720</v>
      </c>
      <c r="Y232" s="945">
        <f t="shared" ca="1" si="69"/>
        <v>63.787875889549007</v>
      </c>
    </row>
    <row r="233" spans="2:25" ht="9.75" customHeight="1">
      <c r="B233" s="946"/>
      <c r="C233" s="946"/>
      <c r="D233" s="294">
        <f t="shared" ca="1" si="60"/>
        <v>53200</v>
      </c>
      <c r="E233" s="359">
        <f t="shared" si="63"/>
        <v>0</v>
      </c>
      <c r="F233" s="360">
        <f t="shared" ca="1" si="61"/>
        <v>60</v>
      </c>
      <c r="G233" s="290">
        <f ca="1">KTVTUCOI!P232</f>
        <v>5.1950926785435367</v>
      </c>
      <c r="H233" s="295">
        <f t="shared" ca="1" si="57"/>
        <v>-13863.237298847482</v>
      </c>
      <c r="I233" s="948"/>
      <c r="J233" s="296">
        <f t="shared" ca="1" si="62"/>
        <v>-13863.237298847482</v>
      </c>
      <c r="K233" s="949"/>
      <c r="L233" s="949"/>
      <c r="M233" s="949"/>
      <c r="N233" s="950"/>
      <c r="O233" s="950"/>
      <c r="X233" s="945"/>
      <c r="Y233" s="945"/>
    </row>
    <row r="234" spans="2:25" ht="9.75" customHeight="1">
      <c r="B234" s="946"/>
      <c r="C234" s="946"/>
      <c r="D234" s="294">
        <f t="shared" ca="1" si="60"/>
        <v>53231</v>
      </c>
      <c r="E234" s="359">
        <f t="shared" si="63"/>
        <v>0</v>
      </c>
      <c r="F234" s="360">
        <f t="shared" ca="1" si="61"/>
        <v>60</v>
      </c>
      <c r="G234" s="290">
        <f ca="1">KTVTUCOI!P233</f>
        <v>5.2218193825658838</v>
      </c>
      <c r="H234" s="295">
        <f t="shared" ca="1" si="57"/>
        <v>-13934.249385449697</v>
      </c>
      <c r="I234" s="948"/>
      <c r="J234" s="296">
        <f t="shared" ca="1" si="62"/>
        <v>-13934.249385449697</v>
      </c>
      <c r="K234" s="949"/>
      <c r="L234" s="949"/>
      <c r="M234" s="949"/>
      <c r="N234" s="950"/>
      <c r="O234" s="950"/>
      <c r="X234" s="945"/>
      <c r="Y234" s="945"/>
    </row>
    <row r="235" spans="2:25" ht="9.75" customHeight="1">
      <c r="B235" s="946"/>
      <c r="C235" s="946"/>
      <c r="D235" s="294">
        <f t="shared" ca="1" si="60"/>
        <v>53261</v>
      </c>
      <c r="E235" s="359">
        <f t="shared" si="63"/>
        <v>0</v>
      </c>
      <c r="F235" s="360">
        <f t="shared" ca="1" si="61"/>
        <v>60</v>
      </c>
      <c r="G235" s="290">
        <f ca="1">KTVTUCOI!P234</f>
        <v>5.2485672685193849</v>
      </c>
      <c r="H235" s="295">
        <f t="shared" ca="1" si="57"/>
        <v>-14005.317751835915</v>
      </c>
      <c r="I235" s="948"/>
      <c r="J235" s="296">
        <f t="shared" ca="1" si="62"/>
        <v>-14005.317751835915</v>
      </c>
      <c r="K235" s="949"/>
      <c r="L235" s="949"/>
      <c r="M235" s="949"/>
      <c r="N235" s="950"/>
      <c r="O235" s="950"/>
      <c r="X235" s="945"/>
      <c r="Y235" s="945"/>
    </row>
    <row r="236" spans="2:25" ht="9.75" customHeight="1">
      <c r="B236" s="946"/>
      <c r="C236" s="946"/>
      <c r="D236" s="294">
        <f t="shared" ca="1" si="60"/>
        <v>53292</v>
      </c>
      <c r="E236" s="359">
        <f t="shared" si="63"/>
        <v>0</v>
      </c>
      <c r="F236" s="360">
        <f t="shared" ca="1" si="61"/>
        <v>60</v>
      </c>
      <c r="G236" s="290">
        <f ca="1">KTVTUCOI!P235</f>
        <v>5.2753363531915278</v>
      </c>
      <c r="H236" s="295">
        <f t="shared" ca="1" si="57"/>
        <v>-14076.442442610009</v>
      </c>
      <c r="I236" s="948"/>
      <c r="J236" s="296">
        <f t="shared" ca="1" si="62"/>
        <v>-14076.442442610009</v>
      </c>
      <c r="K236" s="949"/>
      <c r="L236" s="949"/>
      <c r="M236" s="949"/>
      <c r="N236" s="950"/>
      <c r="O236" s="950"/>
      <c r="X236" s="945"/>
      <c r="Y236" s="945"/>
    </row>
    <row r="237" spans="2:25" ht="9.75" customHeight="1">
      <c r="B237" s="946"/>
      <c r="C237" s="946"/>
      <c r="D237" s="294">
        <f t="shared" ca="1" si="60"/>
        <v>53322</v>
      </c>
      <c r="E237" s="359">
        <f t="shared" si="63"/>
        <v>0</v>
      </c>
      <c r="F237" s="360">
        <f t="shared" ca="1" si="61"/>
        <v>60</v>
      </c>
      <c r="G237" s="290">
        <f ca="1">KTVTUCOI!P236</f>
        <v>5.3021266533831026</v>
      </c>
      <c r="H237" s="295">
        <f t="shared" ca="1" si="57"/>
        <v>-14147.623502411201</v>
      </c>
      <c r="I237" s="948"/>
      <c r="J237" s="296">
        <f t="shared" ca="1" si="62"/>
        <v>-14147.623502411201</v>
      </c>
      <c r="K237" s="949"/>
      <c r="L237" s="949"/>
      <c r="M237" s="949"/>
      <c r="N237" s="950"/>
      <c r="O237" s="950"/>
      <c r="X237" s="945"/>
      <c r="Y237" s="945"/>
    </row>
    <row r="238" spans="2:25" ht="9.75" customHeight="1">
      <c r="B238" s="946"/>
      <c r="C238" s="946"/>
      <c r="D238" s="294">
        <f t="shared" ca="1" si="60"/>
        <v>53353</v>
      </c>
      <c r="E238" s="359">
        <f t="shared" si="63"/>
        <v>0</v>
      </c>
      <c r="F238" s="360">
        <f t="shared" ca="1" si="61"/>
        <v>60</v>
      </c>
      <c r="G238" s="290">
        <f ca="1">KTVTUCOI!P237</f>
        <v>5.3289381859082185</v>
      </c>
      <c r="H238" s="295">
        <f t="shared" ca="1" si="57"/>
        <v>-14218.860975914093</v>
      </c>
      <c r="I238" s="948"/>
      <c r="J238" s="296">
        <f t="shared" ca="1" si="62"/>
        <v>-14218.860975914093</v>
      </c>
      <c r="K238" s="949"/>
      <c r="L238" s="949"/>
      <c r="M238" s="949"/>
      <c r="N238" s="950"/>
      <c r="O238" s="950"/>
      <c r="X238" s="945"/>
      <c r="Y238" s="945"/>
    </row>
    <row r="239" spans="2:25" ht="9.75" customHeight="1">
      <c r="B239" s="946"/>
      <c r="C239" s="946"/>
      <c r="D239" s="294">
        <f t="shared" ca="1" si="60"/>
        <v>53384</v>
      </c>
      <c r="E239" s="359">
        <f t="shared" si="63"/>
        <v>0</v>
      </c>
      <c r="F239" s="360">
        <f t="shared" ca="1" si="61"/>
        <v>60</v>
      </c>
      <c r="G239" s="290">
        <f ca="1">KTVTUCOI!P238</f>
        <v>5.3557709675943075</v>
      </c>
      <c r="H239" s="295">
        <f t="shared" ca="1" si="57"/>
        <v>-14290.154907828693</v>
      </c>
      <c r="I239" s="948"/>
      <c r="J239" s="296">
        <f t="shared" ca="1" si="62"/>
        <v>-14290.154907828693</v>
      </c>
      <c r="K239" s="949"/>
      <c r="L239" s="949"/>
      <c r="M239" s="949"/>
      <c r="N239" s="950"/>
      <c r="O239" s="950"/>
      <c r="X239" s="945"/>
      <c r="Y239" s="945"/>
    </row>
    <row r="240" spans="2:25" ht="9.75" customHeight="1">
      <c r="B240" s="946"/>
      <c r="C240" s="946"/>
      <c r="D240" s="294">
        <f t="shared" ca="1" si="60"/>
        <v>53412</v>
      </c>
      <c r="E240" s="359">
        <f t="shared" si="63"/>
        <v>0</v>
      </c>
      <c r="F240" s="360">
        <f t="shared" ca="1" si="61"/>
        <v>60</v>
      </c>
      <c r="G240" s="290">
        <f ca="1">KTVTUCOI!P239</f>
        <v>5.3826250152821409</v>
      </c>
      <c r="H240" s="295">
        <f t="shared" ca="1" si="57"/>
        <v>-14361.505342900442</v>
      </c>
      <c r="I240" s="948"/>
      <c r="J240" s="296">
        <f t="shared" ca="1" si="62"/>
        <v>-14361.505342900442</v>
      </c>
      <c r="K240" s="949"/>
      <c r="L240" s="949"/>
      <c r="M240" s="949"/>
      <c r="N240" s="950"/>
      <c r="O240" s="950"/>
      <c r="X240" s="945"/>
      <c r="Y240" s="945"/>
    </row>
    <row r="241" spans="2:25" ht="9.75" customHeight="1">
      <c r="B241" s="946"/>
      <c r="C241" s="946"/>
      <c r="D241" s="294">
        <f t="shared" ca="1" si="60"/>
        <v>53443</v>
      </c>
      <c r="E241" s="359">
        <f t="shared" si="63"/>
        <v>0</v>
      </c>
      <c r="F241" s="360">
        <f t="shared" ca="1" si="61"/>
        <v>60</v>
      </c>
      <c r="G241" s="290">
        <f ca="1">KTVTUCOI!P240</f>
        <v>5.4095003458258324</v>
      </c>
      <c r="H241" s="295">
        <f t="shared" ca="1" si="57"/>
        <v>-14432.912325910247</v>
      </c>
      <c r="I241" s="948"/>
      <c r="J241" s="296">
        <f t="shared" ca="1" si="62"/>
        <v>-14432.912325910247</v>
      </c>
      <c r="K241" s="949"/>
      <c r="L241" s="949"/>
      <c r="M241" s="949"/>
      <c r="N241" s="950"/>
      <c r="O241" s="950"/>
      <c r="X241" s="945"/>
      <c r="Y241" s="945"/>
    </row>
    <row r="242" spans="2:25" ht="9.75" customHeight="1">
      <c r="B242" s="946"/>
      <c r="C242" s="946"/>
      <c r="D242" s="294">
        <f t="shared" ca="1" si="60"/>
        <v>53473</v>
      </c>
      <c r="E242" s="359">
        <f t="shared" si="63"/>
        <v>0</v>
      </c>
      <c r="F242" s="360">
        <f t="shared" ca="1" si="61"/>
        <v>60</v>
      </c>
      <c r="G242" s="290">
        <f ca="1">KTVTUCOI!P241</f>
        <v>5.4363969760928592</v>
      </c>
      <c r="H242" s="295">
        <f t="shared" ca="1" si="57"/>
        <v>-14504.375901674501</v>
      </c>
      <c r="I242" s="948"/>
      <c r="J242" s="296">
        <f t="shared" ca="1" si="62"/>
        <v>-14504.375901674501</v>
      </c>
      <c r="K242" s="949"/>
      <c r="L242" s="949"/>
      <c r="M242" s="949"/>
      <c r="N242" s="950"/>
      <c r="O242" s="950"/>
      <c r="X242" s="945"/>
      <c r="Y242" s="945"/>
    </row>
    <row r="243" spans="2:25" ht="9.75" customHeight="1">
      <c r="B243" s="946"/>
      <c r="C243" s="946"/>
      <c r="D243" s="294">
        <f t="shared" ca="1" si="60"/>
        <v>53504</v>
      </c>
      <c r="E243" s="359">
        <f t="shared" si="63"/>
        <v>0</v>
      </c>
      <c r="F243" s="360">
        <f t="shared" ca="1" si="61"/>
        <v>60</v>
      </c>
      <c r="G243" s="290">
        <f ca="1">KTVTUCOI!P242</f>
        <v>5.4633149229640603</v>
      </c>
      <c r="H243" s="295">
        <f t="shared" ca="1" si="57"/>
        <v>-14575.89611504512</v>
      </c>
      <c r="I243" s="948"/>
      <c r="J243" s="297">
        <f ca="1">H243+I232</f>
        <v>-14575.89611504512</v>
      </c>
      <c r="K243" s="949"/>
      <c r="L243" s="949"/>
      <c r="M243" s="949"/>
      <c r="N243" s="950"/>
      <c r="O243" s="950"/>
      <c r="X243" s="945"/>
      <c r="Y243" s="945"/>
    </row>
  </sheetData>
  <sheetProtection selectLockedCells="1"/>
  <mergeCells count="138">
    <mergeCell ref="B2:I2"/>
    <mergeCell ref="B4:B15"/>
    <mergeCell ref="C4:C15"/>
    <mergeCell ref="K4:M15"/>
    <mergeCell ref="N4:O15"/>
    <mergeCell ref="X4:X15"/>
    <mergeCell ref="B28:B39"/>
    <mergeCell ref="C28:C39"/>
    <mergeCell ref="K28:M39"/>
    <mergeCell ref="N28:O39"/>
    <mergeCell ref="X28:X39"/>
    <mergeCell ref="Y28:Y39"/>
    <mergeCell ref="Y4:Y15"/>
    <mergeCell ref="B16:B27"/>
    <mergeCell ref="C16:C27"/>
    <mergeCell ref="K16:M27"/>
    <mergeCell ref="N16:O27"/>
    <mergeCell ref="X16:X27"/>
    <mergeCell ref="Y16:Y27"/>
    <mergeCell ref="Y40:Y51"/>
    <mergeCell ref="B52:B63"/>
    <mergeCell ref="C52:C63"/>
    <mergeCell ref="I52:I63"/>
    <mergeCell ref="K52:M63"/>
    <mergeCell ref="N52:O63"/>
    <mergeCell ref="X52:X63"/>
    <mergeCell ref="Y52:Y63"/>
    <mergeCell ref="B40:B51"/>
    <mergeCell ref="C40:C51"/>
    <mergeCell ref="I40:I51"/>
    <mergeCell ref="K40:M51"/>
    <mergeCell ref="N40:O51"/>
    <mergeCell ref="X40:X51"/>
    <mergeCell ref="Y64:Y75"/>
    <mergeCell ref="B76:B87"/>
    <mergeCell ref="C76:C87"/>
    <mergeCell ref="I76:I87"/>
    <mergeCell ref="K76:M87"/>
    <mergeCell ref="N76:O87"/>
    <mergeCell ref="X76:X87"/>
    <mergeCell ref="Y76:Y87"/>
    <mergeCell ref="B64:B75"/>
    <mergeCell ref="C64:C75"/>
    <mergeCell ref="I64:I75"/>
    <mergeCell ref="K64:M75"/>
    <mergeCell ref="N64:O75"/>
    <mergeCell ref="X64:X75"/>
    <mergeCell ref="Y88:Y99"/>
    <mergeCell ref="B100:B111"/>
    <mergeCell ref="C100:C111"/>
    <mergeCell ref="I100:I111"/>
    <mergeCell ref="K100:M111"/>
    <mergeCell ref="N100:O111"/>
    <mergeCell ref="X100:X111"/>
    <mergeCell ref="Y100:Y111"/>
    <mergeCell ref="B88:B99"/>
    <mergeCell ref="C88:C99"/>
    <mergeCell ref="I88:I99"/>
    <mergeCell ref="K88:M99"/>
    <mergeCell ref="N88:O99"/>
    <mergeCell ref="X88:X99"/>
    <mergeCell ref="Y112:Y123"/>
    <mergeCell ref="B124:B135"/>
    <mergeCell ref="C124:C135"/>
    <mergeCell ref="I124:I135"/>
    <mergeCell ref="K124:M135"/>
    <mergeCell ref="N124:O135"/>
    <mergeCell ref="X124:X135"/>
    <mergeCell ref="Y124:Y135"/>
    <mergeCell ref="B112:B123"/>
    <mergeCell ref="C112:C123"/>
    <mergeCell ref="I112:I123"/>
    <mergeCell ref="K112:M123"/>
    <mergeCell ref="N112:O123"/>
    <mergeCell ref="X112:X123"/>
    <mergeCell ref="Y136:Y147"/>
    <mergeCell ref="B148:B159"/>
    <mergeCell ref="C148:C159"/>
    <mergeCell ref="I148:I159"/>
    <mergeCell ref="K148:M159"/>
    <mergeCell ref="N148:O159"/>
    <mergeCell ref="X148:X159"/>
    <mergeCell ref="Y148:Y159"/>
    <mergeCell ref="B136:B147"/>
    <mergeCell ref="C136:C147"/>
    <mergeCell ref="I136:I147"/>
    <mergeCell ref="K136:M147"/>
    <mergeCell ref="N136:O147"/>
    <mergeCell ref="X136:X147"/>
    <mergeCell ref="Y160:Y171"/>
    <mergeCell ref="B172:B183"/>
    <mergeCell ref="C172:C183"/>
    <mergeCell ref="I172:I183"/>
    <mergeCell ref="K172:M183"/>
    <mergeCell ref="N172:O183"/>
    <mergeCell ref="X172:X183"/>
    <mergeCell ref="Y172:Y183"/>
    <mergeCell ref="B160:B171"/>
    <mergeCell ref="C160:C171"/>
    <mergeCell ref="I160:I171"/>
    <mergeCell ref="K160:M171"/>
    <mergeCell ref="N160:O171"/>
    <mergeCell ref="X160:X171"/>
    <mergeCell ref="Y184:Y195"/>
    <mergeCell ref="B196:B207"/>
    <mergeCell ref="C196:C207"/>
    <mergeCell ref="I196:I207"/>
    <mergeCell ref="K196:M207"/>
    <mergeCell ref="N196:O207"/>
    <mergeCell ref="X196:X207"/>
    <mergeCell ref="Y196:Y207"/>
    <mergeCell ref="B184:B195"/>
    <mergeCell ref="C184:C195"/>
    <mergeCell ref="I184:I195"/>
    <mergeCell ref="K184:M195"/>
    <mergeCell ref="N184:O195"/>
    <mergeCell ref="X184:X195"/>
    <mergeCell ref="Y232:Y243"/>
    <mergeCell ref="B232:B243"/>
    <mergeCell ref="C232:C243"/>
    <mergeCell ref="I232:I243"/>
    <mergeCell ref="K232:M243"/>
    <mergeCell ref="N232:O243"/>
    <mergeCell ref="X232:X243"/>
    <mergeCell ref="Y208:Y219"/>
    <mergeCell ref="B220:B231"/>
    <mergeCell ref="C220:C231"/>
    <mergeCell ref="I220:I231"/>
    <mergeCell ref="K220:M231"/>
    <mergeCell ref="N220:O231"/>
    <mergeCell ref="X220:X231"/>
    <mergeCell ref="Y220:Y231"/>
    <mergeCell ref="B208:B219"/>
    <mergeCell ref="C208:C219"/>
    <mergeCell ref="I208:I219"/>
    <mergeCell ref="K208:M219"/>
    <mergeCell ref="N208:O219"/>
    <mergeCell ref="X208:X219"/>
  </mergeCells>
  <conditionalFormatting sqref="H1:J52 H53:H63 J53:J63 H64:J1048576">
    <cfRule type="cellIs" dxfId="220" priority="1" operator="lessThan">
      <formula>0</formula>
    </cfRule>
  </conditionalFormatting>
  <pageMargins left="0.75" right="0.75" top="1" bottom="1" header="0.5" footer="0.5"/>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253271-45F1-405F-9986-8B86F2385328}">
  <dimension ref="B1:V242"/>
  <sheetViews>
    <sheetView showGridLines="0" topLeftCell="F1" zoomScale="85" zoomScaleNormal="85" workbookViewId="0">
      <pane ySplit="2" topLeftCell="A3" activePane="bottomLeft" state="frozen"/>
      <selection activeCell="C1" sqref="C1"/>
      <selection pane="bottomLeft" activeCell="V3" sqref="V3"/>
    </sheetView>
  </sheetViews>
  <sheetFormatPr defaultColWidth="9.296875" defaultRowHeight="9.75" customHeight="1"/>
  <cols>
    <col min="1" max="1" width="0.19921875" style="252" customWidth="1"/>
    <col min="2" max="2" width="23.69921875" style="252" customWidth="1"/>
    <col min="3" max="3" width="16.69921875" style="252" customWidth="1"/>
    <col min="4" max="6" width="9.296875" style="252"/>
    <col min="7" max="7" width="1.19921875" style="252" customWidth="1"/>
    <col min="8" max="8" width="7.796875" style="252" customWidth="1"/>
    <col min="9" max="9" width="9.296875" style="252"/>
    <col min="10" max="10" width="13.19921875" style="252" bestFit="1" customWidth="1"/>
    <col min="11" max="11" width="4.5" style="252" customWidth="1"/>
    <col min="12" max="12" width="5.296875" style="252" customWidth="1"/>
    <col min="13" max="13" width="9" style="252" customWidth="1"/>
    <col min="14" max="14" width="20.69921875" style="252" customWidth="1"/>
    <col min="15" max="15" width="14" style="252" customWidth="1"/>
    <col min="16" max="16" width="16.19921875" style="454" customWidth="1"/>
    <col min="17" max="17" width="16" style="454" customWidth="1"/>
    <col min="18" max="18" width="15" style="252" customWidth="1"/>
    <col min="19" max="19" width="17.296875" style="252" customWidth="1"/>
    <col min="20" max="20" width="25.796875" style="252" customWidth="1"/>
    <col min="21" max="21" width="22.796875" style="325" customWidth="1"/>
    <col min="22" max="22" width="28.796875" style="252" customWidth="1"/>
    <col min="23" max="16384" width="9.296875" style="252"/>
  </cols>
  <sheetData>
    <row r="1" spans="2:22" ht="9.75" customHeight="1">
      <c r="M1" s="252" t="s">
        <v>665</v>
      </c>
    </row>
    <row r="2" spans="2:22" ht="36" customHeight="1">
      <c r="B2" s="253" t="s">
        <v>666</v>
      </c>
      <c r="C2" s="422">
        <f ca="1">'Hoach dinh tai chinh'!J3</f>
        <v>46229</v>
      </c>
      <c r="D2" s="252" t="s">
        <v>667</v>
      </c>
      <c r="E2" s="252" t="s">
        <v>668</v>
      </c>
      <c r="F2" s="252" t="s">
        <v>669</v>
      </c>
      <c r="H2" s="252" t="s">
        <v>670</v>
      </c>
      <c r="I2" s="252" t="s">
        <v>1</v>
      </c>
      <c r="J2" s="252" t="s">
        <v>678</v>
      </c>
      <c r="L2" s="252" t="s">
        <v>34</v>
      </c>
      <c r="M2" s="252" t="s">
        <v>671</v>
      </c>
      <c r="N2" s="450" t="s">
        <v>672</v>
      </c>
      <c r="O2" s="252" t="s">
        <v>673</v>
      </c>
      <c r="P2" s="254" t="s">
        <v>674</v>
      </c>
      <c r="Q2" s="254" t="s">
        <v>675</v>
      </c>
      <c r="R2" s="450" t="s">
        <v>706</v>
      </c>
      <c r="S2" s="450" t="s">
        <v>707</v>
      </c>
      <c r="T2" s="450" t="s">
        <v>676</v>
      </c>
      <c r="U2" s="255" t="s">
        <v>708</v>
      </c>
      <c r="V2" s="450" t="s">
        <v>709</v>
      </c>
    </row>
    <row r="3" spans="2:22" ht="9.75" customHeight="1">
      <c r="B3" s="253" t="s">
        <v>677</v>
      </c>
      <c r="C3" s="422">
        <f>'Hoach dinh tai chinh'!J5</f>
        <v>34926</v>
      </c>
      <c r="D3" s="252">
        <v>0</v>
      </c>
      <c r="E3" s="329">
        <v>1.84</v>
      </c>
      <c r="F3" s="329">
        <v>1.32</v>
      </c>
      <c r="H3" s="252">
        <v>1</v>
      </c>
      <c r="I3" s="423">
        <f ca="1">C5</f>
        <v>30</v>
      </c>
      <c r="J3" s="462">
        <f>'Tinh phi QL'!$E$12/1000</f>
        <v>0</v>
      </c>
      <c r="L3" s="961">
        <v>1</v>
      </c>
      <c r="M3" s="252">
        <v>1</v>
      </c>
      <c r="N3" s="256">
        <f ca="1">J3-KTVTUGTTKcamket!F7</f>
        <v>0</v>
      </c>
      <c r="O3" s="256">
        <f ca="1">KTVTD20namMH!F4</f>
        <v>40</v>
      </c>
      <c r="P3" s="452">
        <f ca="1">IF('Tinh phi QL'!$H$9="Nam",VLOOKUP(KTVTUCOI!$I$3,KTVTUCOI!$D$3:$F$103,2,0)*N3/1000/12,IF('Tinh phi QL'!$H$9="Nữ",VLOOKUP(KTVTUCOI!$I$3,KTVTUCOI!$D$3:$F$103,3,0)*N3/1000/12,0))</f>
        <v>0</v>
      </c>
      <c r="R3" s="452">
        <f ca="1">IF('Tinh phi QL'!$H$9="Nam",VLOOKUP(KTVTUCOI!$I$3,KTVTUCOI!$D$3:$F$103,2,0)*S3/1000/12,IF('Tinh phi QL'!$H$9="Nữ",VLOOKUP(KTVTUCOI!$I$3,KTVTUCOI!$D$3:$F$103,3,0)*S3/1000/12,0))</f>
        <v>0</v>
      </c>
      <c r="S3" s="452">
        <f ca="1">'Tinh phi QL'!E12/1000-KTVTUGTTKMH!F7</f>
        <v>0</v>
      </c>
      <c r="T3" s="418">
        <f ca="1">(KTVTUGTTKcamket!F7-O3-P3)*(1+LS!$E$3)</f>
        <v>-40.114835948763066</v>
      </c>
      <c r="V3" s="418">
        <f ca="1">(KTVTUGTTKMH!F7-O3-R3)*(1+LS!$F$3)</f>
        <v>-40.150192487245846</v>
      </c>
    </row>
    <row r="4" spans="2:22" ht="9.75" customHeight="1">
      <c r="B4" s="253" t="s">
        <v>678</v>
      </c>
      <c r="C4" s="257">
        <f>'Tinh phi QL'!E12/1000</f>
        <v>0</v>
      </c>
      <c r="D4" s="252">
        <v>1</v>
      </c>
      <c r="E4" s="329">
        <v>0.72</v>
      </c>
      <c r="F4" s="329">
        <v>0.59</v>
      </c>
      <c r="H4" s="252">
        <v>2</v>
      </c>
      <c r="I4" s="423">
        <f ca="1">I3+1</f>
        <v>31</v>
      </c>
      <c r="J4" s="462">
        <f>'Tinh phi QL'!$E$12/1000</f>
        <v>0</v>
      </c>
      <c r="L4" s="961"/>
      <c r="M4" s="252">
        <v>2</v>
      </c>
      <c r="N4" s="256">
        <f ca="1">$J$3-T3</f>
        <v>40.114835948763066</v>
      </c>
      <c r="O4" s="256">
        <f ca="1">KTVTD20namMH!F5</f>
        <v>40</v>
      </c>
      <c r="P4" s="452">
        <f ca="1">IF('Tinh phi QL'!$H$9="Nam",VLOOKUP(KTVTUCOI!$I$3,KTVTUCOI!$D$3:$F$103,2,0)*N4/1000/12,IF('Tinh phi QL'!$H$9="Nữ",VLOOKUP(KTVTUCOI!$I$3,KTVTUCOI!$D$3:$F$103,3,0)*N4/1000/12,0))</f>
        <v>4.1117706847482146E-3</v>
      </c>
      <c r="R4" s="452">
        <f ca="1">IF('Tinh phi QL'!$H$9="Nam",VLOOKUP(KTVTUCOI!$I$3,KTVTUCOI!$D$3:$F$103,2,0)*S4/1000/12,IF('Tinh phi QL'!$H$9="Nữ",VLOOKUP(KTVTUCOI!$I$3,KTVTUCOI!$D$3:$F$103,3,0)*S4/1000/12,0))</f>
        <v>4.1153947299426988E-3</v>
      </c>
      <c r="S4" s="452">
        <f ca="1">$C$4-V3</f>
        <v>40.150192487245846</v>
      </c>
      <c r="T4" s="418">
        <f ca="1">(T3-O4-P4)*(1+LS!$E$3)</f>
        <v>-80.348961103829353</v>
      </c>
      <c r="V4" s="418">
        <f ca="1">(V3-O4-R4)*(1+LS!$F$3)</f>
        <v>-80.455272253582365</v>
      </c>
    </row>
    <row r="5" spans="2:22" ht="9.75" customHeight="1">
      <c r="B5" s="252" t="s">
        <v>679</v>
      </c>
      <c r="C5" s="423">
        <f ca="1">'Hoach dinh tai chinh'!J7</f>
        <v>30</v>
      </c>
      <c r="D5" s="252">
        <v>2</v>
      </c>
      <c r="E5" s="329">
        <v>0.69</v>
      </c>
      <c r="F5" s="329">
        <v>0.56000000000000005</v>
      </c>
      <c r="H5" s="252">
        <v>3</v>
      </c>
      <c r="I5" s="423">
        <f t="shared" ref="I5:I68" ca="1" si="0">I4+1</f>
        <v>32</v>
      </c>
      <c r="J5" s="462">
        <f>'Tinh phi QL'!$E$12/1000</f>
        <v>0</v>
      </c>
      <c r="L5" s="961"/>
      <c r="M5" s="252">
        <v>3</v>
      </c>
      <c r="N5" s="256">
        <f t="shared" ref="N5:N14" ca="1" si="1">$J$3-T4</f>
        <v>80.348961103829353</v>
      </c>
      <c r="O5" s="256">
        <f ca="1">KTVTD20namMH!F6</f>
        <v>40</v>
      </c>
      <c r="P5" s="452">
        <f ca="1">IF('Tinh phi QL'!$H$9="Nam",VLOOKUP(KTVTUCOI!$I$3,KTVTUCOI!$D$3:$F$103,2,0)*N5/1000/12,IF('Tinh phi QL'!$H$9="Nữ",VLOOKUP(KTVTUCOI!$I$3,KTVTUCOI!$D$3:$F$103,3,0)*N5/1000/12,0))</f>
        <v>8.2357685131425086E-3</v>
      </c>
      <c r="R5" s="452">
        <f ca="1">IF('Tinh phi QL'!$H$9="Nam",VLOOKUP(KTVTUCOI!$I$3,KTVTUCOI!$D$3:$F$103,2,0)*S5/1000/12,IF('Tinh phi QL'!$H$9="Nữ",VLOOKUP(KTVTUCOI!$I$3,KTVTUCOI!$D$3:$F$103,3,0)*S5/1000/12,0))</f>
        <v>8.2466654059921915E-3</v>
      </c>
      <c r="S5" s="452">
        <f t="shared" ref="S5:S14" ca="1" si="2">$C$4-V4</f>
        <v>80.455272253582365</v>
      </c>
      <c r="T5" s="418">
        <f ca="1">(T4-O5-P5)*(1+LS!$E$3)</f>
        <v>-120.70273019467496</v>
      </c>
      <c r="V5" s="418">
        <f ca="1">(V4-O5-R5)*(1+LS!$F$3)</f>
        <v>-120.9158368072091</v>
      </c>
    </row>
    <row r="6" spans="2:22" ht="9.75" customHeight="1">
      <c r="B6" s="252" t="s">
        <v>680</v>
      </c>
      <c r="C6" s="424">
        <f ca="1">EDATE(C3,C5*12)</f>
        <v>45884</v>
      </c>
      <c r="D6" s="252">
        <v>3</v>
      </c>
      <c r="E6" s="329">
        <v>0.68</v>
      </c>
      <c r="F6" s="329">
        <v>0.55000000000000004</v>
      </c>
      <c r="H6" s="252">
        <v>4</v>
      </c>
      <c r="I6" s="423">
        <f t="shared" ca="1" si="0"/>
        <v>33</v>
      </c>
      <c r="J6" s="462">
        <f>'Tinh phi QL'!$E$12/1000</f>
        <v>0</v>
      </c>
      <c r="L6" s="961"/>
      <c r="M6" s="252">
        <v>4</v>
      </c>
      <c r="N6" s="256">
        <f t="shared" ca="1" si="1"/>
        <v>120.70273019467496</v>
      </c>
      <c r="O6" s="256">
        <f ca="1">KTVTD20namMH!F7</f>
        <v>40</v>
      </c>
      <c r="P6" s="452">
        <f ca="1">IF('Tinh phi QL'!$H$9="Nam",VLOOKUP(KTVTUCOI!$I$3,KTVTUCOI!$D$3:$F$103,2,0)*N6/1000/12,IF('Tinh phi QL'!$H$9="Nữ",VLOOKUP(KTVTUCOI!$I$3,KTVTUCOI!$D$3:$F$103,3,0)*N6/1000/12,0))</f>
        <v>1.2372029844954183E-2</v>
      </c>
      <c r="R6" s="452">
        <f ca="1">IF('Tinh phi QL'!$H$9="Nam",VLOOKUP(KTVTUCOI!$I$3,KTVTUCOI!$D$3:$F$103,2,0)*S6/1000/12,IF('Tinh phi QL'!$H$9="Nữ",VLOOKUP(KTVTUCOI!$I$3,KTVTUCOI!$D$3:$F$103,3,0)*S6/1000/12,0))</f>
        <v>1.2393873272738934E-2</v>
      </c>
      <c r="S6" s="452">
        <f t="shared" ca="1" si="2"/>
        <v>120.9158368072091</v>
      </c>
      <c r="T6" s="418">
        <f ca="1">(T5-O6-P6)*(1+LS!$E$3)</f>
        <v>-161.17649900563256</v>
      </c>
      <c r="V6" s="418">
        <f ca="1">(V5-O6-R6)*(1+LS!$F$3)</f>
        <v>-161.53248596133122</v>
      </c>
    </row>
    <row r="7" spans="2:22" ht="9.75" customHeight="1">
      <c r="C7" s="258"/>
      <c r="D7" s="252">
        <v>4</v>
      </c>
      <c r="E7" s="329">
        <v>0.65</v>
      </c>
      <c r="F7" s="329">
        <v>0.54</v>
      </c>
      <c r="H7" s="252">
        <v>5</v>
      </c>
      <c r="I7" s="423">
        <f t="shared" ca="1" si="0"/>
        <v>34</v>
      </c>
      <c r="J7" s="462">
        <f>'Tinh phi QL'!$E$12/1000</f>
        <v>0</v>
      </c>
      <c r="L7" s="961"/>
      <c r="M7" s="252">
        <v>5</v>
      </c>
      <c r="N7" s="256">
        <f t="shared" ca="1" si="1"/>
        <v>161.17649900563256</v>
      </c>
      <c r="O7" s="256">
        <f ca="1">KTVTD20namMH!F8</f>
        <v>40</v>
      </c>
      <c r="P7" s="452">
        <f ca="1">IF('Tinh phi QL'!$H$9="Nam",VLOOKUP(KTVTUCOI!$I$3,KTVTUCOI!$D$3:$F$103,2,0)*N7/1000/12,IF('Tinh phi QL'!$H$9="Nữ",VLOOKUP(KTVTUCOI!$I$3,KTVTUCOI!$D$3:$F$103,3,0)*N7/1000/12,0))</f>
        <v>1.6520591148077336E-2</v>
      </c>
      <c r="R7" s="452">
        <f ca="1">IF('Tinh phi QL'!$H$9="Nam",VLOOKUP(KTVTUCOI!$I$3,KTVTUCOI!$D$3:$F$103,2,0)*S7/1000/12,IF('Tinh phi QL'!$H$9="Nữ",VLOOKUP(KTVTUCOI!$I$3,KTVTUCOI!$D$3:$F$103,3,0)*S7/1000/12,0))</f>
        <v>1.6557079811036449E-2</v>
      </c>
      <c r="S7" s="452">
        <f t="shared" ca="1" si="2"/>
        <v>161.53248596133122</v>
      </c>
      <c r="T7" s="418">
        <f ca="1">(T6-O7-P7)*(1+LS!$E$3)</f>
        <v>-201.77062437902819</v>
      </c>
      <c r="V7" s="418">
        <f ca="1">(V6-O7-R7)*(1+LS!$F$3)</f>
        <v>-202.30582184305149</v>
      </c>
    </row>
    <row r="8" spans="2:22" ht="9.75" customHeight="1">
      <c r="C8" s="258"/>
      <c r="D8" s="252">
        <v>5</v>
      </c>
      <c r="E8" s="329">
        <v>0.62</v>
      </c>
      <c r="F8" s="329">
        <v>0.53</v>
      </c>
      <c r="H8" s="252">
        <v>6</v>
      </c>
      <c r="I8" s="423">
        <f t="shared" ca="1" si="0"/>
        <v>35</v>
      </c>
      <c r="J8" s="462">
        <f>'Tinh phi QL'!$E$12/1000</f>
        <v>0</v>
      </c>
      <c r="L8" s="961"/>
      <c r="M8" s="252">
        <v>6</v>
      </c>
      <c r="N8" s="256">
        <f t="shared" ca="1" si="1"/>
        <v>201.77062437902819</v>
      </c>
      <c r="O8" s="256">
        <f ca="1">KTVTD20namMH!F9</f>
        <v>40</v>
      </c>
      <c r="P8" s="452">
        <f ca="1">IF('Tinh phi QL'!$H$9="Nam",VLOOKUP(KTVTUCOI!$I$3,KTVTUCOI!$D$3:$F$103,2,0)*N8/1000/12,IF('Tinh phi QL'!$H$9="Nữ",VLOOKUP(KTVTUCOI!$I$3,KTVTUCOI!$D$3:$F$103,3,0)*N8/1000/12,0))</f>
        <v>2.0681488998850389E-2</v>
      </c>
      <c r="R8" s="452">
        <f ca="1">IF('Tinh phi QL'!$H$9="Nam",VLOOKUP(KTVTUCOI!$I$3,KTVTUCOI!$D$3:$F$103,2,0)*S8/1000/12,IF('Tinh phi QL'!$H$9="Nữ",VLOOKUP(KTVTUCOI!$I$3,KTVTUCOI!$D$3:$F$103,3,0)*S8/1000/12,0))</f>
        <v>2.0736346738912777E-2</v>
      </c>
      <c r="S8" s="452">
        <f t="shared" ca="1" si="2"/>
        <v>202.30582184305149</v>
      </c>
      <c r="T8" s="418">
        <f ca="1">(T7-O8-P8)*(1+LS!$E$3)</f>
        <v>-242.48546421832745</v>
      </c>
      <c r="V8" s="418">
        <f ca="1">(V7-O8-R8)*(1+LS!$F$3)</f>
        <v>-243.23644890229664</v>
      </c>
    </row>
    <row r="9" spans="2:22" ht="9.75" customHeight="1">
      <c r="B9" s="253"/>
      <c r="C9" s="253"/>
      <c r="D9" s="252">
        <v>6</v>
      </c>
      <c r="E9" s="329">
        <v>0.58050000000000002</v>
      </c>
      <c r="F9" s="329">
        <v>0.51</v>
      </c>
      <c r="H9" s="252">
        <v>7</v>
      </c>
      <c r="I9" s="423">
        <f t="shared" ca="1" si="0"/>
        <v>36</v>
      </c>
      <c r="J9" s="462">
        <f>'Tinh phi QL'!$E$12/1000</f>
        <v>0</v>
      </c>
      <c r="L9" s="961"/>
      <c r="M9" s="252">
        <v>7</v>
      </c>
      <c r="N9" s="256">
        <f t="shared" ca="1" si="1"/>
        <v>242.48546421832745</v>
      </c>
      <c r="O9" s="256">
        <f ca="1">KTVTD20namMH!F10</f>
        <v>40</v>
      </c>
      <c r="P9" s="452">
        <f ca="1">IF('Tinh phi QL'!$H$9="Nam",VLOOKUP(KTVTUCOI!$I$3,KTVTUCOI!$D$3:$F$103,2,0)*N9/1000/12,IF('Tinh phi QL'!$H$9="Nữ",VLOOKUP(KTVTUCOI!$I$3,KTVTUCOI!$D$3:$F$103,3,0)*N9/1000/12,0))</f>
        <v>2.4854760082378562E-2</v>
      </c>
      <c r="R9" s="452">
        <f ca="1">IF('Tinh phi QL'!$H$9="Nam",VLOOKUP(KTVTUCOI!$I$3,KTVTUCOI!$D$3:$F$103,2,0)*S9/1000/12,IF('Tinh phi QL'!$H$9="Nữ",VLOOKUP(KTVTUCOI!$I$3,KTVTUCOI!$D$3:$F$103,3,0)*S9/1000/12,0))</f>
        <v>2.4931736012485408E-2</v>
      </c>
      <c r="S9" s="452">
        <f t="shared" ca="1" si="2"/>
        <v>243.23644890229664</v>
      </c>
      <c r="T9" s="418">
        <f ca="1">(T8-O9-P9)*(1+LS!$E$3)</f>
        <v>-283.32137749129095</v>
      </c>
      <c r="V9" s="418">
        <f ca="1">(V8-O9-R9)*(1+LS!$F$3)</f>
        <v>-284.32497392077812</v>
      </c>
    </row>
    <row r="10" spans="2:22" ht="9.75" customHeight="1">
      <c r="D10" s="252">
        <v>7</v>
      </c>
      <c r="E10" s="329">
        <v>0.55049999999999999</v>
      </c>
      <c r="F10" s="329">
        <v>0.5</v>
      </c>
      <c r="H10" s="252">
        <v>8</v>
      </c>
      <c r="I10" s="423">
        <f t="shared" ca="1" si="0"/>
        <v>37</v>
      </c>
      <c r="J10" s="462">
        <f>'Tinh phi QL'!$E$12/1000</f>
        <v>0</v>
      </c>
      <c r="L10" s="961"/>
      <c r="M10" s="252">
        <v>8</v>
      </c>
      <c r="N10" s="256">
        <f t="shared" ca="1" si="1"/>
        <v>283.32137749129095</v>
      </c>
      <c r="O10" s="256">
        <f ca="1">KTVTD20namMH!F11</f>
        <v>40</v>
      </c>
      <c r="P10" s="452">
        <f ca="1">IF('Tinh phi QL'!$H$9="Nam",VLOOKUP(KTVTUCOI!$I$3,KTVTUCOI!$D$3:$F$103,2,0)*N10/1000/12,IF('Tinh phi QL'!$H$9="Nữ",VLOOKUP(KTVTUCOI!$I$3,KTVTUCOI!$D$3:$F$103,3,0)*N10/1000/12,0))</f>
        <v>2.9040441192857317E-2</v>
      </c>
      <c r="R10" s="452">
        <f ca="1">IF('Tinh phi QL'!$H$9="Nam",VLOOKUP(KTVTUCOI!$I$3,KTVTUCOI!$D$3:$F$103,2,0)*S10/1000/12,IF('Tinh phi QL'!$H$9="Nữ",VLOOKUP(KTVTUCOI!$I$3,KTVTUCOI!$D$3:$F$103,3,0)*S10/1000/12,0))</f>
        <v>2.9143309826879755E-2</v>
      </c>
      <c r="S10" s="452">
        <f t="shared" ca="1" si="2"/>
        <v>284.32497392077812</v>
      </c>
      <c r="T10" s="418">
        <f ca="1">(T9-O10-P10)*(1+LS!$E$3)</f>
        <v>-324.27872423313909</v>
      </c>
      <c r="V10" s="418">
        <f ca="1">(V9-O10-R10)*(1+LS!$F$3)</f>
        <v>-325.57200602098743</v>
      </c>
    </row>
    <row r="11" spans="2:22" ht="9.75" customHeight="1">
      <c r="B11" s="259"/>
      <c r="C11" s="260"/>
      <c r="D11" s="252">
        <v>8</v>
      </c>
      <c r="E11" s="329">
        <v>0.53</v>
      </c>
      <c r="F11" s="329">
        <v>0.49</v>
      </c>
      <c r="H11" s="252">
        <v>9</v>
      </c>
      <c r="I11" s="423">
        <f t="shared" ca="1" si="0"/>
        <v>38</v>
      </c>
      <c r="J11" s="462">
        <f>'Tinh phi QL'!$E$12/1000</f>
        <v>0</v>
      </c>
      <c r="L11" s="961"/>
      <c r="M11" s="252">
        <v>9</v>
      </c>
      <c r="N11" s="256">
        <f t="shared" ca="1" si="1"/>
        <v>324.27872423313909</v>
      </c>
      <c r="O11" s="256">
        <f ca="1">KTVTD20namMH!F12</f>
        <v>40</v>
      </c>
      <c r="P11" s="452">
        <f ca="1">IF('Tinh phi QL'!$H$9="Nam",VLOOKUP(KTVTUCOI!$I$3,KTVTUCOI!$D$3:$F$103,2,0)*N11/1000/12,IF('Tinh phi QL'!$H$9="Nữ",VLOOKUP(KTVTUCOI!$I$3,KTVTUCOI!$D$3:$F$103,3,0)*N11/1000/12,0))</f>
        <v>3.3238569233896752E-2</v>
      </c>
      <c r="R11" s="452">
        <f ca="1">IF('Tinh phi QL'!$H$9="Nam",VLOOKUP(KTVTUCOI!$I$3,KTVTUCOI!$D$3:$F$103,2,0)*S11/1000/12,IF('Tinh phi QL'!$H$9="Nữ",VLOOKUP(KTVTUCOI!$I$3,KTVTUCOI!$D$3:$F$103,3,0)*S11/1000/12,0))</f>
        <v>3.3371130617151211E-2</v>
      </c>
      <c r="S11" s="452">
        <f t="shared" ca="1" si="2"/>
        <v>325.57200602098743</v>
      </c>
      <c r="T11" s="418">
        <f ca="1">(T10-O11-P11)*(1+LS!$E$3)</f>
        <v>-365.35786554972663</v>
      </c>
      <c r="V11" s="418">
        <f ca="1">(V10-O11-R11)*(1+LS!$F$3)</f>
        <v>-366.97815667522593</v>
      </c>
    </row>
    <row r="12" spans="2:22" ht="9.75" customHeight="1">
      <c r="C12" s="261"/>
      <c r="D12" s="252">
        <v>9</v>
      </c>
      <c r="E12" s="329">
        <v>0.52</v>
      </c>
      <c r="F12" s="329">
        <v>0.48</v>
      </c>
      <c r="H12" s="252">
        <v>10</v>
      </c>
      <c r="I12" s="423">
        <f t="shared" ca="1" si="0"/>
        <v>39</v>
      </c>
      <c r="J12" s="462">
        <f>'Tinh phi QL'!$E$12/1000</f>
        <v>0</v>
      </c>
      <c r="L12" s="961"/>
      <c r="M12" s="252">
        <v>10</v>
      </c>
      <c r="N12" s="256">
        <f t="shared" ca="1" si="1"/>
        <v>365.35786554972663</v>
      </c>
      <c r="O12" s="256">
        <f ca="1">KTVTD20namMH!F13</f>
        <v>40</v>
      </c>
      <c r="P12" s="452">
        <f ca="1">IF('Tinh phi QL'!$H$9="Nam",VLOOKUP(KTVTUCOI!$I$3,KTVTUCOI!$D$3:$F$103,2,0)*N12/1000/12,IF('Tinh phi QL'!$H$9="Nữ",VLOOKUP(KTVTUCOI!$I$3,KTVTUCOI!$D$3:$F$103,3,0)*N12/1000/12,0))</f>
        <v>3.744918121884698E-2</v>
      </c>
      <c r="R12" s="452">
        <f ca="1">IF('Tinh phi QL'!$H$9="Nam",VLOOKUP(KTVTUCOI!$I$3,KTVTUCOI!$D$3:$F$103,2,0)*S12/1000/12,IF('Tinh phi QL'!$H$9="Nữ",VLOOKUP(KTVTUCOI!$I$3,KTVTUCOI!$D$3:$F$103,3,0)*S12/1000/12,0))</f>
        <v>3.7615261059210654E-2</v>
      </c>
      <c r="S12" s="452">
        <f t="shared" ca="1" si="2"/>
        <v>366.97815667522593</v>
      </c>
      <c r="T12" s="418">
        <f ca="1">(T11-O12-P12)*(1+LS!$E$3)</f>
        <v>-406.55916362072622</v>
      </c>
      <c r="V12" s="418">
        <f ca="1">(V11-O12-R12)*(1+LS!$F$3)</f>
        <v>-408.54403971467013</v>
      </c>
    </row>
    <row r="13" spans="2:22" ht="9.75" customHeight="1">
      <c r="D13" s="252">
        <v>10</v>
      </c>
      <c r="E13" s="329">
        <v>0.53</v>
      </c>
      <c r="F13" s="329">
        <v>0.48</v>
      </c>
      <c r="H13" s="252">
        <v>11</v>
      </c>
      <c r="I13" s="423">
        <f t="shared" ca="1" si="0"/>
        <v>40</v>
      </c>
      <c r="J13" s="462">
        <f>'Tinh phi QL'!$E$12/1000</f>
        <v>0</v>
      </c>
      <c r="L13" s="961"/>
      <c r="M13" s="252">
        <v>11</v>
      </c>
      <c r="N13" s="256">
        <f t="shared" ca="1" si="1"/>
        <v>406.55916362072622</v>
      </c>
      <c r="O13" s="256">
        <f ca="1">KTVTD20namMH!F14</f>
        <v>40</v>
      </c>
      <c r="P13" s="452">
        <f ca="1">IF('Tinh phi QL'!$H$9="Nam",VLOOKUP(KTVTUCOI!$I$3,KTVTUCOI!$D$3:$F$103,2,0)*N13/1000/12,IF('Tinh phi QL'!$H$9="Nữ",VLOOKUP(KTVTUCOI!$I$3,KTVTUCOI!$D$3:$F$103,3,0)*N13/1000/12,0))</f>
        <v>4.1672314271124444E-2</v>
      </c>
      <c r="R13" s="452">
        <f ca="1">IF('Tinh phi QL'!$H$9="Nam",VLOOKUP(KTVTUCOI!$I$3,KTVTUCOI!$D$3:$F$103,2,0)*S13/1000/12,IF('Tinh phi QL'!$H$9="Nữ",VLOOKUP(KTVTUCOI!$I$3,KTVTUCOI!$D$3:$F$103,3,0)*S13/1000/12,0))</f>
        <v>4.187576407075369E-2</v>
      </c>
      <c r="S13" s="452">
        <f t="shared" ca="1" si="2"/>
        <v>408.54403971467013</v>
      </c>
      <c r="T13" s="418">
        <f ca="1">(T12-O13-P13)*(1+LS!$E$3)</f>
        <v>-447.88298170282167</v>
      </c>
      <c r="V13" s="418">
        <f ca="1">(V12-O13-R13)*(1+LS!$F$3)</f>
        <v>-450.27027133847105</v>
      </c>
    </row>
    <row r="14" spans="2:22" ht="9.75" customHeight="1">
      <c r="D14" s="252">
        <v>11</v>
      </c>
      <c r="E14" s="329">
        <v>0.56999999999999995</v>
      </c>
      <c r="F14" s="329">
        <v>0.49</v>
      </c>
      <c r="H14" s="252">
        <v>12</v>
      </c>
      <c r="I14" s="423">
        <f t="shared" ca="1" si="0"/>
        <v>41</v>
      </c>
      <c r="J14" s="462">
        <f>'Tinh phi QL'!$E$12/1000</f>
        <v>0</v>
      </c>
      <c r="L14" s="961"/>
      <c r="M14" s="252">
        <v>12</v>
      </c>
      <c r="N14" s="256">
        <f t="shared" ca="1" si="1"/>
        <v>447.88298170282167</v>
      </c>
      <c r="O14" s="256">
        <f ca="1">KTVTD20namMH!F15</f>
        <v>40</v>
      </c>
      <c r="P14" s="452">
        <f ca="1">IF('Tinh phi QL'!$H$9="Nam",VLOOKUP(KTVTUCOI!$I$3,KTVTUCOI!$D$3:$F$103,2,0)*N14/1000/12,IF('Tinh phi QL'!$H$9="Nữ",VLOOKUP(KTVTUCOI!$I$3,KTVTUCOI!$D$3:$F$103,3,0)*N14/1000/12,0))</f>
        <v>4.5908005624539228E-2</v>
      </c>
      <c r="R14" s="452">
        <f ca="1">IF('Tinh phi QL'!$H$9="Nam",VLOOKUP(KTVTUCOI!$I$3,KTVTUCOI!$D$3:$F$103,2,0)*S14/1000/12,IF('Tinh phi QL'!$H$9="Nữ",VLOOKUP(KTVTUCOI!$I$3,KTVTUCOI!$D$3:$F$103,3,0)*S14/1000/12,0))</f>
        <v>4.6152702812193275E-2</v>
      </c>
      <c r="S14" s="452">
        <f t="shared" ca="1" si="2"/>
        <v>450.27027133847105</v>
      </c>
      <c r="T14" s="419">
        <f ca="1">(T13-O14-P14)*(1+LS!$E$3)</f>
        <v>-489.3296841329107</v>
      </c>
      <c r="V14" s="419">
        <f ca="1">(V13-O14-R14)*(1+LS!$F$3)</f>
        <v>-492.15747012288949</v>
      </c>
    </row>
    <row r="15" spans="2:22" ht="9.75" customHeight="1">
      <c r="D15" s="252">
        <v>12</v>
      </c>
      <c r="E15" s="329">
        <v>0.64</v>
      </c>
      <c r="F15" s="329">
        <v>0.51</v>
      </c>
      <c r="H15" s="252">
        <v>13</v>
      </c>
      <c r="I15" s="423">
        <f t="shared" ca="1" si="0"/>
        <v>42</v>
      </c>
      <c r="J15" s="462">
        <f>'Tinh phi QL'!$E$12/1000</f>
        <v>0</v>
      </c>
      <c r="L15" s="957">
        <f>L3+1</f>
        <v>2</v>
      </c>
      <c r="M15" s="262">
        <v>13</v>
      </c>
      <c r="N15" s="263">
        <f ca="1">$J$4-T14-KTVTDGTTKcamket!F8</f>
        <v>489.3296841329107</v>
      </c>
      <c r="O15" s="256">
        <f ca="1">KTVTD20namMH!F16</f>
        <v>40</v>
      </c>
      <c r="P15" s="451">
        <f ca="1">IF('Tinh phi QL'!$H$9="Nam",VLOOKUP(KTVTUCOI!$I$4,KTVTUCOI!$D$3:$F$103,2,0)*N15/1000/12,IF('Tinh phi QL'!$H$9="Nữ",VLOOKUP(KTVTUCOI!$I$4,KTVTUCOI!$D$3:$F$103,3,0)*N15/1000/12,0))</f>
        <v>5.1379616833955623E-2</v>
      </c>
      <c r="Q15" s="455"/>
      <c r="R15" s="452">
        <f ca="1">IF('Tinh phi QL'!$H$9="Nam",VLOOKUP(KTVTUCOI!$I$4,KTVTUCOI!$D$3:$F$103,2,0)*S15/1000/12,IF('Tinh phi QL'!$H$9="Nữ",VLOOKUP(KTVTUCOI!$I$4,KTVTUCOI!$D$3:$F$103,3,0)*S15/1000/12,0))</f>
        <v>5.1676534362903398E-2</v>
      </c>
      <c r="S15" s="451">
        <f ca="1">J4-V14-KTVTDGTTKMH!F8</f>
        <v>492.15747012288949</v>
      </c>
      <c r="T15" s="420">
        <f ca="1">(T14+KTVTDGTTKcamket!F8-O15-P15)*(1+LS!$E$4)</f>
        <v>-530.68666026530059</v>
      </c>
      <c r="U15" s="264"/>
      <c r="V15" s="418">
        <f ca="1">(V14+KTVTUGTTKMH!F8-O15-R15)*(1+LS!$F$4)</f>
        <v>-534.2074920440383</v>
      </c>
    </row>
    <row r="16" spans="2:22" ht="9.75" customHeight="1">
      <c r="D16" s="252">
        <v>13</v>
      </c>
      <c r="E16" s="329">
        <v>0.75</v>
      </c>
      <c r="F16" s="329">
        <v>0.54</v>
      </c>
      <c r="H16" s="252">
        <v>14</v>
      </c>
      <c r="I16" s="423">
        <f t="shared" ca="1" si="0"/>
        <v>43</v>
      </c>
      <c r="J16" s="462">
        <f>'Tinh phi QL'!$E$12/1000</f>
        <v>0</v>
      </c>
      <c r="L16" s="957"/>
      <c r="M16" s="262">
        <v>14</v>
      </c>
      <c r="N16" s="263">
        <f ca="1">$J$4-T15</f>
        <v>530.68666026530059</v>
      </c>
      <c r="O16" s="256">
        <f ca="1">KTVTD20namMH!F17</f>
        <v>40</v>
      </c>
      <c r="P16" s="451">
        <f ca="1">IF('Tinh phi QL'!$H$9="Nam",VLOOKUP(KTVTUCOI!$I$4,KTVTUCOI!$D$3:$F$103,2,0)*N16/1000/12,IF('Tinh phi QL'!$H$9="Nữ",VLOOKUP(KTVTUCOI!$I$4,KTVTUCOI!$D$3:$F$103,3,0)*N16/1000/12,0))</f>
        <v>5.5722099327856565E-2</v>
      </c>
      <c r="Q16" s="455"/>
      <c r="R16" s="452">
        <f ca="1">IF('Tinh phi QL'!$H$9="Nam",VLOOKUP(KTVTUCOI!$I$4,KTVTUCOI!$D$3:$F$103,2,0)*S16/1000/12,IF('Tinh phi QL'!$H$9="Nữ",VLOOKUP(KTVTUCOI!$I$4,KTVTUCOI!$D$3:$F$103,3,0)*S16/1000/12,0))</f>
        <v>5.609178666462402E-2</v>
      </c>
      <c r="S16" s="451">
        <f ca="1">$J$4-V15</f>
        <v>534.2074920440383</v>
      </c>
      <c r="T16" s="420">
        <f ca="1">(T15-O16-P16)*(1+LS!$E$4)</f>
        <v>-572.14998705002699</v>
      </c>
      <c r="U16" s="264"/>
      <c r="V16" s="418">
        <f ca="1">(V15-O16-R16)*(1+LS!$F$4)</f>
        <v>-576.41983573045911</v>
      </c>
    </row>
    <row r="17" spans="4:22" ht="9.75" customHeight="1">
      <c r="D17" s="252">
        <v>14</v>
      </c>
      <c r="E17" s="329">
        <v>0.87</v>
      </c>
      <c r="F17" s="329">
        <v>0.56999999999999995</v>
      </c>
      <c r="H17" s="252">
        <v>15</v>
      </c>
      <c r="I17" s="423">
        <f t="shared" ca="1" si="0"/>
        <v>44</v>
      </c>
      <c r="J17" s="462">
        <f>'Tinh phi QL'!$E$12/1000</f>
        <v>0</v>
      </c>
      <c r="L17" s="957"/>
      <c r="M17" s="262">
        <v>15</v>
      </c>
      <c r="N17" s="263">
        <f t="shared" ref="N17:N26" ca="1" si="3">$J$4-T16</f>
        <v>572.14998705002699</v>
      </c>
      <c r="O17" s="256">
        <f ca="1">KTVTD20namMH!F18</f>
        <v>40</v>
      </c>
      <c r="P17" s="451">
        <f ca="1">IF('Tinh phi QL'!$H$9="Nam",VLOOKUP(KTVTUCOI!$I$4,KTVTUCOI!$D$3:$F$103,2,0)*N17/1000/12,IF('Tinh phi QL'!$H$9="Nữ",VLOOKUP(KTVTUCOI!$I$4,KTVTUCOI!$D$3:$F$103,3,0)*N17/1000/12,0))</f>
        <v>6.0075748640252835E-2</v>
      </c>
      <c r="Q17" s="455"/>
      <c r="R17" s="452">
        <f ca="1">IF('Tinh phi QL'!$H$9="Nam",VLOOKUP(KTVTUCOI!$I$4,KTVTUCOI!$D$3:$F$103,2,0)*S17/1000/12,IF('Tinh phi QL'!$H$9="Nữ",VLOOKUP(KTVTUCOI!$I$4,KTVTUCOI!$D$3:$F$103,3,0)*S17/1000/12,0))</f>
        <v>6.0524082751698211E-2</v>
      </c>
      <c r="S17" s="451">
        <f t="shared" ref="S17:S26" ca="1" si="4">$J$4-V16</f>
        <v>576.41983573045911</v>
      </c>
      <c r="T17" s="420">
        <f ca="1">(T16-O17-P17)*(1+LS!$E$4)</f>
        <v>-613.7199379708477</v>
      </c>
      <c r="U17" s="264"/>
      <c r="V17" s="418">
        <f ca="1">(V16-O17-R17)*(1+LS!$F$4)</f>
        <v>-618.79512777767479</v>
      </c>
    </row>
    <row r="18" spans="4:22" ht="9.75" customHeight="1">
      <c r="D18" s="252">
        <v>15</v>
      </c>
      <c r="E18" s="329">
        <v>0.99</v>
      </c>
      <c r="F18" s="329">
        <v>0.61</v>
      </c>
      <c r="H18" s="252">
        <v>16</v>
      </c>
      <c r="I18" s="423">
        <f t="shared" ca="1" si="0"/>
        <v>45</v>
      </c>
      <c r="J18" s="462">
        <f>'Tinh phi QL'!$E$12/1000</f>
        <v>0</v>
      </c>
      <c r="L18" s="957"/>
      <c r="M18" s="262">
        <v>16</v>
      </c>
      <c r="N18" s="263">
        <f t="shared" ca="1" si="3"/>
        <v>613.7199379708477</v>
      </c>
      <c r="O18" s="256">
        <f ca="1">KTVTD20namMH!F19</f>
        <v>40</v>
      </c>
      <c r="P18" s="451">
        <f ca="1">IF('Tinh phi QL'!$H$9="Nam",VLOOKUP(KTVTUCOI!$I$4,KTVTUCOI!$D$3:$F$103,2,0)*N18/1000/12,IF('Tinh phi QL'!$H$9="Nữ",VLOOKUP(KTVTUCOI!$I$4,KTVTUCOI!$D$3:$F$103,3,0)*N18/1000/12,0))</f>
        <v>6.4440593486939007E-2</v>
      </c>
      <c r="Q18" s="455"/>
      <c r="R18" s="452">
        <f ca="1">IF('Tinh phi QL'!$H$9="Nam",VLOOKUP(KTVTUCOI!$I$4,KTVTUCOI!$D$3:$F$103,2,0)*S18/1000/12,IF('Tinh phi QL'!$H$9="Nữ",VLOOKUP(KTVTUCOI!$I$4,KTVTUCOI!$D$3:$F$103,3,0)*S18/1000/12,0))</f>
        <v>6.4973488416655859E-2</v>
      </c>
      <c r="S18" s="451">
        <f t="shared" ca="1" si="4"/>
        <v>618.79512777767479</v>
      </c>
      <c r="T18" s="420">
        <f ca="1">(T17-O18-P18)*(1+LS!$E$4)</f>
        <v>-655.3967872147922</v>
      </c>
      <c r="U18" s="264"/>
      <c r="V18" s="418">
        <f ca="1">(V17-O18-R18)*(1+LS!$F$4)</f>
        <v>-661.33399719999647</v>
      </c>
    </row>
    <row r="19" spans="4:22" ht="9.75" customHeight="1">
      <c r="D19" s="252">
        <v>16</v>
      </c>
      <c r="E19" s="329">
        <v>1.1100000000000001</v>
      </c>
      <c r="F19" s="329">
        <v>0.64</v>
      </c>
      <c r="H19" s="252">
        <v>17</v>
      </c>
      <c r="I19" s="423">
        <f t="shared" ca="1" si="0"/>
        <v>46</v>
      </c>
      <c r="J19" s="462">
        <f>'Tinh phi QL'!$E$12/1000</f>
        <v>0</v>
      </c>
      <c r="L19" s="957"/>
      <c r="M19" s="262">
        <v>17</v>
      </c>
      <c r="N19" s="263">
        <f t="shared" ca="1" si="3"/>
        <v>655.3967872147922</v>
      </c>
      <c r="O19" s="256">
        <f ca="1">KTVTD20namMH!F20</f>
        <v>40</v>
      </c>
      <c r="P19" s="451">
        <f ca="1">IF('Tinh phi QL'!$H$9="Nam",VLOOKUP(KTVTUCOI!$I$4,KTVTUCOI!$D$3:$F$103,2,0)*N19/1000/12,IF('Tinh phi QL'!$H$9="Nữ",VLOOKUP(KTVTUCOI!$I$4,KTVTUCOI!$D$3:$F$103,3,0)*N19/1000/12,0))</f>
        <v>6.8816662657553193E-2</v>
      </c>
      <c r="Q19" s="455"/>
      <c r="R19" s="452">
        <f ca="1">IF('Tinh phi QL'!$H$9="Nam",VLOOKUP(KTVTUCOI!$I$4,KTVTUCOI!$D$3:$F$103,2,0)*S19/1000/12,IF('Tinh phi QL'!$H$9="Nữ",VLOOKUP(KTVTUCOI!$I$4,KTVTUCOI!$D$3:$F$103,3,0)*S19/1000/12,0))</f>
        <v>6.9440069705999627E-2</v>
      </c>
      <c r="S19" s="451">
        <f t="shared" ca="1" si="4"/>
        <v>661.33399719999647</v>
      </c>
      <c r="T19" s="420">
        <f ca="1">(T18-O19-P19)*(1+LS!$E$4)</f>
        <v>-697.18080967396963</v>
      </c>
      <c r="U19" s="264"/>
      <c r="V19" s="418">
        <f ca="1">(V18-O19-R19)*(1+LS!$F$4)</f>
        <v>-704.03707543986059</v>
      </c>
    </row>
    <row r="20" spans="4:22" ht="9.75" customHeight="1">
      <c r="D20" s="252">
        <v>17</v>
      </c>
      <c r="E20" s="329">
        <v>1.2</v>
      </c>
      <c r="F20" s="329">
        <v>0.67</v>
      </c>
      <c r="H20" s="252">
        <v>18</v>
      </c>
      <c r="I20" s="423">
        <f t="shared" ca="1" si="0"/>
        <v>47</v>
      </c>
      <c r="J20" s="462">
        <f>'Tinh phi QL'!$E$12/1000</f>
        <v>0</v>
      </c>
      <c r="L20" s="957"/>
      <c r="M20" s="262">
        <v>18</v>
      </c>
      <c r="N20" s="263">
        <f t="shared" ca="1" si="3"/>
        <v>697.18080967396963</v>
      </c>
      <c r="O20" s="256">
        <f ca="1">KTVTD20namMH!F21</f>
        <v>40</v>
      </c>
      <c r="P20" s="451">
        <f ca="1">IF('Tinh phi QL'!$H$9="Nam",VLOOKUP(KTVTUCOI!$I$4,KTVTUCOI!$D$3:$F$103,2,0)*N20/1000/12,IF('Tinh phi QL'!$H$9="Nữ",VLOOKUP(KTVTUCOI!$I$4,KTVTUCOI!$D$3:$F$103,3,0)*N20/1000/12,0))</f>
        <v>7.3203985015766818E-2</v>
      </c>
      <c r="Q20" s="455"/>
      <c r="R20" s="452">
        <f ca="1">IF('Tinh phi QL'!$H$9="Nam",VLOOKUP(KTVTUCOI!$I$4,KTVTUCOI!$D$3:$F$103,2,0)*S20/1000/12,IF('Tinh phi QL'!$H$9="Nữ",VLOOKUP(KTVTUCOI!$I$4,KTVTUCOI!$D$3:$F$103,3,0)*S20/1000/12,0))</f>
        <v>7.3923892921185355E-2</v>
      </c>
      <c r="S20" s="451">
        <f t="shared" ca="1" si="4"/>
        <v>704.03707543986059</v>
      </c>
      <c r="T20" s="420">
        <f ca="1">(T19-O20-P20)*(1+LS!$E$4)</f>
        <v>-739.07228094738207</v>
      </c>
      <c r="U20" s="264"/>
      <c r="V20" s="418">
        <f ca="1">(V19-O20-R20)*(1+LS!$F$4)</f>
        <v>-746.90499637720131</v>
      </c>
    </row>
    <row r="21" spans="4:22" ht="9.75" customHeight="1">
      <c r="D21" s="252">
        <v>18</v>
      </c>
      <c r="E21" s="329">
        <v>1.27</v>
      </c>
      <c r="F21" s="329">
        <v>0.7</v>
      </c>
      <c r="H21" s="252">
        <v>19</v>
      </c>
      <c r="I21" s="423">
        <f t="shared" ca="1" si="0"/>
        <v>48</v>
      </c>
      <c r="J21" s="462">
        <f>'Tinh phi QL'!$E$12/1000</f>
        <v>0</v>
      </c>
      <c r="L21" s="957"/>
      <c r="M21" s="262">
        <v>19</v>
      </c>
      <c r="N21" s="263">
        <f t="shared" ca="1" si="3"/>
        <v>739.07228094738207</v>
      </c>
      <c r="O21" s="256">
        <f ca="1">KTVTD20namMH!F22</f>
        <v>40</v>
      </c>
      <c r="P21" s="451">
        <f ca="1">IF('Tinh phi QL'!$H$9="Nam",VLOOKUP(KTVTUCOI!$I$4,KTVTUCOI!$D$3:$F$103,2,0)*N21/1000/12,IF('Tinh phi QL'!$H$9="Nữ",VLOOKUP(KTVTUCOI!$I$4,KTVTUCOI!$D$3:$F$103,3,0)*N21/1000/12,0))</f>
        <v>7.7602589499475114E-2</v>
      </c>
      <c r="Q21" s="455"/>
      <c r="R21" s="452">
        <f ca="1">IF('Tinh phi QL'!$H$9="Nam",VLOOKUP(KTVTUCOI!$I$4,KTVTUCOI!$D$3:$F$103,2,0)*S21/1000/12,IF('Tinh phi QL'!$H$9="Nữ",VLOOKUP(KTVTUCOI!$I$4,KTVTUCOI!$D$3:$F$103,3,0)*S21/1000/12,0))</f>
        <v>7.842502461960614E-2</v>
      </c>
      <c r="S21" s="451">
        <f t="shared" ca="1" si="4"/>
        <v>746.90499637720131</v>
      </c>
      <c r="T21" s="420">
        <f ca="1">(T20-O21-P21)*(1+LS!$E$4)</f>
        <v>-781.07147734274258</v>
      </c>
      <c r="U21" s="264"/>
      <c r="V21" s="418">
        <f ca="1">(V20-O21-R21)*(1+LS!$F$4)</f>
        <v>-789.93839633886057</v>
      </c>
    </row>
    <row r="22" spans="4:22" ht="9.75" customHeight="1">
      <c r="D22" s="252">
        <v>19</v>
      </c>
      <c r="E22" s="329">
        <v>1.32</v>
      </c>
      <c r="F22" s="329">
        <v>0.72</v>
      </c>
      <c r="H22" s="252">
        <v>20</v>
      </c>
      <c r="I22" s="423">
        <f t="shared" ca="1" si="0"/>
        <v>49</v>
      </c>
      <c r="J22" s="462">
        <f>'Tinh phi QL'!$E$12/1000</f>
        <v>0</v>
      </c>
      <c r="L22" s="957"/>
      <c r="M22" s="262">
        <v>20</v>
      </c>
      <c r="N22" s="263">
        <f t="shared" ca="1" si="3"/>
        <v>781.07147734274258</v>
      </c>
      <c r="O22" s="256">
        <f ca="1">KTVTD20namMH!F23</f>
        <v>40</v>
      </c>
      <c r="P22" s="451">
        <f ca="1">IF('Tinh phi QL'!$H$9="Nam",VLOOKUP(KTVTUCOI!$I$4,KTVTUCOI!$D$3:$F$103,2,0)*N22/1000/12,IF('Tinh phi QL'!$H$9="Nữ",VLOOKUP(KTVTUCOI!$I$4,KTVTUCOI!$D$3:$F$103,3,0)*N22/1000/12,0))</f>
        <v>8.2012505120987969E-2</v>
      </c>
      <c r="Q22" s="455"/>
      <c r="R22" s="452">
        <f ca="1">IF('Tinh phi QL'!$H$9="Nam",VLOOKUP(KTVTUCOI!$I$4,KTVTUCOI!$D$3:$F$103,2,0)*S22/1000/12,IF('Tinh phi QL'!$H$9="Nữ",VLOOKUP(KTVTUCOI!$I$4,KTVTUCOI!$D$3:$F$103,3,0)*S22/1000/12,0))</f>
        <v>8.2943531615580365E-2</v>
      </c>
      <c r="S22" s="451">
        <f t="shared" ca="1" si="4"/>
        <v>789.93839633886057</v>
      </c>
      <c r="T22" s="420">
        <f ca="1">(T21-O22-P22)*(1+LS!$E$4)</f>
        <v>-823.1786758782971</v>
      </c>
      <c r="U22" s="264"/>
      <c r="V22" s="418">
        <f ca="1">(V21-O22-R22)*(1+LS!$F$4)</f>
        <v>-833.1379141080331</v>
      </c>
    </row>
    <row r="23" spans="4:22" ht="9.75" customHeight="1">
      <c r="D23" s="252">
        <v>20</v>
      </c>
      <c r="E23" s="329">
        <v>1.33</v>
      </c>
      <c r="F23" s="329">
        <v>0.74</v>
      </c>
      <c r="H23" s="252">
        <v>21</v>
      </c>
      <c r="I23" s="423">
        <f t="shared" ca="1" si="0"/>
        <v>50</v>
      </c>
      <c r="J23" s="423"/>
      <c r="L23" s="957"/>
      <c r="M23" s="262">
        <v>21</v>
      </c>
      <c r="N23" s="263">
        <f t="shared" ca="1" si="3"/>
        <v>823.1786758782971</v>
      </c>
      <c r="O23" s="256">
        <f ca="1">KTVTD20namMH!F24</f>
        <v>40</v>
      </c>
      <c r="P23" s="451">
        <f ca="1">IF('Tinh phi QL'!$H$9="Nam",VLOOKUP(KTVTUCOI!$I$4,KTVTUCOI!$D$3:$F$103,2,0)*N23/1000/12,IF('Tinh phi QL'!$H$9="Nữ",VLOOKUP(KTVTUCOI!$I$4,KTVTUCOI!$D$3:$F$103,3,0)*N23/1000/12,0))</f>
        <v>8.6433760967221177E-2</v>
      </c>
      <c r="Q23" s="455"/>
      <c r="R23" s="452">
        <f ca="1">IF('Tinh phi QL'!$H$9="Nam",VLOOKUP(KTVTUCOI!$I$4,KTVTUCOI!$D$3:$F$103,2,0)*S23/1000/12,IF('Tinh phi QL'!$H$9="Nữ",VLOOKUP(KTVTUCOI!$I$4,KTVTUCOI!$D$3:$F$103,3,0)*S23/1000/12,0))</f>
        <v>8.7479480981343491E-2</v>
      </c>
      <c r="S23" s="451">
        <f t="shared" ca="1" si="4"/>
        <v>833.1379141080331</v>
      </c>
      <c r="T23" s="420">
        <f ca="1">(T22-O23-P23)*(1+LS!$E$4)</f>
        <v>-865.39415428465202</v>
      </c>
      <c r="U23" s="264"/>
      <c r="V23" s="418">
        <f ca="1">(V22-O23-R23)*(1+LS!$F$4)</f>
        <v>-876.50419093374853</v>
      </c>
    </row>
    <row r="24" spans="4:22" ht="9.75" customHeight="1">
      <c r="D24" s="252">
        <v>21</v>
      </c>
      <c r="E24" s="329">
        <v>1.33</v>
      </c>
      <c r="F24" s="329">
        <v>0.76</v>
      </c>
      <c r="H24" s="252">
        <v>22</v>
      </c>
      <c r="I24" s="423">
        <f t="shared" ca="1" si="0"/>
        <v>51</v>
      </c>
      <c r="J24" s="423"/>
      <c r="L24" s="957"/>
      <c r="M24" s="262">
        <v>22</v>
      </c>
      <c r="N24" s="263">
        <f t="shared" ca="1" si="3"/>
        <v>865.39415428465202</v>
      </c>
      <c r="O24" s="256">
        <f ca="1">KTVTD20namMH!F25</f>
        <v>40</v>
      </c>
      <c r="P24" s="451">
        <f ca="1">IF('Tinh phi QL'!$H$9="Nam",VLOOKUP(KTVTUCOI!$I$4,KTVTUCOI!$D$3:$F$103,2,0)*N24/1000/12,IF('Tinh phi QL'!$H$9="Nữ",VLOOKUP(KTVTUCOI!$I$4,KTVTUCOI!$D$3:$F$103,3,0)*N24/1000/12,0))</f>
        <v>9.086638619988846E-2</v>
      </c>
      <c r="Q24" s="455"/>
      <c r="R24" s="452">
        <f ca="1">IF('Tinh phi QL'!$H$9="Nam",VLOOKUP(KTVTUCOI!$I$4,KTVTUCOI!$D$3:$F$103,2,0)*S24/1000/12,IF('Tinh phi QL'!$H$9="Nữ",VLOOKUP(KTVTUCOI!$I$4,KTVTUCOI!$D$3:$F$103,3,0)*S24/1000/12,0))</f>
        <v>9.2032940048043591E-2</v>
      </c>
      <c r="S24" s="451">
        <f t="shared" ca="1" si="4"/>
        <v>876.50419093374853</v>
      </c>
      <c r="T24" s="420">
        <f ca="1">(T23-O24-P24)*(1+LS!$E$4)</f>
        <v>-907.71819100660616</v>
      </c>
      <c r="U24" s="264"/>
      <c r="V24" s="418">
        <f ca="1">(V23-O24-R24)*(1+LS!$F$4)</f>
        <v>-920.03787054039049</v>
      </c>
    </row>
    <row r="25" spans="4:22" ht="9.75" customHeight="1">
      <c r="D25" s="252">
        <v>22</v>
      </c>
      <c r="E25" s="329">
        <v>1.32</v>
      </c>
      <c r="F25" s="329">
        <v>0.77</v>
      </c>
      <c r="H25" s="252">
        <v>23</v>
      </c>
      <c r="I25" s="423">
        <f t="shared" ca="1" si="0"/>
        <v>52</v>
      </c>
      <c r="J25" s="423"/>
      <c r="L25" s="957"/>
      <c r="M25" s="262">
        <v>23</v>
      </c>
      <c r="N25" s="263">
        <f t="shared" ca="1" si="3"/>
        <v>907.71819100660616</v>
      </c>
      <c r="O25" s="256">
        <f ca="1">KTVTD20namMH!F26</f>
        <v>40</v>
      </c>
      <c r="P25" s="451">
        <f ca="1">IF('Tinh phi QL'!$H$9="Nam",VLOOKUP(KTVTUCOI!$I$4,KTVTUCOI!$D$3:$F$103,2,0)*N25/1000/12,IF('Tinh phi QL'!$H$9="Nữ",VLOOKUP(KTVTUCOI!$I$4,KTVTUCOI!$D$3:$F$103,3,0)*N25/1000/12,0))</f>
        <v>9.531041005569367E-2</v>
      </c>
      <c r="Q25" s="455"/>
      <c r="R25" s="452">
        <f ca="1">IF('Tinh phi QL'!$H$9="Nam",VLOOKUP(KTVTUCOI!$I$4,KTVTUCOI!$D$3:$F$103,2,0)*S25/1000/12,IF('Tinh phi QL'!$H$9="Nữ",VLOOKUP(KTVTUCOI!$I$4,KTVTUCOI!$D$3:$F$103,3,0)*S25/1000/12,0))</f>
        <v>9.660397640674101E-2</v>
      </c>
      <c r="S25" s="451">
        <f t="shared" ca="1" si="4"/>
        <v>920.03787054039049</v>
      </c>
      <c r="T25" s="420">
        <f ca="1">(T24-O25-P25)*(1+LS!$E$4)</f>
        <v>-950.15106520498716</v>
      </c>
      <c r="U25" s="264"/>
      <c r="V25" s="418">
        <f ca="1">(V24-O25-R25)*(1+LS!$F$4)</f>
        <v>-963.73959913725128</v>
      </c>
    </row>
    <row r="26" spans="4:22" ht="9.75" customHeight="1">
      <c r="D26" s="252">
        <v>23</v>
      </c>
      <c r="E26" s="329">
        <v>1.29</v>
      </c>
      <c r="F26" s="329">
        <v>0.78</v>
      </c>
      <c r="H26" s="252">
        <v>24</v>
      </c>
      <c r="I26" s="423">
        <f t="shared" ca="1" si="0"/>
        <v>53</v>
      </c>
      <c r="J26" s="423"/>
      <c r="L26" s="957"/>
      <c r="M26" s="262">
        <v>24</v>
      </c>
      <c r="N26" s="263">
        <f t="shared" ca="1" si="3"/>
        <v>950.15106520498716</v>
      </c>
      <c r="O26" s="256">
        <f ca="1">KTVTD20namMH!F27</f>
        <v>40</v>
      </c>
      <c r="P26" s="451">
        <f ca="1">IF('Tinh phi QL'!$H$9="Nam",VLOOKUP(KTVTUCOI!$I$4,KTVTUCOI!$D$3:$F$103,2,0)*N26/1000/12,IF('Tinh phi QL'!$H$9="Nữ",VLOOKUP(KTVTUCOI!$I$4,KTVTUCOI!$D$3:$F$103,3,0)*N26/1000/12,0))</f>
        <v>9.976586184652364E-2</v>
      </c>
      <c r="Q26" s="455"/>
      <c r="R26" s="452">
        <f ca="1">IF('Tinh phi QL'!$H$9="Nam",VLOOKUP(KTVTUCOI!$I$4,KTVTUCOI!$D$3:$F$103,2,0)*S26/1000/12,IF('Tinh phi QL'!$H$9="Nữ",VLOOKUP(KTVTUCOI!$I$4,KTVTUCOI!$D$3:$F$103,3,0)*S26/1000/12,0))</f>
        <v>0.10119265790941138</v>
      </c>
      <c r="S26" s="451">
        <f t="shared" ca="1" si="4"/>
        <v>963.73959913725128</v>
      </c>
      <c r="T26" s="421">
        <f ca="1">(T25-O26-P26)*(1+LS!$E$4)</f>
        <v>-992.6930567584925</v>
      </c>
      <c r="U26" s="264"/>
      <c r="V26" s="419">
        <f ca="1">(V25-O26-R26)*(1+LS!$F$4)</f>
        <v>-1007.6100254281246</v>
      </c>
    </row>
    <row r="27" spans="4:22" ht="9.75" customHeight="1">
      <c r="D27" s="252">
        <v>24</v>
      </c>
      <c r="E27" s="329">
        <v>1.26</v>
      </c>
      <c r="F27" s="329">
        <v>0.81</v>
      </c>
      <c r="H27" s="252">
        <v>25</v>
      </c>
      <c r="I27" s="423">
        <f t="shared" ca="1" si="0"/>
        <v>54</v>
      </c>
      <c r="J27" s="423"/>
      <c r="L27" s="959">
        <f>L15+1</f>
        <v>3</v>
      </c>
      <c r="M27" s="252">
        <v>25</v>
      </c>
      <c r="N27" s="256">
        <f ca="1">$J$5-T26-KTVTDGTTKcamket!F9</f>
        <v>992.6930567584925</v>
      </c>
      <c r="O27" s="256">
        <f ca="1">KTVTD20namMH!F28</f>
        <v>40</v>
      </c>
      <c r="P27" s="452">
        <f ca="1">IF('Tinh phi QL'!$H$9="Nam",VLOOKUP(KTVTUCOI!$I$5,KTVTUCOI!$D$3:$F$103,2,0)*N27/1000/12,IF('Tinh phi QL'!$H$9="Nữ",VLOOKUP(KTVTUCOI!$I$5,KTVTUCOI!$D$3:$F$103,3,0)*N27/1000/12,0))</f>
        <v>0.10836899202946877</v>
      </c>
      <c r="R27" s="452">
        <f ca="1">IF('Tinh phi QL'!$H$9="Nam",VLOOKUP(KTVTUCOI!$I$5,KTVTUCOI!$D$3:$F$103,2,0)*S27/1000/12,IF('Tinh phi QL'!$H$9="Nữ",VLOOKUP(KTVTUCOI!$I$5,KTVTUCOI!$D$3:$F$103,3,0)*S27/1000/12,0))</f>
        <v>0.1099974277759036</v>
      </c>
      <c r="S27" s="451">
        <f ca="1">$J$5-V26-KTVTDGTTKMH!F9</f>
        <v>1007.6100254281246</v>
      </c>
      <c r="T27" s="420">
        <f ca="1">(T26+KTVTDGTTKcamket!F9-O27-P27)*(1+LS!$E$5)</f>
        <v>-1035.3485926876426</v>
      </c>
      <c r="U27" s="264"/>
      <c r="V27" s="418">
        <f ca="1">(V26+KTVTUGTTKMH!F9-O27-R27)*(1+LS!$F$5)</f>
        <v>-1051.6540147601504</v>
      </c>
    </row>
    <row r="28" spans="4:22" ht="9.75" customHeight="1">
      <c r="D28" s="252">
        <v>25</v>
      </c>
      <c r="E28" s="329">
        <v>1.23</v>
      </c>
      <c r="F28" s="329">
        <v>0.82</v>
      </c>
      <c r="H28" s="252">
        <v>26</v>
      </c>
      <c r="I28" s="423">
        <f t="shared" ca="1" si="0"/>
        <v>55</v>
      </c>
      <c r="J28" s="423"/>
      <c r="L28" s="959"/>
      <c r="M28" s="252">
        <v>26</v>
      </c>
      <c r="N28" s="256">
        <f ca="1">$J$5-T27</f>
        <v>1035.3485926876426</v>
      </c>
      <c r="O28" s="256">
        <f ca="1">KTVTD20namMH!F29</f>
        <v>40</v>
      </c>
      <c r="P28" s="452">
        <f ca="1">IF('Tinh phi QL'!$H$9="Nam",VLOOKUP(KTVTUCOI!$I$5,KTVTUCOI!$D$3:$F$103,2,0)*N28/1000/12,IF('Tinh phi QL'!$H$9="Nữ",VLOOKUP(KTVTUCOI!$I$5,KTVTUCOI!$D$3:$F$103,3,0)*N28/1000/12,0))</f>
        <v>0.11302555470173431</v>
      </c>
      <c r="R28" s="452">
        <f ca="1">IF('Tinh phi QL'!$H$9="Nam",VLOOKUP(KTVTUCOI!$I$5,KTVTUCOI!$D$3:$F$103,2,0)*S28/1000/12,IF('Tinh phi QL'!$H$9="Nữ",VLOOKUP(KTVTUCOI!$I$5,KTVTUCOI!$D$3:$F$103,3,0)*S28/1000/12,0))</f>
        <v>0.11480556327798308</v>
      </c>
      <c r="S28" s="451">
        <f ca="1">$J$5-V27</f>
        <v>1051.6540147601504</v>
      </c>
      <c r="T28" s="420">
        <f ca="1">(T27-O28-P28)*(1+LS!$E$5)</f>
        <v>-1078.1139967226884</v>
      </c>
      <c r="U28" s="264"/>
      <c r="V28" s="418">
        <f ca="1">(V27-O28-R28)*(1+LS!$F$5)</f>
        <v>-1095.8682071889743</v>
      </c>
    </row>
    <row r="29" spans="4:22" ht="9.75" customHeight="1">
      <c r="D29" s="252">
        <v>26</v>
      </c>
      <c r="E29" s="329">
        <v>1.2</v>
      </c>
      <c r="F29" s="329">
        <v>0.84</v>
      </c>
      <c r="H29" s="252">
        <v>27</v>
      </c>
      <c r="I29" s="423">
        <f t="shared" ca="1" si="0"/>
        <v>56</v>
      </c>
      <c r="J29" s="423"/>
      <c r="L29" s="959"/>
      <c r="M29" s="252">
        <v>27</v>
      </c>
      <c r="N29" s="256">
        <f t="shared" ref="N29:N38" ca="1" si="5">$J$5-T28</f>
        <v>1078.1139967226884</v>
      </c>
      <c r="O29" s="256">
        <f ca="1">KTVTD20namMH!F30</f>
        <v>40</v>
      </c>
      <c r="P29" s="452">
        <f ca="1">IF('Tinh phi QL'!$H$9="Nam",VLOOKUP(KTVTUCOI!$I$5,KTVTUCOI!$D$3:$F$103,2,0)*N29/1000/12,IF('Tinh phi QL'!$H$9="Nữ",VLOOKUP(KTVTUCOI!$I$5,KTVTUCOI!$D$3:$F$103,3,0)*N29/1000/12,0))</f>
        <v>0.1176941113088935</v>
      </c>
      <c r="R29" s="452">
        <f ca="1">IF('Tinh phi QL'!$H$9="Nam",VLOOKUP(KTVTUCOI!$I$5,KTVTUCOI!$D$3:$F$103,2,0)*S29/1000/12,IF('Tinh phi QL'!$H$9="Nữ",VLOOKUP(KTVTUCOI!$I$5,KTVTUCOI!$D$3:$F$103,3,0)*S29/1000/12,0))</f>
        <v>0.11963227928479636</v>
      </c>
      <c r="S29" s="451">
        <f t="shared" ref="S29:S38" ca="1" si="6">$J$5-V28</f>
        <v>1095.8682071889743</v>
      </c>
      <c r="T29" s="420">
        <f ca="1">(T28-O29-P29)*(1+LS!$E$5)</f>
        <v>-1120.9895518515334</v>
      </c>
      <c r="U29" s="264"/>
      <c r="V29" s="418">
        <f ca="1">(V28-O29-R29)*(1+LS!$F$5)</f>
        <v>-1140.2532604455284</v>
      </c>
    </row>
    <row r="30" spans="4:22" ht="9.75" customHeight="1">
      <c r="D30" s="252">
        <v>27</v>
      </c>
      <c r="E30" s="329">
        <v>1.2</v>
      </c>
      <c r="F30" s="329">
        <v>0.87</v>
      </c>
      <c r="H30" s="252">
        <v>28</v>
      </c>
      <c r="I30" s="423">
        <f t="shared" ca="1" si="0"/>
        <v>57</v>
      </c>
      <c r="J30" s="423"/>
      <c r="L30" s="959"/>
      <c r="M30" s="252">
        <v>28</v>
      </c>
      <c r="N30" s="256">
        <f t="shared" ca="1" si="5"/>
        <v>1120.9895518515334</v>
      </c>
      <c r="O30" s="256">
        <f ca="1">KTVTD20namMH!F31</f>
        <v>40</v>
      </c>
      <c r="P30" s="452">
        <f ca="1">IF('Tinh phi QL'!$H$9="Nam",VLOOKUP(KTVTUCOI!$I$5,KTVTUCOI!$D$3:$F$103,2,0)*N30/1000/12,IF('Tinh phi QL'!$H$9="Nữ",VLOOKUP(KTVTUCOI!$I$5,KTVTUCOI!$D$3:$F$103,3,0)*N30/1000/12,0))</f>
        <v>0.12237469274379241</v>
      </c>
      <c r="R30" s="452">
        <f ca="1">IF('Tinh phi QL'!$H$9="Nam",VLOOKUP(KTVTUCOI!$I$5,KTVTUCOI!$D$3:$F$103,2,0)*S30/1000/12,IF('Tinh phi QL'!$H$9="Nữ",VLOOKUP(KTVTUCOI!$I$5,KTVTUCOI!$D$3:$F$103,3,0)*S30/1000/12,0))</f>
        <v>0.12447764759863687</v>
      </c>
      <c r="S30" s="451">
        <f t="shared" ca="1" si="6"/>
        <v>1140.2532604455284</v>
      </c>
      <c r="T30" s="420">
        <f ca="1">(T29-O30-P30)*(1+LS!$E$5)</f>
        <v>-1163.9755417909746</v>
      </c>
      <c r="U30" s="264"/>
      <c r="V30" s="418">
        <f ca="1">(V29-O30-R30)*(1+LS!$F$5)</f>
        <v>-1184.809834802473</v>
      </c>
    </row>
    <row r="31" spans="4:22" ht="9.75" customHeight="1">
      <c r="D31" s="252">
        <v>28</v>
      </c>
      <c r="E31" s="329">
        <v>1.19</v>
      </c>
      <c r="F31" s="329">
        <v>0.9</v>
      </c>
      <c r="H31" s="252">
        <v>29</v>
      </c>
      <c r="I31" s="423">
        <f t="shared" ca="1" si="0"/>
        <v>58</v>
      </c>
      <c r="J31" s="423"/>
      <c r="L31" s="959"/>
      <c r="M31" s="252">
        <v>29</v>
      </c>
      <c r="N31" s="256">
        <f t="shared" ca="1" si="5"/>
        <v>1163.9755417909746</v>
      </c>
      <c r="O31" s="256">
        <f ca="1">KTVTD20namMH!F32</f>
        <v>40</v>
      </c>
      <c r="P31" s="452">
        <f ca="1">IF('Tinh phi QL'!$H$9="Nam",VLOOKUP(KTVTUCOI!$I$5,KTVTUCOI!$D$3:$F$103,2,0)*N31/1000/12,IF('Tinh phi QL'!$H$9="Nữ",VLOOKUP(KTVTUCOI!$I$5,KTVTUCOI!$D$3:$F$103,3,0)*N31/1000/12,0))</f>
        <v>0.12706732997884806</v>
      </c>
      <c r="R31" s="452">
        <f ca="1">IF('Tinh phi QL'!$H$9="Nam",VLOOKUP(KTVTUCOI!$I$5,KTVTUCOI!$D$3:$F$103,2,0)*S31/1000/12,IF('Tinh phi QL'!$H$9="Nữ",VLOOKUP(KTVTUCOI!$I$5,KTVTUCOI!$D$3:$F$103,3,0)*S31/1000/12,0))</f>
        <v>0.12934174029926995</v>
      </c>
      <c r="S31" s="451">
        <f t="shared" ca="1" si="6"/>
        <v>1184.809834802473</v>
      </c>
      <c r="T31" s="420">
        <f ca="1">(T30-O31-P31)*(1+LS!$E$5)</f>
        <v>-1207.0722509885804</v>
      </c>
      <c r="U31" s="264"/>
      <c r="V31" s="418">
        <f ca="1">(V30-O31-R31)*(1+LS!$F$5)</f>
        <v>-1229.5385930840182</v>
      </c>
    </row>
    <row r="32" spans="4:22" ht="9.75" customHeight="1">
      <c r="D32" s="252">
        <v>29</v>
      </c>
      <c r="E32" s="329">
        <v>1.2</v>
      </c>
      <c r="F32" s="329">
        <v>0.92</v>
      </c>
      <c r="H32" s="252">
        <v>30</v>
      </c>
      <c r="I32" s="423">
        <f t="shared" ca="1" si="0"/>
        <v>59</v>
      </c>
      <c r="J32" s="423"/>
      <c r="L32" s="959"/>
      <c r="M32" s="252">
        <v>30</v>
      </c>
      <c r="N32" s="256">
        <f t="shared" ca="1" si="5"/>
        <v>1207.0722509885804</v>
      </c>
      <c r="O32" s="256">
        <f ca="1">KTVTD20namMH!F33</f>
        <v>40</v>
      </c>
      <c r="P32" s="452">
        <f ca="1">IF('Tinh phi QL'!$H$9="Nam",VLOOKUP(KTVTUCOI!$I$5,KTVTUCOI!$D$3:$F$103,2,0)*N32/1000/12,IF('Tinh phi QL'!$H$9="Nữ",VLOOKUP(KTVTUCOI!$I$5,KTVTUCOI!$D$3:$F$103,3,0)*N32/1000/12,0))</f>
        <v>0.13177205406625336</v>
      </c>
      <c r="R32" s="452">
        <f ca="1">IF('Tinh phi QL'!$H$9="Nam",VLOOKUP(KTVTUCOI!$I$5,KTVTUCOI!$D$3:$F$103,2,0)*S32/1000/12,IF('Tinh phi QL'!$H$9="Nữ",VLOOKUP(KTVTUCOI!$I$5,KTVTUCOI!$D$3:$F$103,3,0)*S32/1000/12,0))</f>
        <v>0.13422462974500532</v>
      </c>
      <c r="S32" s="451">
        <f t="shared" ca="1" si="6"/>
        <v>1229.5385930840182</v>
      </c>
      <c r="T32" s="420">
        <f ca="1">(T31-O32-P32)*(1+LS!$E$5)</f>
        <v>-1250.2799646245724</v>
      </c>
      <c r="U32" s="264"/>
      <c r="V32" s="418">
        <f ca="1">(V31-O32-R32)*(1+LS!$F$5)</f>
        <v>-1274.440200675785</v>
      </c>
    </row>
    <row r="33" spans="4:22" ht="9.75" customHeight="1">
      <c r="D33" s="252">
        <v>30</v>
      </c>
      <c r="E33" s="329">
        <v>1.23</v>
      </c>
      <c r="F33" s="329">
        <v>0.96</v>
      </c>
      <c r="H33" s="252">
        <v>31</v>
      </c>
      <c r="I33" s="423">
        <f t="shared" ca="1" si="0"/>
        <v>60</v>
      </c>
      <c r="J33" s="423"/>
      <c r="L33" s="959"/>
      <c r="M33" s="252">
        <v>31</v>
      </c>
      <c r="N33" s="256">
        <f t="shared" ca="1" si="5"/>
        <v>1250.2799646245724</v>
      </c>
      <c r="O33" s="256">
        <f ca="1">KTVTD20namMH!F34</f>
        <v>40</v>
      </c>
      <c r="P33" s="452">
        <f ca="1">IF('Tinh phi QL'!$H$9="Nam",VLOOKUP(KTVTUCOI!$I$5,KTVTUCOI!$D$3:$F$103,2,0)*N33/1000/12,IF('Tinh phi QL'!$H$9="Nữ",VLOOKUP(KTVTUCOI!$I$5,KTVTUCOI!$D$3:$F$103,3,0)*N33/1000/12,0))</f>
        <v>0.13648889613818249</v>
      </c>
      <c r="R33" s="452">
        <f ca="1">IF('Tinh phi QL'!$H$9="Nam",VLOOKUP(KTVTUCOI!$I$5,KTVTUCOI!$D$3:$F$103,2,0)*S33/1000/12,IF('Tinh phi QL'!$H$9="Nữ",VLOOKUP(KTVTUCOI!$I$5,KTVTUCOI!$D$3:$F$103,3,0)*S33/1000/12,0))</f>
        <v>0.13912638857377321</v>
      </c>
      <c r="S33" s="451">
        <f t="shared" ca="1" si="6"/>
        <v>1274.440200675785</v>
      </c>
      <c r="T33" s="420">
        <f ca="1">(T32-O33-P33)*(1+LS!$E$5)</f>
        <v>-1293.598968613712</v>
      </c>
      <c r="U33" s="264"/>
      <c r="V33" s="418">
        <f ca="1">(V32-O33-R33)*(1+LS!$F$5)</f>
        <v>-1319.5153255347029</v>
      </c>
    </row>
    <row r="34" spans="4:22" ht="9.75" customHeight="1">
      <c r="D34" s="252">
        <v>31</v>
      </c>
      <c r="E34" s="329">
        <v>1.26</v>
      </c>
      <c r="F34" s="329">
        <v>0.99</v>
      </c>
      <c r="H34" s="252">
        <v>32</v>
      </c>
      <c r="I34" s="423">
        <f t="shared" ca="1" si="0"/>
        <v>61</v>
      </c>
      <c r="J34" s="423"/>
      <c r="L34" s="959"/>
      <c r="M34" s="252">
        <v>32</v>
      </c>
      <c r="N34" s="256">
        <f t="shared" ca="1" si="5"/>
        <v>1293.598968613712</v>
      </c>
      <c r="O34" s="256">
        <f ca="1">KTVTD20namMH!F35</f>
        <v>40</v>
      </c>
      <c r="P34" s="452">
        <f ca="1">IF('Tinh phi QL'!$H$9="Nam",VLOOKUP(KTVTUCOI!$I$5,KTVTUCOI!$D$3:$F$103,2,0)*N34/1000/12,IF('Tinh phi QL'!$H$9="Nữ",VLOOKUP(KTVTUCOI!$I$5,KTVTUCOI!$D$3:$F$103,3,0)*N34/1000/12,0))</f>
        <v>0.14121788740699689</v>
      </c>
      <c r="R34" s="452">
        <f ca="1">IF('Tinh phi QL'!$H$9="Nam",VLOOKUP(KTVTUCOI!$I$5,KTVTUCOI!$D$3:$F$103,2,0)*S34/1000/12,IF('Tinh phi QL'!$H$9="Nữ",VLOOKUP(KTVTUCOI!$I$5,KTVTUCOI!$D$3:$F$103,3,0)*S34/1000/12,0))</f>
        <v>0.14404708970420507</v>
      </c>
      <c r="S34" s="451">
        <f t="shared" ca="1" si="6"/>
        <v>1319.5153255347029</v>
      </c>
      <c r="T34" s="420">
        <f ca="1">(T33-O34-P34)*(1+LS!$E$5)</f>
        <v>-1337.0295496071935</v>
      </c>
      <c r="U34" s="264"/>
      <c r="V34" s="418">
        <f ca="1">(V33-O34-R34)*(1+LS!$F$5)</f>
        <v>-1364.7646381989466</v>
      </c>
    </row>
    <row r="35" spans="4:22" ht="9.75" customHeight="1">
      <c r="D35" s="252">
        <v>32</v>
      </c>
      <c r="E35" s="329">
        <v>1.31</v>
      </c>
      <c r="F35" s="329">
        <v>1.03</v>
      </c>
      <c r="H35" s="252">
        <v>33</v>
      </c>
      <c r="I35" s="423">
        <f t="shared" ca="1" si="0"/>
        <v>62</v>
      </c>
      <c r="J35" s="423"/>
      <c r="L35" s="959"/>
      <c r="M35" s="252">
        <v>33</v>
      </c>
      <c r="N35" s="256">
        <f t="shared" ca="1" si="5"/>
        <v>1337.0295496071935</v>
      </c>
      <c r="O35" s="256">
        <f ca="1">KTVTD20namMH!F36</f>
        <v>40</v>
      </c>
      <c r="P35" s="452">
        <f ca="1">IF('Tinh phi QL'!$H$9="Nam",VLOOKUP(KTVTUCOI!$I$5,KTVTUCOI!$D$3:$F$103,2,0)*N35/1000/12,IF('Tinh phi QL'!$H$9="Nữ",VLOOKUP(KTVTUCOI!$I$5,KTVTUCOI!$D$3:$F$103,3,0)*N35/1000/12,0))</f>
        <v>0.14595905916545196</v>
      </c>
      <c r="R35" s="452">
        <f ca="1">IF('Tinh phi QL'!$H$9="Nam",VLOOKUP(KTVTUCOI!$I$5,KTVTUCOI!$D$3:$F$103,2,0)*S35/1000/12,IF('Tinh phi QL'!$H$9="Nữ",VLOOKUP(KTVTUCOI!$I$5,KTVTUCOI!$D$3:$F$103,3,0)*S35/1000/12,0))</f>
        <v>0.14898680633671835</v>
      </c>
      <c r="S35" s="451">
        <f t="shared" ca="1" si="6"/>
        <v>1364.7646381989466</v>
      </c>
      <c r="T35" s="420">
        <f ca="1">(T34-O35-P35)*(1+LS!$E$5)</f>
        <v>-1380.5719949945399</v>
      </c>
      <c r="U35" s="264"/>
      <c r="V35" s="418">
        <f ca="1">(V34-O35-R35)*(1+LS!$F$5)</f>
        <v>-1410.1888117979115</v>
      </c>
    </row>
    <row r="36" spans="4:22" ht="9.75" customHeight="1">
      <c r="D36" s="252">
        <v>33</v>
      </c>
      <c r="E36" s="329">
        <v>1.37</v>
      </c>
      <c r="F36" s="329">
        <v>1.08</v>
      </c>
      <c r="H36" s="252">
        <v>34</v>
      </c>
      <c r="I36" s="423">
        <f t="shared" ca="1" si="0"/>
        <v>63</v>
      </c>
      <c r="J36" s="423"/>
      <c r="L36" s="959"/>
      <c r="M36" s="252">
        <v>34</v>
      </c>
      <c r="N36" s="256">
        <f t="shared" ca="1" si="5"/>
        <v>1380.5719949945399</v>
      </c>
      <c r="O36" s="256">
        <f ca="1">KTVTD20namMH!F37</f>
        <v>40</v>
      </c>
      <c r="P36" s="452">
        <f ca="1">IF('Tinh phi QL'!$H$9="Nam",VLOOKUP(KTVTUCOI!$I$5,KTVTUCOI!$D$3:$F$103,2,0)*N36/1000/12,IF('Tinh phi QL'!$H$9="Nữ",VLOOKUP(KTVTUCOI!$I$5,KTVTUCOI!$D$3:$F$103,3,0)*N36/1000/12,0))</f>
        <v>0.15071244278690393</v>
      </c>
      <c r="R36" s="452">
        <f ca="1">IF('Tinh phi QL'!$H$9="Nam",VLOOKUP(KTVTUCOI!$I$5,KTVTUCOI!$D$3:$F$103,2,0)*S36/1000/12,IF('Tinh phi QL'!$H$9="Nữ",VLOOKUP(KTVTUCOI!$I$5,KTVTUCOI!$D$3:$F$103,3,0)*S36/1000/12,0))</f>
        <v>0.15394561195460535</v>
      </c>
      <c r="S36" s="451">
        <f t="shared" ca="1" si="6"/>
        <v>1410.1888117979115</v>
      </c>
      <c r="T36" s="420">
        <f ca="1">(T35-O36-P36)*(1+LS!$E$5)</f>
        <v>-1424.226592905505</v>
      </c>
      <c r="U36" s="264"/>
      <c r="V36" s="418">
        <f ca="1">(V35-O36-R36)*(1+LS!$F$5)</f>
        <v>-1455.7885220622259</v>
      </c>
    </row>
    <row r="37" spans="4:22" ht="9.75" customHeight="1">
      <c r="D37" s="252">
        <v>34</v>
      </c>
      <c r="E37" s="329">
        <v>1.44</v>
      </c>
      <c r="F37" s="329">
        <v>1.1299999999999999</v>
      </c>
      <c r="H37" s="252">
        <v>35</v>
      </c>
      <c r="I37" s="423">
        <f t="shared" ca="1" si="0"/>
        <v>64</v>
      </c>
      <c r="J37" s="423"/>
      <c r="L37" s="959"/>
      <c r="M37" s="252">
        <v>35</v>
      </c>
      <c r="N37" s="256">
        <f t="shared" ca="1" si="5"/>
        <v>1424.226592905505</v>
      </c>
      <c r="O37" s="256">
        <f ca="1">KTVTD20namMH!F38</f>
        <v>40</v>
      </c>
      <c r="P37" s="452">
        <f ca="1">IF('Tinh phi QL'!$H$9="Nam",VLOOKUP(KTVTUCOI!$I$5,KTVTUCOI!$D$3:$F$103,2,0)*N37/1000/12,IF('Tinh phi QL'!$H$9="Nữ",VLOOKUP(KTVTUCOI!$I$5,KTVTUCOI!$D$3:$F$103,3,0)*N37/1000/12,0))</f>
        <v>0.15547806972551761</v>
      </c>
      <c r="R37" s="452">
        <f ca="1">IF('Tinh phi QL'!$H$9="Nam",VLOOKUP(KTVTUCOI!$I$5,KTVTUCOI!$D$3:$F$103,2,0)*S37/1000/12,IF('Tinh phi QL'!$H$9="Nữ",VLOOKUP(KTVTUCOI!$I$5,KTVTUCOI!$D$3:$F$103,3,0)*S37/1000/12,0))</f>
        <v>0.15892358032512635</v>
      </c>
      <c r="S37" s="451">
        <f t="shared" ca="1" si="6"/>
        <v>1455.7885220622259</v>
      </c>
      <c r="T37" s="420">
        <f ca="1">(T36-O37-P37)*(1+LS!$E$5)</f>
        <v>-1467.99363221198</v>
      </c>
      <c r="U37" s="264"/>
      <c r="V37" s="418">
        <f ca="1">(V36-O37-R37)*(1+LS!$F$5)</f>
        <v>-1501.5644473338041</v>
      </c>
    </row>
    <row r="38" spans="4:22" ht="9.75" customHeight="1">
      <c r="D38" s="252">
        <v>35</v>
      </c>
      <c r="E38" s="329">
        <v>1.52</v>
      </c>
      <c r="F38" s="329">
        <v>1.19</v>
      </c>
      <c r="H38" s="252">
        <v>36</v>
      </c>
      <c r="I38" s="423">
        <f t="shared" ca="1" si="0"/>
        <v>65</v>
      </c>
      <c r="J38" s="423"/>
      <c r="L38" s="959"/>
      <c r="M38" s="252">
        <v>36</v>
      </c>
      <c r="N38" s="256">
        <f t="shared" ca="1" si="5"/>
        <v>1467.99363221198</v>
      </c>
      <c r="O38" s="256">
        <f ca="1">KTVTD20namMH!F39</f>
        <v>40</v>
      </c>
      <c r="P38" s="452">
        <f ca="1">IF('Tinh phi QL'!$H$9="Nam",VLOOKUP(KTVTUCOI!$I$5,KTVTUCOI!$D$3:$F$103,2,0)*N38/1000/12,IF('Tinh phi QL'!$H$9="Nữ",VLOOKUP(KTVTUCOI!$I$5,KTVTUCOI!$D$3:$F$103,3,0)*N38/1000/12,0))</f>
        <v>0.16025597151647447</v>
      </c>
      <c r="R38" s="452">
        <f ca="1">IF('Tinh phi QL'!$H$9="Nam",VLOOKUP(KTVTUCOI!$I$5,KTVTUCOI!$D$3:$F$103,2,0)*S38/1000/12,IF('Tinh phi QL'!$H$9="Nữ",VLOOKUP(KTVTUCOI!$I$5,KTVTUCOI!$D$3:$F$103,3,0)*S38/1000/12,0))</f>
        <v>0.16392078550060696</v>
      </c>
      <c r="S38" s="451">
        <f t="shared" ca="1" si="6"/>
        <v>1501.5644473338041</v>
      </c>
      <c r="T38" s="421">
        <f ca="1">(T37-O38-P38)*(1+LS!$E$5)</f>
        <v>-1511.8734025299057</v>
      </c>
      <c r="U38" s="264"/>
      <c r="V38" s="419">
        <f ca="1">(V37-O38-R38)*(1+LS!$F$5)</f>
        <v>-1547.5172685759376</v>
      </c>
    </row>
    <row r="39" spans="4:22" ht="9.75" customHeight="1">
      <c r="D39" s="252">
        <v>36</v>
      </c>
      <c r="E39" s="329">
        <v>1.62</v>
      </c>
      <c r="F39" s="329">
        <v>1.27</v>
      </c>
      <c r="H39" s="252">
        <v>37</v>
      </c>
      <c r="I39" s="423">
        <f t="shared" ca="1" si="0"/>
        <v>66</v>
      </c>
      <c r="J39" s="423"/>
      <c r="L39" s="957">
        <f>L27+1</f>
        <v>4</v>
      </c>
      <c r="M39" s="262">
        <v>37</v>
      </c>
      <c r="N39" s="263">
        <f ca="1">J6-T38-KTVTDGTTKcamket!F10</f>
        <v>1511.8734025299057</v>
      </c>
      <c r="O39" s="256">
        <f ca="1">KTVTD20namMH!F40</f>
        <v>40</v>
      </c>
      <c r="P39" s="451">
        <f ca="1">IF('Tinh phi QL'!$H$9="Nam",VLOOKUP(KTVTUCOI!$I$6,KTVTUCOI!$D$3:$F$103,2,0)*N39/1000/12,IF('Tinh phi QL'!$H$9="Nữ",VLOOKUP(KTVTUCOI!$I$6,KTVTUCOI!$D$3:$F$103,3,0)*N39/1000/12,0))</f>
        <v>0.17260554678883092</v>
      </c>
      <c r="Q39" s="962"/>
      <c r="R39" s="452">
        <f ca="1">IF('Tinh phi QL'!$H$9="Nam",VLOOKUP(KTVTUCOI!$I$6,KTVTUCOI!$D$3:$F$103,2,0)*S39/1000/12,IF('Tinh phi QL'!$H$9="Nữ",VLOOKUP(KTVTUCOI!$I$6,KTVTUCOI!$D$3:$F$103,3,0)*S39/1000/12,0))</f>
        <v>0.17667488816241952</v>
      </c>
      <c r="S39" s="451">
        <f ca="1">KTVTD20namMH!E40-V38-KTVTDGTTKMH!F10</f>
        <v>1547.5172685759376</v>
      </c>
      <c r="T39" s="420">
        <f ca="1">(T38+KTVTDGTTKcamket!F10-O39-P39)*(1+LS!$E$6)</f>
        <v>-1554.6093382433539</v>
      </c>
      <c r="U39" s="264"/>
      <c r="V39" s="418">
        <f ca="1">(V38+KTVTUGTTKMH!F10-O39-R39)*(1+LS!$F$6)</f>
        <v>-1593.6554360229509</v>
      </c>
    </row>
    <row r="40" spans="4:22" ht="9.75" customHeight="1">
      <c r="D40" s="252">
        <v>37</v>
      </c>
      <c r="E40" s="329">
        <v>1.74</v>
      </c>
      <c r="F40" s="329">
        <v>1.37</v>
      </c>
      <c r="H40" s="252">
        <v>38</v>
      </c>
      <c r="I40" s="423">
        <f t="shared" ca="1" si="0"/>
        <v>67</v>
      </c>
      <c r="J40" s="423"/>
      <c r="L40" s="957"/>
      <c r="M40" s="262">
        <v>38</v>
      </c>
      <c r="N40" s="263">
        <f ca="1">$J$6-T39</f>
        <v>1554.6093382433539</v>
      </c>
      <c r="O40" s="256">
        <f ca="1">KTVTD20namMH!F41</f>
        <v>40</v>
      </c>
      <c r="P40" s="451">
        <f ca="1">IF('Tinh phi QL'!$H$9="Nam",VLOOKUP(KTVTUCOI!$I$6,KTVTUCOI!$D$3:$F$103,2,0)*N40/1000/12,IF('Tinh phi QL'!$H$9="Nữ",VLOOKUP(KTVTUCOI!$I$6,KTVTUCOI!$D$3:$F$103,3,0)*N40/1000/12,0))</f>
        <v>0.17748456611611627</v>
      </c>
      <c r="Q40" s="962"/>
      <c r="R40" s="452">
        <f ca="1">IF('Tinh phi QL'!$H$9="Nam",VLOOKUP(KTVTUCOI!$I$6,KTVTUCOI!$D$3:$F$103,2,0)*S40/1000/12,IF('Tinh phi QL'!$H$9="Nữ",VLOOKUP(KTVTUCOI!$I$6,KTVTUCOI!$D$3:$F$103,3,0)*S40/1000/12,0))</f>
        <v>0.18194232894595361</v>
      </c>
      <c r="S40" s="451">
        <f ca="1">KTVTD20namMH!E41-V39</f>
        <v>1593.6554360229509</v>
      </c>
      <c r="T40" s="420">
        <f ca="1">(T39-O40-P40)*(1+LS!$E$6)</f>
        <v>-1597.4207429065709</v>
      </c>
      <c r="U40" s="264"/>
      <c r="V40" s="418">
        <f ca="1">(V39-O40-R40)*(1+LS!$F$6)</f>
        <v>-1639.9721308421445</v>
      </c>
    </row>
    <row r="41" spans="4:22" ht="9.75" customHeight="1">
      <c r="D41" s="252">
        <v>38</v>
      </c>
      <c r="E41" s="329">
        <v>1.88</v>
      </c>
      <c r="F41" s="329">
        <v>1.49</v>
      </c>
      <c r="H41" s="252">
        <v>39</v>
      </c>
      <c r="I41" s="423">
        <f t="shared" ca="1" si="0"/>
        <v>68</v>
      </c>
      <c r="J41" s="423"/>
      <c r="L41" s="957"/>
      <c r="M41" s="262">
        <v>39</v>
      </c>
      <c r="N41" s="263">
        <f t="shared" ref="N41:N50" ca="1" si="7">$J$6-T40</f>
        <v>1597.4207429065709</v>
      </c>
      <c r="O41" s="256">
        <f ca="1">KTVTD20namMH!F42</f>
        <v>40</v>
      </c>
      <c r="P41" s="451">
        <f ca="1">IF('Tinh phi QL'!$H$9="Nam",VLOOKUP(KTVTUCOI!$I$6,KTVTUCOI!$D$3:$F$103,2,0)*N41/1000/12,IF('Tinh phi QL'!$H$9="Nữ",VLOOKUP(KTVTUCOI!$I$6,KTVTUCOI!$D$3:$F$103,3,0)*N41/1000/12,0))</f>
        <v>0.18237220148183353</v>
      </c>
      <c r="Q41" s="962"/>
      <c r="R41" s="452">
        <f ca="1">IF('Tinh phi QL'!$H$9="Nam",VLOOKUP(KTVTUCOI!$I$6,KTVTUCOI!$D$3:$F$103,2,0)*S41/1000/12,IF('Tinh phi QL'!$H$9="Nữ",VLOOKUP(KTVTUCOI!$I$6,KTVTUCOI!$D$3:$F$103,3,0)*S41/1000/12,0))</f>
        <v>0.18723015160447817</v>
      </c>
      <c r="S41" s="451">
        <f ca="1">KTVTD20namMH!E42-V40</f>
        <v>1639.9721308421445</v>
      </c>
      <c r="T41" s="420">
        <f ca="1">(T40-O41-P41)*(1+LS!$E$6)</f>
        <v>-1640.3077497929316</v>
      </c>
      <c r="U41" s="264"/>
      <c r="V41" s="418">
        <f ca="1">(V40-O41-R41)*(1+LS!$F$6)</f>
        <v>-1686.468043828675</v>
      </c>
    </row>
    <row r="42" spans="4:22" ht="9.75" customHeight="1">
      <c r="D42" s="252">
        <v>39</v>
      </c>
      <c r="E42" s="329">
        <v>2.0299999999999998</v>
      </c>
      <c r="F42" s="329">
        <v>1.62</v>
      </c>
      <c r="H42" s="252">
        <v>40</v>
      </c>
      <c r="I42" s="423">
        <f t="shared" ca="1" si="0"/>
        <v>69</v>
      </c>
      <c r="J42" s="423"/>
      <c r="L42" s="957"/>
      <c r="M42" s="262">
        <v>40</v>
      </c>
      <c r="N42" s="263">
        <f t="shared" ca="1" si="7"/>
        <v>1640.3077497929316</v>
      </c>
      <c r="O42" s="256">
        <f ca="1">KTVTD20namMH!F43</f>
        <v>40</v>
      </c>
      <c r="P42" s="451">
        <f ca="1">IF('Tinh phi QL'!$H$9="Nam",VLOOKUP(KTVTUCOI!$I$6,KTVTUCOI!$D$3:$F$103,2,0)*N42/1000/12,IF('Tinh phi QL'!$H$9="Nữ",VLOOKUP(KTVTUCOI!$I$6,KTVTUCOI!$D$3:$F$103,3,0)*N42/1000/12,0))</f>
        <v>0.18726846810135975</v>
      </c>
      <c r="Q42" s="962"/>
      <c r="R42" s="452">
        <f ca="1">IF('Tinh phi QL'!$H$9="Nam",VLOOKUP(KTVTUCOI!$I$6,KTVTUCOI!$D$3:$F$103,2,0)*S42/1000/12,IF('Tinh phi QL'!$H$9="Nữ",VLOOKUP(KTVTUCOI!$I$6,KTVTUCOI!$D$3:$F$103,3,0)*S42/1000/12,0))</f>
        <v>0.19253843500377374</v>
      </c>
      <c r="S42" s="451">
        <f ca="1">KTVTD20namMH!E43-V41</f>
        <v>1686.468043828675</v>
      </c>
      <c r="T42" s="420">
        <f ca="1">(T41-O42-P42)*(1+LS!$E$6)</f>
        <v>-1683.2704924111631</v>
      </c>
      <c r="U42" s="264"/>
      <c r="V42" s="418">
        <f ca="1">(V41-O42-R42)*(1+LS!$F$6)</f>
        <v>-1733.1438684506675</v>
      </c>
    </row>
    <row r="43" spans="4:22" ht="9.75" customHeight="1">
      <c r="D43" s="252">
        <v>40</v>
      </c>
      <c r="E43" s="329">
        <v>2.21</v>
      </c>
      <c r="F43" s="329">
        <v>1.77</v>
      </c>
      <c r="H43" s="252">
        <v>41</v>
      </c>
      <c r="I43" s="423">
        <f t="shared" ca="1" si="0"/>
        <v>70</v>
      </c>
      <c r="J43" s="423"/>
      <c r="L43" s="957"/>
      <c r="M43" s="262">
        <v>41</v>
      </c>
      <c r="N43" s="263">
        <f t="shared" ca="1" si="7"/>
        <v>1683.2704924111631</v>
      </c>
      <c r="O43" s="256">
        <f ca="1">KTVTD20namMH!F44</f>
        <v>40</v>
      </c>
      <c r="P43" s="451">
        <f ca="1">IF('Tinh phi QL'!$H$9="Nam",VLOOKUP(KTVTUCOI!$I$6,KTVTUCOI!$D$3:$F$103,2,0)*N43/1000/12,IF('Tinh phi QL'!$H$9="Nữ",VLOOKUP(KTVTUCOI!$I$6,KTVTUCOI!$D$3:$F$103,3,0)*N43/1000/12,0))</f>
        <v>0.19217338121694116</v>
      </c>
      <c r="Q43" s="962"/>
      <c r="R43" s="452">
        <f ca="1">IF('Tinh phi QL'!$H$9="Nam",VLOOKUP(KTVTUCOI!$I$6,KTVTUCOI!$D$3:$F$103,2,0)*S43/1000/12,IF('Tinh phi QL'!$H$9="Nữ",VLOOKUP(KTVTUCOI!$I$6,KTVTUCOI!$D$3:$F$103,3,0)*S43/1000/12,0))</f>
        <v>0.19786725831478458</v>
      </c>
      <c r="S43" s="451">
        <f ca="1">KTVTD20namMH!E44-V42</f>
        <v>1733.1438684506675</v>
      </c>
      <c r="T43" s="420">
        <f ca="1">(T42-O43-P43)*(1+LS!$E$6)</f>
        <v>-1726.3091045057602</v>
      </c>
      <c r="U43" s="264"/>
      <c r="V43" s="418">
        <f ca="1">(V42-O43-R43)*(1+LS!$F$6)</f>
        <v>-1780.0003008595572</v>
      </c>
    </row>
    <row r="44" spans="4:22" ht="9.75" customHeight="1">
      <c r="D44" s="252">
        <v>41</v>
      </c>
      <c r="E44" s="329">
        <v>2.39</v>
      </c>
      <c r="F44" s="329">
        <v>1.93</v>
      </c>
      <c r="H44" s="252">
        <v>42</v>
      </c>
      <c r="I44" s="423">
        <f t="shared" ca="1" si="0"/>
        <v>71</v>
      </c>
      <c r="J44" s="423"/>
      <c r="L44" s="957"/>
      <c r="M44" s="262">
        <v>42</v>
      </c>
      <c r="N44" s="263">
        <f t="shared" ca="1" si="7"/>
        <v>1726.3091045057602</v>
      </c>
      <c r="O44" s="256">
        <f ca="1">KTVTD20namMH!F45</f>
        <v>40</v>
      </c>
      <c r="P44" s="451">
        <f ca="1">IF('Tinh phi QL'!$H$9="Nam",VLOOKUP(KTVTUCOI!$I$6,KTVTUCOI!$D$3:$F$103,2,0)*N44/1000/12,IF('Tinh phi QL'!$H$9="Nữ",VLOOKUP(KTVTUCOI!$I$6,KTVTUCOI!$D$3:$F$103,3,0)*N44/1000/12,0))</f>
        <v>0.19708695609774096</v>
      </c>
      <c r="Q44" s="962"/>
      <c r="R44" s="452">
        <f ca="1">IF('Tinh phi QL'!$H$9="Nam",VLOOKUP(KTVTUCOI!$I$6,KTVTUCOI!$D$3:$F$103,2,0)*S44/1000/12,IF('Tinh phi QL'!$H$9="Nữ",VLOOKUP(KTVTUCOI!$I$6,KTVTUCOI!$D$3:$F$103,3,0)*S44/1000/12,0))</f>
        <v>0.20321670101479947</v>
      </c>
      <c r="S44" s="451">
        <f ca="1">KTVTD20namMH!E45-V43</f>
        <v>1780.0003008595572</v>
      </c>
      <c r="T44" s="420">
        <f ca="1">(T43-O44-P44)*(1+LS!$E$6)</f>
        <v>-1769.4237200574028</v>
      </c>
      <c r="U44" s="264"/>
      <c r="V44" s="418">
        <f ca="1">(V43-O44-R44)*(1+LS!$F$6)</f>
        <v>-1827.0380399004734</v>
      </c>
    </row>
    <row r="45" spans="4:22" ht="9.75" customHeight="1">
      <c r="D45" s="252">
        <v>42</v>
      </c>
      <c r="E45" s="329">
        <v>2.6</v>
      </c>
      <c r="F45" s="329">
        <v>2.09</v>
      </c>
      <c r="H45" s="252">
        <v>43</v>
      </c>
      <c r="I45" s="423">
        <f t="shared" ca="1" si="0"/>
        <v>72</v>
      </c>
      <c r="J45" s="423"/>
      <c r="L45" s="957"/>
      <c r="M45" s="262">
        <v>43</v>
      </c>
      <c r="N45" s="263">
        <f t="shared" ca="1" si="7"/>
        <v>1769.4237200574028</v>
      </c>
      <c r="O45" s="256">
        <f ca="1">KTVTD20namMH!F46</f>
        <v>50</v>
      </c>
      <c r="P45" s="451">
        <f ca="1">IF('Tinh phi QL'!$H$9="Nam",VLOOKUP(KTVTUCOI!$I$6,KTVTUCOI!$D$3:$F$103,2,0)*N45/1000/12,IF('Tinh phi QL'!$H$9="Nữ",VLOOKUP(KTVTUCOI!$I$6,KTVTUCOI!$D$3:$F$103,3,0)*N45/1000/12,0))</f>
        <v>0.20200920803988684</v>
      </c>
      <c r="Q45" s="962"/>
      <c r="R45" s="452">
        <f ca="1">IF('Tinh phi QL'!$H$9="Nam",VLOOKUP(KTVTUCOI!$I$6,KTVTUCOI!$D$3:$F$103,2,0)*S45/1000/12,IF('Tinh phi QL'!$H$9="Nữ",VLOOKUP(KTVTUCOI!$I$6,KTVTUCOI!$D$3:$F$103,3,0)*S45/1000/12,0))</f>
        <v>0.20858684288863741</v>
      </c>
      <c r="S45" s="451">
        <f ca="1">KTVTD20namMH!E46-V44</f>
        <v>1827.0380399004734</v>
      </c>
      <c r="T45" s="420">
        <f ca="1">(T44-O45-P45)*(1+LS!$E$6)</f>
        <v>-1822.6309890963905</v>
      </c>
      <c r="U45" s="264"/>
      <c r="V45" s="418">
        <f ca="1">(V44-O45-R45)*(1+LS!$F$6)</f>
        <v>-1884.2953352444738</v>
      </c>
    </row>
    <row r="46" spans="4:22" ht="9.75" customHeight="1">
      <c r="D46" s="252">
        <v>43</v>
      </c>
      <c r="E46" s="329">
        <v>2.82</v>
      </c>
      <c r="F46" s="329">
        <v>2.2400000000000002</v>
      </c>
      <c r="H46" s="252">
        <v>44</v>
      </c>
      <c r="I46" s="423">
        <f t="shared" ca="1" si="0"/>
        <v>73</v>
      </c>
      <c r="J46" s="423"/>
      <c r="L46" s="957"/>
      <c r="M46" s="262">
        <v>44</v>
      </c>
      <c r="N46" s="263">
        <f t="shared" ca="1" si="7"/>
        <v>1822.6309890963905</v>
      </c>
      <c r="O46" s="256">
        <f ca="1">KTVTD20namMH!F47</f>
        <v>50</v>
      </c>
      <c r="P46" s="451">
        <f ca="1">IF('Tinh phi QL'!$H$9="Nam",VLOOKUP(KTVTUCOI!$I$6,KTVTUCOI!$D$3:$F$103,2,0)*N46/1000/12,IF('Tinh phi QL'!$H$9="Nữ",VLOOKUP(KTVTUCOI!$I$6,KTVTUCOI!$D$3:$F$103,3,0)*N46/1000/12,0))</f>
        <v>0.20808370458850459</v>
      </c>
      <c r="Q46" s="962"/>
      <c r="R46" s="452">
        <f ca="1">IF('Tinh phi QL'!$H$9="Nam",VLOOKUP(KTVTUCOI!$I$6,KTVTUCOI!$D$3:$F$103,2,0)*S46/1000/12,IF('Tinh phi QL'!$H$9="Nữ",VLOOKUP(KTVTUCOI!$I$6,KTVTUCOI!$D$3:$F$103,3,0)*S46/1000/12,0))</f>
        <v>0.21512371744041078</v>
      </c>
      <c r="S46" s="451">
        <f ca="1">KTVTD20namMH!E47-V45</f>
        <v>1884.2953352444738</v>
      </c>
      <c r="T46" s="420">
        <f ca="1">(T45-O46-P46)*(1+LS!$E$6)</f>
        <v>-1875.9322187951227</v>
      </c>
      <c r="U46" s="264"/>
      <c r="V46" s="418">
        <f ca="1">(V45-O46-R46)*(1+LS!$F$6)</f>
        <v>-1941.7741823977792</v>
      </c>
    </row>
    <row r="47" spans="4:22" ht="9.75" customHeight="1">
      <c r="D47" s="252">
        <v>44</v>
      </c>
      <c r="E47" s="329">
        <v>3.06</v>
      </c>
      <c r="F47" s="329">
        <v>2.41</v>
      </c>
      <c r="H47" s="252">
        <v>45</v>
      </c>
      <c r="I47" s="423">
        <f t="shared" ca="1" si="0"/>
        <v>74</v>
      </c>
      <c r="J47" s="423"/>
      <c r="L47" s="957"/>
      <c r="M47" s="262">
        <v>45</v>
      </c>
      <c r="N47" s="263">
        <f t="shared" ca="1" si="7"/>
        <v>1875.9322187951227</v>
      </c>
      <c r="O47" s="256">
        <f ca="1">KTVTD20namMH!F48</f>
        <v>50</v>
      </c>
      <c r="P47" s="451">
        <f ca="1">IF('Tinh phi QL'!$H$9="Nam",VLOOKUP(KTVTUCOI!$I$6,KTVTUCOI!$D$3:$F$103,2,0)*N47/1000/12,IF('Tinh phi QL'!$H$9="Nữ",VLOOKUP(KTVTUCOI!$I$6,KTVTUCOI!$D$3:$F$103,3,0)*N47/1000/12,0))</f>
        <v>0.21416892831244319</v>
      </c>
      <c r="Q47" s="962"/>
      <c r="R47" s="452">
        <f ca="1">IF('Tinh phi QL'!$H$9="Nam",VLOOKUP(KTVTUCOI!$I$6,KTVTUCOI!$D$3:$F$103,2,0)*S47/1000/12,IF('Tinh phi QL'!$H$9="Nữ",VLOOKUP(KTVTUCOI!$I$6,KTVTUCOI!$D$3:$F$103,3,0)*S47/1000/12,0))</f>
        <v>0.22168588582374646</v>
      </c>
      <c r="S47" s="451">
        <f ca="1">KTVTD20namMH!E48-V46</f>
        <v>1941.7741823977792</v>
      </c>
      <c r="T47" s="420">
        <f ca="1">(T46-O47-P47)*(1+LS!$E$6)</f>
        <v>-1929.3275750821604</v>
      </c>
      <c r="U47" s="264"/>
      <c r="V47" s="418">
        <f ca="1">(V46-O47-R47)*(1+LS!$F$6)</f>
        <v>-1999.4754386346269</v>
      </c>
    </row>
    <row r="48" spans="4:22" ht="9.75" customHeight="1">
      <c r="D48" s="252">
        <v>45</v>
      </c>
      <c r="E48" s="329">
        <v>3.31</v>
      </c>
      <c r="F48" s="329">
        <v>2.58</v>
      </c>
      <c r="H48" s="252">
        <v>46</v>
      </c>
      <c r="I48" s="423">
        <f t="shared" ca="1" si="0"/>
        <v>75</v>
      </c>
      <c r="J48" s="423"/>
      <c r="L48" s="957"/>
      <c r="M48" s="262">
        <v>46</v>
      </c>
      <c r="N48" s="263">
        <f t="shared" ca="1" si="7"/>
        <v>1929.3275750821604</v>
      </c>
      <c r="O48" s="256">
        <f ca="1">KTVTD20namMH!F49</f>
        <v>50</v>
      </c>
      <c r="P48" s="451">
        <f ca="1">IF('Tinh phi QL'!$H$9="Nam",VLOOKUP(KTVTUCOI!$I$6,KTVTUCOI!$D$3:$F$103,2,0)*N48/1000/12,IF('Tinh phi QL'!$H$9="Nữ",VLOOKUP(KTVTUCOI!$I$6,KTVTUCOI!$D$3:$F$103,3,0)*N48/1000/12,0))</f>
        <v>0.22026489815521333</v>
      </c>
      <c r="Q48" s="962"/>
      <c r="R48" s="452">
        <f ca="1">IF('Tinh phi QL'!$H$9="Nam",VLOOKUP(KTVTUCOI!$I$6,KTVTUCOI!$D$3:$F$103,2,0)*S48/1000/12,IF('Tinh phi QL'!$H$9="Nữ",VLOOKUP(KTVTUCOI!$I$6,KTVTUCOI!$D$3:$F$103,3,0)*S48/1000/12,0))</f>
        <v>0.2282734459107866</v>
      </c>
      <c r="S48" s="451">
        <f ca="1">KTVTD20namMH!E49-V47</f>
        <v>1999.4754386346269</v>
      </c>
      <c r="T48" s="420">
        <f ca="1">(T47-O48-P48)*(1+LS!$E$6)</f>
        <v>-1982.8172241790835</v>
      </c>
      <c r="U48" s="264"/>
      <c r="V48" s="418">
        <f ca="1">(V47-O48-R48)*(1+LS!$F$6)</f>
        <v>-2057.3999645463982</v>
      </c>
    </row>
    <row r="49" spans="4:22" ht="9.75" customHeight="1">
      <c r="D49" s="252">
        <v>46</v>
      </c>
      <c r="E49" s="329">
        <v>3.58</v>
      </c>
      <c r="F49" s="329">
        <v>2.74</v>
      </c>
      <c r="H49" s="252">
        <v>47</v>
      </c>
      <c r="I49" s="423">
        <f t="shared" ca="1" si="0"/>
        <v>76</v>
      </c>
      <c r="J49" s="423"/>
      <c r="L49" s="957"/>
      <c r="M49" s="262">
        <v>47</v>
      </c>
      <c r="N49" s="263">
        <f t="shared" ca="1" si="7"/>
        <v>1982.8172241790835</v>
      </c>
      <c r="O49" s="256">
        <f ca="1">KTVTD20namMH!F50</f>
        <v>50</v>
      </c>
      <c r="P49" s="451">
        <f ca="1">IF('Tinh phi QL'!$H$9="Nam",VLOOKUP(KTVTUCOI!$I$6,KTVTUCOI!$D$3:$F$103,2,0)*N49/1000/12,IF('Tinh phi QL'!$H$9="Nữ",VLOOKUP(KTVTUCOI!$I$6,KTVTUCOI!$D$3:$F$103,3,0)*N49/1000/12,0))</f>
        <v>0.22637163309377872</v>
      </c>
      <c r="Q49" s="962"/>
      <c r="R49" s="452">
        <f ca="1">IF('Tinh phi QL'!$H$9="Nam",VLOOKUP(KTVTUCOI!$I$6,KTVTUCOI!$D$3:$F$103,2,0)*S49/1000/12,IF('Tinh phi QL'!$H$9="Nữ",VLOOKUP(KTVTUCOI!$I$6,KTVTUCOI!$D$3:$F$103,3,0)*S49/1000/12,0))</f>
        <v>0.23488649595238051</v>
      </c>
      <c r="S49" s="451">
        <f ca="1">KTVTD20namMH!E50-V48</f>
        <v>2057.3999645463982</v>
      </c>
      <c r="T49" s="420">
        <f ca="1">(T48-O49-P49)*(1+LS!$E$6)</f>
        <v>-2036.4013326010092</v>
      </c>
      <c r="U49" s="264"/>
      <c r="V49" s="418">
        <f ca="1">(V48-O49-R49)*(1+LS!$F$6)</f>
        <v>-2115.5486240544524</v>
      </c>
    </row>
    <row r="50" spans="4:22" ht="9.75" customHeight="1">
      <c r="D50" s="252">
        <v>47</v>
      </c>
      <c r="E50" s="329">
        <v>3.87</v>
      </c>
      <c r="F50" s="329">
        <v>2.93</v>
      </c>
      <c r="H50" s="252">
        <v>48</v>
      </c>
      <c r="I50" s="423">
        <f t="shared" ca="1" si="0"/>
        <v>77</v>
      </c>
      <c r="J50" s="423"/>
      <c r="L50" s="957"/>
      <c r="M50" s="262">
        <v>48</v>
      </c>
      <c r="N50" s="263">
        <f t="shared" ca="1" si="7"/>
        <v>2036.4013326010092</v>
      </c>
      <c r="O50" s="256">
        <f ca="1">KTVTD20namMH!F51</f>
        <v>50</v>
      </c>
      <c r="P50" s="451">
        <f ca="1">IF('Tinh phi QL'!$H$9="Nam",VLOOKUP(KTVTUCOI!$I$6,KTVTUCOI!$D$3:$F$103,2,0)*N50/1000/12,IF('Tinh phi QL'!$H$9="Nữ",VLOOKUP(KTVTUCOI!$I$6,KTVTUCOI!$D$3:$F$103,3,0)*N50/1000/12,0))</f>
        <v>0.23248915213861523</v>
      </c>
      <c r="Q50" s="962"/>
      <c r="R50" s="452">
        <f ca="1">IF('Tinh phi QL'!$H$9="Nam",VLOOKUP(KTVTUCOI!$I$6,KTVTUCOI!$D$3:$F$103,2,0)*S50/1000/12,IF('Tinh phi QL'!$H$9="Nữ",VLOOKUP(KTVTUCOI!$I$6,KTVTUCOI!$D$3:$F$103,3,0)*S50/1000/12,0))</f>
        <v>0.24152513457955002</v>
      </c>
      <c r="S50" s="451">
        <f ca="1">KTVTD20namMH!E51-V49</f>
        <v>2115.5486240544524</v>
      </c>
      <c r="T50" s="421">
        <f ca="1">(T49-O50-P50)*(1+LS!$E$6)</f>
        <v>-2090.0800671571092</v>
      </c>
      <c r="U50" s="264"/>
      <c r="V50" s="419">
        <f ca="1">(V49-O50-R50)*(1+LS!$F$6)</f>
        <v>-2173.9222844230135</v>
      </c>
    </row>
    <row r="51" spans="4:22" ht="9.75" customHeight="1">
      <c r="D51" s="252">
        <v>48</v>
      </c>
      <c r="E51" s="329">
        <v>4.18</v>
      </c>
      <c r="F51" s="329">
        <v>3.14</v>
      </c>
      <c r="H51" s="252">
        <v>49</v>
      </c>
      <c r="I51" s="423">
        <f t="shared" ca="1" si="0"/>
        <v>78</v>
      </c>
      <c r="J51" s="423"/>
      <c r="L51" s="959">
        <f>L39+1</f>
        <v>5</v>
      </c>
      <c r="M51" s="252">
        <v>49</v>
      </c>
      <c r="N51" s="256">
        <f ca="1">J7-T50-KTVTDGTTKcamket!F11</f>
        <v>2090.0800671571092</v>
      </c>
      <c r="O51" s="256">
        <f ca="1">KTVTD20namMH!F52</f>
        <v>50</v>
      </c>
      <c r="P51" s="452">
        <f ca="1">IF('Tinh phi QL'!$H$9="Nam",VLOOKUP(KTVTUCOI!$I$7,KTVTUCOI!$D$3:$F$103,2,0)*N51/1000/12,IF('Tinh phi QL'!$H$9="Nữ",VLOOKUP(KTVTUCOI!$I$7,KTVTUCOI!$D$3:$F$103,3,0)*N51/1000/12,0))</f>
        <v>0.25080960805885305</v>
      </c>
      <c r="Q51" s="959"/>
      <c r="R51" s="452">
        <f ca="1">IF('Tinh phi QL'!$H$9="Nam",VLOOKUP(KTVTUCOI!$I$7,KTVTUCOI!$D$3:$F$103,2,0)*S51/1000/12,IF('Tinh phi QL'!$H$9="Nữ",VLOOKUP(KTVTUCOI!$I$7,KTVTUCOI!$D$3:$F$103,3,0)*S51/1000/12,0))</f>
        <v>0.26087067413076165</v>
      </c>
      <c r="S51" s="452">
        <f ca="1">KTVTD20namMH!E52-V50-KTVTDGTTKMH!F11</f>
        <v>2173.9222844230135</v>
      </c>
      <c r="T51" s="418">
        <f ca="1">(T50+KTVTDGTTKcamket!F11-O51-P51)*(1+LS!$E$7)</f>
        <v>-2143.8658072211556</v>
      </c>
      <c r="U51" s="958">
        <f>Q51</f>
        <v>0</v>
      </c>
      <c r="V51" s="418">
        <f ca="1">(V50+KTVTUGTTKMH!F11-O51-R51)*(1+LS!$F$7)</f>
        <v>-2232.534545101003</v>
      </c>
    </row>
    <row r="52" spans="4:22" ht="9.75" customHeight="1">
      <c r="D52" s="252">
        <v>49</v>
      </c>
      <c r="E52" s="329">
        <v>4.5199999999999996</v>
      </c>
      <c r="F52" s="329">
        <v>3.35</v>
      </c>
      <c r="H52" s="252">
        <v>50</v>
      </c>
      <c r="I52" s="423">
        <f t="shared" ca="1" si="0"/>
        <v>79</v>
      </c>
      <c r="J52" s="423"/>
      <c r="L52" s="959"/>
      <c r="M52" s="252">
        <v>50</v>
      </c>
      <c r="N52" s="256">
        <f ca="1">$J$7-T51</f>
        <v>2143.8658072211556</v>
      </c>
      <c r="O52" s="256">
        <f ca="1">KTVTD20namMH!F53</f>
        <v>50</v>
      </c>
      <c r="P52" s="452">
        <f ca="1">IF('Tinh phi QL'!$H$9="Nam",VLOOKUP(KTVTUCOI!$I$7,KTVTUCOI!$D$3:$F$103,2,0)*N52/1000/12,IF('Tinh phi QL'!$H$9="Nữ",VLOOKUP(KTVTUCOI!$I$7,KTVTUCOI!$D$3:$F$103,3,0)*N52/1000/12,0))</f>
        <v>0.25726389686653867</v>
      </c>
      <c r="Q52" s="959"/>
      <c r="R52" s="452">
        <f ca="1">IF('Tinh phi QL'!$H$9="Nam",VLOOKUP(KTVTUCOI!$I$7,KTVTUCOI!$D$3:$F$103,2,0)*S52/1000/12,IF('Tinh phi QL'!$H$9="Nữ",VLOOKUP(KTVTUCOI!$I$7,KTVTUCOI!$D$3:$F$103,3,0)*S52/1000/12,0))</f>
        <v>0.26790414541212038</v>
      </c>
      <c r="S52" s="452">
        <f ca="1">KTVTD20namMH!E53-V51</f>
        <v>2232.534545101003</v>
      </c>
      <c r="T52" s="418">
        <f ca="1">(T51-O52-P52)*(1+LS!$E$7)</f>
        <v>-2197.7468437563921</v>
      </c>
      <c r="U52" s="958"/>
      <c r="V52" s="418">
        <f ca="1">(V51-O52-R52)*(1+LS!$F$7)</f>
        <v>-2291.3739436899959</v>
      </c>
    </row>
    <row r="53" spans="4:22" ht="9.75" customHeight="1">
      <c r="D53" s="252">
        <v>50</v>
      </c>
      <c r="E53" s="329">
        <v>4.9000000000000004</v>
      </c>
      <c r="F53" s="329">
        <v>3.6</v>
      </c>
      <c r="H53" s="252">
        <v>51</v>
      </c>
      <c r="I53" s="423">
        <f t="shared" ca="1" si="0"/>
        <v>80</v>
      </c>
      <c r="J53" s="423"/>
      <c r="L53" s="959"/>
      <c r="M53" s="252">
        <v>51</v>
      </c>
      <c r="N53" s="256">
        <f t="shared" ref="N53:N62" ca="1" si="8">$J$7-T52</f>
        <v>2197.7468437563921</v>
      </c>
      <c r="O53" s="256">
        <f ca="1">KTVTD20namMH!F54</f>
        <v>50</v>
      </c>
      <c r="P53" s="452">
        <f ca="1">IF('Tinh phi QL'!$H$9="Nam",VLOOKUP(KTVTUCOI!$I$7,KTVTUCOI!$D$3:$F$103,2,0)*N53/1000/12,IF('Tinh phi QL'!$H$9="Nữ",VLOOKUP(KTVTUCOI!$I$7,KTVTUCOI!$D$3:$F$103,3,0)*N53/1000/12,0))</f>
        <v>0.26372962125076704</v>
      </c>
      <c r="Q53" s="959"/>
      <c r="R53" s="452">
        <f ca="1">IF('Tinh phi QL'!$H$9="Nam",VLOOKUP(KTVTUCOI!$I$7,KTVTUCOI!$D$3:$F$103,2,0)*S53/1000/12,IF('Tinh phi QL'!$H$9="Nữ",VLOOKUP(KTVTUCOI!$I$7,KTVTUCOI!$D$3:$F$103,3,0)*S53/1000/12,0))</f>
        <v>0.2749648732427995</v>
      </c>
      <c r="S53" s="452">
        <f ca="1">KTVTD20namMH!E54-V52</f>
        <v>2291.3739436899959</v>
      </c>
      <c r="T53" s="418">
        <f ca="1">(T52-O53-P53)*(1+LS!$E$7)</f>
        <v>-2251.7233456071522</v>
      </c>
      <c r="U53" s="958"/>
      <c r="V53" s="418">
        <f ca="1">(V52-O53-R53)*(1+LS!$F$7)</f>
        <v>-2350.4413604090796</v>
      </c>
    </row>
    <row r="54" spans="4:22" ht="9.75" customHeight="1">
      <c r="D54" s="252">
        <v>51</v>
      </c>
      <c r="E54" s="329">
        <v>5.34</v>
      </c>
      <c r="F54" s="329">
        <v>3.85</v>
      </c>
      <c r="H54" s="252">
        <v>52</v>
      </c>
      <c r="I54" s="423">
        <f t="shared" ca="1" si="0"/>
        <v>81</v>
      </c>
      <c r="J54" s="423"/>
      <c r="L54" s="959"/>
      <c r="M54" s="252">
        <v>52</v>
      </c>
      <c r="N54" s="256">
        <f t="shared" ca="1" si="8"/>
        <v>2251.7233456071522</v>
      </c>
      <c r="O54" s="256">
        <f ca="1">KTVTD20namMH!F55</f>
        <v>50</v>
      </c>
      <c r="P54" s="452">
        <f ca="1">IF('Tinh phi QL'!$H$9="Nam",VLOOKUP(KTVTUCOI!$I$7,KTVTUCOI!$D$3:$F$103,2,0)*N54/1000/12,IF('Tinh phi QL'!$H$9="Nữ",VLOOKUP(KTVTUCOI!$I$7,KTVTUCOI!$D$3:$F$103,3,0)*N54/1000/12,0))</f>
        <v>0.27020680147285825</v>
      </c>
      <c r="Q54" s="959"/>
      <c r="R54" s="452">
        <f ca="1">IF('Tinh phi QL'!$H$9="Nam",VLOOKUP(KTVTUCOI!$I$7,KTVTUCOI!$D$3:$F$103,2,0)*S54/1000/12,IF('Tinh phi QL'!$H$9="Nữ",VLOOKUP(KTVTUCOI!$I$7,KTVTUCOI!$D$3:$F$103,3,0)*S54/1000/12,0))</f>
        <v>0.28205296324908952</v>
      </c>
      <c r="S54" s="452">
        <f ca="1">KTVTD20namMH!E55-V53</f>
        <v>2350.4413604090796</v>
      </c>
      <c r="T54" s="418">
        <f ca="1">(T53-O54-P54)*(1+LS!$E$7)</f>
        <v>-2305.795481916924</v>
      </c>
      <c r="U54" s="958"/>
      <c r="V54" s="418">
        <f ca="1">(V53-O54-R54)*(1+LS!$F$7)</f>
        <v>-2409.7376788884217</v>
      </c>
    </row>
    <row r="55" spans="4:22" ht="9.75" customHeight="1">
      <c r="D55" s="252">
        <v>52</v>
      </c>
      <c r="E55" s="329">
        <v>5.83</v>
      </c>
      <c r="F55" s="329">
        <v>4.1399999999999997</v>
      </c>
      <c r="H55" s="252">
        <v>53</v>
      </c>
      <c r="I55" s="423">
        <f t="shared" ca="1" si="0"/>
        <v>82</v>
      </c>
      <c r="J55" s="423"/>
      <c r="L55" s="959"/>
      <c r="M55" s="252">
        <v>53</v>
      </c>
      <c r="N55" s="256">
        <f t="shared" ca="1" si="8"/>
        <v>2305.795481916924</v>
      </c>
      <c r="O55" s="256">
        <f ca="1">KTVTD20namMH!F56</f>
        <v>50</v>
      </c>
      <c r="P55" s="452">
        <f ca="1">IF('Tinh phi QL'!$H$9="Nam",VLOOKUP(KTVTUCOI!$I$7,KTVTUCOI!$D$3:$F$103,2,0)*N55/1000/12,IF('Tinh phi QL'!$H$9="Nữ",VLOOKUP(KTVTUCOI!$I$7,KTVTUCOI!$D$3:$F$103,3,0)*N55/1000/12,0))</f>
        <v>0.27669545783003086</v>
      </c>
      <c r="Q55" s="959"/>
      <c r="R55" s="452">
        <f ca="1">IF('Tinh phi QL'!$H$9="Nam",VLOOKUP(KTVTUCOI!$I$7,KTVTUCOI!$D$3:$F$103,2,0)*S55/1000/12,IF('Tinh phi QL'!$H$9="Nữ",VLOOKUP(KTVTUCOI!$I$7,KTVTUCOI!$D$3:$F$103,3,0)*S55/1000/12,0))</f>
        <v>0.2891685214666106</v>
      </c>
      <c r="S55" s="452">
        <f ca="1">KTVTD20namMH!E56-V54</f>
        <v>2409.7376788884217</v>
      </c>
      <c r="T55" s="418">
        <f ca="1">(T54-O55-P55)*(1+LS!$E$7)</f>
        <v>-2359.9634221288807</v>
      </c>
      <c r="U55" s="958"/>
      <c r="V55" s="418">
        <f ca="1">(V54-O55-R55)*(1+LS!$F$7)</f>
        <v>-2469.2637861824896</v>
      </c>
    </row>
    <row r="56" spans="4:22" ht="9.75" customHeight="1">
      <c r="D56" s="252">
        <v>53</v>
      </c>
      <c r="E56" s="329">
        <v>6.39</v>
      </c>
      <c r="F56" s="329">
        <v>4.47</v>
      </c>
      <c r="H56" s="252">
        <v>54</v>
      </c>
      <c r="I56" s="423">
        <f t="shared" ca="1" si="0"/>
        <v>83</v>
      </c>
      <c r="J56" s="423"/>
      <c r="L56" s="959"/>
      <c r="M56" s="252">
        <v>54</v>
      </c>
      <c r="N56" s="256">
        <f t="shared" ca="1" si="8"/>
        <v>2359.9634221288807</v>
      </c>
      <c r="O56" s="256">
        <f ca="1">KTVTD20namMH!F57</f>
        <v>50</v>
      </c>
      <c r="P56" s="452">
        <f ca="1">IF('Tinh phi QL'!$H$9="Nam",VLOOKUP(KTVTUCOI!$I$7,KTVTUCOI!$D$3:$F$103,2,0)*N56/1000/12,IF('Tinh phi QL'!$H$9="Nữ",VLOOKUP(KTVTUCOI!$I$7,KTVTUCOI!$D$3:$F$103,3,0)*N56/1000/12,0))</f>
        <v>0.28319561065546567</v>
      </c>
      <c r="Q56" s="959"/>
      <c r="R56" s="452">
        <f ca="1">IF('Tinh phi QL'!$H$9="Nam",VLOOKUP(KTVTUCOI!$I$7,KTVTUCOI!$D$3:$F$103,2,0)*S56/1000/12,IF('Tinh phi QL'!$H$9="Nữ",VLOOKUP(KTVTUCOI!$I$7,KTVTUCOI!$D$3:$F$103,3,0)*S56/1000/12,0))</f>
        <v>0.29631165434189871</v>
      </c>
      <c r="S56" s="452">
        <f ca="1">KTVTD20namMH!E57-V55</f>
        <v>2469.2637861824896</v>
      </c>
      <c r="T56" s="418">
        <f ca="1">(T55-O56-P56)*(1+LS!$E$7)</f>
        <v>-2414.2273359864112</v>
      </c>
      <c r="U56" s="958"/>
      <c r="V56" s="418">
        <f ca="1">(V55-O56-R56)*(1+LS!$F$7)</f>
        <v>-2529.020572783319</v>
      </c>
    </row>
    <row r="57" spans="4:22" ht="9.75" customHeight="1">
      <c r="D57" s="252">
        <v>54</v>
      </c>
      <c r="E57" s="329">
        <v>7.01</v>
      </c>
      <c r="F57" s="329">
        <v>4.8</v>
      </c>
      <c r="H57" s="252">
        <v>55</v>
      </c>
      <c r="I57" s="423">
        <f t="shared" ca="1" si="0"/>
        <v>84</v>
      </c>
      <c r="J57" s="423"/>
      <c r="L57" s="959"/>
      <c r="M57" s="252">
        <v>55</v>
      </c>
      <c r="N57" s="256">
        <f t="shared" ca="1" si="8"/>
        <v>2414.2273359864112</v>
      </c>
      <c r="O57" s="256">
        <f ca="1">KTVTD20namMH!F58</f>
        <v>50</v>
      </c>
      <c r="P57" s="452">
        <f ca="1">IF('Tinh phi QL'!$H$9="Nam",VLOOKUP(KTVTUCOI!$I$7,KTVTUCOI!$D$3:$F$103,2,0)*N57/1000/12,IF('Tinh phi QL'!$H$9="Nữ",VLOOKUP(KTVTUCOI!$I$7,KTVTUCOI!$D$3:$F$103,3,0)*N57/1000/12,0))</f>
        <v>0.28970728031836934</v>
      </c>
      <c r="Q57" s="959"/>
      <c r="R57" s="452">
        <f ca="1">IF('Tinh phi QL'!$H$9="Nam",VLOOKUP(KTVTUCOI!$I$7,KTVTUCOI!$D$3:$F$103,2,0)*S57/1000/12,IF('Tinh phi QL'!$H$9="Nữ",VLOOKUP(KTVTUCOI!$I$7,KTVTUCOI!$D$3:$F$103,3,0)*S57/1000/12,0))</f>
        <v>0.30348246873399826</v>
      </c>
      <c r="S57" s="452">
        <f ca="1">KTVTD20namMH!E58-V56</f>
        <v>2529.020572783319</v>
      </c>
      <c r="T57" s="418">
        <f ca="1">(T56-O57-P57)*(1+LS!$E$7)</f>
        <v>-2468.5873935336526</v>
      </c>
      <c r="U57" s="958"/>
      <c r="V57" s="418">
        <f ca="1">(V56-O57-R57)*(1+LS!$F$7)</f>
        <v>-2589.0089326338366</v>
      </c>
    </row>
    <row r="58" spans="4:22" ht="9.75" customHeight="1">
      <c r="D58" s="252">
        <v>55</v>
      </c>
      <c r="E58" s="329">
        <v>7.67</v>
      </c>
      <c r="F58" s="329">
        <v>5.13</v>
      </c>
      <c r="H58" s="252">
        <v>56</v>
      </c>
      <c r="I58" s="423">
        <f t="shared" ca="1" si="0"/>
        <v>85</v>
      </c>
      <c r="J58" s="423"/>
      <c r="L58" s="959"/>
      <c r="M58" s="252">
        <v>56</v>
      </c>
      <c r="N58" s="256">
        <f t="shared" ca="1" si="8"/>
        <v>2468.5873935336526</v>
      </c>
      <c r="O58" s="256">
        <f ca="1">KTVTD20namMH!F59</f>
        <v>50</v>
      </c>
      <c r="P58" s="452">
        <f ca="1">IF('Tinh phi QL'!$H$9="Nam",VLOOKUP(KTVTUCOI!$I$7,KTVTUCOI!$D$3:$F$103,2,0)*N58/1000/12,IF('Tinh phi QL'!$H$9="Nữ",VLOOKUP(KTVTUCOI!$I$7,KTVTUCOI!$D$3:$F$103,3,0)*N58/1000/12,0))</f>
        <v>0.29623048722403827</v>
      </c>
      <c r="Q58" s="959"/>
      <c r="R58" s="452">
        <f ca="1">IF('Tinh phi QL'!$H$9="Nam",VLOOKUP(KTVTUCOI!$I$7,KTVTUCOI!$D$3:$F$103,2,0)*S58/1000/12,IF('Tinh phi QL'!$H$9="Nữ",VLOOKUP(KTVTUCOI!$I$7,KTVTUCOI!$D$3:$F$103,3,0)*S58/1000/12,0))</f>
        <v>0.31068107191606037</v>
      </c>
      <c r="S58" s="452">
        <f ca="1">KTVTD20namMH!E59-V57</f>
        <v>2589.0089326338366</v>
      </c>
      <c r="T58" s="418">
        <f ca="1">(T57-O58-P58)*(1+LS!$E$7)</f>
        <v>-2523.0437651160223</v>
      </c>
      <c r="U58" s="958"/>
      <c r="V58" s="418">
        <f ca="1">(V57-O58-R58)*(1+LS!$F$7)</f>
        <v>-2649.229763141233</v>
      </c>
    </row>
    <row r="59" spans="4:22" ht="9.75" customHeight="1">
      <c r="D59" s="252">
        <v>56</v>
      </c>
      <c r="E59" s="329">
        <v>8.3800000000000008</v>
      </c>
      <c r="F59" s="329">
        <v>5.46</v>
      </c>
      <c r="H59" s="252">
        <v>57</v>
      </c>
      <c r="I59" s="423">
        <f t="shared" ca="1" si="0"/>
        <v>86</v>
      </c>
      <c r="J59" s="423"/>
      <c r="L59" s="959"/>
      <c r="M59" s="252">
        <v>57</v>
      </c>
      <c r="N59" s="256">
        <f t="shared" ca="1" si="8"/>
        <v>2523.0437651160223</v>
      </c>
      <c r="O59" s="256">
        <f ca="1">KTVTD20namMH!F60</f>
        <v>50</v>
      </c>
      <c r="P59" s="452">
        <f ca="1">IF('Tinh phi QL'!$H$9="Nam",VLOOKUP(KTVTUCOI!$I$7,KTVTUCOI!$D$3:$F$103,2,0)*N59/1000/12,IF('Tinh phi QL'!$H$9="Nữ",VLOOKUP(KTVTUCOI!$I$7,KTVTUCOI!$D$3:$F$103,3,0)*N59/1000/12,0))</f>
        <v>0.30276525181392272</v>
      </c>
      <c r="Q59" s="959"/>
      <c r="R59" s="452">
        <f ca="1">IF('Tinh phi QL'!$H$9="Nam",VLOOKUP(KTVTUCOI!$I$7,KTVTUCOI!$D$3:$F$103,2,0)*S59/1000/12,IF('Tinh phi QL'!$H$9="Nữ",VLOOKUP(KTVTUCOI!$I$7,KTVTUCOI!$D$3:$F$103,3,0)*S59/1000/12,0))</f>
        <v>0.31790757157694793</v>
      </c>
      <c r="S59" s="452">
        <f ca="1">KTVTD20namMH!E60-V58</f>
        <v>2649.229763141233</v>
      </c>
      <c r="T59" s="418">
        <f ca="1">(T58-O59-P59)*(1+LS!$E$7)</f>
        <v>-2577.5966213807533</v>
      </c>
      <c r="U59" s="958"/>
      <c r="V59" s="418">
        <f ca="1">(V58-O59-R59)*(1+LS!$F$7)</f>
        <v>-2709.6839651903874</v>
      </c>
    </row>
    <row r="60" spans="4:22" ht="9.75" customHeight="1">
      <c r="D60" s="252">
        <v>57</v>
      </c>
      <c r="E60" s="329">
        <v>9.1300000000000008</v>
      </c>
      <c r="F60" s="329">
        <v>5.78</v>
      </c>
      <c r="H60" s="252">
        <v>58</v>
      </c>
      <c r="I60" s="423">
        <f t="shared" ca="1" si="0"/>
        <v>87</v>
      </c>
      <c r="J60" s="423"/>
      <c r="L60" s="959"/>
      <c r="M60" s="252">
        <v>58</v>
      </c>
      <c r="N60" s="256">
        <f t="shared" ca="1" si="8"/>
        <v>2577.5966213807533</v>
      </c>
      <c r="O60" s="256">
        <f ca="1">KTVTD20namMH!F61</f>
        <v>50</v>
      </c>
      <c r="P60" s="452">
        <f ca="1">IF('Tinh phi QL'!$H$9="Nam",VLOOKUP(KTVTUCOI!$I$7,KTVTUCOI!$D$3:$F$103,2,0)*N60/1000/12,IF('Tinh phi QL'!$H$9="Nữ",VLOOKUP(KTVTUCOI!$I$7,KTVTUCOI!$D$3:$F$103,3,0)*N60/1000/12,0))</f>
        <v>0.30931159456569041</v>
      </c>
      <c r="Q60" s="959"/>
      <c r="R60" s="452">
        <f ca="1">IF('Tinh phi QL'!$H$9="Nam",VLOOKUP(KTVTUCOI!$I$7,KTVTUCOI!$D$3:$F$103,2,0)*S60/1000/12,IF('Tinh phi QL'!$H$9="Nữ",VLOOKUP(KTVTUCOI!$I$7,KTVTUCOI!$D$3:$F$103,3,0)*S60/1000/12,0))</f>
        <v>0.32516207582284651</v>
      </c>
      <c r="S60" s="452">
        <f ca="1">KTVTD20namMH!E61-V59</f>
        <v>2709.6839651903874</v>
      </c>
      <c r="T60" s="418">
        <f ca="1">(T59-O60-P60)*(1+LS!$E$7)</f>
        <v>-2632.2461332774265</v>
      </c>
      <c r="U60" s="958"/>
      <c r="V60" s="418">
        <f ca="1">(V59-O60-R60)*(1+LS!$F$7)</f>
        <v>-2770.3724431573442</v>
      </c>
    </row>
    <row r="61" spans="4:22" ht="9.75" customHeight="1">
      <c r="D61" s="252">
        <v>58</v>
      </c>
      <c r="E61" s="329">
        <v>9.93</v>
      </c>
      <c r="F61" s="329">
        <v>6.09</v>
      </c>
      <c r="H61" s="252">
        <v>59</v>
      </c>
      <c r="I61" s="423">
        <f t="shared" ca="1" si="0"/>
        <v>88</v>
      </c>
      <c r="J61" s="423"/>
      <c r="L61" s="959"/>
      <c r="M61" s="252">
        <v>59</v>
      </c>
      <c r="N61" s="256">
        <f t="shared" ca="1" si="8"/>
        <v>2632.2461332774265</v>
      </c>
      <c r="O61" s="256">
        <f ca="1">KTVTD20namMH!F62</f>
        <v>50</v>
      </c>
      <c r="P61" s="452">
        <f ca="1">IF('Tinh phi QL'!$H$9="Nam",VLOOKUP(KTVTUCOI!$I$7,KTVTUCOI!$D$3:$F$103,2,0)*N61/1000/12,IF('Tinh phi QL'!$H$9="Nữ",VLOOKUP(KTVTUCOI!$I$7,KTVTUCOI!$D$3:$F$103,3,0)*N61/1000/12,0))</f>
        <v>0.31586953599329115</v>
      </c>
      <c r="Q61" s="959"/>
      <c r="R61" s="452">
        <f ca="1">IF('Tinh phi QL'!$H$9="Nam",VLOOKUP(KTVTUCOI!$I$7,KTVTUCOI!$D$3:$F$103,2,0)*S61/1000/12,IF('Tinh phi QL'!$H$9="Nữ",VLOOKUP(KTVTUCOI!$I$7,KTVTUCOI!$D$3:$F$103,3,0)*S61/1000/12,0))</f>
        <v>0.33244469317888131</v>
      </c>
      <c r="S61" s="452">
        <f ca="1">KTVTD20namMH!E62-V60</f>
        <v>2770.3724431573442</v>
      </c>
      <c r="T61" s="418">
        <f ca="1">(T60-O61-P61)*(1+LS!$E$7)</f>
        <v>-2686.9924720585082</v>
      </c>
      <c r="U61" s="958"/>
      <c r="V61" s="418">
        <f ca="1">(V60-O61-R61)*(1+LS!$F$7)</f>
        <v>-2831.2961049228425</v>
      </c>
    </row>
    <row r="62" spans="4:22" ht="9.75" customHeight="1">
      <c r="D62" s="252">
        <v>59</v>
      </c>
      <c r="E62" s="329">
        <v>10.79</v>
      </c>
      <c r="F62" s="329">
        <v>6.44</v>
      </c>
      <c r="H62" s="252">
        <v>60</v>
      </c>
      <c r="I62" s="423">
        <f t="shared" ca="1" si="0"/>
        <v>89</v>
      </c>
      <c r="J62" s="423"/>
      <c r="L62" s="959"/>
      <c r="M62" s="252">
        <v>60</v>
      </c>
      <c r="N62" s="256">
        <f t="shared" ca="1" si="8"/>
        <v>2686.9924720585082</v>
      </c>
      <c r="O62" s="256">
        <f ca="1">KTVTD20namMH!F63</f>
        <v>50</v>
      </c>
      <c r="P62" s="452">
        <f ca="1">IF('Tinh phi QL'!$H$9="Nam",VLOOKUP(KTVTUCOI!$I$7,KTVTUCOI!$D$3:$F$103,2,0)*N62/1000/12,IF('Tinh phi QL'!$H$9="Nữ",VLOOKUP(KTVTUCOI!$I$7,KTVTUCOI!$D$3:$F$103,3,0)*N62/1000/12,0))</f>
        <v>0.32243909664702097</v>
      </c>
      <c r="Q62" s="959"/>
      <c r="R62" s="452">
        <f ca="1">IF('Tinh phi QL'!$H$9="Nam",VLOOKUP(KTVTUCOI!$I$7,KTVTUCOI!$D$3:$F$103,2,0)*S62/1000/12,IF('Tinh phi QL'!$H$9="Nữ",VLOOKUP(KTVTUCOI!$I$7,KTVTUCOI!$D$3:$F$103,3,0)*S62/1000/12,0))</f>
        <v>0.33975553259074109</v>
      </c>
      <c r="S62" s="452">
        <f ca="1">KTVTD20namMH!E63-V61</f>
        <v>2831.2961049228425</v>
      </c>
      <c r="T62" s="419">
        <f ca="1">(T61-O62-P62)*(1+LS!$E$7)</f>
        <v>-2741.8358092798862</v>
      </c>
      <c r="U62" s="958"/>
      <c r="V62" s="419">
        <f ca="1">(V61-O62-R62)*(1+LS!$F$7)</f>
        <v>-2892.4558618858987</v>
      </c>
    </row>
    <row r="63" spans="4:22" ht="9.75" customHeight="1">
      <c r="D63" s="252">
        <v>60</v>
      </c>
      <c r="E63" s="329">
        <v>11.76</v>
      </c>
      <c r="F63" s="329">
        <v>6.86</v>
      </c>
      <c r="H63" s="252">
        <v>61</v>
      </c>
      <c r="I63" s="423">
        <f t="shared" ca="1" si="0"/>
        <v>90</v>
      </c>
      <c r="J63" s="423"/>
      <c r="L63" s="957">
        <f>L51+1</f>
        <v>6</v>
      </c>
      <c r="M63" s="262">
        <v>61</v>
      </c>
      <c r="N63" s="263">
        <f ca="1">$J$8-T62-KTVTDGTTKcamket!F12</f>
        <v>2741.8358092798862</v>
      </c>
      <c r="O63" s="256">
        <f ca="1">KTVTD20namMH!F64</f>
        <v>50</v>
      </c>
      <c r="P63" s="451">
        <f ca="1">IF('Tinh phi QL'!$H$9="Nam",VLOOKUP(KTVTUCOI!$I$8,KTVTUCOI!$D$3:$F$103,2,0)*N63/1000/12,IF('Tinh phi QL'!$H$9="Nữ",VLOOKUP(KTVTUCOI!$I$8,KTVTUCOI!$D$3:$F$103,3,0)*N63/1000/12,0))</f>
        <v>0.3472992025087856</v>
      </c>
      <c r="Q63" s="957"/>
      <c r="R63" s="452">
        <f ca="1">IF('Tinh phi QL'!$H$9="Nam",VLOOKUP(KTVTUCOI!$I$8,KTVTUCOI!$D$3:$F$103,2,0)*S63/1000/12,IF('Tinh phi QL'!$H$9="Nữ",VLOOKUP(KTVTUCOI!$I$8,KTVTUCOI!$D$3:$F$103,3,0)*S63/1000/12,0))</f>
        <v>0.36637774250554717</v>
      </c>
      <c r="S63" s="451">
        <f ca="1">KTVTD20namMH!E64-V62-KTVTDGTTKMH!F12</f>
        <v>2892.4558618858987</v>
      </c>
      <c r="T63" s="420">
        <f ca="1">(T62+KTVTDGTTKcamket!F12-KTVTUCOI!O63-KTVTUCOI!P63)*(1+LS!$E$8)</f>
        <v>-2795.6495695136528</v>
      </c>
      <c r="U63" s="958">
        <f>Q63</f>
        <v>0</v>
      </c>
      <c r="V63" s="418">
        <f ca="1">(V62+KTVTUGTTKMH!F12-O63-R63)*(1+LS!$F$8)</f>
        <v>-2953.8719844207085</v>
      </c>
    </row>
    <row r="64" spans="4:22" ht="9.75" customHeight="1">
      <c r="D64" s="252">
        <v>61</v>
      </c>
      <c r="E64" s="329">
        <v>12.85</v>
      </c>
      <c r="F64" s="329">
        <v>7.38</v>
      </c>
      <c r="H64" s="252">
        <v>62</v>
      </c>
      <c r="I64" s="423">
        <f t="shared" ca="1" si="0"/>
        <v>91</v>
      </c>
      <c r="J64" s="423"/>
      <c r="L64" s="957"/>
      <c r="M64" s="262">
        <v>62</v>
      </c>
      <c r="N64" s="263">
        <f ca="1">$J$8-T63</f>
        <v>2795.6495695136528</v>
      </c>
      <c r="O64" s="256">
        <f ca="1">KTVTD20namMH!F65</f>
        <v>50</v>
      </c>
      <c r="P64" s="451">
        <f ca="1">IF('Tinh phi QL'!$H$9="Nam",VLOOKUP(KTVTUCOI!$I$8,KTVTUCOI!$D$3:$F$103,2,0)*N64/1000/12,IF('Tinh phi QL'!$H$9="Nữ",VLOOKUP(KTVTUCOI!$I$8,KTVTUCOI!$D$3:$F$103,3,0)*N64/1000/12,0))</f>
        <v>0.3541156121383961</v>
      </c>
      <c r="Q64" s="957"/>
      <c r="R64" s="452">
        <f ca="1">IF('Tinh phi QL'!$H$9="Nam",VLOOKUP(KTVTUCOI!$I$8,KTVTUCOI!$D$3:$F$103,2,0)*S64/1000/12,IF('Tinh phi QL'!$H$9="Nữ",VLOOKUP(KTVTUCOI!$I$8,KTVTUCOI!$D$3:$F$103,3,0)*S64/1000/12,0))</f>
        <v>0.37415711802662316</v>
      </c>
      <c r="S64" s="451">
        <f ca="1">KTVTD20namMH!E65-V63</f>
        <v>2953.8719844207085</v>
      </c>
      <c r="T64" s="420">
        <f ca="1">(T63-O64-P64)*(1+LS!$E$8)</f>
        <v>-2849.5369637418439</v>
      </c>
      <c r="U64" s="958"/>
      <c r="V64" s="418">
        <f ca="1">(V63-O64-R64)*(1+LS!$F$8)</f>
        <v>-3015.5265215461463</v>
      </c>
    </row>
    <row r="65" spans="4:22" ht="9.75" customHeight="1">
      <c r="D65" s="252">
        <v>62</v>
      </c>
      <c r="E65" s="329">
        <v>14.08</v>
      </c>
      <c r="F65" s="329">
        <v>8.0399999999999991</v>
      </c>
      <c r="H65" s="252">
        <v>63</v>
      </c>
      <c r="I65" s="423">
        <f t="shared" ca="1" si="0"/>
        <v>92</v>
      </c>
      <c r="J65" s="423"/>
      <c r="L65" s="957"/>
      <c r="M65" s="262">
        <v>63</v>
      </c>
      <c r="N65" s="263">
        <f t="shared" ref="N65:N74" ca="1" si="9">$J$8-T64</f>
        <v>2849.5369637418439</v>
      </c>
      <c r="O65" s="256">
        <f ca="1">KTVTD20namMH!F66</f>
        <v>50</v>
      </c>
      <c r="P65" s="451">
        <f ca="1">IF('Tinh phi QL'!$H$9="Nam",VLOOKUP(KTVTUCOI!$I$8,KTVTUCOI!$D$3:$F$103,2,0)*N65/1000/12,IF('Tinh phi QL'!$H$9="Nữ",VLOOKUP(KTVTUCOI!$I$8,KTVTUCOI!$D$3:$F$103,3,0)*N65/1000/12,0))</f>
        <v>0.36094134874063361</v>
      </c>
      <c r="Q65" s="957"/>
      <c r="R65" s="452">
        <f ca="1">IF('Tinh phi QL'!$H$9="Nam",VLOOKUP(KTVTUCOI!$I$8,KTVTUCOI!$D$3:$F$103,2,0)*S65/1000/12,IF('Tinh phi QL'!$H$9="Nữ",VLOOKUP(KTVTUCOI!$I$8,KTVTUCOI!$D$3:$F$103,3,0)*S65/1000/12,0))</f>
        <v>0.38196669272917855</v>
      </c>
      <c r="S65" s="451">
        <f ca="1">KTVTD20namMH!E66-V64</f>
        <v>3015.5265215461463</v>
      </c>
      <c r="T65" s="420">
        <f ca="1">(T64-O65-P65)*(1+LS!$E$8)</f>
        <v>-2903.4980927187116</v>
      </c>
      <c r="U65" s="958"/>
      <c r="V65" s="418">
        <f ca="1">(V64-O65-R65)*(1+LS!$F$8)</f>
        <v>-3077.4203987767942</v>
      </c>
    </row>
    <row r="66" spans="4:22" ht="9.75" customHeight="1">
      <c r="D66" s="252">
        <v>63</v>
      </c>
      <c r="E66" s="329">
        <v>15.47</v>
      </c>
      <c r="F66" s="329">
        <v>8.84</v>
      </c>
      <c r="H66" s="252">
        <v>64</v>
      </c>
      <c r="I66" s="423">
        <f t="shared" ca="1" si="0"/>
        <v>93</v>
      </c>
      <c r="J66" s="423"/>
      <c r="L66" s="957"/>
      <c r="M66" s="262">
        <v>64</v>
      </c>
      <c r="N66" s="263">
        <f t="shared" ca="1" si="9"/>
        <v>2903.4980927187116</v>
      </c>
      <c r="O66" s="256">
        <f ca="1">KTVTD20namMH!F67</f>
        <v>50</v>
      </c>
      <c r="P66" s="451">
        <f ca="1">IF('Tinh phi QL'!$H$9="Nam",VLOOKUP(KTVTUCOI!$I$8,KTVTUCOI!$D$3:$F$103,2,0)*N66/1000/12,IF('Tinh phi QL'!$H$9="Nữ",VLOOKUP(KTVTUCOI!$I$8,KTVTUCOI!$D$3:$F$103,3,0)*N66/1000/12,0))</f>
        <v>0.36777642507770342</v>
      </c>
      <c r="Q66" s="957"/>
      <c r="R66" s="452">
        <f ca="1">IF('Tinh phi QL'!$H$9="Nam",VLOOKUP(KTVTUCOI!$I$8,KTVTUCOI!$D$3:$F$103,2,0)*S66/1000/12,IF('Tinh phi QL'!$H$9="Nữ",VLOOKUP(KTVTUCOI!$I$8,KTVTUCOI!$D$3:$F$103,3,0)*S66/1000/12,0))</f>
        <v>0.38980658384506062</v>
      </c>
      <c r="S66" s="451">
        <f ca="1">KTVTD20namMH!E67-V65</f>
        <v>3077.4203987767942</v>
      </c>
      <c r="T66" s="420">
        <f ca="1">(T65-O66-P66)*(1+LS!$E$8)</f>
        <v>-2957.5330573363703</v>
      </c>
      <c r="U66" s="958"/>
      <c r="V66" s="418">
        <f ca="1">(V65-O66-R66)*(1+LS!$F$8)</f>
        <v>-3139.5545452200408</v>
      </c>
    </row>
    <row r="67" spans="4:22" ht="9.75" customHeight="1">
      <c r="D67" s="252">
        <v>64</v>
      </c>
      <c r="E67" s="329">
        <v>16.989999999999998</v>
      </c>
      <c r="F67" s="329">
        <v>9.74</v>
      </c>
      <c r="H67" s="252">
        <v>65</v>
      </c>
      <c r="I67" s="423">
        <f t="shared" ca="1" si="0"/>
        <v>94</v>
      </c>
      <c r="J67" s="423"/>
      <c r="L67" s="957"/>
      <c r="M67" s="262">
        <v>65</v>
      </c>
      <c r="N67" s="263">
        <f t="shared" ca="1" si="9"/>
        <v>2957.5330573363703</v>
      </c>
      <c r="O67" s="256">
        <f ca="1">KTVTD20namMH!F68</f>
        <v>50</v>
      </c>
      <c r="P67" s="451">
        <f ca="1">IF('Tinh phi QL'!$H$9="Nam",VLOOKUP(KTVTUCOI!$I$8,KTVTUCOI!$D$3:$F$103,2,0)*N67/1000/12,IF('Tinh phi QL'!$H$9="Nữ",VLOOKUP(KTVTUCOI!$I$8,KTVTUCOI!$D$3:$F$103,3,0)*N67/1000/12,0))</f>
        <v>0.37462085392927363</v>
      </c>
      <c r="Q67" s="957"/>
      <c r="R67" s="452">
        <f ca="1">IF('Tinh phi QL'!$H$9="Nam",VLOOKUP(KTVTUCOI!$I$8,KTVTUCOI!$D$3:$F$103,2,0)*S67/1000/12,IF('Tinh phi QL'!$H$9="Nữ",VLOOKUP(KTVTUCOI!$I$8,KTVTUCOI!$D$3:$F$103,3,0)*S67/1000/12,0))</f>
        <v>0.39767690906120512</v>
      </c>
      <c r="S67" s="451">
        <f ca="1">KTVTD20namMH!E68-V66</f>
        <v>3139.5545452200408</v>
      </c>
      <c r="T67" s="420">
        <f ca="1">(T66-O67-P67)*(1+LS!$E$8)</f>
        <v>-3011.6419586249863</v>
      </c>
      <c r="U67" s="958"/>
      <c r="V67" s="418">
        <f ca="1">(V66-O67-R67)*(1+LS!$F$8)</f>
        <v>-3201.9298935900269</v>
      </c>
    </row>
    <row r="68" spans="4:22" ht="9.75" customHeight="1">
      <c r="D68" s="252">
        <v>65</v>
      </c>
      <c r="E68" s="329">
        <v>18.63</v>
      </c>
      <c r="F68" s="329">
        <v>10.7</v>
      </c>
      <c r="H68" s="252">
        <v>66</v>
      </c>
      <c r="I68" s="423">
        <f t="shared" ca="1" si="0"/>
        <v>95</v>
      </c>
      <c r="J68" s="423"/>
      <c r="L68" s="957"/>
      <c r="M68" s="262">
        <v>66</v>
      </c>
      <c r="N68" s="263">
        <f t="shared" ca="1" si="9"/>
        <v>3011.6419586249863</v>
      </c>
      <c r="O68" s="256">
        <f ca="1">KTVTD20namMH!F69</f>
        <v>50</v>
      </c>
      <c r="P68" s="451">
        <f ca="1">IF('Tinh phi QL'!$H$9="Nam",VLOOKUP(KTVTUCOI!$I$8,KTVTUCOI!$D$3:$F$103,2,0)*N68/1000/12,IF('Tinh phi QL'!$H$9="Nữ",VLOOKUP(KTVTUCOI!$I$8,KTVTUCOI!$D$3:$F$103,3,0)*N68/1000/12,0))</f>
        <v>0.3814746480924982</v>
      </c>
      <c r="Q68" s="957"/>
      <c r="R68" s="452">
        <f ca="1">IF('Tinh phi QL'!$H$9="Nam",VLOOKUP(KTVTUCOI!$I$8,KTVTUCOI!$D$3:$F$103,2,0)*S68/1000/12,IF('Tinh phi QL'!$H$9="Nữ",VLOOKUP(KTVTUCOI!$I$8,KTVTUCOI!$D$3:$F$103,3,0)*S68/1000/12,0))</f>
        <v>0.40557778652140342</v>
      </c>
      <c r="S68" s="451">
        <f ca="1">KTVTD20namMH!E69-V67</f>
        <v>3201.9298935900269</v>
      </c>
      <c r="T68" s="420">
        <f ca="1">(T67-O68-P68)*(1+LS!$E$8)</f>
        <v>-3065.824897752967</v>
      </c>
      <c r="U68" s="958"/>
      <c r="V68" s="418">
        <f ca="1">(V67-O68-R68)*(1+LS!$F$8)</f>
        <v>-3264.5473802216466</v>
      </c>
    </row>
    <row r="69" spans="4:22" ht="9.75" customHeight="1">
      <c r="D69" s="252">
        <v>66</v>
      </c>
      <c r="E69" s="329">
        <v>20.39</v>
      </c>
      <c r="F69" s="329">
        <v>11.7</v>
      </c>
      <c r="H69" s="252">
        <v>67</v>
      </c>
      <c r="I69" s="423">
        <f t="shared" ref="I69:I103" ca="1" si="10">I68+1</f>
        <v>96</v>
      </c>
      <c r="J69" s="423"/>
      <c r="L69" s="957"/>
      <c r="M69" s="262">
        <v>67</v>
      </c>
      <c r="N69" s="263">
        <f t="shared" ca="1" si="9"/>
        <v>3065.824897752967</v>
      </c>
      <c r="O69" s="256">
        <f ca="1">KTVTD20namMH!F70</f>
        <v>50</v>
      </c>
      <c r="P69" s="451">
        <f ca="1">IF('Tinh phi QL'!$H$9="Nam",VLOOKUP(KTVTUCOI!$I$8,KTVTUCOI!$D$3:$F$103,2,0)*N69/1000/12,IF('Tinh phi QL'!$H$9="Nữ",VLOOKUP(KTVTUCOI!$I$8,KTVTUCOI!$D$3:$F$103,3,0)*N69/1000/12,0))</f>
        <v>0.38833782038204245</v>
      </c>
      <c r="Q69" s="957"/>
      <c r="R69" s="452">
        <f ca="1">IF('Tinh phi QL'!$H$9="Nam",VLOOKUP(KTVTUCOI!$I$8,KTVTUCOI!$D$3:$F$103,2,0)*S69/1000/12,IF('Tinh phi QL'!$H$9="Nữ",VLOOKUP(KTVTUCOI!$I$8,KTVTUCOI!$D$3:$F$103,3,0)*S69/1000/12,0))</f>
        <v>0.41350933482807523</v>
      </c>
      <c r="S69" s="451">
        <f ca="1">KTVTD20namMH!E70-V68</f>
        <v>3264.5473802216466</v>
      </c>
      <c r="T69" s="420">
        <f ca="1">(T68-O69-P69)*(1+LS!$E$8)</f>
        <v>-3120.0819760271497</v>
      </c>
      <c r="U69" s="958"/>
      <c r="V69" s="418">
        <f ca="1">(V68-O69-R69)*(1+LS!$F$8)</f>
        <v>-3327.4079450846043</v>
      </c>
    </row>
    <row r="70" spans="4:22" ht="9.75" customHeight="1">
      <c r="D70" s="252">
        <v>67</v>
      </c>
      <c r="E70" s="329">
        <v>22.25</v>
      </c>
      <c r="F70" s="329">
        <v>12.69</v>
      </c>
      <c r="H70" s="252">
        <v>68</v>
      </c>
      <c r="I70" s="423">
        <f t="shared" ca="1" si="10"/>
        <v>97</v>
      </c>
      <c r="J70" s="423"/>
      <c r="L70" s="957"/>
      <c r="M70" s="262">
        <v>68</v>
      </c>
      <c r="N70" s="263">
        <f t="shared" ca="1" si="9"/>
        <v>3120.0819760271497</v>
      </c>
      <c r="O70" s="256">
        <f ca="1">KTVTD20namMH!F71</f>
        <v>50</v>
      </c>
      <c r="P70" s="451">
        <f ca="1">IF('Tinh phi QL'!$H$9="Nam",VLOOKUP(KTVTUCOI!$I$8,KTVTUCOI!$D$3:$F$103,2,0)*N70/1000/12,IF('Tinh phi QL'!$H$9="Nữ",VLOOKUP(KTVTUCOI!$I$8,KTVTUCOI!$D$3:$F$103,3,0)*N70/1000/12,0))</f>
        <v>0.39521038363010558</v>
      </c>
      <c r="Q70" s="957"/>
      <c r="R70" s="452">
        <f ca="1">IF('Tinh phi QL'!$H$9="Nam",VLOOKUP(KTVTUCOI!$I$8,KTVTUCOI!$D$3:$F$103,2,0)*S70/1000/12,IF('Tinh phi QL'!$H$9="Nữ",VLOOKUP(KTVTUCOI!$I$8,KTVTUCOI!$D$3:$F$103,3,0)*S70/1000/12,0))</f>
        <v>0.42147167304404992</v>
      </c>
      <c r="S70" s="451">
        <f ca="1">KTVTD20namMH!E71-V69</f>
        <v>3327.4079450846043</v>
      </c>
      <c r="T70" s="420">
        <f ca="1">(T69-O70-P70)*(1+LS!$E$8)</f>
        <v>-3174.4132948929914</v>
      </c>
      <c r="U70" s="958"/>
      <c r="V70" s="418">
        <f ca="1">(V69-O70-R70)*(1+LS!$F$8)</f>
        <v>-3390.5125317975235</v>
      </c>
    </row>
    <row r="71" spans="4:22" ht="9.75" customHeight="1">
      <c r="D71" s="252">
        <v>68</v>
      </c>
      <c r="E71" s="329">
        <v>24.26</v>
      </c>
      <c r="F71" s="329">
        <v>13.71</v>
      </c>
      <c r="H71" s="252">
        <v>69</v>
      </c>
      <c r="I71" s="423">
        <f t="shared" ca="1" si="10"/>
        <v>98</v>
      </c>
      <c r="J71" s="423"/>
      <c r="L71" s="957"/>
      <c r="M71" s="262">
        <v>69</v>
      </c>
      <c r="N71" s="263">
        <f t="shared" ca="1" si="9"/>
        <v>3174.4132948929914</v>
      </c>
      <c r="O71" s="256">
        <f ca="1">KTVTD20namMH!F72</f>
        <v>50</v>
      </c>
      <c r="P71" s="451">
        <f ca="1">IF('Tinh phi QL'!$H$9="Nam",VLOOKUP(KTVTUCOI!$I$8,KTVTUCOI!$D$3:$F$103,2,0)*N71/1000/12,IF('Tinh phi QL'!$H$9="Nữ",VLOOKUP(KTVTUCOI!$I$8,KTVTUCOI!$D$3:$F$103,3,0)*N71/1000/12,0))</f>
        <v>0.40209235068644555</v>
      </c>
      <c r="Q71" s="957"/>
      <c r="R71" s="452">
        <f ca="1">IF('Tinh phi QL'!$H$9="Nam",VLOOKUP(KTVTUCOI!$I$8,KTVTUCOI!$D$3:$F$103,2,0)*S71/1000/12,IF('Tinh phi QL'!$H$9="Nữ",VLOOKUP(KTVTUCOI!$I$8,KTVTUCOI!$D$3:$F$103,3,0)*S71/1000/12,0))</f>
        <v>0.42946492069435305</v>
      </c>
      <c r="S71" s="451">
        <f ca="1">KTVTD20namMH!E72-V70</f>
        <v>3390.5125317975235</v>
      </c>
      <c r="T71" s="420">
        <f ca="1">(T70-O71-P71)*(1+LS!$E$8)</f>
        <v>-3228.8189559347575</v>
      </c>
      <c r="U71" s="958"/>
      <c r="V71" s="418">
        <f ca="1">(V70-O71-R71)*(1+LS!$F$8)</f>
        <v>-3453.8620876421128</v>
      </c>
    </row>
    <row r="72" spans="4:22" ht="9.75" customHeight="1">
      <c r="D72" s="252">
        <v>69</v>
      </c>
      <c r="E72" s="329">
        <v>26.47</v>
      </c>
      <c r="F72" s="329">
        <v>14.86</v>
      </c>
      <c r="H72" s="252">
        <v>70</v>
      </c>
      <c r="I72" s="423">
        <f t="shared" ca="1" si="10"/>
        <v>99</v>
      </c>
      <c r="J72" s="423"/>
      <c r="L72" s="957"/>
      <c r="M72" s="262">
        <v>70</v>
      </c>
      <c r="N72" s="263">
        <f t="shared" ca="1" si="9"/>
        <v>3228.8189559347575</v>
      </c>
      <c r="O72" s="256">
        <f ca="1">KTVTD20namMH!F73</f>
        <v>50</v>
      </c>
      <c r="P72" s="451">
        <f ca="1">IF('Tinh phi QL'!$H$9="Nam",VLOOKUP(KTVTUCOI!$I$8,KTVTUCOI!$D$3:$F$103,2,0)*N72/1000/12,IF('Tinh phi QL'!$H$9="Nữ",VLOOKUP(KTVTUCOI!$I$8,KTVTUCOI!$D$3:$F$103,3,0)*N72/1000/12,0))</f>
        <v>0.40898373441840263</v>
      </c>
      <c r="Q72" s="957"/>
      <c r="R72" s="452">
        <f ca="1">IF('Tinh phi QL'!$H$9="Nam",VLOOKUP(KTVTUCOI!$I$8,KTVTUCOI!$D$3:$F$103,2,0)*S72/1000/12,IF('Tinh phi QL'!$H$9="Nữ",VLOOKUP(KTVTUCOI!$I$8,KTVTUCOI!$D$3:$F$103,3,0)*S72/1000/12,0))</f>
        <v>0.43748919776800094</v>
      </c>
      <c r="S72" s="451">
        <f ca="1">KTVTD20namMH!E73-V71</f>
        <v>3453.8620876421128</v>
      </c>
      <c r="T72" s="420">
        <f ca="1">(T71-O72-P72)*(1+LS!$E$8)</f>
        <v>-3283.2990608757127</v>
      </c>
      <c r="U72" s="958"/>
      <c r="V72" s="418">
        <f ca="1">(V71-O72-R72)*(1+LS!$F$8)</f>
        <v>-3517.4575635773845</v>
      </c>
    </row>
    <row r="73" spans="4:22" ht="9.75" customHeight="1">
      <c r="D73" s="252">
        <v>70</v>
      </c>
      <c r="E73" s="329">
        <v>28.96</v>
      </c>
      <c r="F73" s="329">
        <v>16.21</v>
      </c>
      <c r="H73" s="252">
        <v>71</v>
      </c>
      <c r="I73" s="423">
        <f t="shared" ca="1" si="10"/>
        <v>100</v>
      </c>
      <c r="J73" s="423"/>
      <c r="L73" s="957"/>
      <c r="M73" s="262">
        <v>71</v>
      </c>
      <c r="N73" s="263">
        <f t="shared" ca="1" si="9"/>
        <v>3283.2990608757127</v>
      </c>
      <c r="O73" s="256">
        <f ca="1">KTVTD20namMH!F74</f>
        <v>50</v>
      </c>
      <c r="P73" s="451">
        <f ca="1">IF('Tinh phi QL'!$H$9="Nam",VLOOKUP(KTVTUCOI!$I$8,KTVTUCOI!$D$3:$F$103,2,0)*N73/1000/12,IF('Tinh phi QL'!$H$9="Nữ",VLOOKUP(KTVTUCOI!$I$8,KTVTUCOI!$D$3:$F$103,3,0)*N73/1000/12,0))</f>
        <v>0.41588454771092365</v>
      </c>
      <c r="Q73" s="957"/>
      <c r="R73" s="452">
        <f ca="1">IF('Tinh phi QL'!$H$9="Nam",VLOOKUP(KTVTUCOI!$I$8,KTVTUCOI!$D$3:$F$103,2,0)*S73/1000/12,IF('Tinh phi QL'!$H$9="Nữ",VLOOKUP(KTVTUCOI!$I$8,KTVTUCOI!$D$3:$F$103,3,0)*S73/1000/12,0))</f>
        <v>0.44554462471980205</v>
      </c>
      <c r="S73" s="451">
        <f ca="1">KTVTD20namMH!E74-V72</f>
        <v>3517.4575635773845</v>
      </c>
      <c r="T73" s="420">
        <f ca="1">(T72-O73-P73)*(1+LS!$E$8)</f>
        <v>-3337.8537115783101</v>
      </c>
      <c r="U73" s="958"/>
      <c r="V73" s="418">
        <f ca="1">(V72-O73-R73)*(1+LS!$F$8)</f>
        <v>-3581.2999142539306</v>
      </c>
    </row>
    <row r="74" spans="4:22" ht="9.75" customHeight="1">
      <c r="D74" s="252">
        <v>71</v>
      </c>
      <c r="E74" s="329">
        <v>31.8</v>
      </c>
      <c r="F74" s="329">
        <v>17.87</v>
      </c>
      <c r="H74" s="252">
        <v>72</v>
      </c>
      <c r="I74" s="423">
        <f t="shared" ca="1" si="10"/>
        <v>101</v>
      </c>
      <c r="J74" s="423"/>
      <c r="L74" s="957"/>
      <c r="M74" s="262">
        <v>72</v>
      </c>
      <c r="N74" s="263">
        <f t="shared" ca="1" si="9"/>
        <v>3337.8537115783101</v>
      </c>
      <c r="O74" s="256">
        <f ca="1">KTVTD20namMH!F75</f>
        <v>50</v>
      </c>
      <c r="P74" s="451">
        <f ca="1">IF('Tinh phi QL'!$H$9="Nam",VLOOKUP(KTVTUCOI!$I$8,KTVTUCOI!$D$3:$F$103,2,0)*N74/1000/12,IF('Tinh phi QL'!$H$9="Nữ",VLOOKUP(KTVTUCOI!$I$8,KTVTUCOI!$D$3:$F$103,3,0)*N74/1000/12,0))</f>
        <v>0.42279480346658599</v>
      </c>
      <c r="Q74" s="957"/>
      <c r="R74" s="452">
        <f ca="1">IF('Tinh phi QL'!$H$9="Nam",VLOOKUP(KTVTUCOI!$I$8,KTVTUCOI!$D$3:$F$103,2,0)*S74/1000/12,IF('Tinh phi QL'!$H$9="Nữ",VLOOKUP(KTVTUCOI!$I$8,KTVTUCOI!$D$3:$F$103,3,0)*S74/1000/12,0))</f>
        <v>0.45363132247216459</v>
      </c>
      <c r="S74" s="451">
        <f ca="1">KTVTD20namMH!E75-V73</f>
        <v>3581.2999142539306</v>
      </c>
      <c r="T74" s="421">
        <f ca="1">(T73-O74-P74)*(1+LS!$E$8)</f>
        <v>-3392.4830100443837</v>
      </c>
      <c r="U74" s="958"/>
      <c r="V74" s="419">
        <f ca="1">(V73-O74-R74)*(1+LS!$F$8)</f>
        <v>-3645.3900980282538</v>
      </c>
    </row>
    <row r="75" spans="4:22" ht="9.75" customHeight="1">
      <c r="D75" s="252">
        <v>72</v>
      </c>
      <c r="E75" s="329">
        <v>35.06</v>
      </c>
      <c r="F75" s="329">
        <v>19.93</v>
      </c>
      <c r="H75" s="252">
        <v>73</v>
      </c>
      <c r="I75" s="423">
        <f t="shared" ca="1" si="10"/>
        <v>102</v>
      </c>
      <c r="J75" s="423"/>
      <c r="L75" s="959">
        <f>L63+1</f>
        <v>7</v>
      </c>
      <c r="M75" s="252">
        <v>73</v>
      </c>
      <c r="N75" s="256">
        <f ca="1">$J$9-T74-KTVTDGTTKcamket!F13</f>
        <v>3392.4830100443837</v>
      </c>
      <c r="O75" s="256">
        <f ca="1">KTVTD20namMH!F76</f>
        <v>50</v>
      </c>
      <c r="P75" s="452">
        <f ca="1">IF('Tinh phi QL'!$H$9="Nam",VLOOKUP(KTVTUCOI!$I$9,KTVTUCOI!$D$3:$F$103,2,0)*N75/1000/12,IF('Tinh phi QL'!$H$9="Nữ",VLOOKUP(KTVTUCOI!$I$9,KTVTUCOI!$D$3:$F$103,3,0)*N75/1000/12,0))</f>
        <v>0.45798520635599188</v>
      </c>
      <c r="Q75" s="957"/>
      <c r="R75" s="452">
        <f ca="1">IF('Tinh phi QL'!$H$9="Nam",VLOOKUP(KTVTUCOI!$I$9,KTVTUCOI!$D$3:$F$103,2,0)*S75/1000/12,IF('Tinh phi QL'!$H$9="Nữ",VLOOKUP(KTVTUCOI!$I$9,KTVTUCOI!$D$3:$F$103,3,0)*S75/1000/12,0))</f>
        <v>0.49212766323381429</v>
      </c>
      <c r="S75" s="452">
        <f ca="1">KTVTD20namMH!E76-V74-KTVTDGTTKMH!F13</f>
        <v>3645.3900980282538</v>
      </c>
      <c r="T75" s="418">
        <f ca="1">(T74+KTVTDGTTKcamket!F13-KTVTUCOI!O75-KTVTUCOI!P75)*(1+LS!$E$9)</f>
        <v>-3447.2153642048033</v>
      </c>
      <c r="U75" s="958">
        <f>Q75</f>
        <v>0</v>
      </c>
      <c r="V75" s="418">
        <f ca="1">(V74+KTVTUGTTKMH!F13-O75-R75)*(1+LS!$F$9)</f>
        <v>-3709.7595692925956</v>
      </c>
    </row>
    <row r="76" spans="4:22" ht="9.75" customHeight="1">
      <c r="D76" s="252">
        <v>73</v>
      </c>
      <c r="E76" s="329">
        <v>38.74</v>
      </c>
      <c r="F76" s="329">
        <v>22.391999999999999</v>
      </c>
      <c r="H76" s="252">
        <v>74</v>
      </c>
      <c r="I76" s="423">
        <f t="shared" ca="1" si="10"/>
        <v>103</v>
      </c>
      <c r="J76" s="423"/>
      <c r="L76" s="959"/>
      <c r="M76" s="252">
        <v>74</v>
      </c>
      <c r="N76" s="256">
        <f ca="1">$J$9-T75</f>
        <v>3447.2153642048033</v>
      </c>
      <c r="O76" s="256">
        <f ca="1">KTVTD20namMH!F77</f>
        <v>50</v>
      </c>
      <c r="P76" s="452">
        <f ca="1">IF('Tinh phi QL'!$H$9="Nam",VLOOKUP(KTVTUCOI!$I$9,KTVTUCOI!$D$3:$F$103,2,0)*N76/1000/12,IF('Tinh phi QL'!$H$9="Nữ",VLOOKUP(KTVTUCOI!$I$9,KTVTUCOI!$D$3:$F$103,3,0)*N76/1000/12,0))</f>
        <v>0.46537407416764848</v>
      </c>
      <c r="Q76" s="957"/>
      <c r="R76" s="452">
        <f ca="1">IF('Tinh phi QL'!$H$9="Nam",VLOOKUP(KTVTUCOI!$I$9,KTVTUCOI!$D$3:$F$103,2,0)*S76/1000/12,IF('Tinh phi QL'!$H$9="Nữ",VLOOKUP(KTVTUCOI!$I$9,KTVTUCOI!$D$3:$F$103,3,0)*S76/1000/12,0))</f>
        <v>0.50081754185450045</v>
      </c>
      <c r="S76" s="452">
        <f ca="1">KTVTD20namMH!E77-V75</f>
        <v>3709.7595692925956</v>
      </c>
      <c r="T76" s="418">
        <f ca="1">(T75-O76-P76)*(1+LS!$E$9)</f>
        <v>-3502.0230659516055</v>
      </c>
      <c r="U76" s="958"/>
      <c r="V76" s="418">
        <f ca="1">(V75-O76-R76)*(1+LS!$F$9)</f>
        <v>-3774.3794583392173</v>
      </c>
    </row>
    <row r="77" spans="4:22" ht="9.75" customHeight="1">
      <c r="D77" s="252">
        <v>74</v>
      </c>
      <c r="E77" s="329">
        <v>42.77</v>
      </c>
      <c r="F77" s="329">
        <v>25.24</v>
      </c>
      <c r="H77" s="252">
        <v>75</v>
      </c>
      <c r="I77" s="423">
        <f t="shared" ca="1" si="10"/>
        <v>104</v>
      </c>
      <c r="J77" s="423"/>
      <c r="L77" s="959"/>
      <c r="M77" s="252">
        <v>75</v>
      </c>
      <c r="N77" s="256">
        <f ca="1">KTVTD20namcamket!E78-T76</f>
        <v>3502.0230659516055</v>
      </c>
      <c r="O77" s="256">
        <f ca="1">KTVTD20namMH!F78</f>
        <v>50</v>
      </c>
      <c r="P77" s="452">
        <f ca="1">IF('Tinh phi QL'!$H$9="Nam",VLOOKUP(KTVTUCOI!$I$9,KTVTUCOI!$D$3:$F$103,2,0)*N77/1000/12,IF('Tinh phi QL'!$H$9="Nữ",VLOOKUP(KTVTUCOI!$I$9,KTVTUCOI!$D$3:$F$103,3,0)*N77/1000/12,0))</f>
        <v>0.47277311390346677</v>
      </c>
      <c r="Q77" s="957"/>
      <c r="R77" s="452">
        <f ca="1">IF('Tinh phi QL'!$H$9="Nam",VLOOKUP(KTVTUCOI!$I$9,KTVTUCOI!$D$3:$F$103,2,0)*S77/1000/12,IF('Tinh phi QL'!$H$9="Nữ",VLOOKUP(KTVTUCOI!$I$9,KTVTUCOI!$D$3:$F$103,3,0)*S77/1000/12,0))</f>
        <v>0.50954122687579428</v>
      </c>
      <c r="S77" s="452">
        <f ca="1">KTVTD20namMH!E78-V76</f>
        <v>3774.3794583392173</v>
      </c>
      <c r="T77" s="418">
        <f ca="1">(T76-O77-P77)*(1+LS!$E$9)</f>
        <v>-3556.9062190124459</v>
      </c>
      <c r="U77" s="958"/>
      <c r="V77" s="418">
        <f ca="1">(V76-O77-R77)*(1+LS!$F$9)</f>
        <v>-3839.2507393731958</v>
      </c>
    </row>
    <row r="78" spans="4:22" ht="9.75" customHeight="1">
      <c r="D78" s="252">
        <v>75</v>
      </c>
      <c r="E78" s="329">
        <v>47.08</v>
      </c>
      <c r="F78" s="329">
        <v>28.393999999999998</v>
      </c>
      <c r="H78" s="252">
        <v>76</v>
      </c>
      <c r="I78" s="423">
        <f t="shared" ca="1" si="10"/>
        <v>105</v>
      </c>
      <c r="J78" s="423"/>
      <c r="L78" s="959"/>
      <c r="M78" s="252">
        <v>76</v>
      </c>
      <c r="N78" s="256">
        <f ca="1">KTVTD20namcamket!E79-T77</f>
        <v>3556.9062190124459</v>
      </c>
      <c r="O78" s="256">
        <f ca="1">KTVTD20namMH!F79</f>
        <v>50</v>
      </c>
      <c r="P78" s="452">
        <f ca="1">IF('Tinh phi QL'!$H$9="Nam",VLOOKUP(KTVTUCOI!$I$9,KTVTUCOI!$D$3:$F$103,2,0)*N78/1000/12,IF('Tinh phi QL'!$H$9="Nữ",VLOOKUP(KTVTUCOI!$I$9,KTVTUCOI!$D$3:$F$103,3,0)*N78/1000/12,0))</f>
        <v>0.48018233956668027</v>
      </c>
      <c r="Q78" s="957"/>
      <c r="R78" s="452">
        <f ca="1">IF('Tinh phi QL'!$H$9="Nam",VLOOKUP(KTVTUCOI!$I$9,KTVTUCOI!$D$3:$F$103,2,0)*S78/1000/12,IF('Tinh phi QL'!$H$9="Nữ",VLOOKUP(KTVTUCOI!$I$9,KTVTUCOI!$D$3:$F$103,3,0)*S78/1000/12,0))</f>
        <v>0.51829884981538143</v>
      </c>
      <c r="S78" s="452">
        <f ca="1">KTVTD20namMH!E79-V77</f>
        <v>3839.2507393731958</v>
      </c>
      <c r="T78" s="418">
        <f ca="1">(T77-O78-P78)*(1+LS!$E$9)</f>
        <v>-3611.8649272577773</v>
      </c>
      <c r="U78" s="958"/>
      <c r="V78" s="418">
        <f ca="1">(V77-O78-R78)*(1+LS!$F$9)</f>
        <v>-3904.3743903895761</v>
      </c>
    </row>
    <row r="79" spans="4:22" ht="9.75" customHeight="1">
      <c r="D79" s="252">
        <v>76</v>
      </c>
      <c r="E79" s="329">
        <v>51.59</v>
      </c>
      <c r="F79" s="329">
        <v>31.82</v>
      </c>
      <c r="H79" s="252">
        <v>77</v>
      </c>
      <c r="I79" s="423">
        <f t="shared" ca="1" si="10"/>
        <v>106</v>
      </c>
      <c r="J79" s="423"/>
      <c r="L79" s="959"/>
      <c r="M79" s="252">
        <v>77</v>
      </c>
      <c r="N79" s="256">
        <f ca="1">KTVTD20namcamket!E80-T78</f>
        <v>3611.8649272577773</v>
      </c>
      <c r="O79" s="256">
        <f ca="1">KTVTD20namMH!F80</f>
        <v>50</v>
      </c>
      <c r="P79" s="452">
        <f ca="1">IF('Tinh phi QL'!$H$9="Nam",VLOOKUP(KTVTUCOI!$I$9,KTVTUCOI!$D$3:$F$103,2,0)*N79/1000/12,IF('Tinh phi QL'!$H$9="Nữ",VLOOKUP(KTVTUCOI!$I$9,KTVTUCOI!$D$3:$F$103,3,0)*N79/1000/12,0))</f>
        <v>0.48760176517979992</v>
      </c>
      <c r="Q79" s="957"/>
      <c r="R79" s="452">
        <f ca="1">IF('Tinh phi QL'!$H$9="Nam",VLOOKUP(KTVTUCOI!$I$9,KTVTUCOI!$D$3:$F$103,2,0)*S79/1000/12,IF('Tinh phi QL'!$H$9="Nữ",VLOOKUP(KTVTUCOI!$I$9,KTVTUCOI!$D$3:$F$103,3,0)*S79/1000/12,0))</f>
        <v>0.52709054270259281</v>
      </c>
      <c r="S79" s="452">
        <f ca="1">KTVTD20namMH!E80-V78</f>
        <v>3904.3743903895761</v>
      </c>
      <c r="T79" s="418">
        <f ca="1">(T78-O79-P79)*(1+LS!$E$9)</f>
        <v>-3666.8992947010461</v>
      </c>
      <c r="U79" s="958"/>
      <c r="V79" s="418">
        <f ca="1">(V78-O79-R79)*(1+LS!$F$9)</f>
        <v>-3969.7513931881163</v>
      </c>
    </row>
    <row r="80" spans="4:22" ht="9.75" customHeight="1">
      <c r="D80" s="252">
        <v>77</v>
      </c>
      <c r="E80" s="329">
        <v>56.27</v>
      </c>
      <c r="F80" s="329">
        <v>35.481999999999999</v>
      </c>
      <c r="H80" s="252">
        <v>78</v>
      </c>
      <c r="I80" s="423">
        <f t="shared" ca="1" si="10"/>
        <v>107</v>
      </c>
      <c r="J80" s="423"/>
      <c r="L80" s="959"/>
      <c r="M80" s="252">
        <v>78</v>
      </c>
      <c r="N80" s="256">
        <f ca="1">KTVTD20namcamket!E81-T79</f>
        <v>3666.8992947010461</v>
      </c>
      <c r="O80" s="256">
        <f ca="1">KTVTD20namMH!F81</f>
        <v>50</v>
      </c>
      <c r="P80" s="452">
        <f ca="1">IF('Tinh phi QL'!$H$9="Nam",VLOOKUP(KTVTUCOI!$I$9,KTVTUCOI!$D$3:$F$103,2,0)*N80/1000/12,IF('Tinh phi QL'!$H$9="Nữ",VLOOKUP(KTVTUCOI!$I$9,KTVTUCOI!$D$3:$F$103,3,0)*N80/1000/12,0))</f>
        <v>0.49503140478464119</v>
      </c>
      <c r="Q80" s="957"/>
      <c r="R80" s="452">
        <f ca="1">IF('Tinh phi QL'!$H$9="Nam",VLOOKUP(KTVTUCOI!$I$9,KTVTUCOI!$D$3:$F$103,2,0)*S80/1000/12,IF('Tinh phi QL'!$H$9="Nữ",VLOOKUP(KTVTUCOI!$I$9,KTVTUCOI!$D$3:$F$103,3,0)*S80/1000/12,0))</f>
        <v>0.53591643808039569</v>
      </c>
      <c r="S80" s="452">
        <f ca="1">KTVTD20namMH!E81-V79</f>
        <v>3969.7513931881163</v>
      </c>
      <c r="T80" s="418">
        <f ca="1">(T79-O80-P80)*(1+LS!$E$9)</f>
        <v>-3722.0094254988894</v>
      </c>
      <c r="U80" s="958"/>
      <c r="V80" s="418">
        <f ca="1">(V79-O80-R80)*(1+LS!$F$9)</f>
        <v>-4035.3827333880881</v>
      </c>
    </row>
    <row r="81" spans="4:22" ht="9.75" customHeight="1">
      <c r="D81" s="252">
        <v>78</v>
      </c>
      <c r="E81" s="329">
        <v>61.13</v>
      </c>
      <c r="F81" s="329">
        <v>39.432000000000002</v>
      </c>
      <c r="H81" s="252">
        <v>79</v>
      </c>
      <c r="I81" s="423">
        <f t="shared" ca="1" si="10"/>
        <v>108</v>
      </c>
      <c r="J81" s="423"/>
      <c r="L81" s="959"/>
      <c r="M81" s="252">
        <v>79</v>
      </c>
      <c r="N81" s="256">
        <f ca="1">KTVTD20namcamket!E82-T80</f>
        <v>3722.0094254988894</v>
      </c>
      <c r="O81" s="256">
        <f ca="1">KTVTD20namMH!F82</f>
        <v>50</v>
      </c>
      <c r="P81" s="452">
        <f ca="1">IF('Tinh phi QL'!$H$9="Nam",VLOOKUP(KTVTUCOI!$I$9,KTVTUCOI!$D$3:$F$103,2,0)*N81/1000/12,IF('Tinh phi QL'!$H$9="Nữ",VLOOKUP(KTVTUCOI!$I$9,KTVTUCOI!$D$3:$F$103,3,0)*N81/1000/12,0))</f>
        <v>0.50247127244235013</v>
      </c>
      <c r="Q81" s="957"/>
      <c r="R81" s="452">
        <f ca="1">IF('Tinh phi QL'!$H$9="Nam",VLOOKUP(KTVTUCOI!$I$9,KTVTUCOI!$D$3:$F$103,2,0)*S81/1000/12,IF('Tinh phi QL'!$H$9="Nữ",VLOOKUP(KTVTUCOI!$I$9,KTVTUCOI!$D$3:$F$103,3,0)*S81/1000/12,0))</f>
        <v>0.54477666900739197</v>
      </c>
      <c r="S81" s="452">
        <f ca="1">KTVTD20namMH!E82-V80</f>
        <v>4035.3827333880881</v>
      </c>
      <c r="T81" s="418">
        <f ca="1">(T80-O81-P81)*(1+LS!$E$9)</f>
        <v>-3777.1954239513325</v>
      </c>
      <c r="U81" s="958"/>
      <c r="V81" s="418">
        <f ca="1">(V80-O81-R81)*(1+LS!$F$9)</f>
        <v>-4101.2694004431378</v>
      </c>
    </row>
    <row r="82" spans="4:22" ht="9.75" customHeight="1">
      <c r="D82" s="252">
        <v>79</v>
      </c>
      <c r="E82" s="329">
        <v>66.34</v>
      </c>
      <c r="F82" s="329">
        <v>43.805</v>
      </c>
      <c r="H82" s="252">
        <v>80</v>
      </c>
      <c r="I82" s="423">
        <f t="shared" ca="1" si="10"/>
        <v>109</v>
      </c>
      <c r="J82" s="423"/>
      <c r="L82" s="959"/>
      <c r="M82" s="252">
        <v>80</v>
      </c>
      <c r="N82" s="256">
        <f ca="1">KTVTD20namcamket!E83-T81</f>
        <v>3777.1954239513325</v>
      </c>
      <c r="O82" s="256">
        <f ca="1">KTVTD20namMH!F83</f>
        <v>50</v>
      </c>
      <c r="P82" s="452">
        <f ca="1">IF('Tinh phi QL'!$H$9="Nam",VLOOKUP(KTVTUCOI!$I$9,KTVTUCOI!$D$3:$F$103,2,0)*N82/1000/12,IF('Tinh phi QL'!$H$9="Nữ",VLOOKUP(KTVTUCOI!$I$9,KTVTUCOI!$D$3:$F$103,3,0)*N82/1000/12,0))</f>
        <v>0.50992138223342998</v>
      </c>
      <c r="Q82" s="957"/>
      <c r="R82" s="452">
        <f ca="1">IF('Tinh phi QL'!$H$9="Nam",VLOOKUP(KTVTUCOI!$I$9,KTVTUCOI!$D$3:$F$103,2,0)*S82/1000/12,IF('Tinh phi QL'!$H$9="Nữ",VLOOKUP(KTVTUCOI!$I$9,KTVTUCOI!$D$3:$F$103,3,0)*S82/1000/12,0))</f>
        <v>0.55367136905982373</v>
      </c>
      <c r="S82" s="452">
        <f ca="1">KTVTD20namMH!E83-V81</f>
        <v>4101.2694004431378</v>
      </c>
      <c r="T82" s="418">
        <f ca="1">(T81-O82-P82)*(1+LS!$E$9)</f>
        <v>-3832.4573945019852</v>
      </c>
      <c r="U82" s="958"/>
      <c r="V82" s="418">
        <f ca="1">(V81-O82-R82)*(1+LS!$F$9)</f>
        <v>-4167.4123876562016</v>
      </c>
    </row>
    <row r="83" spans="4:22" ht="9.75" customHeight="1">
      <c r="D83" s="252">
        <v>80</v>
      </c>
      <c r="E83" s="329">
        <v>72.058000000000007</v>
      </c>
      <c r="F83" s="329">
        <v>48.948999999999998</v>
      </c>
      <c r="H83" s="252">
        <v>81</v>
      </c>
      <c r="I83" s="423">
        <f t="shared" ca="1" si="10"/>
        <v>110</v>
      </c>
      <c r="J83" s="423"/>
      <c r="L83" s="959"/>
      <c r="M83" s="252">
        <v>81</v>
      </c>
      <c r="N83" s="256">
        <f ca="1">KTVTD20namcamket!E84-T82</f>
        <v>3832.4573945019852</v>
      </c>
      <c r="O83" s="256">
        <f ca="1">KTVTD20namMH!F84</f>
        <v>50</v>
      </c>
      <c r="P83" s="452">
        <f ca="1">IF('Tinh phi QL'!$H$9="Nam",VLOOKUP(KTVTUCOI!$I$9,KTVTUCOI!$D$3:$F$103,2,0)*N83/1000/12,IF('Tinh phi QL'!$H$9="Nữ",VLOOKUP(KTVTUCOI!$I$9,KTVTUCOI!$D$3:$F$103,3,0)*N83/1000/12,0))</f>
        <v>0.51738174825776795</v>
      </c>
      <c r="Q83" s="957"/>
      <c r="R83" s="452">
        <f ca="1">IF('Tinh phi QL'!$H$9="Nam",VLOOKUP(KTVTUCOI!$I$9,KTVTUCOI!$D$3:$F$103,2,0)*S83/1000/12,IF('Tinh phi QL'!$H$9="Nữ",VLOOKUP(KTVTUCOI!$I$9,KTVTUCOI!$D$3:$F$103,3,0)*S83/1000/12,0))</f>
        <v>0.56260067233358724</v>
      </c>
      <c r="S83" s="452">
        <f ca="1">KTVTD20namMH!E84-V82</f>
        <v>4167.4123876562016</v>
      </c>
      <c r="T83" s="418">
        <f ca="1">(T82-O83-P83)*(1+LS!$E$9)</f>
        <v>-3887.7954417382398</v>
      </c>
      <c r="U83" s="958"/>
      <c r="V83" s="418">
        <f ca="1">(V82-O83-R83)*(1+LS!$F$9)</f>
        <v>-4233.8126921944804</v>
      </c>
    </row>
    <row r="84" spans="4:22" ht="9.75" customHeight="1">
      <c r="D84" s="252">
        <v>81</v>
      </c>
      <c r="E84" s="329">
        <v>78.462999999999994</v>
      </c>
      <c r="F84" s="329">
        <v>54.682000000000002</v>
      </c>
      <c r="H84" s="252">
        <v>82</v>
      </c>
      <c r="I84" s="423">
        <f t="shared" ca="1" si="10"/>
        <v>111</v>
      </c>
      <c r="J84" s="423"/>
      <c r="L84" s="959"/>
      <c r="M84" s="252">
        <v>82</v>
      </c>
      <c r="N84" s="256">
        <f ca="1">KTVTD20namcamket!E85-T83</f>
        <v>3887.7954417382398</v>
      </c>
      <c r="O84" s="256">
        <f ca="1">KTVTD20namMH!F85</f>
        <v>50</v>
      </c>
      <c r="P84" s="452">
        <f ca="1">IF('Tinh phi QL'!$H$9="Nam",VLOOKUP(KTVTUCOI!$I$9,KTVTUCOI!$D$3:$F$103,2,0)*N84/1000/12,IF('Tinh phi QL'!$H$9="Nữ",VLOOKUP(KTVTUCOI!$I$9,KTVTUCOI!$D$3:$F$103,3,0)*N84/1000/12,0))</f>
        <v>0.52485238463466244</v>
      </c>
      <c r="Q84" s="957"/>
      <c r="R84" s="452">
        <f ca="1">IF('Tinh phi QL'!$H$9="Nam",VLOOKUP(KTVTUCOI!$I$9,KTVTUCOI!$D$3:$F$103,2,0)*S84/1000/12,IF('Tinh phi QL'!$H$9="Nữ",VLOOKUP(KTVTUCOI!$I$9,KTVTUCOI!$D$3:$F$103,3,0)*S84/1000/12,0))</f>
        <v>0.57156471344625492</v>
      </c>
      <c r="S84" s="452">
        <f ca="1">KTVTD20namMH!E85-V83</f>
        <v>4233.8126921944804</v>
      </c>
      <c r="T84" s="418">
        <f ca="1">(T83-O84-P84)*(1+LS!$E$9)</f>
        <v>-3943.2096703914713</v>
      </c>
      <c r="U84" s="958"/>
      <c r="V84" s="418">
        <f ca="1">(V83-O84-R84)*(1+LS!$F$9)</f>
        <v>-4300.4713151044753</v>
      </c>
    </row>
    <row r="85" spans="4:22" ht="9.75" customHeight="1">
      <c r="D85" s="252">
        <v>82</v>
      </c>
      <c r="E85" s="329">
        <v>85.686999999999998</v>
      </c>
      <c r="F85" s="329">
        <v>61.3</v>
      </c>
      <c r="H85" s="252">
        <v>83</v>
      </c>
      <c r="I85" s="423">
        <f t="shared" ca="1" si="10"/>
        <v>112</v>
      </c>
      <c r="J85" s="423"/>
      <c r="L85" s="959"/>
      <c r="M85" s="252">
        <v>83</v>
      </c>
      <c r="N85" s="256">
        <f ca="1">KTVTD20namcamket!E86-T84</f>
        <v>3943.2096703914713</v>
      </c>
      <c r="O85" s="256">
        <f ca="1">KTVTD20namMH!F86</f>
        <v>50</v>
      </c>
      <c r="P85" s="452">
        <f ca="1">IF('Tinh phi QL'!$H$9="Nam",VLOOKUP(KTVTUCOI!$I$9,KTVTUCOI!$D$3:$F$103,2,0)*N85/1000/12,IF('Tinh phi QL'!$H$9="Nữ",VLOOKUP(KTVTUCOI!$I$9,KTVTUCOI!$D$3:$F$103,3,0)*N85/1000/12,0))</f>
        <v>0.53233330550284863</v>
      </c>
      <c r="Q85" s="957"/>
      <c r="R85" s="452">
        <f ca="1">IF('Tinh phi QL'!$H$9="Nam",VLOOKUP(KTVTUCOI!$I$9,KTVTUCOI!$D$3:$F$103,2,0)*S85/1000/12,IF('Tinh phi QL'!$H$9="Nữ",VLOOKUP(KTVTUCOI!$I$9,KTVTUCOI!$D$3:$F$103,3,0)*S85/1000/12,0))</f>
        <v>0.58056362753910418</v>
      </c>
      <c r="S85" s="452">
        <f ca="1">KTVTD20namMH!E86-V84</f>
        <v>4300.4713151044753</v>
      </c>
      <c r="T85" s="418">
        <f ca="1">(T84-O85-P85)*(1+LS!$E$9)</f>
        <v>-3998.7001853372317</v>
      </c>
      <c r="U85" s="958"/>
      <c r="V85" s="418">
        <f ca="1">(V84-O85-R85)*(1+LS!$F$9)</f>
        <v>-4367.3892613270764</v>
      </c>
    </row>
    <row r="86" spans="4:22" ht="9.75" customHeight="1">
      <c r="D86" s="252">
        <v>83</v>
      </c>
      <c r="E86" s="329">
        <v>93.688000000000002</v>
      </c>
      <c r="F86" s="329">
        <v>68.781999999999996</v>
      </c>
      <c r="H86" s="252">
        <v>84</v>
      </c>
      <c r="I86" s="423">
        <f t="shared" ca="1" si="10"/>
        <v>113</v>
      </c>
      <c r="J86" s="423"/>
      <c r="L86" s="959"/>
      <c r="M86" s="252">
        <v>84</v>
      </c>
      <c r="N86" s="256">
        <f ca="1">KTVTD20namcamket!E87-T85</f>
        <v>3998.7001853372317</v>
      </c>
      <c r="O86" s="256">
        <f ca="1">KTVTD20namMH!F87</f>
        <v>50</v>
      </c>
      <c r="P86" s="452">
        <f ca="1">IF('Tinh phi QL'!$H$9="Nam",VLOOKUP(KTVTUCOI!$I$9,KTVTUCOI!$D$3:$F$103,2,0)*N86/1000/12,IF('Tinh phi QL'!$H$9="Nữ",VLOOKUP(KTVTUCOI!$I$9,KTVTUCOI!$D$3:$F$103,3,0)*N86/1000/12,0))</f>
        <v>0.53982452502052636</v>
      </c>
      <c r="Q86" s="957"/>
      <c r="R86" s="452">
        <f ca="1">IF('Tinh phi QL'!$H$9="Nam",VLOOKUP(KTVTUCOI!$I$9,KTVTUCOI!$D$3:$F$103,2,0)*S86/1000/12,IF('Tinh phi QL'!$H$9="Nữ",VLOOKUP(KTVTUCOI!$I$9,KTVTUCOI!$D$3:$F$103,3,0)*S86/1000/12,0))</f>
        <v>0.58959755027915539</v>
      </c>
      <c r="S86" s="452">
        <f ca="1">KTVTD20namMH!E87-V85</f>
        <v>4367.3892613270764</v>
      </c>
      <c r="T86" s="419">
        <f ca="1">(T85-O86-P86)*(1+LS!$E$9)</f>
        <v>-4054.2670915954509</v>
      </c>
      <c r="U86" s="958"/>
      <c r="V86" s="419">
        <f ca="1">(V85-O86-R86)*(1+LS!$F$9)</f>
        <v>-4434.5675397127143</v>
      </c>
    </row>
    <row r="87" spans="4:22" ht="9.75" customHeight="1">
      <c r="D87" s="252">
        <v>84</v>
      </c>
      <c r="E87" s="329">
        <v>102.28400000000001</v>
      </c>
      <c r="F87" s="329">
        <v>77.016999999999996</v>
      </c>
      <c r="H87" s="252">
        <v>85</v>
      </c>
      <c r="I87" s="423">
        <f t="shared" ca="1" si="10"/>
        <v>114</v>
      </c>
      <c r="J87" s="423"/>
      <c r="L87" s="957">
        <f>L75+1</f>
        <v>8</v>
      </c>
      <c r="M87" s="262">
        <v>85</v>
      </c>
      <c r="N87" s="263">
        <f ca="1">$J$10-T86-KTVTDGTTKcamket!F14</f>
        <v>4054.2670915954509</v>
      </c>
      <c r="O87" s="256">
        <f ca="1">KTVTD20namMH!F88</f>
        <v>50</v>
      </c>
      <c r="P87" s="451">
        <f ca="1">IF('Tinh phi QL'!$H$9="Nam",VLOOKUP(KTVTUCOI!$I$10,KTVTUCOI!$D$3:$F$103,2,0)*N87/1000/12,IF('Tinh phi QL'!$H$9="Nữ",VLOOKUP(KTVTUCOI!$I$10,KTVTUCOI!$D$3:$F$103,3,0)*N87/1000/12,0))</f>
        <v>0.58786872828134029</v>
      </c>
      <c r="Q87" s="957"/>
      <c r="R87" s="452">
        <f ca="1">IF('Tinh phi QL'!$H$9="Nam",VLOOKUP(KTVTUCOI!$I$10,KTVTUCOI!$D$3:$F$103,2,0)*S87/1000/12,IF('Tinh phi QL'!$H$9="Nữ",VLOOKUP(KTVTUCOI!$I$10,KTVTUCOI!$D$3:$F$103,3,0)*S87/1000/12,0))</f>
        <v>0.64301229325834353</v>
      </c>
      <c r="S87" s="451">
        <f ca="1">KTVTD20namMH!E88-V86-KTVTDGTTKMH!F14</f>
        <v>4434.5675397127143</v>
      </c>
      <c r="T87" s="420">
        <f ca="1">(T86+KTVTDGTTKcamket!F14-O87-P87)*(1+LS!$E$10)</f>
        <v>-4109.9510873347799</v>
      </c>
      <c r="U87" s="958">
        <f>Q87</f>
        <v>0</v>
      </c>
      <c r="V87" s="418">
        <f ca="1">(V86+KTVTUGTTKMH!F14-O87-R87)*(1+LS!$F$10)</f>
        <v>-4502.0516752216499</v>
      </c>
    </row>
    <row r="88" spans="4:22" ht="9.75" customHeight="1">
      <c r="D88" s="252">
        <v>85</v>
      </c>
      <c r="E88" s="329">
        <v>111.286</v>
      </c>
      <c r="F88" s="329">
        <v>85.918000000000006</v>
      </c>
      <c r="H88" s="252">
        <v>86</v>
      </c>
      <c r="I88" s="423">
        <f t="shared" ca="1" si="10"/>
        <v>115</v>
      </c>
      <c r="J88" s="423"/>
      <c r="L88" s="957"/>
      <c r="M88" s="262">
        <v>86</v>
      </c>
      <c r="N88" s="263">
        <f ca="1">$J$10-T87</f>
        <v>4109.9510873347799</v>
      </c>
      <c r="O88" s="256">
        <f ca="1">KTVTD20namMH!F89</f>
        <v>50</v>
      </c>
      <c r="P88" s="451">
        <f ca="1">IF('Tinh phi QL'!$H$9="Nam",VLOOKUP(KTVTUCOI!$I$10,KTVTUCOI!$D$3:$F$103,2,0)*N88/1000/12,IF('Tinh phi QL'!$H$9="Nữ",VLOOKUP(KTVTUCOI!$I$10,KTVTUCOI!$D$3:$F$103,3,0)*N88/1000/12,0))</f>
        <v>0.59594290766354308</v>
      </c>
      <c r="Q88" s="957"/>
      <c r="R88" s="452">
        <f ca="1">IF('Tinh phi QL'!$H$9="Nam",VLOOKUP(KTVTUCOI!$I$10,KTVTUCOI!$D$3:$F$103,2,0)*S88/1000/12,IF('Tinh phi QL'!$H$9="Nữ",VLOOKUP(KTVTUCOI!$I$10,KTVTUCOI!$D$3:$F$103,3,0)*S88/1000/12,0))</f>
        <v>0.65279749290713929</v>
      </c>
      <c r="S88" s="451">
        <f ca="1">KTVTD20namMH!E89-V87</f>
        <v>4502.0516752216499</v>
      </c>
      <c r="T88" s="420">
        <f ca="1">(T87-O88-P88)*(1+LS!$E$10)</f>
        <v>-4165.7122982741994</v>
      </c>
      <c r="U88" s="958"/>
      <c r="V88" s="418">
        <f ca="1">(V87-O88-R88)*(1+LS!$F$10)</f>
        <v>-4569.7990229258639</v>
      </c>
    </row>
    <row r="89" spans="4:22" ht="9.75" customHeight="1">
      <c r="D89" s="252">
        <v>86</v>
      </c>
      <c r="E89" s="329">
        <v>120.547</v>
      </c>
      <c r="F89" s="329">
        <v>95.424000000000007</v>
      </c>
      <c r="H89" s="252">
        <v>87</v>
      </c>
      <c r="I89" s="423">
        <f t="shared" ca="1" si="10"/>
        <v>116</v>
      </c>
      <c r="J89" s="423"/>
      <c r="L89" s="957"/>
      <c r="M89" s="262">
        <v>87</v>
      </c>
      <c r="N89" s="263">
        <f t="shared" ref="N89:N98" ca="1" si="11">$J$10-T88</f>
        <v>4165.7122982741994</v>
      </c>
      <c r="O89" s="256">
        <f ca="1">KTVTD20namMH!F90</f>
        <v>50</v>
      </c>
      <c r="P89" s="451">
        <f ca="1">IF('Tinh phi QL'!$H$9="Nam",VLOOKUP(KTVTUCOI!$I$10,KTVTUCOI!$D$3:$F$103,2,0)*N89/1000/12,IF('Tinh phi QL'!$H$9="Nữ",VLOOKUP(KTVTUCOI!$I$10,KTVTUCOI!$D$3:$F$103,3,0)*N89/1000/12,0))</f>
        <v>0.60402828324975888</v>
      </c>
      <c r="Q89" s="957"/>
      <c r="R89" s="452">
        <f ca="1">IF('Tinh phi QL'!$H$9="Nam",VLOOKUP(KTVTUCOI!$I$10,KTVTUCOI!$D$3:$F$103,2,0)*S89/1000/12,IF('Tinh phi QL'!$H$9="Nữ",VLOOKUP(KTVTUCOI!$I$10,KTVTUCOI!$D$3:$F$103,3,0)*S89/1000/12,0))</f>
        <v>0.66262085832425022</v>
      </c>
      <c r="S89" s="451">
        <f ca="1">KTVTD20namMH!E90-V88</f>
        <v>4569.7990229258639</v>
      </c>
      <c r="T89" s="420">
        <f ca="1">(T88-O89-P89)*(1+LS!$E$10)</f>
        <v>-4221.5508314855351</v>
      </c>
      <c r="U89" s="958"/>
      <c r="V89" s="418">
        <f ca="1">(V88-O89-R89)*(1+LS!$F$10)</f>
        <v>-4637.8106094467876</v>
      </c>
    </row>
    <row r="90" spans="4:22" ht="9.75" customHeight="1">
      <c r="D90" s="252">
        <v>87</v>
      </c>
      <c r="E90" s="329">
        <v>130.011</v>
      </c>
      <c r="F90" s="329">
        <v>105.51300000000001</v>
      </c>
      <c r="H90" s="252">
        <v>88</v>
      </c>
      <c r="I90" s="423">
        <f t="shared" ca="1" si="10"/>
        <v>117</v>
      </c>
      <c r="J90" s="423"/>
      <c r="L90" s="957"/>
      <c r="M90" s="262">
        <v>88</v>
      </c>
      <c r="N90" s="263">
        <f t="shared" ca="1" si="11"/>
        <v>4221.5508314855351</v>
      </c>
      <c r="O90" s="256">
        <f ca="1">KTVTD20namMH!F91</f>
        <v>50</v>
      </c>
      <c r="P90" s="451">
        <f ca="1">IF('Tinh phi QL'!$H$9="Nam",VLOOKUP(KTVTUCOI!$I$10,KTVTUCOI!$D$3:$F$103,2,0)*N90/1000/12,IF('Tinh phi QL'!$H$9="Nữ",VLOOKUP(KTVTUCOI!$I$10,KTVTUCOI!$D$3:$F$103,3,0)*N90/1000/12,0))</f>
        <v>0.61212487056540255</v>
      </c>
      <c r="Q90" s="957"/>
      <c r="R90" s="452">
        <f ca="1">IF('Tinh phi QL'!$H$9="Nam",VLOOKUP(KTVTUCOI!$I$10,KTVTUCOI!$D$3:$F$103,2,0)*S90/1000/12,IF('Tinh phi QL'!$H$9="Nữ",VLOOKUP(KTVTUCOI!$I$10,KTVTUCOI!$D$3:$F$103,3,0)*S90/1000/12,0))</f>
        <v>0.67248253836978422</v>
      </c>
      <c r="S90" s="451">
        <f ca="1">KTVTD20namMH!E91-V89</f>
        <v>4637.8106094467876</v>
      </c>
      <c r="T90" s="420">
        <f ca="1">(T89-O90-P90)*(1+LS!$E$10)</f>
        <v>-4277.4667941890866</v>
      </c>
      <c r="U90" s="958"/>
      <c r="V90" s="418">
        <f ca="1">(V89-O90-R90)*(1+LS!$F$10)</f>
        <v>-4706.0874654100407</v>
      </c>
    </row>
    <row r="91" spans="4:22" ht="9.75" customHeight="1">
      <c r="D91" s="252">
        <v>88</v>
      </c>
      <c r="E91" s="329">
        <v>139.67099999999999</v>
      </c>
      <c r="F91" s="329">
        <v>116.19199999999999</v>
      </c>
      <c r="H91" s="252">
        <v>89</v>
      </c>
      <c r="I91" s="423">
        <f t="shared" ca="1" si="10"/>
        <v>118</v>
      </c>
      <c r="J91" s="423"/>
      <c r="L91" s="957"/>
      <c r="M91" s="262">
        <v>89</v>
      </c>
      <c r="N91" s="263">
        <f t="shared" ca="1" si="11"/>
        <v>4277.4667941890866</v>
      </c>
      <c r="O91" s="256">
        <f ca="1">KTVTD20namMH!F92</f>
        <v>50</v>
      </c>
      <c r="P91" s="451">
        <f ca="1">IF('Tinh phi QL'!$H$9="Nam",VLOOKUP(KTVTUCOI!$I$10,KTVTUCOI!$D$3:$F$103,2,0)*N91/1000/12,IF('Tinh phi QL'!$H$9="Nữ",VLOOKUP(KTVTUCOI!$I$10,KTVTUCOI!$D$3:$F$103,3,0)*N91/1000/12,0))</f>
        <v>0.62023268515741758</v>
      </c>
      <c r="Q91" s="957"/>
      <c r="R91" s="452">
        <f ca="1">IF('Tinh phi QL'!$H$9="Nam",VLOOKUP(KTVTUCOI!$I$10,KTVTUCOI!$D$3:$F$103,2,0)*S91/1000/12,IF('Tinh phi QL'!$H$9="Nữ",VLOOKUP(KTVTUCOI!$I$10,KTVTUCOI!$D$3:$F$103,3,0)*S91/1000/12,0))</f>
        <v>0.68238268248445599</v>
      </c>
      <c r="S91" s="451">
        <f ca="1">KTVTD20namMH!E92-V90</f>
        <v>4706.0874654100407</v>
      </c>
      <c r="T91" s="420">
        <f ca="1">(T90-O91-P91)*(1+LS!$E$10)</f>
        <v>-4333.4602937538311</v>
      </c>
      <c r="U91" s="958"/>
      <c r="V91" s="418">
        <f ca="1">(V90-O91-R91)*(1+LS!$F$10)</f>
        <v>-4774.6306254610517</v>
      </c>
    </row>
    <row r="92" spans="4:22" ht="9.75" customHeight="1">
      <c r="D92" s="252">
        <v>89</v>
      </c>
      <c r="E92" s="329">
        <v>149.583</v>
      </c>
      <c r="F92" s="329">
        <v>127.54600000000001</v>
      </c>
      <c r="H92" s="252">
        <v>90</v>
      </c>
      <c r="I92" s="423">
        <f t="shared" ca="1" si="10"/>
        <v>119</v>
      </c>
      <c r="J92" s="423"/>
      <c r="L92" s="957"/>
      <c r="M92" s="262">
        <v>90</v>
      </c>
      <c r="N92" s="263">
        <f t="shared" ca="1" si="11"/>
        <v>4333.4602937538311</v>
      </c>
      <c r="O92" s="256">
        <f ca="1">KTVTD20namMH!F93</f>
        <v>50</v>
      </c>
      <c r="P92" s="451">
        <f ca="1">IF('Tinh phi QL'!$H$9="Nam",VLOOKUP(KTVTUCOI!$I$10,KTVTUCOI!$D$3:$F$103,2,0)*N92/1000/12,IF('Tinh phi QL'!$H$9="Nữ",VLOOKUP(KTVTUCOI!$I$10,KTVTUCOI!$D$3:$F$103,3,0)*N92/1000/12,0))</f>
        <v>0.62835174259430548</v>
      </c>
      <c r="Q92" s="957"/>
      <c r="R92" s="452">
        <f ca="1">IF('Tinh phi QL'!$H$9="Nam",VLOOKUP(KTVTUCOI!$I$10,KTVTUCOI!$D$3:$F$103,2,0)*S92/1000/12,IF('Tinh phi QL'!$H$9="Nữ",VLOOKUP(KTVTUCOI!$I$10,KTVTUCOI!$D$3:$F$103,3,0)*S92/1000/12,0))</f>
        <v>0.69232144069185253</v>
      </c>
      <c r="S92" s="451">
        <f ca="1">KTVTD20namMH!E93-V91</f>
        <v>4774.6306254610517</v>
      </c>
      <c r="T92" s="420">
        <f ca="1">(T91-O92-P92)*(1+LS!$E$10)</f>
        <v>-4389.5314376976339</v>
      </c>
      <c r="U92" s="958"/>
      <c r="V92" s="418">
        <f ca="1">(V91-O92-R92)*(1+LS!$F$10)</f>
        <v>-4843.4411282807341</v>
      </c>
    </row>
    <row r="93" spans="4:22" ht="9.75" customHeight="1">
      <c r="D93" s="252">
        <v>90</v>
      </c>
      <c r="E93" s="329">
        <v>159.90100000000001</v>
      </c>
      <c r="F93" s="329">
        <v>139.708</v>
      </c>
      <c r="H93" s="252">
        <v>91</v>
      </c>
      <c r="I93" s="423">
        <f t="shared" ca="1" si="10"/>
        <v>120</v>
      </c>
      <c r="J93" s="423"/>
      <c r="L93" s="957"/>
      <c r="M93" s="262">
        <v>91</v>
      </c>
      <c r="N93" s="263">
        <f t="shared" ca="1" si="11"/>
        <v>4389.5314376976339</v>
      </c>
      <c r="O93" s="256">
        <f ca="1">KTVTD20namMH!F94</f>
        <v>50</v>
      </c>
      <c r="P93" s="451">
        <f ca="1">IF('Tinh phi QL'!$H$9="Nam",VLOOKUP(KTVTUCOI!$I$10,KTVTUCOI!$D$3:$F$103,2,0)*N93/1000/12,IF('Tinh phi QL'!$H$9="Nữ",VLOOKUP(KTVTUCOI!$I$10,KTVTUCOI!$D$3:$F$103,3,0)*N93/1000/12,0))</f>
        <v>0.63648205846615691</v>
      </c>
      <c r="Q93" s="957"/>
      <c r="R93" s="452">
        <f ca="1">IF('Tinh phi QL'!$H$9="Nam",VLOOKUP(KTVTUCOI!$I$10,KTVTUCOI!$D$3:$F$103,2,0)*S93/1000/12,IF('Tinh phi QL'!$H$9="Nữ",VLOOKUP(KTVTUCOI!$I$10,KTVTUCOI!$D$3:$F$103,3,0)*S93/1000/12,0))</f>
        <v>0.70229896360070654</v>
      </c>
      <c r="S93" s="451">
        <f ca="1">KTVTD20namMH!E94-V92</f>
        <v>4843.4411282807341</v>
      </c>
      <c r="T93" s="420">
        <f ca="1">(T92-O93-P93)*(1+LS!$E$10)</f>
        <v>-4445.6803336874491</v>
      </c>
      <c r="U93" s="958"/>
      <c r="V93" s="418">
        <f ca="1">(V92-O93-R93)*(1+LS!$F$10)</f>
        <v>-4912.5200166012282</v>
      </c>
    </row>
    <row r="94" spans="4:22" ht="9.75" customHeight="1">
      <c r="D94" s="252">
        <v>91</v>
      </c>
      <c r="E94" s="329">
        <v>170.87700000000001</v>
      </c>
      <c r="F94" s="329">
        <v>152.93700000000001</v>
      </c>
      <c r="H94" s="252">
        <v>92</v>
      </c>
      <c r="I94" s="423">
        <f t="shared" ca="1" si="10"/>
        <v>121</v>
      </c>
      <c r="J94" s="423"/>
      <c r="L94" s="957"/>
      <c r="M94" s="262">
        <v>92</v>
      </c>
      <c r="N94" s="263">
        <f t="shared" ca="1" si="11"/>
        <v>4445.6803336874491</v>
      </c>
      <c r="O94" s="256">
        <f ca="1">KTVTD20namMH!F95</f>
        <v>50</v>
      </c>
      <c r="P94" s="451">
        <f ca="1">IF('Tinh phi QL'!$H$9="Nam",VLOOKUP(KTVTUCOI!$I$10,KTVTUCOI!$D$3:$F$103,2,0)*N94/1000/12,IF('Tinh phi QL'!$H$9="Nữ",VLOOKUP(KTVTUCOI!$I$10,KTVTUCOI!$D$3:$F$103,3,0)*N94/1000/12,0))</f>
        <v>0.64462364838468011</v>
      </c>
      <c r="Q94" s="957"/>
      <c r="R94" s="452">
        <f ca="1">IF('Tinh phi QL'!$H$9="Nam",VLOOKUP(KTVTUCOI!$I$10,KTVTUCOI!$D$3:$F$103,2,0)*S94/1000/12,IF('Tinh phi QL'!$H$9="Nữ",VLOOKUP(KTVTUCOI!$I$10,KTVTUCOI!$D$3:$F$103,3,0)*S94/1000/12,0))</f>
        <v>0.71231540240717806</v>
      </c>
      <c r="S94" s="451">
        <f ca="1">KTVTD20namMH!E95-V93</f>
        <v>4912.5200166012282</v>
      </c>
      <c r="T94" s="420">
        <f ca="1">(T93-O94-P94)*(1+LS!$E$10)</f>
        <v>-4501.9070895395298</v>
      </c>
      <c r="U94" s="958"/>
      <c r="V94" s="418">
        <f ca="1">(V93-O94-R94)*(1+LS!$F$10)</f>
        <v>-4981.868337221701</v>
      </c>
    </row>
    <row r="95" spans="4:22" ht="9.75" customHeight="1">
      <c r="D95" s="252">
        <v>92</v>
      </c>
      <c r="E95" s="329">
        <v>183.001</v>
      </c>
      <c r="F95" s="329">
        <v>167.69900000000001</v>
      </c>
      <c r="H95" s="252">
        <v>93</v>
      </c>
      <c r="I95" s="423">
        <f t="shared" ca="1" si="10"/>
        <v>122</v>
      </c>
      <c r="J95" s="423"/>
      <c r="L95" s="957"/>
      <c r="M95" s="262">
        <v>93</v>
      </c>
      <c r="N95" s="263">
        <f t="shared" ca="1" si="11"/>
        <v>4501.9070895395298</v>
      </c>
      <c r="O95" s="256">
        <f ca="1">KTVTD20namMH!F96</f>
        <v>50</v>
      </c>
      <c r="P95" s="451">
        <f ca="1">IF('Tinh phi QL'!$H$9="Nam",VLOOKUP(KTVTUCOI!$I$10,KTVTUCOI!$D$3:$F$103,2,0)*N95/1000/12,IF('Tinh phi QL'!$H$9="Nữ",VLOOKUP(KTVTUCOI!$I$10,KTVTUCOI!$D$3:$F$103,3,0)*N95/1000/12,0))</f>
        <v>0.65277652798323182</v>
      </c>
      <c r="Q95" s="957"/>
      <c r="R95" s="452">
        <f ca="1">IF('Tinh phi QL'!$H$9="Nam",VLOOKUP(KTVTUCOI!$I$10,KTVTUCOI!$D$3:$F$103,2,0)*S95/1000/12,IF('Tinh phi QL'!$H$9="Nữ",VLOOKUP(KTVTUCOI!$I$10,KTVTUCOI!$D$3:$F$103,3,0)*S95/1000/12,0))</f>
        <v>0.72237090889714661</v>
      </c>
      <c r="S95" s="451">
        <f ca="1">KTVTD20namMH!E96-V94</f>
        <v>4981.868337221701</v>
      </c>
      <c r="T95" s="420">
        <f ca="1">(T94-O95-P95)*(1+LS!$E$10)</f>
        <v>-4558.2118132196356</v>
      </c>
      <c r="U95" s="958"/>
      <c r="V95" s="418">
        <f ca="1">(V94-O95-R95)*(1+LS!$F$10)</f>
        <v>-5051.4871410242104</v>
      </c>
    </row>
    <row r="96" spans="4:22" ht="9.75" customHeight="1">
      <c r="D96" s="252">
        <v>93</v>
      </c>
      <c r="E96" s="329">
        <v>197.49100000000001</v>
      </c>
      <c r="F96" s="329">
        <v>185.066</v>
      </c>
      <c r="H96" s="252">
        <v>94</v>
      </c>
      <c r="I96" s="423">
        <f t="shared" ca="1" si="10"/>
        <v>123</v>
      </c>
      <c r="J96" s="423"/>
      <c r="L96" s="957"/>
      <c r="M96" s="262">
        <v>94</v>
      </c>
      <c r="N96" s="263">
        <f t="shared" ca="1" si="11"/>
        <v>4558.2118132196356</v>
      </c>
      <c r="O96" s="256">
        <f ca="1">KTVTD20namMH!F97</f>
        <v>50</v>
      </c>
      <c r="P96" s="451">
        <f ca="1">IF('Tinh phi QL'!$H$9="Nam",VLOOKUP(KTVTUCOI!$I$10,KTVTUCOI!$D$3:$F$103,2,0)*N96/1000/12,IF('Tinh phi QL'!$H$9="Nữ",VLOOKUP(KTVTUCOI!$I$10,KTVTUCOI!$D$3:$F$103,3,0)*N96/1000/12,0))</f>
        <v>0.66094071291684708</v>
      </c>
      <c r="Q96" s="957"/>
      <c r="R96" s="452">
        <f ca="1">IF('Tinh phi QL'!$H$9="Nam",VLOOKUP(KTVTUCOI!$I$10,KTVTUCOI!$D$3:$F$103,2,0)*S96/1000/12,IF('Tinh phi QL'!$H$9="Nữ",VLOOKUP(KTVTUCOI!$I$10,KTVTUCOI!$D$3:$F$103,3,0)*S96/1000/12,0))</f>
        <v>0.73246563544851051</v>
      </c>
      <c r="S96" s="451">
        <f ca="1">KTVTD20namMH!E97-V95</f>
        <v>5051.4871410242104</v>
      </c>
      <c r="T96" s="420">
        <f ca="1">(T95-O96-P96)*(1+LS!$E$10)</f>
        <v>-4614.5946128432379</v>
      </c>
      <c r="U96" s="958"/>
      <c r="V96" s="418">
        <f ca="1">(V95-O96-R96)*(1+LS!$F$10)</f>
        <v>-5121.3774829896274</v>
      </c>
    </row>
    <row r="97" spans="4:22" ht="9.75" customHeight="1">
      <c r="D97" s="252">
        <v>94</v>
      </c>
      <c r="E97" s="329">
        <v>216.97900000000001</v>
      </c>
      <c r="F97" s="329">
        <v>207.422</v>
      </c>
      <c r="H97" s="252">
        <v>95</v>
      </c>
      <c r="I97" s="423">
        <f t="shared" ca="1" si="10"/>
        <v>124</v>
      </c>
      <c r="J97" s="423"/>
      <c r="L97" s="957"/>
      <c r="M97" s="262">
        <v>95</v>
      </c>
      <c r="N97" s="263">
        <f t="shared" ca="1" si="11"/>
        <v>4614.5946128432379</v>
      </c>
      <c r="O97" s="256">
        <f ca="1">KTVTD20namMH!F98</f>
        <v>50</v>
      </c>
      <c r="P97" s="451">
        <f ca="1">IF('Tinh phi QL'!$H$9="Nam",VLOOKUP(KTVTUCOI!$I$10,KTVTUCOI!$D$3:$F$103,2,0)*N97/1000/12,IF('Tinh phi QL'!$H$9="Nữ",VLOOKUP(KTVTUCOI!$I$10,KTVTUCOI!$D$3:$F$103,3,0)*N97/1000/12,0))</f>
        <v>0.66911621886226946</v>
      </c>
      <c r="Q97" s="957"/>
      <c r="R97" s="452">
        <f ca="1">IF('Tinh phi QL'!$H$9="Nam",VLOOKUP(KTVTUCOI!$I$10,KTVTUCOI!$D$3:$F$103,2,0)*S97/1000/12,IF('Tinh phi QL'!$H$9="Nữ",VLOOKUP(KTVTUCOI!$I$10,KTVTUCOI!$D$3:$F$103,3,0)*S97/1000/12,0))</f>
        <v>0.74259973503349608</v>
      </c>
      <c r="S97" s="451">
        <f ca="1">KTVTD20namMH!E98-V96</f>
        <v>5121.3774829896274</v>
      </c>
      <c r="T97" s="420">
        <f ca="1">(T96-O97-P97)*(1+LS!$E$10)</f>
        <v>-4671.0555966757274</v>
      </c>
      <c r="U97" s="958"/>
      <c r="V97" s="418">
        <f ca="1">(V96-O97-R97)*(1+LS!$F$10)</f>
        <v>-5191.5404222136267</v>
      </c>
    </row>
    <row r="98" spans="4:22" ht="9.75" customHeight="1">
      <c r="D98" s="252">
        <v>95</v>
      </c>
      <c r="E98" s="329">
        <v>246.30199999999999</v>
      </c>
      <c r="F98" s="329">
        <v>239.59299999999999</v>
      </c>
      <c r="H98" s="252">
        <v>96</v>
      </c>
      <c r="I98" s="423">
        <f t="shared" ca="1" si="10"/>
        <v>125</v>
      </c>
      <c r="J98" s="423"/>
      <c r="L98" s="957"/>
      <c r="M98" s="262">
        <v>96</v>
      </c>
      <c r="N98" s="263">
        <f t="shared" ca="1" si="11"/>
        <v>4671.0555966757274</v>
      </c>
      <c r="O98" s="256">
        <f ca="1">KTVTD20namMH!F99</f>
        <v>50</v>
      </c>
      <c r="P98" s="451">
        <f ca="1">IF('Tinh phi QL'!$H$9="Nam",VLOOKUP(KTVTUCOI!$I$10,KTVTUCOI!$D$3:$F$103,2,0)*N98/1000/12,IF('Tinh phi QL'!$H$9="Nữ",VLOOKUP(KTVTUCOI!$I$10,KTVTUCOI!$D$3:$F$103,3,0)*N98/1000/12,0))</f>
        <v>0.67730306151798059</v>
      </c>
      <c r="Q98" s="957"/>
      <c r="R98" s="452">
        <f ca="1">IF('Tinh phi QL'!$H$9="Nam",VLOOKUP(KTVTUCOI!$I$10,KTVTUCOI!$D$3:$F$103,2,0)*S98/1000/12,IF('Tinh phi QL'!$H$9="Nữ",VLOOKUP(KTVTUCOI!$I$10,KTVTUCOI!$D$3:$F$103,3,0)*S98/1000/12,0))</f>
        <v>0.75277336122097582</v>
      </c>
      <c r="S98" s="451">
        <f ca="1">KTVTD20namMH!E99-V97</f>
        <v>5191.5404222136267</v>
      </c>
      <c r="T98" s="421">
        <f ca="1">(T97-O98-P98)*(1+LS!$E$10)</f>
        <v>-4727.5948731326234</v>
      </c>
      <c r="U98" s="958"/>
      <c r="V98" s="419">
        <f ca="1">(V97-O98-R98)*(1+LS!$F$10)</f>
        <v>-5261.9770219227312</v>
      </c>
    </row>
    <row r="99" spans="4:22" ht="9.75" customHeight="1">
      <c r="D99" s="252">
        <v>96</v>
      </c>
      <c r="E99" s="329">
        <v>294.69299999999998</v>
      </c>
      <c r="F99" s="329">
        <v>290.78300000000002</v>
      </c>
      <c r="H99" s="252">
        <v>97</v>
      </c>
      <c r="I99" s="423">
        <f t="shared" ca="1" si="10"/>
        <v>126</v>
      </c>
      <c r="J99" s="423"/>
      <c r="L99" s="959">
        <f>L87+1</f>
        <v>9</v>
      </c>
      <c r="M99" s="252">
        <v>97</v>
      </c>
      <c r="N99" s="256">
        <f ca="1">$J$11-T98-KTVTDGTTKcamket!F15</f>
        <v>4727.5948731326234</v>
      </c>
      <c r="O99" s="256">
        <f ca="1">KTVTD20namMH!F100</f>
        <v>50</v>
      </c>
      <c r="P99" s="452">
        <f ca="1">IF('Tinh phi QL'!$H$9="Nam",VLOOKUP(KTVTUCOI!$I$11,KTVTUCOI!$D$3:$F$103,2,0)*N99/1000/12,IF('Tinh phi QL'!$H$9="Nữ",VLOOKUP(KTVTUCOI!$I$11,KTVTUCOI!$D$3:$F$103,3,0)*N99/1000/12,0))</f>
        <v>0.74065653012411092</v>
      </c>
      <c r="Q99" s="957"/>
      <c r="R99" s="452">
        <f ca="1">IF('Tinh phi QL'!$H$9="Nam",VLOOKUP(KTVTUCOI!$I$11,KTVTUCOI!$D$3:$F$103,2,0)*S99/1000/12,IF('Tinh phi QL'!$H$9="Nữ",VLOOKUP(KTVTUCOI!$I$11,KTVTUCOI!$D$3:$F$103,3,0)*S99/1000/12,0))</f>
        <v>0.8243764001012277</v>
      </c>
      <c r="S99" s="452">
        <f ca="1">KTVTD20namMH!E100-V98-KTVTDGTTKMH!F15</f>
        <v>5261.9770219227312</v>
      </c>
      <c r="T99" s="418">
        <f ca="1">(T98+KTVTDGTTKcamket!F14-O99-P99)*(1+LS!$E$11)</f>
        <v>-4784.267774527897</v>
      </c>
      <c r="U99" s="958">
        <f>Q99</f>
        <v>0</v>
      </c>
      <c r="V99" s="418">
        <f ca="1">(V98+KTVTUGTTKMH!F15-O99-R99)*(1+LS!$F$11)</f>
        <v>-5332.7499697292651</v>
      </c>
    </row>
    <row r="100" spans="4:22" ht="9.75" customHeight="1">
      <c r="D100" s="252">
        <v>97</v>
      </c>
      <c r="E100" s="329">
        <v>378.7</v>
      </c>
      <c r="F100" s="329">
        <v>377.45299999999997</v>
      </c>
      <c r="H100" s="252">
        <v>98</v>
      </c>
      <c r="I100" s="423">
        <f t="shared" ca="1" si="10"/>
        <v>127</v>
      </c>
      <c r="J100" s="423"/>
      <c r="L100" s="959"/>
      <c r="M100" s="252">
        <v>98</v>
      </c>
      <c r="N100" s="256">
        <f ca="1">$J$11-T99</f>
        <v>4784.267774527897</v>
      </c>
      <c r="O100" s="256">
        <f ca="1">KTVTD20namMH!F101</f>
        <v>50</v>
      </c>
      <c r="P100" s="452">
        <f ca="1">IF('Tinh phi QL'!$H$9="Nam",VLOOKUP(KTVTUCOI!$I$11,KTVTUCOI!$D$3:$F$103,2,0)*N100/1000/12,IF('Tinh phi QL'!$H$9="Nữ",VLOOKUP(KTVTUCOI!$I$11,KTVTUCOI!$D$3:$F$103,3,0)*N100/1000/12,0))</f>
        <v>0.74953528467603714</v>
      </c>
      <c r="Q100" s="957"/>
      <c r="R100" s="452">
        <f ca="1">IF('Tinh phi QL'!$H$9="Nam",VLOOKUP(KTVTUCOI!$I$11,KTVTUCOI!$D$3:$F$103,2,0)*S100/1000/12,IF('Tinh phi QL'!$H$9="Nữ",VLOOKUP(KTVTUCOI!$I$11,KTVTUCOI!$D$3:$F$103,3,0)*S100/1000/12,0))</f>
        <v>0.83546416192425144</v>
      </c>
      <c r="S100" s="452">
        <f ca="1">KTVTD20namMH!E101-V99</f>
        <v>5332.7499697292651</v>
      </c>
      <c r="T100" s="418">
        <f ca="1">(T99-O100-P100)*(1+LS!$E$11)</f>
        <v>-4841.0199244115256</v>
      </c>
      <c r="U100" s="958"/>
      <c r="V100" s="418">
        <f ca="1">(V99-O100-R100)*(1+LS!$F$11)</f>
        <v>-5403.7997860566047</v>
      </c>
    </row>
    <row r="101" spans="4:22" ht="9.75" customHeight="1">
      <c r="D101" s="252">
        <v>98</v>
      </c>
      <c r="E101" s="329">
        <v>521.60500000000002</v>
      </c>
      <c r="F101" s="329">
        <v>522.69100000000003</v>
      </c>
      <c r="H101" s="252">
        <v>99</v>
      </c>
      <c r="I101" s="423">
        <f t="shared" ca="1" si="10"/>
        <v>128</v>
      </c>
      <c r="J101" s="423"/>
      <c r="L101" s="959"/>
      <c r="M101" s="252">
        <v>99</v>
      </c>
      <c r="N101" s="256">
        <f t="shared" ref="N101:N110" ca="1" si="12">$J$11-T100</f>
        <v>4841.0199244115256</v>
      </c>
      <c r="O101" s="256">
        <f ca="1">KTVTD20namMH!F102</f>
        <v>50</v>
      </c>
      <c r="P101" s="452">
        <f ca="1">IF('Tinh phi QL'!$H$9="Nam",VLOOKUP(KTVTUCOI!$I$11,KTVTUCOI!$D$3:$F$103,2,0)*N101/1000/12,IF('Tinh phi QL'!$H$9="Nữ",VLOOKUP(KTVTUCOI!$I$11,KTVTUCOI!$D$3:$F$103,3,0)*N101/1000/12,0))</f>
        <v>0.75842645482447235</v>
      </c>
      <c r="Q101" s="957"/>
      <c r="R101" s="452">
        <f ca="1">IF('Tinh phi QL'!$H$9="Nam",VLOOKUP(KTVTUCOI!$I$11,KTVTUCOI!$D$3:$F$103,2,0)*S101/1000/12,IF('Tinh phi QL'!$H$9="Nữ",VLOOKUP(KTVTUCOI!$I$11,KTVTUCOI!$D$3:$F$103,3,0)*S101/1000/12,0))</f>
        <v>0.84659529981553472</v>
      </c>
      <c r="S101" s="452">
        <f ca="1">KTVTD20namMH!E102-V100</f>
        <v>5403.7997860566047</v>
      </c>
      <c r="T101" s="418">
        <f ca="1">(T100-O101-P101)*(1+LS!$E$11)</f>
        <v>-4897.8514336005428</v>
      </c>
      <c r="U101" s="958"/>
      <c r="V101" s="418">
        <f ca="1">(V100-O101-R101)*(1+LS!$F$11)</f>
        <v>-5475.1275540329825</v>
      </c>
    </row>
    <row r="102" spans="4:22" ht="9.75" customHeight="1">
      <c r="D102" s="252">
        <v>99</v>
      </c>
      <c r="E102" s="329">
        <v>700</v>
      </c>
      <c r="F102" s="329">
        <v>702.57899999999995</v>
      </c>
      <c r="H102" s="252">
        <v>100</v>
      </c>
      <c r="I102" s="423">
        <f t="shared" ca="1" si="10"/>
        <v>129</v>
      </c>
      <c r="J102" s="423"/>
      <c r="L102" s="959"/>
      <c r="M102" s="252">
        <v>100</v>
      </c>
      <c r="N102" s="256">
        <f t="shared" ca="1" si="12"/>
        <v>4897.8514336005428</v>
      </c>
      <c r="O102" s="256">
        <f ca="1">KTVTD20namMH!F103</f>
        <v>50</v>
      </c>
      <c r="P102" s="452">
        <f ca="1">IF('Tinh phi QL'!$H$9="Nam",VLOOKUP(KTVTUCOI!$I$11,KTVTUCOI!$D$3:$F$103,2,0)*N102/1000/12,IF('Tinh phi QL'!$H$9="Nữ",VLOOKUP(KTVTUCOI!$I$11,KTVTUCOI!$D$3:$F$103,3,0)*N102/1000/12,0))</f>
        <v>0.76733005793075171</v>
      </c>
      <c r="Q102" s="957"/>
      <c r="R102" s="452">
        <f ca="1">IF('Tinh phi QL'!$H$9="Nam",VLOOKUP(KTVTUCOI!$I$11,KTVTUCOI!$D$3:$F$103,2,0)*S102/1000/12,IF('Tinh phi QL'!$H$9="Nữ",VLOOKUP(KTVTUCOI!$I$11,KTVTUCOI!$D$3:$F$103,3,0)*S102/1000/12,0))</f>
        <v>0.85776998346516731</v>
      </c>
      <c r="S102" s="452">
        <f ca="1">KTVTD20namMH!E103-V101</f>
        <v>5475.1275540329825</v>
      </c>
      <c r="T102" s="418">
        <f ca="1">(T101-O102-P102)*(1+LS!$E$11)</f>
        <v>-4954.7624130669465</v>
      </c>
      <c r="U102" s="958"/>
      <c r="V102" s="418">
        <f ca="1">(V101-O102-R102)*(1+LS!$F$11)</f>
        <v>-5546.7343610238995</v>
      </c>
    </row>
    <row r="103" spans="4:22" ht="9.75" customHeight="1">
      <c r="D103" s="252">
        <v>100</v>
      </c>
      <c r="E103" s="329">
        <v>700</v>
      </c>
      <c r="F103" s="329">
        <v>702.57899999999995</v>
      </c>
      <c r="H103" s="252">
        <v>101</v>
      </c>
      <c r="I103" s="423">
        <f t="shared" ca="1" si="10"/>
        <v>130</v>
      </c>
      <c r="J103" s="423"/>
      <c r="L103" s="959"/>
      <c r="M103" s="252">
        <v>101</v>
      </c>
      <c r="N103" s="256">
        <f t="shared" ca="1" si="12"/>
        <v>4954.7624130669465</v>
      </c>
      <c r="O103" s="256">
        <f ca="1">KTVTD20namMH!F104</f>
        <v>50</v>
      </c>
      <c r="P103" s="452">
        <f ca="1">IF('Tinh phi QL'!$H$9="Nam",VLOOKUP(KTVTUCOI!$I$11,KTVTUCOI!$D$3:$F$103,2,0)*N103/1000/12,IF('Tinh phi QL'!$H$9="Nữ",VLOOKUP(KTVTUCOI!$I$11,KTVTUCOI!$D$3:$F$103,3,0)*N103/1000/12,0))</f>
        <v>0.77624611138048827</v>
      </c>
      <c r="Q103" s="957"/>
      <c r="R103" s="452">
        <f ca="1">IF('Tinh phi QL'!$H$9="Nam",VLOOKUP(KTVTUCOI!$I$11,KTVTUCOI!$D$3:$F$103,2,0)*S103/1000/12,IF('Tinh phi QL'!$H$9="Nữ",VLOOKUP(KTVTUCOI!$I$11,KTVTUCOI!$D$3:$F$103,3,0)*S103/1000/12,0))</f>
        <v>0.8689883832270775</v>
      </c>
      <c r="S103" s="452">
        <f ca="1">KTVTD20namMH!E104-V102</f>
        <v>5546.7343610238995</v>
      </c>
      <c r="T103" s="418">
        <f ca="1">(T102-O103-P103)*(1+LS!$E$11)</f>
        <v>-5011.7529739379088</v>
      </c>
      <c r="U103" s="958"/>
      <c r="V103" s="418">
        <f ca="1">(V102-O103-R103)*(1+LS!$F$11)</f>
        <v>-5618.6212986487044</v>
      </c>
    </row>
    <row r="104" spans="4:22" ht="9.75" customHeight="1">
      <c r="E104" s="329"/>
      <c r="F104" s="329"/>
      <c r="L104" s="959"/>
      <c r="M104" s="252">
        <v>102</v>
      </c>
      <c r="N104" s="256">
        <f t="shared" ca="1" si="12"/>
        <v>5011.7529739379088</v>
      </c>
      <c r="O104" s="256">
        <f ca="1">KTVTD20namMH!F105</f>
        <v>50</v>
      </c>
      <c r="P104" s="452">
        <f ca="1">IF('Tinh phi QL'!$H$9="Nam",VLOOKUP(KTVTUCOI!$I$11,KTVTUCOI!$D$3:$F$103,2,0)*N104/1000/12,IF('Tinh phi QL'!$H$9="Nữ",VLOOKUP(KTVTUCOI!$I$11,KTVTUCOI!$D$3:$F$103,3,0)*N104/1000/12,0))</f>
        <v>0.78517463258360565</v>
      </c>
      <c r="Q104" s="957"/>
      <c r="R104" s="452">
        <f ca="1">IF('Tinh phi QL'!$H$9="Nam",VLOOKUP(KTVTUCOI!$I$11,KTVTUCOI!$D$3:$F$103,2,0)*S104/1000/12,IF('Tinh phi QL'!$H$9="Nữ",VLOOKUP(KTVTUCOI!$I$11,KTVTUCOI!$D$3:$F$103,3,0)*S104/1000/12,0))</f>
        <v>0.88025067012163027</v>
      </c>
      <c r="S104" s="452">
        <f ca="1">KTVTD20namMH!E105-V103</f>
        <v>5618.6212986487044</v>
      </c>
      <c r="T104" s="418">
        <f ca="1">(T103-O104-P104)*(1+LS!$E$11)</f>
        <v>-5068.8232274959983</v>
      </c>
      <c r="U104" s="958"/>
      <c r="V104" s="418">
        <f ca="1">(V103-O104-R104)*(1+LS!$F$11)</f>
        <v>-5690.7894627972346</v>
      </c>
    </row>
    <row r="105" spans="4:22" ht="9.75" customHeight="1">
      <c r="E105" s="329"/>
      <c r="F105" s="329"/>
      <c r="L105" s="959"/>
      <c r="M105" s="252">
        <v>103</v>
      </c>
      <c r="N105" s="256">
        <f t="shared" ca="1" si="12"/>
        <v>5068.8232274959983</v>
      </c>
      <c r="O105" s="256">
        <f ca="1">KTVTD20namMH!F106</f>
        <v>60</v>
      </c>
      <c r="P105" s="452">
        <f ca="1">IF('Tinh phi QL'!$H$9="Nam",VLOOKUP(KTVTUCOI!$I$11,KTVTUCOI!$D$3:$F$103,2,0)*N105/1000/12,IF('Tinh phi QL'!$H$9="Nữ",VLOOKUP(KTVTUCOI!$I$11,KTVTUCOI!$D$3:$F$103,3,0)*N105/1000/12,0))</f>
        <v>0.79411563897437298</v>
      </c>
      <c r="Q105" s="957"/>
      <c r="R105" s="452">
        <f ca="1">IF('Tinh phi QL'!$H$9="Nam",VLOOKUP(KTVTUCOI!$I$11,KTVTUCOI!$D$3:$F$103,2,0)*S105/1000/12,IF('Tinh phi QL'!$H$9="Nữ",VLOOKUP(KTVTUCOI!$I$11,KTVTUCOI!$D$3:$F$103,3,0)*S105/1000/12,0))</f>
        <v>0.89155701583823344</v>
      </c>
      <c r="S105" s="452">
        <f ca="1">KTVTD20namMH!E106-V104</f>
        <v>5690.7894627972346</v>
      </c>
      <c r="T105" s="418">
        <f ca="1">(T104-O105-P105)*(1+LS!$E$11)</f>
        <v>-5135.9857000565598</v>
      </c>
      <c r="U105" s="958"/>
      <c r="V105" s="418">
        <f ca="1">(V104-O105-R105)*(1+LS!$F$11)</f>
        <v>-5773.2775017683334</v>
      </c>
    </row>
    <row r="106" spans="4:22" ht="9.75" customHeight="1">
      <c r="E106" s="329"/>
      <c r="F106" s="329"/>
      <c r="L106" s="959"/>
      <c r="M106" s="252">
        <v>104</v>
      </c>
      <c r="N106" s="256">
        <f t="shared" ca="1" si="12"/>
        <v>5135.9857000565598</v>
      </c>
      <c r="O106" s="256">
        <f ca="1">KTVTD20namMH!F107</f>
        <v>60</v>
      </c>
      <c r="P106" s="452">
        <f ca="1">IF('Tinh phi QL'!$H$9="Nam",VLOOKUP(KTVTUCOI!$I$11,KTVTUCOI!$D$3:$F$103,2,0)*N106/1000/12,IF('Tinh phi QL'!$H$9="Nữ",VLOOKUP(KTVTUCOI!$I$11,KTVTUCOI!$D$3:$F$103,3,0)*N106/1000/12,0))</f>
        <v>0.80463775967552775</v>
      </c>
      <c r="Q106" s="957"/>
      <c r="R106" s="452">
        <f ca="1">IF('Tinh phi QL'!$H$9="Nam",VLOOKUP(KTVTUCOI!$I$11,KTVTUCOI!$D$3:$F$103,2,0)*S106/1000/12,IF('Tinh phi QL'!$H$9="Nữ",VLOOKUP(KTVTUCOI!$I$11,KTVTUCOI!$D$3:$F$103,3,0)*S106/1000/12,0))</f>
        <v>0.90448014194370552</v>
      </c>
      <c r="S106" s="452">
        <f ca="1">KTVTD20namMH!E107-V105</f>
        <v>5773.2775017683334</v>
      </c>
      <c r="T106" s="418">
        <f ca="1">(T105-O106-P106)*(1+LS!$E$11)</f>
        <v>-5203.2420891855963</v>
      </c>
      <c r="U106" s="958"/>
      <c r="V106" s="418">
        <f ca="1">(V105-O106-R106)*(1+LS!$F$11)</f>
        <v>-5856.0882394829778</v>
      </c>
    </row>
    <row r="107" spans="4:22" ht="9.75" customHeight="1">
      <c r="E107" s="329"/>
      <c r="F107" s="329"/>
      <c r="L107" s="959"/>
      <c r="M107" s="252">
        <v>105</v>
      </c>
      <c r="N107" s="256">
        <f t="shared" ca="1" si="12"/>
        <v>5203.2420891855963</v>
      </c>
      <c r="O107" s="256">
        <f ca="1">KTVTD20namMH!F108</f>
        <v>60</v>
      </c>
      <c r="P107" s="452">
        <f ca="1">IF('Tinh phi QL'!$H$9="Nam",VLOOKUP(KTVTUCOI!$I$11,KTVTUCOI!$D$3:$F$103,2,0)*N107/1000/12,IF('Tinh phi QL'!$H$9="Nữ",VLOOKUP(KTVTUCOI!$I$11,KTVTUCOI!$D$3:$F$103,3,0)*N107/1000/12,0))</f>
        <v>0.8151745939724101</v>
      </c>
      <c r="Q107" s="957"/>
      <c r="R107" s="452">
        <f ca="1">IF('Tinh phi QL'!$H$9="Nam",VLOOKUP(KTVTUCOI!$I$11,KTVTUCOI!$D$3:$F$103,2,0)*S107/1000/12,IF('Tinh phi QL'!$H$9="Nữ",VLOOKUP(KTVTUCOI!$I$11,KTVTUCOI!$D$3:$F$103,3,0)*S107/1000/12,0))</f>
        <v>0.91745382418566657</v>
      </c>
      <c r="S107" s="452">
        <f ca="1">KTVTD20namMH!E108-V106</f>
        <v>5856.0882394829778</v>
      </c>
      <c r="T107" s="418">
        <f ca="1">(T106-O107-P107)*(1+LS!$E$11)</f>
        <v>-5270.5925262112369</v>
      </c>
      <c r="U107" s="958"/>
      <c r="V107" s="418">
        <f ca="1">(V106-O107-R107)*(1+LS!$F$11)</f>
        <v>-5939.2229383603044</v>
      </c>
    </row>
    <row r="108" spans="4:22" ht="9.75" customHeight="1">
      <c r="E108" s="329"/>
      <c r="F108" s="329"/>
      <c r="L108" s="959"/>
      <c r="M108" s="252">
        <v>106</v>
      </c>
      <c r="N108" s="256">
        <f t="shared" ca="1" si="12"/>
        <v>5270.5925262112369</v>
      </c>
      <c r="O108" s="256">
        <f ca="1">KTVTD20namMH!F109</f>
        <v>60</v>
      </c>
      <c r="P108" s="452">
        <f ca="1">IF('Tinh phi QL'!$H$9="Nam",VLOOKUP(KTVTUCOI!$I$11,KTVTUCOI!$D$3:$F$103,2,0)*N108/1000/12,IF('Tinh phi QL'!$H$9="Nữ",VLOOKUP(KTVTUCOI!$I$11,KTVTUCOI!$D$3:$F$103,3,0)*N108/1000/12,0))</f>
        <v>0.82572616243976027</v>
      </c>
      <c r="Q108" s="957"/>
      <c r="R108" s="452">
        <f ca="1">IF('Tinh phi QL'!$H$9="Nam",VLOOKUP(KTVTUCOI!$I$11,KTVTUCOI!$D$3:$F$103,2,0)*S108/1000/12,IF('Tinh phi QL'!$H$9="Nữ",VLOOKUP(KTVTUCOI!$I$11,KTVTUCOI!$D$3:$F$103,3,0)*S108/1000/12,0))</f>
        <v>0.93047826034311443</v>
      </c>
      <c r="S108" s="452">
        <f ca="1">KTVTD20namMH!E109-V107</f>
        <v>5939.2229383603044</v>
      </c>
      <c r="T108" s="418">
        <f ca="1">(T107-O108-P108)*(1+LS!$E$11)</f>
        <v>-5338.0371426452521</v>
      </c>
      <c r="U108" s="958"/>
      <c r="V108" s="418">
        <f ca="1">(V107-O108-R108)*(1+LS!$F$11)</f>
        <v>-6022.68286575812</v>
      </c>
    </row>
    <row r="109" spans="4:22" ht="9.75" customHeight="1">
      <c r="E109" s="329"/>
      <c r="F109" s="329"/>
      <c r="L109" s="959"/>
      <c r="M109" s="252">
        <v>107</v>
      </c>
      <c r="N109" s="256">
        <f t="shared" ca="1" si="12"/>
        <v>5338.0371426452521</v>
      </c>
      <c r="O109" s="256">
        <f ca="1">KTVTD20namMH!F110</f>
        <v>60</v>
      </c>
      <c r="P109" s="452">
        <f ca="1">IF('Tinh phi QL'!$H$9="Nam",VLOOKUP(KTVTUCOI!$I$11,KTVTUCOI!$D$3:$F$103,2,0)*N109/1000/12,IF('Tinh phi QL'!$H$9="Nữ",VLOOKUP(KTVTUCOI!$I$11,KTVTUCOI!$D$3:$F$103,3,0)*N109/1000/12,0))</f>
        <v>0.83629248568108938</v>
      </c>
      <c r="Q109" s="957"/>
      <c r="R109" s="452">
        <f ca="1">IF('Tinh phi QL'!$H$9="Nam",VLOOKUP(KTVTUCOI!$I$11,KTVTUCOI!$D$3:$F$103,2,0)*S109/1000/12,IF('Tinh phi QL'!$H$9="Nữ",VLOOKUP(KTVTUCOI!$I$11,KTVTUCOI!$D$3:$F$103,3,0)*S109/1000/12,0))</f>
        <v>0.94355364896877214</v>
      </c>
      <c r="S109" s="452">
        <f ca="1">KTVTD20namMH!E110-V108</f>
        <v>6022.68286575812</v>
      </c>
      <c r="T109" s="418">
        <f ca="1">(T108-O109-P109)*(1+LS!$E$11)</f>
        <v>-5405.5760701833124</v>
      </c>
      <c r="U109" s="958"/>
      <c r="V109" s="418">
        <f ca="1">(V108-O109-R109)*(1+LS!$F$11)</f>
        <v>-6106.4692939922215</v>
      </c>
    </row>
    <row r="110" spans="4:22" ht="9.75" customHeight="1">
      <c r="E110" s="329"/>
      <c r="F110" s="329"/>
      <c r="L110" s="959"/>
      <c r="M110" s="252">
        <v>108</v>
      </c>
      <c r="N110" s="256">
        <f t="shared" ca="1" si="12"/>
        <v>5405.5760701833124</v>
      </c>
      <c r="O110" s="256">
        <f ca="1">KTVTD20namMH!F111</f>
        <v>60</v>
      </c>
      <c r="P110" s="452">
        <f ca="1">IF('Tinh phi QL'!$H$9="Nam",VLOOKUP(KTVTUCOI!$I$11,KTVTUCOI!$D$3:$F$103,2,0)*N110/1000/12,IF('Tinh phi QL'!$H$9="Nữ",VLOOKUP(KTVTUCOI!$I$11,KTVTUCOI!$D$3:$F$103,3,0)*N110/1000/12,0))</f>
        <v>0.84687358432871884</v>
      </c>
      <c r="Q110" s="957"/>
      <c r="R110" s="452">
        <f ca="1">IF('Tinh phi QL'!$H$9="Nam",VLOOKUP(KTVTUCOI!$I$11,KTVTUCOI!$D$3:$F$103,2,0)*S110/1000/12,IF('Tinh phi QL'!$H$9="Nữ",VLOOKUP(KTVTUCOI!$I$11,KTVTUCOI!$D$3:$F$103,3,0)*S110/1000/12,0))</f>
        <v>0.95668018939211474</v>
      </c>
      <c r="S110" s="452">
        <f ca="1">KTVTD20namMH!E111-V109</f>
        <v>6106.4692939922215</v>
      </c>
      <c r="T110" s="419">
        <f ca="1">(T109-O110-P110)*(1+LS!$E$11)</f>
        <v>-5473.2094407052455</v>
      </c>
      <c r="U110" s="958"/>
      <c r="V110" s="419">
        <f ca="1">(V109-O110-R110)*(1+LS!$F$11)</f>
        <v>-6190.5835003557886</v>
      </c>
    </row>
    <row r="111" spans="4:22" ht="9.75" customHeight="1">
      <c r="E111" s="329"/>
      <c r="F111" s="329"/>
      <c r="L111" s="957">
        <f>L99+1</f>
        <v>10</v>
      </c>
      <c r="M111" s="262">
        <v>109</v>
      </c>
      <c r="N111" s="263">
        <f ca="1">$J$12-T110-KTVTDGTTKcamket!F16</f>
        <v>5473.2094407052455</v>
      </c>
      <c r="O111" s="256">
        <f ca="1">KTVTD20namMH!F112</f>
        <v>60</v>
      </c>
      <c r="P111" s="451">
        <f ca="1">IF('Tinh phi QL'!$H$9="Nam",VLOOKUP(KTVTUCOI!$I$12,KTVTUCOI!$D$3:$F$103,2,0)*N111/1000/12,IF('Tinh phi QL'!$H$9="Nữ",VLOOKUP(KTVTUCOI!$I$12,KTVTUCOI!$D$3:$F$103,3,0)*N111/1000/12,0))</f>
        <v>0.92588459705263715</v>
      </c>
      <c r="Q111" s="957">
        <f ca="1">KTVTD20namcamket!I112</f>
        <v>0</v>
      </c>
      <c r="R111" s="452">
        <f ca="1">IF('Tinh phi QL'!$H$9="Nam",VLOOKUP(KTVTUCOI!$I$12,KTVTUCOI!$D$3:$F$103,2,0)*S111/1000/12,IF('Tinh phi QL'!$H$9="Nữ",VLOOKUP(KTVTUCOI!$I$12,KTVTUCOI!$D$3:$F$103,3,0)*S111/1000/12,0))</f>
        <v>1.0472403754768542</v>
      </c>
      <c r="S111" s="451">
        <f ca="1">KTVTD20namMH!E112-V110-KTVTDGTTKMH!F16</f>
        <v>6190.5835003557886</v>
      </c>
      <c r="T111" s="420">
        <f ca="1">(T110+KTVTDGTTKcamket!F16-O111-P111)*(1+LS!$E$12)</f>
        <v>-5541.0058863298291</v>
      </c>
      <c r="U111" s="958">
        <f ca="1">Q111</f>
        <v>0</v>
      </c>
      <c r="V111" s="418">
        <f ca="1">(V110+KTVTUGTTKMH!F16-O111-R111)*(1+LS!$F$12)</f>
        <v>-6275.1044399885905</v>
      </c>
    </row>
    <row r="112" spans="4:22" ht="9.75" customHeight="1">
      <c r="E112" s="329"/>
      <c r="F112" s="329"/>
      <c r="L112" s="957"/>
      <c r="M112" s="262">
        <v>110</v>
      </c>
      <c r="N112" s="263">
        <f ca="1">$J$12-T111</f>
        <v>5541.0058863298291</v>
      </c>
      <c r="O112" s="256">
        <f ca="1">KTVTD20namMH!F113</f>
        <v>60</v>
      </c>
      <c r="P112" s="451">
        <f ca="1">IF('Tinh phi QL'!$H$9="Nam",VLOOKUP(KTVTUCOI!$I$12,KTVTUCOI!$D$3:$F$103,2,0)*N112/1000/12,IF('Tinh phi QL'!$H$9="Nữ",VLOOKUP(KTVTUCOI!$I$12,KTVTUCOI!$D$3:$F$103,3,0)*N112/1000/12,0))</f>
        <v>0.93735349577079596</v>
      </c>
      <c r="Q112" s="957"/>
      <c r="R112" s="452">
        <f ca="1">IF('Tinh phi QL'!$H$9="Nam",VLOOKUP(KTVTUCOI!$I$12,KTVTUCOI!$D$3:$F$103,2,0)*S112/1000/12,IF('Tinh phi QL'!$H$9="Nữ",VLOOKUP(KTVTUCOI!$I$12,KTVTUCOI!$D$3:$F$103,3,0)*S112/1000/12,0))</f>
        <v>1.0615385010980698</v>
      </c>
      <c r="S112" s="451">
        <f ca="1">KTVTD20namMH!E113-V111</f>
        <v>6275.1044399885905</v>
      </c>
      <c r="T112" s="420">
        <f ca="1">(T111-O112-P112)*(1+LS!$E$12)</f>
        <v>-5608.8979835460887</v>
      </c>
      <c r="U112" s="958"/>
      <c r="V112" s="418">
        <f ca="1">(V111-O112-R112)*(1+LS!$F$12)</f>
        <v>-6359.9570916874854</v>
      </c>
    </row>
    <row r="113" spans="5:22" ht="9.75" customHeight="1">
      <c r="E113" s="329"/>
      <c r="F113" s="329"/>
      <c r="L113" s="957"/>
      <c r="M113" s="262">
        <v>111</v>
      </c>
      <c r="N113" s="263">
        <f t="shared" ref="N113:N122" ca="1" si="13">$J$12-T112</f>
        <v>5608.8979835460887</v>
      </c>
      <c r="O113" s="256">
        <f ca="1">KTVTD20namMH!F114</f>
        <v>60</v>
      </c>
      <c r="P113" s="451">
        <f ca="1">IF('Tinh phi QL'!$H$9="Nam",VLOOKUP(KTVTUCOI!$I$12,KTVTUCOI!$D$3:$F$103,2,0)*N113/1000/12,IF('Tinh phi QL'!$H$9="Nữ",VLOOKUP(KTVTUCOI!$I$12,KTVTUCOI!$D$3:$F$103,3,0)*N113/1000/12,0))</f>
        <v>0.94883857554987994</v>
      </c>
      <c r="Q113" s="957"/>
      <c r="R113" s="452">
        <f ca="1">IF('Tinh phi QL'!$H$9="Nam",VLOOKUP(KTVTUCOI!$I$12,KTVTUCOI!$D$3:$F$103,2,0)*S113/1000/12,IF('Tinh phi QL'!$H$9="Nữ",VLOOKUP(KTVTUCOI!$I$12,KTVTUCOI!$D$3:$F$103,3,0)*S113/1000/12,0))</f>
        <v>1.0758927413437995</v>
      </c>
      <c r="S113" s="451">
        <f ca="1">KTVTD20namMH!E114-V112</f>
        <v>6359.9570916874854</v>
      </c>
      <c r="T113" s="420">
        <f ca="1">(T112-O113-P113)*(1+LS!$E$12)</f>
        <v>-5676.8858673054519</v>
      </c>
      <c r="U113" s="958"/>
      <c r="V113" s="418">
        <f ca="1">(V112-O113-R113)*(1+LS!$F$12)</f>
        <v>-6445.1427572943039</v>
      </c>
    </row>
    <row r="114" spans="5:22" ht="9.75" customHeight="1">
      <c r="E114" s="329"/>
      <c r="F114" s="329"/>
      <c r="L114" s="957"/>
      <c r="M114" s="262">
        <v>112</v>
      </c>
      <c r="N114" s="263">
        <f t="shared" ca="1" si="13"/>
        <v>5676.8858673054519</v>
      </c>
      <c r="O114" s="256">
        <f ca="1">KTVTD20namMH!F115</f>
        <v>60</v>
      </c>
      <c r="P114" s="451">
        <f ca="1">IF('Tinh phi QL'!$H$9="Nam",VLOOKUP(KTVTUCOI!$I$12,KTVTUCOI!$D$3:$F$103,2,0)*N114/1000/12,IF('Tinh phi QL'!$H$9="Nữ",VLOOKUP(KTVTUCOI!$I$12,KTVTUCOI!$D$3:$F$103,3,0)*N114/1000/12,0))</f>
        <v>0.9603398592191722</v>
      </c>
      <c r="Q114" s="957"/>
      <c r="R114" s="452">
        <f ca="1">IF('Tinh phi QL'!$H$9="Nam",VLOOKUP(KTVTUCOI!$I$12,KTVTUCOI!$D$3:$F$103,2,0)*S114/1000/12,IF('Tinh phi QL'!$H$9="Nữ",VLOOKUP(KTVTUCOI!$I$12,KTVTUCOI!$D$3:$F$103,3,0)*S114/1000/12,0))</f>
        <v>1.0903033164422864</v>
      </c>
      <c r="S114" s="451">
        <f ca="1">KTVTD20namMH!E115-V113</f>
        <v>6445.1427572943039</v>
      </c>
      <c r="T114" s="420">
        <f ca="1">(T113-O114-P114)*(1+LS!$E$12)</f>
        <v>-5744.9696727497412</v>
      </c>
      <c r="U114" s="958"/>
      <c r="V114" s="418">
        <f ca="1">(V113-O114-R114)*(1+LS!$F$12)</f>
        <v>-6530.6627437601028</v>
      </c>
    </row>
    <row r="115" spans="5:22" ht="9.75" customHeight="1">
      <c r="E115" s="329"/>
      <c r="F115" s="329"/>
      <c r="L115" s="957"/>
      <c r="M115" s="262">
        <v>113</v>
      </c>
      <c r="N115" s="263">
        <f t="shared" ca="1" si="13"/>
        <v>5744.9696727497412</v>
      </c>
      <c r="O115" s="256">
        <f ca="1">KTVTD20namMH!F116</f>
        <v>60</v>
      </c>
      <c r="P115" s="451">
        <f ca="1">IF('Tinh phi QL'!$H$9="Nam",VLOOKUP(KTVTUCOI!$I$12,KTVTUCOI!$D$3:$F$103,2,0)*N115/1000/12,IF('Tinh phi QL'!$H$9="Nữ",VLOOKUP(KTVTUCOI!$I$12,KTVTUCOI!$D$3:$F$103,3,0)*N115/1000/12,0))</f>
        <v>0.97185736964016456</v>
      </c>
      <c r="Q115" s="957"/>
      <c r="R115" s="452">
        <f ca="1">IF('Tinh phi QL'!$H$9="Nam",VLOOKUP(KTVTUCOI!$I$12,KTVTUCOI!$D$3:$F$103,2,0)*S115/1000/12,IF('Tinh phi QL'!$H$9="Nữ",VLOOKUP(KTVTUCOI!$I$12,KTVTUCOI!$D$3:$F$103,3,0)*S115/1000/12,0))</f>
        <v>1.104770447486084</v>
      </c>
      <c r="S115" s="451">
        <f ca="1">KTVTD20namMH!E116-V114</f>
        <v>6530.6627437601028</v>
      </c>
      <c r="T115" s="420">
        <f ca="1">(T114-O115-P115)*(1+LS!$E$12)</f>
        <v>-5813.1495352114471</v>
      </c>
      <c r="U115" s="958"/>
      <c r="V115" s="418">
        <f ca="1">(V114-O115-R115)*(1+LS!$F$12)</f>
        <v>-6616.5183631652189</v>
      </c>
    </row>
    <row r="116" spans="5:22" ht="9.75" customHeight="1">
      <c r="E116" s="329"/>
      <c r="F116" s="329"/>
      <c r="L116" s="957"/>
      <c r="M116" s="262">
        <v>114</v>
      </c>
      <c r="N116" s="263">
        <f t="shared" ca="1" si="13"/>
        <v>5813.1495352114471</v>
      </c>
      <c r="O116" s="256">
        <f ca="1">KTVTD20namMH!F117</f>
        <v>60</v>
      </c>
      <c r="P116" s="451">
        <f ca="1">IF('Tinh phi QL'!$H$9="Nam",VLOOKUP(KTVTUCOI!$I$12,KTVTUCOI!$D$3:$F$103,2,0)*N116/1000/12,IF('Tinh phi QL'!$H$9="Nữ",VLOOKUP(KTVTUCOI!$I$12,KTVTUCOI!$D$3:$F$103,3,0)*N116/1000/12,0))</f>
        <v>0.98339112970660303</v>
      </c>
      <c r="Q116" s="957"/>
      <c r="R116" s="452">
        <f ca="1">IF('Tinh phi QL'!$H$9="Nam",VLOOKUP(KTVTUCOI!$I$12,KTVTUCOI!$D$3:$F$103,2,0)*S116/1000/12,IF('Tinh phi QL'!$H$9="Nữ",VLOOKUP(KTVTUCOI!$I$12,KTVTUCOI!$D$3:$F$103,3,0)*S116/1000/12,0))</f>
        <v>1.1192943564354494</v>
      </c>
      <c r="S116" s="451">
        <f ca="1">KTVTD20namMH!E117-V115</f>
        <v>6616.5183631652189</v>
      </c>
      <c r="T116" s="420">
        <f ca="1">(T115-O116-P116)*(1+LS!$E$12)</f>
        <v>-5881.4255902139967</v>
      </c>
      <c r="U116" s="958"/>
      <c r="V116" s="418">
        <f ca="1">(V115-O116-R116)*(1+LS!$F$12)</f>
        <v>-6702.7109327393973</v>
      </c>
    </row>
    <row r="117" spans="5:22" ht="9.75" customHeight="1">
      <c r="E117" s="329"/>
      <c r="F117" s="329"/>
      <c r="L117" s="957"/>
      <c r="M117" s="262">
        <v>115</v>
      </c>
      <c r="N117" s="263">
        <f t="shared" ca="1" si="13"/>
        <v>5881.4255902139967</v>
      </c>
      <c r="O117" s="256">
        <f ca="1">KTVTD20namMH!F118</f>
        <v>60</v>
      </c>
      <c r="P117" s="451">
        <f ca="1">IF('Tinh phi QL'!$H$9="Nam",VLOOKUP(KTVTUCOI!$I$12,KTVTUCOI!$D$3:$F$103,2,0)*N117/1000/12,IF('Tinh phi QL'!$H$9="Nữ",VLOOKUP(KTVTUCOI!$I$12,KTVTUCOI!$D$3:$F$103,3,0)*N117/1000/12,0))</f>
        <v>0.99494116234453445</v>
      </c>
      <c r="Q117" s="957"/>
      <c r="R117" s="452">
        <f ca="1">IF('Tinh phi QL'!$H$9="Nam",VLOOKUP(KTVTUCOI!$I$12,KTVTUCOI!$D$3:$F$103,2,0)*S117/1000/12,IF('Tinh phi QL'!$H$9="Nữ",VLOOKUP(KTVTUCOI!$I$12,KTVTUCOI!$D$3:$F$103,3,0)*S117/1000/12,0))</f>
        <v>1.1338752661217479</v>
      </c>
      <c r="S117" s="451">
        <f ca="1">KTVTD20namMH!E118-V116</f>
        <v>6702.7109327393973</v>
      </c>
      <c r="T117" s="420">
        <f ca="1">(T116-O117-P117)*(1+LS!$E$12)</f>
        <v>-5949.7979734720211</v>
      </c>
      <c r="U117" s="958"/>
      <c r="V117" s="418">
        <f ca="1">(V116-O117-R117)*(1+LS!$F$12)</f>
        <v>-6789.2417748819998</v>
      </c>
    </row>
    <row r="118" spans="5:22" ht="9.75" customHeight="1">
      <c r="E118" s="329"/>
      <c r="F118" s="329"/>
      <c r="L118" s="957"/>
      <c r="M118" s="262">
        <v>116</v>
      </c>
      <c r="N118" s="263">
        <f t="shared" ca="1" si="13"/>
        <v>5949.7979734720211</v>
      </c>
      <c r="O118" s="256">
        <f ca="1">KTVTD20namMH!F119</f>
        <v>60</v>
      </c>
      <c r="P118" s="451">
        <f ca="1">IF('Tinh phi QL'!$H$9="Nam",VLOOKUP(KTVTUCOI!$I$12,KTVTUCOI!$D$3:$F$103,2,0)*N118/1000/12,IF('Tinh phi QL'!$H$9="Nữ",VLOOKUP(KTVTUCOI!$I$12,KTVTUCOI!$D$3:$F$103,3,0)*N118/1000/12,0))</f>
        <v>1.0065074905123501</v>
      </c>
      <c r="Q118" s="957"/>
      <c r="R118" s="452">
        <f ca="1">IF('Tinh phi QL'!$H$9="Nam",VLOOKUP(KTVTUCOI!$I$12,KTVTUCOI!$D$3:$F$103,2,0)*S118/1000/12,IF('Tinh phi QL'!$H$9="Nữ",VLOOKUP(KTVTUCOI!$I$12,KTVTUCOI!$D$3:$F$103,3,0)*S118/1000/12,0))</f>
        <v>1.1485134002508715</v>
      </c>
      <c r="S118" s="451">
        <f ca="1">KTVTD20namMH!E119-V117</f>
        <v>6789.2417748819998</v>
      </c>
      <c r="T118" s="420">
        <f ca="1">(T117-O118-P118)*(1+LS!$E$12)</f>
        <v>-6018.2668208916266</v>
      </c>
      <c r="U118" s="958"/>
      <c r="V118" s="418">
        <f ca="1">(V117-O118-R118)*(1+LS!$F$12)</f>
        <v>-6876.1122171822981</v>
      </c>
    </row>
    <row r="119" spans="5:22" ht="9.75" customHeight="1">
      <c r="E119" s="329"/>
      <c r="F119" s="329"/>
      <c r="L119" s="957"/>
      <c r="M119" s="262">
        <v>117</v>
      </c>
      <c r="N119" s="263">
        <f t="shared" ca="1" si="13"/>
        <v>6018.2668208916266</v>
      </c>
      <c r="O119" s="256">
        <f ca="1">KTVTD20namMH!F120</f>
        <v>60</v>
      </c>
      <c r="P119" s="451">
        <f ca="1">IF('Tinh phi QL'!$H$9="Nam",VLOOKUP(KTVTUCOI!$I$12,KTVTUCOI!$D$3:$F$103,2,0)*N119/1000/12,IF('Tinh phi QL'!$H$9="Nữ",VLOOKUP(KTVTUCOI!$I$12,KTVTUCOI!$D$3:$F$103,3,0)*N119/1000/12,0))</f>
        <v>1.0180901372008335</v>
      </c>
      <c r="Q119" s="957"/>
      <c r="R119" s="452">
        <f ca="1">IF('Tinh phi QL'!$H$9="Nam",VLOOKUP(KTVTUCOI!$I$12,KTVTUCOI!$D$3:$F$103,2,0)*S119/1000/12,IF('Tinh phi QL'!$H$9="Nữ",VLOOKUP(KTVTUCOI!$I$12,KTVTUCOI!$D$3:$F$103,3,0)*S119/1000/12,0))</f>
        <v>1.1632089834066719</v>
      </c>
      <c r="S119" s="451">
        <f ca="1">KTVTD20namMH!E120-V118</f>
        <v>6876.1122171822981</v>
      </c>
      <c r="T119" s="420">
        <f ca="1">(T118-O119-P119)*(1+LS!$E$12)</f>
        <v>-6086.8322685706644</v>
      </c>
      <c r="U119" s="958"/>
      <c r="V119" s="418">
        <f ca="1">(V118-O119-R119)*(1+LS!$F$12)</f>
        <v>-6963.3235924398377</v>
      </c>
    </row>
    <row r="120" spans="5:22" ht="9.75" customHeight="1">
      <c r="E120" s="329"/>
      <c r="F120" s="329"/>
      <c r="L120" s="957"/>
      <c r="M120" s="262">
        <v>118</v>
      </c>
      <c r="N120" s="263">
        <f t="shared" ca="1" si="13"/>
        <v>6086.8322685706644</v>
      </c>
      <c r="O120" s="256">
        <f ca="1">KTVTD20namMH!F121</f>
        <v>60</v>
      </c>
      <c r="P120" s="451">
        <f ca="1">IF('Tinh phi QL'!$H$9="Nam",VLOOKUP(KTVTUCOI!$I$12,KTVTUCOI!$D$3:$F$103,2,0)*N120/1000/12,IF('Tinh phi QL'!$H$9="Nữ",VLOOKUP(KTVTUCOI!$I$12,KTVTUCOI!$D$3:$F$103,3,0)*N120/1000/12,0))</f>
        <v>1.0296891254332039</v>
      </c>
      <c r="Q120" s="957"/>
      <c r="R120" s="452">
        <f ca="1">IF('Tinh phi QL'!$H$9="Nam",VLOOKUP(KTVTUCOI!$I$12,KTVTUCOI!$D$3:$F$103,2,0)*S120/1000/12,IF('Tinh phi QL'!$H$9="Nữ",VLOOKUP(KTVTUCOI!$I$12,KTVTUCOI!$D$3:$F$103,3,0)*S120/1000/12,0))</f>
        <v>1.1779622410544059</v>
      </c>
      <c r="S120" s="451">
        <f ca="1">KTVTD20namMH!E121-V119</f>
        <v>6963.3235924398377</v>
      </c>
      <c r="T120" s="420">
        <f ca="1">(T119-O120-P120)*(1+LS!$E$12)</f>
        <v>-6155.4944527990028</v>
      </c>
      <c r="U120" s="958"/>
      <c r="V120" s="418">
        <f ca="1">(V119-O120-R120)*(1+LS!$F$12)</f>
        <v>-7050.8772386848877</v>
      </c>
    </row>
    <row r="121" spans="5:22" ht="9.75" customHeight="1">
      <c r="E121" s="329"/>
      <c r="F121" s="329"/>
      <c r="L121" s="957"/>
      <c r="M121" s="262">
        <v>119</v>
      </c>
      <c r="N121" s="263">
        <f t="shared" ca="1" si="13"/>
        <v>6155.4944527990028</v>
      </c>
      <c r="O121" s="256">
        <f ca="1">KTVTD20namMH!F122</f>
        <v>60</v>
      </c>
      <c r="P121" s="451">
        <f ca="1">IF('Tinh phi QL'!$H$9="Nam",VLOOKUP(KTVTUCOI!$I$12,KTVTUCOI!$D$3:$F$103,2,0)*N121/1000/12,IF('Tinh phi QL'!$H$9="Nữ",VLOOKUP(KTVTUCOI!$I$12,KTVTUCOI!$D$3:$F$103,3,0)*N121/1000/12,0))</f>
        <v>1.0413044782651646</v>
      </c>
      <c r="Q121" s="957"/>
      <c r="R121" s="452">
        <f ca="1">IF('Tinh phi QL'!$H$9="Nam",VLOOKUP(KTVTUCOI!$I$12,KTVTUCOI!$D$3:$F$103,2,0)*S121/1000/12,IF('Tinh phi QL'!$H$9="Nữ",VLOOKUP(KTVTUCOI!$I$12,KTVTUCOI!$D$3:$F$103,3,0)*S121/1000/12,0))</f>
        <v>1.1927733995441934</v>
      </c>
      <c r="S121" s="451">
        <f ca="1">KTVTD20namMH!E122-V120</f>
        <v>7050.8772386848877</v>
      </c>
      <c r="T121" s="420">
        <f ca="1">(T120-O121-P121)*(1+LS!$E$12)</f>
        <v>-6224.2535100587957</v>
      </c>
      <c r="U121" s="958"/>
      <c r="V121" s="418">
        <f ca="1">(V120-O121-R121)*(1+LS!$F$12)</f>
        <v>-7138.7744991989712</v>
      </c>
    </row>
    <row r="122" spans="5:22" ht="9.75" customHeight="1">
      <c r="E122" s="329"/>
      <c r="F122" s="329"/>
      <c r="L122" s="957"/>
      <c r="M122" s="262">
        <v>120</v>
      </c>
      <c r="N122" s="263">
        <f t="shared" ca="1" si="13"/>
        <v>6224.2535100587957</v>
      </c>
      <c r="O122" s="256">
        <f ca="1">KTVTD20namMH!F123</f>
        <v>60</v>
      </c>
      <c r="P122" s="451">
        <f ca="1">IF('Tinh phi QL'!$H$9="Nam",VLOOKUP(KTVTUCOI!$I$12,KTVTUCOI!$D$3:$F$103,2,0)*N122/1000/12,IF('Tinh phi QL'!$H$9="Nữ",VLOOKUP(KTVTUCOI!$I$12,KTVTUCOI!$D$3:$F$103,3,0)*N122/1000/12,0))</f>
        <v>1.0529362187849463</v>
      </c>
      <c r="Q122" s="957"/>
      <c r="R122" s="452">
        <f ca="1">IF('Tinh phi QL'!$H$9="Nam",VLOOKUP(KTVTUCOI!$I$12,KTVTUCOI!$D$3:$F$103,2,0)*S122/1000/12,IF('Tinh phi QL'!$H$9="Nữ",VLOOKUP(KTVTUCOI!$I$12,KTVTUCOI!$D$3:$F$103,3,0)*S122/1000/12,0))</f>
        <v>1.2076426861144924</v>
      </c>
      <c r="S122" s="451">
        <f ca="1">KTVTD20namMH!E123-V121</f>
        <v>7138.7744991989712</v>
      </c>
      <c r="T122" s="421">
        <f ca="1">(T121-O122-P122)*(1+LS!$E$12)+Q111</f>
        <v>-6293.1095770247539</v>
      </c>
      <c r="U122" s="958"/>
      <c r="V122" s="419">
        <f ca="1">(V121-O122-R122)*(1+LS!$F$12)+U111</f>
        <v>-7227.0167225354708</v>
      </c>
    </row>
    <row r="123" spans="5:22" ht="9.75" customHeight="1">
      <c r="E123" s="329"/>
      <c r="F123" s="329"/>
      <c r="L123" s="959">
        <f>L111+1</f>
        <v>11</v>
      </c>
      <c r="M123" s="252">
        <v>121</v>
      </c>
      <c r="N123" s="256">
        <f ca="1">$J$13-T122-KTVTDGTTKcamket!F17</f>
        <v>6293.1095770247539</v>
      </c>
      <c r="O123" s="256">
        <f ca="1">KTVTD20namMH!F124</f>
        <v>60</v>
      </c>
      <c r="P123" s="452">
        <f ca="1">IF('Tinh phi QL'!$H$9="Nam",VLOOKUP(KTVTUCOI!$I$13,KTVTUCOI!$D$3:$F$103,2,0)*N123/1000/12,IF('Tinh phi QL'!$H$9="Nữ",VLOOKUP(KTVTUCOI!$I$13,KTVTUCOI!$D$3:$F$103,3,0)*N123/1000/12,0))</f>
        <v>1.1589810137687255</v>
      </c>
      <c r="Q123" s="957"/>
      <c r="R123" s="452">
        <f ca="1">IF('Tinh phi QL'!$H$9="Nam",VLOOKUP(KTVTUCOI!$I$13,KTVTUCOI!$D$3:$F$103,2,0)*S123/1000/12,IF('Tinh phi QL'!$H$9="Nữ",VLOOKUP(KTVTUCOI!$I$13,KTVTUCOI!$D$3:$F$103,3,0)*S123/1000/12,0))</f>
        <v>1.3309755797336158</v>
      </c>
      <c r="S123" s="452">
        <f ca="1">KTVTD20namMH!E124-V122-KTVTDGTTKMH!F17</f>
        <v>7227.0167225354708</v>
      </c>
      <c r="T123" s="418">
        <f ca="1">(T122+KTVTDGTTKcamket!F17-O123-P123)*(1+LS!$E$13)</f>
        <v>-6359.5396659962071</v>
      </c>
      <c r="U123" s="958">
        <f>Q123</f>
        <v>0</v>
      </c>
      <c r="V123" s="418">
        <f ca="1">(V122+KTVTUGTTKMH!F17-O123-R123)*(1+LS!$F$13)</f>
        <v>-7315.7140748325155</v>
      </c>
    </row>
    <row r="124" spans="5:22" ht="9.75" customHeight="1">
      <c r="E124" s="329"/>
      <c r="F124" s="329"/>
      <c r="L124" s="959"/>
      <c r="M124" s="252">
        <v>122</v>
      </c>
      <c r="N124" s="256">
        <f ca="1">$J$13-T123</f>
        <v>6359.5396659962071</v>
      </c>
      <c r="O124" s="256">
        <f ca="1">KTVTD20namMH!F125</f>
        <v>60</v>
      </c>
      <c r="P124" s="452">
        <f ca="1">IF('Tinh phi QL'!$H$9="Nam",VLOOKUP(KTVTUCOI!$I$13,KTVTUCOI!$D$3:$F$103,2,0)*N124/1000/12,IF('Tinh phi QL'!$H$9="Nữ",VLOOKUP(KTVTUCOI!$I$13,KTVTUCOI!$D$3:$F$103,3,0)*N124/1000/12,0))</f>
        <v>1.1712152218209682</v>
      </c>
      <c r="Q124" s="957"/>
      <c r="R124" s="452">
        <f ca="1">IF('Tinh phi QL'!$H$9="Nam",VLOOKUP(KTVTUCOI!$I$13,KTVTUCOI!$D$3:$F$103,2,0)*S124/1000/12,IF('Tinh phi QL'!$H$9="Nữ",VLOOKUP(KTVTUCOI!$I$13,KTVTUCOI!$D$3:$F$103,3,0)*S124/1000/12,0))</f>
        <v>1.3473106754483215</v>
      </c>
      <c r="S124" s="452">
        <f ca="1">KTVTD20namMH!E125-V123</f>
        <v>7315.7140748325155</v>
      </c>
      <c r="T124" s="418">
        <f ca="1">(T123-O124-P124)*(1+LS!$E$13)</f>
        <v>-6426.0371056151953</v>
      </c>
      <c r="U124" s="958"/>
      <c r="V124" s="418">
        <f ca="1">(V123-O124-R124)*(1+LS!$F$13)</f>
        <v>-7404.7608654593323</v>
      </c>
    </row>
    <row r="125" spans="5:22" ht="9.75" customHeight="1">
      <c r="E125" s="329"/>
      <c r="F125" s="329"/>
      <c r="L125" s="959"/>
      <c r="M125" s="252">
        <v>123</v>
      </c>
      <c r="N125" s="256">
        <f t="shared" ref="N125:N134" ca="1" si="14">$J$13-T124</f>
        <v>6426.0371056151953</v>
      </c>
      <c r="O125" s="256">
        <f ca="1">KTVTD20namMH!F126</f>
        <v>60</v>
      </c>
      <c r="P125" s="452">
        <f ca="1">IF('Tinh phi QL'!$H$9="Nam",VLOOKUP(KTVTUCOI!$I$13,KTVTUCOI!$D$3:$F$103,2,0)*N125/1000/12,IF('Tinh phi QL'!$H$9="Nữ",VLOOKUP(KTVTUCOI!$I$13,KTVTUCOI!$D$3:$F$103,3,0)*N125/1000/12,0))</f>
        <v>1.1834618336174649</v>
      </c>
      <c r="Q125" s="957"/>
      <c r="R125" s="452">
        <f ca="1">IF('Tinh phi QL'!$H$9="Nam",VLOOKUP(KTVTUCOI!$I$13,KTVTUCOI!$D$3:$F$103,2,0)*S125/1000/12,IF('Tinh phi QL'!$H$9="Nữ",VLOOKUP(KTVTUCOI!$I$13,KTVTUCOI!$D$3:$F$103,3,0)*S125/1000/12,0))</f>
        <v>1.363710126055427</v>
      </c>
      <c r="S125" s="452">
        <f ca="1">KTVTD20namMH!E126-V124</f>
        <v>7404.7608654593323</v>
      </c>
      <c r="T125" s="418">
        <f ca="1">(T124-O125-P125)*(1+LS!$E$13)</f>
        <v>-6492.6019641656821</v>
      </c>
      <c r="U125" s="958"/>
      <c r="V125" s="418">
        <f ca="1">(V124-O125-R125)*(1+LS!$F$13)</f>
        <v>-7494.1584710877505</v>
      </c>
    </row>
    <row r="126" spans="5:22" ht="9.75" customHeight="1">
      <c r="E126" s="329"/>
      <c r="F126" s="329"/>
      <c r="L126" s="959"/>
      <c r="M126" s="252">
        <v>124</v>
      </c>
      <c r="N126" s="256">
        <f t="shared" ca="1" si="14"/>
        <v>6492.6019641656821</v>
      </c>
      <c r="O126" s="256">
        <f ca="1">KTVTD20namMH!F127</f>
        <v>60</v>
      </c>
      <c r="P126" s="452">
        <f ca="1">IF('Tinh phi QL'!$H$9="Nam",VLOOKUP(KTVTUCOI!$I$13,KTVTUCOI!$D$3:$F$103,2,0)*N126/1000/12,IF('Tinh phi QL'!$H$9="Nữ",VLOOKUP(KTVTUCOI!$I$13,KTVTUCOI!$D$3:$F$103,3,0)*N126/1000/12,0))</f>
        <v>1.1957208617338464</v>
      </c>
      <c r="Q126" s="957"/>
      <c r="R126" s="452">
        <f ca="1">IF('Tinh phi QL'!$H$9="Nam",VLOOKUP(KTVTUCOI!$I$13,KTVTUCOI!$D$3:$F$103,2,0)*S126/1000/12,IF('Tinh phi QL'!$H$9="Nữ",VLOOKUP(KTVTUCOI!$I$13,KTVTUCOI!$D$3:$F$103,3,0)*S126/1000/12,0))</f>
        <v>1.3801741850919942</v>
      </c>
      <c r="S126" s="452">
        <f ca="1">KTVTD20namMH!E127-V125</f>
        <v>7494.1584710877505</v>
      </c>
      <c r="T126" s="418">
        <f ca="1">(T125-O126-P126)*(1+LS!$E$13)</f>
        <v>-6559.2343100008602</v>
      </c>
      <c r="U126" s="958"/>
      <c r="V126" s="418">
        <f ca="1">(V125-O126-R126)*(1+LS!$F$13)</f>
        <v>-7583.9082738132338</v>
      </c>
    </row>
    <row r="127" spans="5:22" ht="9.75" customHeight="1">
      <c r="E127" s="329"/>
      <c r="F127" s="329"/>
      <c r="L127" s="959"/>
      <c r="M127" s="252">
        <v>125</v>
      </c>
      <c r="N127" s="256">
        <f t="shared" ca="1" si="14"/>
        <v>6559.2343100008602</v>
      </c>
      <c r="O127" s="256">
        <f ca="1">KTVTD20namMH!F128</f>
        <v>60</v>
      </c>
      <c r="P127" s="452">
        <f ca="1">IF('Tinh phi QL'!$H$9="Nam",VLOOKUP(KTVTUCOI!$I$13,KTVTUCOI!$D$3:$F$103,2,0)*N127/1000/12,IF('Tinh phi QL'!$H$9="Nữ",VLOOKUP(KTVTUCOI!$I$13,KTVTUCOI!$D$3:$F$103,3,0)*N127/1000/12,0))</f>
        <v>1.2079923187584918</v>
      </c>
      <c r="Q127" s="957"/>
      <c r="R127" s="452">
        <f ca="1">IF('Tinh phi QL'!$H$9="Nam",VLOOKUP(KTVTUCOI!$I$13,KTVTUCOI!$D$3:$F$103,2,0)*S127/1000/12,IF('Tinh phi QL'!$H$9="Nữ",VLOOKUP(KTVTUCOI!$I$13,KTVTUCOI!$D$3:$F$103,3,0)*S127/1000/12,0))</f>
        <v>1.3967031070939371</v>
      </c>
      <c r="S127" s="452">
        <f ca="1">KTVTD20namMH!E128-V126</f>
        <v>7583.9082738132338</v>
      </c>
      <c r="T127" s="418">
        <f ca="1">(T126-O127-P127)*(1+LS!$E$13)</f>
        <v>-6625.9342115432228</v>
      </c>
      <c r="U127" s="958"/>
      <c r="V127" s="418">
        <f ca="1">(V126-O127-R127)*(1+LS!$F$13)</f>
        <v>-7674.011661176246</v>
      </c>
    </row>
    <row r="128" spans="5:22" ht="9.75" customHeight="1">
      <c r="E128" s="329"/>
      <c r="F128" s="329"/>
      <c r="L128" s="959"/>
      <c r="M128" s="252">
        <v>126</v>
      </c>
      <c r="N128" s="256">
        <f t="shared" ca="1" si="14"/>
        <v>6625.9342115432228</v>
      </c>
      <c r="O128" s="256">
        <f ca="1">KTVTD20namMH!F129</f>
        <v>60</v>
      </c>
      <c r="P128" s="452">
        <f ca="1">IF('Tinh phi QL'!$H$9="Nam",VLOOKUP(KTVTUCOI!$I$13,KTVTUCOI!$D$3:$F$103,2,0)*N128/1000/12,IF('Tinh phi QL'!$H$9="Nữ",VLOOKUP(KTVTUCOI!$I$13,KTVTUCOI!$D$3:$F$103,3,0)*N128/1000/12,0))</f>
        <v>1.2202762172925434</v>
      </c>
      <c r="Q128" s="957"/>
      <c r="R128" s="452">
        <f ca="1">IF('Tinh phi QL'!$H$9="Nam",VLOOKUP(KTVTUCOI!$I$13,KTVTUCOI!$D$3:$F$103,2,0)*S128/1000/12,IF('Tinh phi QL'!$H$9="Nữ",VLOOKUP(KTVTUCOI!$I$13,KTVTUCOI!$D$3:$F$103,3,0)*S128/1000/12,0))</f>
        <v>1.4132971475999587</v>
      </c>
      <c r="S128" s="452">
        <f ca="1">KTVTD20namMH!E129-V127</f>
        <v>7674.011661176246</v>
      </c>
      <c r="T128" s="418">
        <f ca="1">(T127-O128-P128)*(1+LS!$E$13)</f>
        <v>-6692.701737284634</v>
      </c>
      <c r="U128" s="958"/>
      <c r="V128" s="418">
        <f ca="1">(V127-O128-R128)*(1+LS!$F$13)</f>
        <v>-7764.4700261837024</v>
      </c>
    </row>
    <row r="129" spans="5:22" ht="9.75" customHeight="1">
      <c r="E129" s="329"/>
      <c r="F129" s="329"/>
      <c r="L129" s="959"/>
      <c r="M129" s="252">
        <v>127</v>
      </c>
      <c r="N129" s="256">
        <f t="shared" ca="1" si="14"/>
        <v>6692.701737284634</v>
      </c>
      <c r="O129" s="256">
        <f ca="1">KTVTD20namMH!F130</f>
        <v>60</v>
      </c>
      <c r="P129" s="452">
        <f ca="1">IF('Tinh phi QL'!$H$9="Nam",VLOOKUP(KTVTUCOI!$I$13,KTVTUCOI!$D$3:$F$103,2,0)*N129/1000/12,IF('Tinh phi QL'!$H$9="Nữ",VLOOKUP(KTVTUCOI!$I$13,KTVTUCOI!$D$3:$F$103,3,0)*N129/1000/12,0))</f>
        <v>1.2325725699499201</v>
      </c>
      <c r="Q129" s="957"/>
      <c r="R129" s="452">
        <f ca="1">IF('Tinh phi QL'!$H$9="Nam",VLOOKUP(KTVTUCOI!$I$13,KTVTUCOI!$D$3:$F$103,2,0)*S129/1000/12,IF('Tinh phi QL'!$H$9="Nữ",VLOOKUP(KTVTUCOI!$I$13,KTVTUCOI!$D$3:$F$103,3,0)*S129/1000/12,0))</f>
        <v>1.4299565631554987</v>
      </c>
      <c r="S129" s="452">
        <f ca="1">KTVTD20namMH!E130-V128</f>
        <v>7764.4700261837024</v>
      </c>
      <c r="T129" s="418">
        <f ca="1">(T128-O129-P129)*(1+LS!$E$13)</f>
        <v>-6759.5369557863987</v>
      </c>
      <c r="U129" s="958"/>
      <c r="V129" s="418">
        <f ca="1">(V128-O129-R129)*(1+LS!$F$13)</f>
        <v>-7855.2847673305068</v>
      </c>
    </row>
    <row r="130" spans="5:22" ht="9.75" customHeight="1">
      <c r="E130" s="329"/>
      <c r="F130" s="329"/>
      <c r="L130" s="959"/>
      <c r="M130" s="252">
        <v>128</v>
      </c>
      <c r="N130" s="256">
        <f t="shared" ca="1" si="14"/>
        <v>6759.5369557863987</v>
      </c>
      <c r="O130" s="256">
        <f ca="1">KTVTD20namMH!F131</f>
        <v>60</v>
      </c>
      <c r="P130" s="452">
        <f ca="1">IF('Tinh phi QL'!$H$9="Nam",VLOOKUP(KTVTUCOI!$I$13,KTVTUCOI!$D$3:$F$103,2,0)*N130/1000/12,IF('Tinh phi QL'!$H$9="Nữ",VLOOKUP(KTVTUCOI!$I$13,KTVTUCOI!$D$3:$F$103,3,0)*N130/1000/12,0))</f>
        <v>1.2448813893573285</v>
      </c>
      <c r="Q130" s="957"/>
      <c r="R130" s="452">
        <f ca="1">IF('Tinh phi QL'!$H$9="Nam",VLOOKUP(KTVTUCOI!$I$13,KTVTUCOI!$D$3:$F$103,2,0)*S130/1000/12,IF('Tinh phi QL'!$H$9="Nữ",VLOOKUP(KTVTUCOI!$I$13,KTVTUCOI!$D$3:$F$103,3,0)*S130/1000/12,0))</f>
        <v>1.4466816113167018</v>
      </c>
      <c r="S130" s="452">
        <f ca="1">KTVTD20namMH!E131-V129</f>
        <v>7855.2847673305068</v>
      </c>
      <c r="T130" s="418">
        <f ca="1">(T129-O130-P130)*(1+LS!$E$13)</f>
        <v>-6826.4399356793328</v>
      </c>
      <c r="U130" s="958"/>
      <c r="V130" s="418">
        <f ca="1">(V129-O130-R130)*(1+LS!$F$13)</f>
        <v>-7946.4572886211727</v>
      </c>
    </row>
    <row r="131" spans="5:22" ht="9.75" customHeight="1">
      <c r="E131" s="329"/>
      <c r="F131" s="329"/>
      <c r="L131" s="959"/>
      <c r="M131" s="252">
        <v>129</v>
      </c>
      <c r="N131" s="256">
        <f t="shared" ca="1" si="14"/>
        <v>6826.4399356793328</v>
      </c>
      <c r="O131" s="256">
        <f ca="1">KTVTD20namMH!F132</f>
        <v>60</v>
      </c>
      <c r="P131" s="452">
        <f ca="1">IF('Tinh phi QL'!$H$9="Nam",VLOOKUP(KTVTUCOI!$I$13,KTVTUCOI!$D$3:$F$103,2,0)*N131/1000/12,IF('Tinh phi QL'!$H$9="Nữ",VLOOKUP(KTVTUCOI!$I$13,KTVTUCOI!$D$3:$F$103,3,0)*N131/1000/12,0))</f>
        <v>1.2572026881542773</v>
      </c>
      <c r="Q131" s="957"/>
      <c r="R131" s="452">
        <f ca="1">IF('Tinh phi QL'!$H$9="Nam",VLOOKUP(KTVTUCOI!$I$13,KTVTUCOI!$D$3:$F$103,2,0)*S131/1000/12,IF('Tinh phi QL'!$H$9="Nữ",VLOOKUP(KTVTUCOI!$I$13,KTVTUCOI!$D$3:$F$103,3,0)*S131/1000/12,0))</f>
        <v>1.4634725506543991</v>
      </c>
      <c r="S131" s="452">
        <f ca="1">KTVTD20namMH!E132-V130</f>
        <v>7946.4572886211727</v>
      </c>
      <c r="T131" s="418">
        <f ca="1">(T130-O131-P131)*(1+LS!$E$13)</f>
        <v>-6893.4107456638358</v>
      </c>
      <c r="U131" s="958"/>
      <c r="V131" s="418">
        <f ca="1">(V130-O131-R131)*(1+LS!$F$13)</f>
        <v>-8037.9889995915282</v>
      </c>
    </row>
    <row r="132" spans="5:22" ht="9.75" customHeight="1">
      <c r="E132" s="329"/>
      <c r="F132" s="329"/>
      <c r="L132" s="959"/>
      <c r="M132" s="252">
        <v>130</v>
      </c>
      <c r="N132" s="256">
        <f t="shared" ca="1" si="14"/>
        <v>6893.4107456638358</v>
      </c>
      <c r="O132" s="256">
        <f ca="1">KTVTD20namMH!F133</f>
        <v>60</v>
      </c>
      <c r="P132" s="452">
        <f ca="1">IF('Tinh phi QL'!$H$9="Nam",VLOOKUP(KTVTUCOI!$I$13,KTVTUCOI!$D$3:$F$103,2,0)*N132/1000/12,IF('Tinh phi QL'!$H$9="Nữ",VLOOKUP(KTVTUCOI!$I$13,KTVTUCOI!$D$3:$F$103,3,0)*N132/1000/12,0))</f>
        <v>1.2695364789930896</v>
      </c>
      <c r="Q132" s="957"/>
      <c r="R132" s="452">
        <f ca="1">IF('Tinh phi QL'!$H$9="Nam",VLOOKUP(KTVTUCOI!$I$13,KTVTUCOI!$D$3:$F$103,2,0)*S132/1000/12,IF('Tinh phi QL'!$H$9="Nữ",VLOOKUP(KTVTUCOI!$I$13,KTVTUCOI!$D$3:$F$103,3,0)*S132/1000/12,0))</f>
        <v>1.4803296407581066</v>
      </c>
      <c r="S132" s="452">
        <f ca="1">KTVTD20namMH!E133-V131</f>
        <v>8037.9889995915282</v>
      </c>
      <c r="T132" s="418">
        <f ca="1">(T131-O132-P132)*(1+LS!$E$13)</f>
        <v>-6960.4494545099587</v>
      </c>
      <c r="U132" s="958"/>
      <c r="V132" s="418">
        <f ca="1">(V131-O132-R132)*(1+LS!$F$13)</f>
        <v>-8129.8813153305073</v>
      </c>
    </row>
    <row r="133" spans="5:22" ht="9.75" customHeight="1">
      <c r="E133" s="329"/>
      <c r="F133" s="329"/>
      <c r="L133" s="959"/>
      <c r="M133" s="252">
        <v>131</v>
      </c>
      <c r="N133" s="256">
        <f t="shared" ca="1" si="14"/>
        <v>6960.4494545099587</v>
      </c>
      <c r="O133" s="256">
        <f ca="1">KTVTD20namMH!F134</f>
        <v>60</v>
      </c>
      <c r="P133" s="452">
        <f ca="1">IF('Tinh phi QL'!$H$9="Nam",VLOOKUP(KTVTUCOI!$I$13,KTVTUCOI!$D$3:$F$103,2,0)*N133/1000/12,IF('Tinh phi QL'!$H$9="Nữ",VLOOKUP(KTVTUCOI!$I$13,KTVTUCOI!$D$3:$F$103,3,0)*N133/1000/12,0))</f>
        <v>1.2818827745389174</v>
      </c>
      <c r="Q133" s="957"/>
      <c r="R133" s="452">
        <f ca="1">IF('Tinh phi QL'!$H$9="Nam",VLOOKUP(KTVTUCOI!$I$13,KTVTUCOI!$D$3:$F$103,2,0)*S133/1000/12,IF('Tinh phi QL'!$H$9="Nữ",VLOOKUP(KTVTUCOI!$I$13,KTVTUCOI!$D$3:$F$103,3,0)*S133/1000/12,0))</f>
        <v>1.4972531422400348</v>
      </c>
      <c r="S133" s="452">
        <f ca="1">KTVTD20namMH!E134-V132</f>
        <v>8129.8813153305073</v>
      </c>
      <c r="T133" s="418">
        <f ca="1">(T132-O133-P133)*(1+LS!$E$13)</f>
        <v>-7027.556131057474</v>
      </c>
      <c r="U133" s="958"/>
      <c r="V133" s="418">
        <f ca="1">(V132-O133-R133)*(1+LS!$F$13)</f>
        <v>-8222.1356565020287</v>
      </c>
    </row>
    <row r="134" spans="5:22" ht="9.75" customHeight="1">
      <c r="E134" s="329"/>
      <c r="F134" s="329"/>
      <c r="L134" s="959"/>
      <c r="M134" s="252">
        <v>132</v>
      </c>
      <c r="N134" s="256">
        <f t="shared" ca="1" si="14"/>
        <v>7027.556131057474</v>
      </c>
      <c r="O134" s="256">
        <f ca="1">KTVTD20namMH!F135</f>
        <v>60</v>
      </c>
      <c r="P134" s="452">
        <f ca="1">IF('Tinh phi QL'!$H$9="Nam",VLOOKUP(KTVTUCOI!$I$13,KTVTUCOI!$D$3:$F$103,2,0)*N134/1000/12,IF('Tinh phi QL'!$H$9="Nữ",VLOOKUP(KTVTUCOI!$I$13,KTVTUCOI!$D$3:$F$103,3,0)*N134/1000/12,0))</f>
        <v>1.2942415874697515</v>
      </c>
      <c r="Q134" s="957"/>
      <c r="R134" s="452">
        <f ca="1">IF('Tinh phi QL'!$H$9="Nam",VLOOKUP(KTVTUCOI!$I$13,KTVTUCOI!$D$3:$F$103,2,0)*S134/1000/12,IF('Tinh phi QL'!$H$9="Nữ",VLOOKUP(KTVTUCOI!$I$13,KTVTUCOI!$D$3:$F$103,3,0)*S134/1000/12,0))</f>
        <v>1.5142433167391236</v>
      </c>
      <c r="S134" s="452">
        <f ca="1">KTVTD20namMH!E135-V133</f>
        <v>8222.1356565020287</v>
      </c>
      <c r="T134" s="419">
        <f ca="1">(T133-O134-P134)*(1+LS!$E$13)</f>
        <v>-7094.7308442159492</v>
      </c>
      <c r="U134" s="958"/>
      <c r="V134" s="419">
        <f ca="1">(V133-O134-R134)*(1+LS!$F$13)</f>
        <v>-8314.7534493669573</v>
      </c>
    </row>
    <row r="135" spans="5:22" ht="9.75" customHeight="1">
      <c r="E135" s="329"/>
      <c r="F135" s="329"/>
      <c r="L135" s="957">
        <f>L123+1</f>
        <v>12</v>
      </c>
      <c r="M135" s="262">
        <v>133</v>
      </c>
      <c r="N135" s="263">
        <f ca="1">$J$14-T134-KTVTDGTTKcamket!F18</f>
        <v>7094.7308442159492</v>
      </c>
      <c r="O135" s="256">
        <f ca="1">KTVTD20namMH!F136</f>
        <v>60</v>
      </c>
      <c r="P135" s="451">
        <f ca="1">IF('Tinh phi QL'!$H$9="Nam",VLOOKUP(KTVTUCOI!$I$14,KTVTUCOI!$D$3:$F$103,2,0)*N135/1000/12,IF('Tinh phi QL'!$H$9="Nữ",VLOOKUP(KTVTUCOI!$I$14,KTVTUCOI!$D$3:$F$103,3,0)*N135/1000/12,0))</f>
        <v>1.4130338931396766</v>
      </c>
      <c r="Q135" s="957"/>
      <c r="R135" s="452">
        <f ca="1">IF('Tinh phi QL'!$H$9="Nam",VLOOKUP(KTVTUCOI!$I$14,KTVTUCOI!$D$3:$F$103,2,0)*S135/1000/12,IF('Tinh phi QL'!$H$9="Nữ",VLOOKUP(KTVTUCOI!$I$14,KTVTUCOI!$D$3:$F$103,3,0)*S135/1000/12,0))</f>
        <v>1.6560217286655858</v>
      </c>
      <c r="S135" s="451">
        <f ca="1">KTVTD20namMH!E136-V134-KTVTDGTTKMH!F18</f>
        <v>8314.7534493669573</v>
      </c>
      <c r="T135" s="420">
        <f ca="1">(T134+KTVTDGTTKcamket!F18-O135-P135)*(1+LS!$E$14)</f>
        <v>-7162.0801722077258</v>
      </c>
      <c r="U135" s="958">
        <f>Q135</f>
        <v>0</v>
      </c>
      <c r="V135" s="418">
        <f ca="1">(V134+KTVTUGTTKMH!F18-O135-R135)*(1+LS!$F$14)</f>
        <v>-8407.8613154119612</v>
      </c>
    </row>
    <row r="136" spans="5:22" ht="9.75" customHeight="1">
      <c r="E136" s="329"/>
      <c r="F136" s="329"/>
      <c r="L136" s="957"/>
      <c r="M136" s="262">
        <v>134</v>
      </c>
      <c r="N136" s="263">
        <f ca="1">$J$14-T135</f>
        <v>7162.0801722077258</v>
      </c>
      <c r="O136" s="256">
        <f ca="1">KTVTD20namMH!F137</f>
        <v>60</v>
      </c>
      <c r="P136" s="451">
        <f ca="1">IF('Tinh phi QL'!$H$9="Nam",VLOOKUP(KTVTUCOI!$I$14,KTVTUCOI!$D$3:$F$103,2,0)*N136/1000/12,IF('Tinh phi QL'!$H$9="Nữ",VLOOKUP(KTVTUCOI!$I$14,KTVTUCOI!$D$3:$F$103,3,0)*N136/1000/12,0))</f>
        <v>1.4264476342980388</v>
      </c>
      <c r="Q136" s="957"/>
      <c r="R136" s="452">
        <f ca="1">IF('Tinh phi QL'!$H$9="Nam",VLOOKUP(KTVTUCOI!$I$14,KTVTUCOI!$D$3:$F$103,2,0)*S136/1000/12,IF('Tinh phi QL'!$H$9="Nữ",VLOOKUP(KTVTUCOI!$I$14,KTVTUCOI!$D$3:$F$103,3,0)*S136/1000/12,0))</f>
        <v>1.6745657119862158</v>
      </c>
      <c r="S136" s="451">
        <f ca="1">KTVTD20namMH!E137-V135</f>
        <v>8407.8613154119612</v>
      </c>
      <c r="T136" s="420">
        <f ca="1">(T135-O136-P136)*(1+LS!$E$14)</f>
        <v>-7229.498793902414</v>
      </c>
      <c r="U136" s="958"/>
      <c r="V136" s="418">
        <f ca="1">(V135-O136-R136)*(1+LS!$F$14)</f>
        <v>-8501.3373976190469</v>
      </c>
    </row>
    <row r="137" spans="5:22" ht="9.75" customHeight="1">
      <c r="E137" s="329"/>
      <c r="F137" s="329"/>
      <c r="L137" s="957"/>
      <c r="M137" s="262">
        <v>135</v>
      </c>
      <c r="N137" s="263">
        <f t="shared" ref="N137:N146" ca="1" si="15">$J$14-T136</f>
        <v>7229.498793902414</v>
      </c>
      <c r="O137" s="256">
        <f ca="1">KTVTD20namMH!F138</f>
        <v>60</v>
      </c>
      <c r="P137" s="451">
        <f ca="1">IF('Tinh phi QL'!$H$9="Nam",VLOOKUP(KTVTUCOI!$I$14,KTVTUCOI!$D$3:$F$103,2,0)*N137/1000/12,IF('Tinh phi QL'!$H$9="Nữ",VLOOKUP(KTVTUCOI!$I$14,KTVTUCOI!$D$3:$F$103,3,0)*N137/1000/12,0))</f>
        <v>1.4398751764522311</v>
      </c>
      <c r="Q137" s="957"/>
      <c r="R137" s="452">
        <f ca="1">IF('Tinh phi QL'!$H$9="Nam",VLOOKUP(KTVTUCOI!$I$14,KTVTUCOI!$D$3:$F$103,2,0)*S137/1000/12,IF('Tinh phi QL'!$H$9="Nữ",VLOOKUP(KTVTUCOI!$I$14,KTVTUCOI!$D$3:$F$103,3,0)*S137/1000/12,0))</f>
        <v>1.6931830316924603</v>
      </c>
      <c r="S137" s="451">
        <f ca="1">KTVTD20namMH!E138-V136</f>
        <v>8501.3373976190469</v>
      </c>
      <c r="T137" s="420">
        <f ca="1">(T136-O137-P137)*(1+LS!$E$14)</f>
        <v>-7296.9867805942276</v>
      </c>
      <c r="U137" s="958"/>
      <c r="V137" s="418">
        <f ca="1">(V136-O137-R137)*(1+LS!$F$14)</f>
        <v>-8595.1831521824934</v>
      </c>
    </row>
    <row r="138" spans="5:22" ht="9.75" customHeight="1">
      <c r="E138" s="329"/>
      <c r="F138" s="329"/>
      <c r="L138" s="957"/>
      <c r="M138" s="262">
        <v>136</v>
      </c>
      <c r="N138" s="263">
        <f t="shared" ca="1" si="15"/>
        <v>7296.9867805942276</v>
      </c>
      <c r="O138" s="256">
        <f ca="1">KTVTD20namMH!F139</f>
        <v>60</v>
      </c>
      <c r="P138" s="451">
        <f ca="1">IF('Tinh phi QL'!$H$9="Nam",VLOOKUP(KTVTUCOI!$I$14,KTVTUCOI!$D$3:$F$103,2,0)*N138/1000/12,IF('Tinh phi QL'!$H$9="Nữ",VLOOKUP(KTVTUCOI!$I$14,KTVTUCOI!$D$3:$F$103,3,0)*N138/1000/12,0))</f>
        <v>1.4533165338016838</v>
      </c>
      <c r="Q138" s="957"/>
      <c r="R138" s="452">
        <f ca="1">IF('Tinh phi QL'!$H$9="Nam",VLOOKUP(KTVTUCOI!$I$14,KTVTUCOI!$D$3:$F$103,2,0)*S138/1000/12,IF('Tinh phi QL'!$H$9="Nữ",VLOOKUP(KTVTUCOI!$I$14,KTVTUCOI!$D$3:$F$103,3,0)*S138/1000/12,0))</f>
        <v>1.7118739778096801</v>
      </c>
      <c r="S138" s="451">
        <f ca="1">KTVTD20namMH!E139-V137</f>
        <v>8595.1831521824934</v>
      </c>
      <c r="T138" s="420">
        <f ca="1">(T137-O138-P138)*(1+LS!$E$14)</f>
        <v>-7364.5442036507302</v>
      </c>
      <c r="U138" s="958"/>
      <c r="V138" s="418">
        <f ca="1">(V137-O138-R138)*(1+LS!$F$14)</f>
        <v>-8689.4000410554327</v>
      </c>
    </row>
    <row r="139" spans="5:22" ht="9.75" customHeight="1">
      <c r="E139" s="329"/>
      <c r="F139" s="329"/>
      <c r="L139" s="957"/>
      <c r="M139" s="262">
        <v>137</v>
      </c>
      <c r="N139" s="263">
        <f t="shared" ca="1" si="15"/>
        <v>7364.5442036507302</v>
      </c>
      <c r="O139" s="256">
        <f ca="1">KTVTD20namMH!F140</f>
        <v>60</v>
      </c>
      <c r="P139" s="451">
        <f ca="1">IF('Tinh phi QL'!$H$9="Nam",VLOOKUP(KTVTUCOI!$I$14,KTVTUCOI!$D$3:$F$103,2,0)*N139/1000/12,IF('Tinh phi QL'!$H$9="Nữ",VLOOKUP(KTVTUCOI!$I$14,KTVTUCOI!$D$3:$F$103,3,0)*N139/1000/12,0))</f>
        <v>1.4667717205604369</v>
      </c>
      <c r="Q139" s="957"/>
      <c r="R139" s="452">
        <f ca="1">IF('Tinh phi QL'!$H$9="Nam",VLOOKUP(KTVTUCOI!$I$14,KTVTUCOI!$D$3:$F$103,2,0)*S139/1000/12,IF('Tinh phi QL'!$H$9="Nữ",VLOOKUP(KTVTUCOI!$I$14,KTVTUCOI!$D$3:$F$103,3,0)*S139/1000/12,0))</f>
        <v>1.7306388415102072</v>
      </c>
      <c r="S139" s="451">
        <f ca="1">KTVTD20namMH!E140-V138</f>
        <v>8689.4000410554327</v>
      </c>
      <c r="T139" s="420">
        <f ca="1">(T138-O139-P139)*(1+LS!$E$14)</f>
        <v>-7432.1711345129143</v>
      </c>
      <c r="U139" s="958"/>
      <c r="V139" s="418">
        <f ca="1">(V138-O139-R139)*(1+LS!$F$14)</f>
        <v>-8783.989531972622</v>
      </c>
    </row>
    <row r="140" spans="5:22" ht="9.75" customHeight="1">
      <c r="E140" s="329"/>
      <c r="F140" s="329"/>
      <c r="L140" s="957"/>
      <c r="M140" s="262">
        <v>138</v>
      </c>
      <c r="N140" s="263">
        <f t="shared" ca="1" si="15"/>
        <v>7432.1711345129143</v>
      </c>
      <c r="O140" s="256">
        <f ca="1">KTVTD20namMH!F141</f>
        <v>60</v>
      </c>
      <c r="P140" s="451">
        <f ca="1">IF('Tinh phi QL'!$H$9="Nam",VLOOKUP(KTVTUCOI!$I$14,KTVTUCOI!$D$3:$F$103,2,0)*N140/1000/12,IF('Tinh phi QL'!$H$9="Nữ",VLOOKUP(KTVTUCOI!$I$14,KTVTUCOI!$D$3:$F$103,3,0)*N140/1000/12,0))</f>
        <v>1.4802407509571553</v>
      </c>
      <c r="Q140" s="957"/>
      <c r="R140" s="452">
        <f ca="1">IF('Tinh phi QL'!$H$9="Nam",VLOOKUP(KTVTUCOI!$I$14,KTVTUCOI!$D$3:$F$103,2,0)*S140/1000/12,IF('Tinh phi QL'!$H$9="Nữ",VLOOKUP(KTVTUCOI!$I$14,KTVTUCOI!$D$3:$F$103,3,0)*S140/1000/12,0))</f>
        <v>1.7494779151178808</v>
      </c>
      <c r="S140" s="451">
        <f ca="1">KTVTD20namMH!E141-V139</f>
        <v>8783.989531972622</v>
      </c>
      <c r="T140" s="420">
        <f ca="1">(T139-O140-P140)*(1+LS!$E$14)</f>
        <v>-7499.867644695275</v>
      </c>
      <c r="U140" s="958"/>
      <c r="V140" s="418">
        <f ca="1">(V139-O140-R140)*(1+LS!$F$14)</f>
        <v>-8878.9530984733065</v>
      </c>
    </row>
    <row r="141" spans="5:22" ht="9.75" customHeight="1">
      <c r="E141" s="329"/>
      <c r="F141" s="329"/>
      <c r="L141" s="957"/>
      <c r="M141" s="262">
        <v>139</v>
      </c>
      <c r="N141" s="263">
        <f t="shared" ca="1" si="15"/>
        <v>7499.867644695275</v>
      </c>
      <c r="O141" s="256">
        <f ca="1">KTVTD20namMH!F142</f>
        <v>60</v>
      </c>
      <c r="P141" s="451">
        <f ca="1">IF('Tinh phi QL'!$H$9="Nam",VLOOKUP(KTVTUCOI!$I$14,KTVTUCOI!$D$3:$F$103,2,0)*N141/1000/12,IF('Tinh phi QL'!$H$9="Nữ",VLOOKUP(KTVTUCOI!$I$14,KTVTUCOI!$D$3:$F$103,3,0)*N141/1000/12,0))</f>
        <v>1.4937236392351423</v>
      </c>
      <c r="Q141" s="957"/>
      <c r="R141" s="452">
        <f ca="1">IF('Tinh phi QL'!$H$9="Nam",VLOOKUP(KTVTUCOI!$I$14,KTVTUCOI!$D$3:$F$103,2,0)*S141/1000/12,IF('Tinh phi QL'!$H$9="Nữ",VLOOKUP(KTVTUCOI!$I$14,KTVTUCOI!$D$3:$F$103,3,0)*S141/1000/12,0))</f>
        <v>1.7683914921126005</v>
      </c>
      <c r="S141" s="451">
        <f ca="1">KTVTD20namMH!E142-V140</f>
        <v>8878.9530984733065</v>
      </c>
      <c r="T141" s="420">
        <f ca="1">(T140-O141-P141)*(1+LS!$E$14)</f>
        <v>-7567.6338057858884</v>
      </c>
      <c r="U141" s="958"/>
      <c r="V141" s="418">
        <f ca="1">(V140-O141-R141)*(1+LS!$F$14)</f>
        <v>-8974.2922199241766</v>
      </c>
    </row>
    <row r="142" spans="5:22" ht="9.75" customHeight="1">
      <c r="E142" s="329"/>
      <c r="F142" s="329"/>
      <c r="L142" s="957"/>
      <c r="M142" s="262">
        <v>140</v>
      </c>
      <c r="N142" s="263">
        <f t="shared" ca="1" si="15"/>
        <v>7567.6338057858884</v>
      </c>
      <c r="O142" s="256">
        <f ca="1">KTVTD20namMH!F143</f>
        <v>60</v>
      </c>
      <c r="P142" s="451">
        <f ca="1">IF('Tinh phi QL'!$H$9="Nam",VLOOKUP(KTVTUCOI!$I$14,KTVTUCOI!$D$3:$F$103,2,0)*N142/1000/12,IF('Tinh phi QL'!$H$9="Nữ",VLOOKUP(KTVTUCOI!$I$14,KTVTUCOI!$D$3:$F$103,3,0)*N142/1000/12,0))</f>
        <v>1.5072203996523561</v>
      </c>
      <c r="Q142" s="957"/>
      <c r="R142" s="452">
        <f ca="1">IF('Tinh phi QL'!$H$9="Nam",VLOOKUP(KTVTUCOI!$I$14,KTVTUCOI!$D$3:$F$103,2,0)*S142/1000/12,IF('Tinh phi QL'!$H$9="Nữ",VLOOKUP(KTVTUCOI!$I$14,KTVTUCOI!$D$3:$F$103,3,0)*S142/1000/12,0))</f>
        <v>1.7873798671348986</v>
      </c>
      <c r="S142" s="451">
        <f ca="1">KTVTD20namMH!E143-V141</f>
        <v>8974.2922199241766</v>
      </c>
      <c r="T142" s="420">
        <f ca="1">(T141-O142-P142)*(1+LS!$E$14)</f>
        <v>-7635.4696894464832</v>
      </c>
      <c r="U142" s="958"/>
      <c r="V142" s="418">
        <f ca="1">(V141-O142-R142)*(1+LS!$F$14)</f>
        <v>-9070.008381542415</v>
      </c>
    </row>
    <row r="143" spans="5:22" ht="9.75" customHeight="1">
      <c r="E143" s="329"/>
      <c r="F143" s="329"/>
      <c r="L143" s="957"/>
      <c r="M143" s="262">
        <v>141</v>
      </c>
      <c r="N143" s="263">
        <f t="shared" ca="1" si="15"/>
        <v>7635.4696894464832</v>
      </c>
      <c r="O143" s="256">
        <f ca="1">KTVTD20namMH!F144</f>
        <v>60</v>
      </c>
      <c r="P143" s="451">
        <f ca="1">IF('Tinh phi QL'!$H$9="Nam",VLOOKUP(KTVTUCOI!$I$14,KTVTUCOI!$D$3:$F$103,2,0)*N143/1000/12,IF('Tinh phi QL'!$H$9="Nữ",VLOOKUP(KTVTUCOI!$I$14,KTVTUCOI!$D$3:$F$103,3,0)*N143/1000/12,0))</f>
        <v>1.5207310464814245</v>
      </c>
      <c r="Q143" s="957"/>
      <c r="R143" s="452">
        <f ca="1">IF('Tinh phi QL'!$H$9="Nam",VLOOKUP(KTVTUCOI!$I$14,KTVTUCOI!$D$3:$F$103,2,0)*S143/1000/12,IF('Tinh phi QL'!$H$9="Nữ",VLOOKUP(KTVTUCOI!$I$14,KTVTUCOI!$D$3:$F$103,3,0)*S143/1000/12,0))</f>
        <v>1.8064433359905312</v>
      </c>
      <c r="S143" s="451">
        <f ca="1">KTVTD20namMH!E144-V142</f>
        <v>9070.008381542415</v>
      </c>
      <c r="T143" s="420">
        <f ca="1">(T142-O143-P143)*(1+LS!$E$14)</f>
        <v>-7703.375367412521</v>
      </c>
      <c r="U143" s="958"/>
      <c r="V143" s="418">
        <f ca="1">(V142-O143-R143)*(1+LS!$F$14)</f>
        <v>-9166.1030744188301</v>
      </c>
    </row>
    <row r="144" spans="5:22" ht="9.75" customHeight="1">
      <c r="E144" s="329"/>
      <c r="F144" s="329"/>
      <c r="L144" s="957"/>
      <c r="M144" s="262">
        <v>142</v>
      </c>
      <c r="N144" s="263">
        <f t="shared" ca="1" si="15"/>
        <v>7703.375367412521</v>
      </c>
      <c r="O144" s="256">
        <f ca="1">KTVTD20namMH!F145</f>
        <v>60</v>
      </c>
      <c r="P144" s="451">
        <f ca="1">IF('Tinh phi QL'!$H$9="Nam",VLOOKUP(KTVTUCOI!$I$14,KTVTUCOI!$D$3:$F$103,2,0)*N144/1000/12,IF('Tinh phi QL'!$H$9="Nữ",VLOOKUP(KTVTUCOI!$I$14,KTVTUCOI!$D$3:$F$103,3,0)*N144/1000/12,0))</f>
        <v>1.5342555940096607</v>
      </c>
      <c r="Q144" s="957"/>
      <c r="R144" s="452">
        <f ca="1">IF('Tinh phi QL'!$H$9="Nam",VLOOKUP(KTVTUCOI!$I$14,KTVTUCOI!$D$3:$F$103,2,0)*S144/1000/12,IF('Tinh phi QL'!$H$9="Nữ",VLOOKUP(KTVTUCOI!$I$14,KTVTUCOI!$D$3:$F$103,3,0)*S144/1000/12,0))</f>
        <v>1.825582195655084</v>
      </c>
      <c r="S144" s="451">
        <f ca="1">KTVTD20namMH!E145-V143</f>
        <v>9166.1030744188301</v>
      </c>
      <c r="T144" s="420">
        <f ca="1">(T143-O144-P144)*(1+LS!$E$14)</f>
        <v>-7771.3509114932676</v>
      </c>
      <c r="U144" s="958"/>
      <c r="V144" s="418">
        <f ca="1">(V143-O144-R144)*(1+LS!$F$14)</f>
        <v>-9262.5777955410886</v>
      </c>
    </row>
    <row r="145" spans="5:22" ht="9.75" customHeight="1">
      <c r="E145" s="329"/>
      <c r="F145" s="329"/>
      <c r="L145" s="957"/>
      <c r="M145" s="262">
        <v>143</v>
      </c>
      <c r="N145" s="263">
        <f t="shared" ca="1" si="15"/>
        <v>7771.3509114932676</v>
      </c>
      <c r="O145" s="256">
        <f ca="1">KTVTD20namMH!F146</f>
        <v>60</v>
      </c>
      <c r="P145" s="451">
        <f ca="1">IF('Tinh phi QL'!$H$9="Nam",VLOOKUP(KTVTUCOI!$I$14,KTVTUCOI!$D$3:$F$103,2,0)*N145/1000/12,IF('Tinh phi QL'!$H$9="Nữ",VLOOKUP(KTVTUCOI!$I$14,KTVTUCOI!$D$3:$F$103,3,0)*N145/1000/12,0))</f>
        <v>1.547794056539076</v>
      </c>
      <c r="Q145" s="957"/>
      <c r="R145" s="452">
        <f ca="1">IF('Tinh phi QL'!$H$9="Nam",VLOOKUP(KTVTUCOI!$I$14,KTVTUCOI!$D$3:$F$103,2,0)*S145/1000/12,IF('Tinh phi QL'!$H$9="Nữ",VLOOKUP(KTVTUCOI!$I$14,KTVTUCOI!$D$3:$F$103,3,0)*S145/1000/12,0))</f>
        <v>1.8447967442786002</v>
      </c>
      <c r="S145" s="451">
        <f ca="1">KTVTD20namMH!E146-V144</f>
        <v>9262.5777955410886</v>
      </c>
      <c r="T145" s="420">
        <f ca="1">(T144-O145-P145)*(1+LS!$E$14)</f>
        <v>-7839.396393571873</v>
      </c>
      <c r="U145" s="958"/>
      <c r="V145" s="418">
        <f ca="1">(V144-O145-R145)*(1+LS!$F$14)</f>
        <v>-9359.4340478170343</v>
      </c>
    </row>
    <row r="146" spans="5:22" ht="9.75" customHeight="1">
      <c r="E146" s="329"/>
      <c r="F146" s="329"/>
      <c r="L146" s="957"/>
      <c r="M146" s="262">
        <v>144</v>
      </c>
      <c r="N146" s="263">
        <f t="shared" ca="1" si="15"/>
        <v>7839.396393571873</v>
      </c>
      <c r="O146" s="256">
        <f ca="1">KTVTD20namMH!F147</f>
        <v>60</v>
      </c>
      <c r="P146" s="451">
        <f ca="1">IF('Tinh phi QL'!$H$9="Nam",VLOOKUP(KTVTUCOI!$I$14,KTVTUCOI!$D$3:$F$103,2,0)*N146/1000/12,IF('Tinh phi QL'!$H$9="Nữ",VLOOKUP(KTVTUCOI!$I$14,KTVTUCOI!$D$3:$F$103,3,0)*N146/1000/12,0))</f>
        <v>1.5613464483863984</v>
      </c>
      <c r="Q146" s="957"/>
      <c r="R146" s="452">
        <f ca="1">IF('Tinh phi QL'!$H$9="Nam",VLOOKUP(KTVTUCOI!$I$14,KTVTUCOI!$D$3:$F$103,2,0)*S146/1000/12,IF('Tinh phi QL'!$H$9="Nữ",VLOOKUP(KTVTUCOI!$I$14,KTVTUCOI!$D$3:$F$103,3,0)*S146/1000/12,0))</f>
        <v>1.864087281190226</v>
      </c>
      <c r="S146" s="451">
        <f ca="1">KTVTD20namMH!E147-V145</f>
        <v>9359.4340478170343</v>
      </c>
      <c r="T146" s="421">
        <f ca="1">(T145-O146-P146)*(1+LS!$E$14)</f>
        <v>-7907.5118856054451</v>
      </c>
      <c r="U146" s="958"/>
      <c r="V146" s="419">
        <f ca="1">(V145-O146-R146)*(1+LS!$F$14)</f>
        <v>-9456.6733400981011</v>
      </c>
    </row>
    <row r="147" spans="5:22" ht="9.75" customHeight="1">
      <c r="E147" s="329"/>
      <c r="F147" s="329"/>
      <c r="L147" s="959">
        <f>L135+1</f>
        <v>13</v>
      </c>
      <c r="M147" s="252">
        <v>145</v>
      </c>
      <c r="N147" s="256">
        <f ca="1">$J$15-T146-KTVTDGTTKcamket!F19</f>
        <v>7907.5118856054451</v>
      </c>
      <c r="O147" s="256">
        <f ca="1">KTVTD20namMH!F148</f>
        <v>60</v>
      </c>
      <c r="P147" s="452">
        <f ca="1">IF('Tinh phi QL'!$H$9="Nam",VLOOKUP(KTVTUCOI!$I$15,KTVTUCOI!$D$3:$F$103,2,0)*N147/1000/12,IF('Tinh phi QL'!$H$9="Nữ",VLOOKUP(KTVTUCOI!$I$15,KTVTUCOI!$D$3:$F$103,3,0)*N147/1000/12,0))</f>
        <v>1.7132942418811801</v>
      </c>
      <c r="Q147" s="957"/>
      <c r="R147" s="452">
        <f ca="1">IF('Tinh phi QL'!$H$9="Nam",VLOOKUP(KTVTUCOI!$I$15,KTVTUCOI!$D$3:$F$103,2,0)*S147/1000/12,IF('Tinh phi QL'!$H$9="Nữ",VLOOKUP(KTVTUCOI!$I$15,KTVTUCOI!$D$3:$F$103,3,0)*S147/1000/12,0))</f>
        <v>2.0489458903545885</v>
      </c>
      <c r="S147" s="452">
        <f ca="1">KTVTD20namMH!E148-V146-KTVTDGTTKMH!F19</f>
        <v>9456.6733400981011</v>
      </c>
      <c r="T147" s="418">
        <f ca="1">(T146+KTVTDGTTKcamket!F19-O147-P147)*(1+LS!$E$15)</f>
        <v>-7975.8359558758166</v>
      </c>
      <c r="U147" s="958">
        <f>Q147</f>
        <v>0</v>
      </c>
      <c r="V147" s="418">
        <f ca="1">(V146+KTVTUGTTKMH!F19-O147-R147)*(1+LS!$F$15)</f>
        <v>-9554.4633003768322</v>
      </c>
    </row>
    <row r="148" spans="5:22" ht="9.75" customHeight="1">
      <c r="E148" s="329"/>
      <c r="F148" s="329"/>
      <c r="L148" s="959"/>
      <c r="M148" s="252">
        <v>146</v>
      </c>
      <c r="N148" s="256">
        <f ca="1">$J$15-T147</f>
        <v>7975.8359558758166</v>
      </c>
      <c r="O148" s="256">
        <f ca="1">KTVTD20namMH!F149</f>
        <v>60</v>
      </c>
      <c r="P148" s="452">
        <f ca="1">IF('Tinh phi QL'!$H$9="Nam",VLOOKUP(KTVTUCOI!$I$15,KTVTUCOI!$D$3:$F$103,2,0)*N148/1000/12,IF('Tinh phi QL'!$H$9="Nữ",VLOOKUP(KTVTUCOI!$I$15,KTVTUCOI!$D$3:$F$103,3,0)*N148/1000/12,0))</f>
        <v>1.7280977904397601</v>
      </c>
      <c r="Q148" s="957"/>
      <c r="R148" s="452">
        <f ca="1">IF('Tinh phi QL'!$H$9="Nam",VLOOKUP(KTVTUCOI!$I$15,KTVTUCOI!$D$3:$F$103,2,0)*S148/1000/12,IF('Tinh phi QL'!$H$9="Nữ",VLOOKUP(KTVTUCOI!$I$15,KTVTUCOI!$D$3:$F$103,3,0)*S148/1000/12,0))</f>
        <v>2.070133715081647</v>
      </c>
      <c r="S148" s="452">
        <f ca="1">KTVTD20namMH!E149-V147</f>
        <v>9554.4633003768322</v>
      </c>
      <c r="T148" s="418">
        <f ca="1">(T147-O148-P148)*(1+LS!$E$15)</f>
        <v>-8044.2315193952718</v>
      </c>
      <c r="U148" s="958"/>
      <c r="V148" s="418">
        <f ca="1">(V147-O148-R148)*(1+LS!$F$15)</f>
        <v>-9652.6417109706417</v>
      </c>
    </row>
    <row r="149" spans="5:22" ht="9.75" customHeight="1">
      <c r="E149" s="329"/>
      <c r="F149" s="329"/>
      <c r="L149" s="959"/>
      <c r="M149" s="252">
        <v>147</v>
      </c>
      <c r="N149" s="256">
        <f t="shared" ref="N149:N158" ca="1" si="16">$J$15-T148</f>
        <v>8044.2315193952718</v>
      </c>
      <c r="O149" s="256">
        <f ca="1">KTVTD20namMH!F150</f>
        <v>60</v>
      </c>
      <c r="P149" s="452">
        <f ca="1">IF('Tinh phi QL'!$H$9="Nam",VLOOKUP(KTVTUCOI!$I$15,KTVTUCOI!$D$3:$F$103,2,0)*N149/1000/12,IF('Tinh phi QL'!$H$9="Nữ",VLOOKUP(KTVTUCOI!$I$15,KTVTUCOI!$D$3:$F$103,3,0)*N149/1000/12,0))</f>
        <v>1.7429168292023089</v>
      </c>
      <c r="Q149" s="957"/>
      <c r="R149" s="452">
        <f ca="1">IF('Tinh phi QL'!$H$9="Nam",VLOOKUP(KTVTUCOI!$I$15,KTVTUCOI!$D$3:$F$103,2,0)*S149/1000/12,IF('Tinh phi QL'!$H$9="Nữ",VLOOKUP(KTVTUCOI!$I$15,KTVTUCOI!$D$3:$F$103,3,0)*S149/1000/12,0))</f>
        <v>2.0914057040436389</v>
      </c>
      <c r="S149" s="452">
        <f ca="1">KTVTD20namMH!E150-V148</f>
        <v>9652.6417109706417</v>
      </c>
      <c r="T149" s="418">
        <f ca="1">(T148-O149-P149)*(1+LS!$E$15)</f>
        <v>-8112.6986509732378</v>
      </c>
      <c r="U149" s="958"/>
      <c r="V149" s="418">
        <f ca="1">(V148-O149-R149)*(1+LS!$F$15)</f>
        <v>-9751.2101149177597</v>
      </c>
    </row>
    <row r="150" spans="5:22" ht="9.75" customHeight="1">
      <c r="E150" s="329"/>
      <c r="F150" s="329"/>
      <c r="L150" s="959"/>
      <c r="M150" s="252">
        <v>148</v>
      </c>
      <c r="N150" s="256">
        <f t="shared" ca="1" si="16"/>
        <v>8112.6986509732378</v>
      </c>
      <c r="O150" s="256">
        <f ca="1">KTVTD20namMH!F151</f>
        <v>60</v>
      </c>
      <c r="P150" s="452">
        <f ca="1">IF('Tinh phi QL'!$H$9="Nam",VLOOKUP(KTVTUCOI!$I$15,KTVTUCOI!$D$3:$F$103,2,0)*N150/1000/12,IF('Tinh phi QL'!$H$9="Nữ",VLOOKUP(KTVTUCOI!$I$15,KTVTUCOI!$D$3:$F$103,3,0)*N150/1000/12,0))</f>
        <v>1.757751374377535</v>
      </c>
      <c r="Q150" s="957"/>
      <c r="R150" s="452">
        <f ca="1">IF('Tinh phi QL'!$H$9="Nam",VLOOKUP(KTVTUCOI!$I$15,KTVTUCOI!$D$3:$F$103,2,0)*S150/1000/12,IF('Tinh phi QL'!$H$9="Nữ",VLOOKUP(KTVTUCOI!$I$15,KTVTUCOI!$D$3:$F$103,3,0)*S150/1000/12,0))</f>
        <v>2.112762191565515</v>
      </c>
      <c r="S150" s="452">
        <f ca="1">KTVTD20namMH!E151-V149</f>
        <v>9751.2101149177597</v>
      </c>
      <c r="T150" s="418">
        <f ca="1">(T149-O150-P150)*(1+LS!$E$15)</f>
        <v>-8181.2374254974238</v>
      </c>
      <c r="U150" s="958"/>
      <c r="V150" s="418">
        <f ca="1">(V149-O150-R150)*(1+LS!$F$15)</f>
        <v>-9850.1700613858156</v>
      </c>
    </row>
    <row r="151" spans="5:22" ht="9.75" customHeight="1">
      <c r="E151" s="329"/>
      <c r="F151" s="329"/>
      <c r="L151" s="959"/>
      <c r="M151" s="252">
        <v>149</v>
      </c>
      <c r="N151" s="256">
        <f t="shared" ca="1" si="16"/>
        <v>8181.2374254974238</v>
      </c>
      <c r="O151" s="256">
        <f ca="1">KTVTD20namMH!F152</f>
        <v>60</v>
      </c>
      <c r="P151" s="452">
        <f ca="1">IF('Tinh phi QL'!$H$9="Nam",VLOOKUP(KTVTUCOI!$I$15,KTVTUCOI!$D$3:$F$103,2,0)*N151/1000/12,IF('Tinh phi QL'!$H$9="Nữ",VLOOKUP(KTVTUCOI!$I$15,KTVTUCOI!$D$3:$F$103,3,0)*N151/1000/12,0))</f>
        <v>1.7726014421911085</v>
      </c>
      <c r="Q151" s="957"/>
      <c r="R151" s="452">
        <f ca="1">IF('Tinh phi QL'!$H$9="Nam",VLOOKUP(KTVTUCOI!$I$15,KTVTUCOI!$D$3:$F$103,2,0)*S151/1000/12,IF('Tinh phi QL'!$H$9="Nữ",VLOOKUP(KTVTUCOI!$I$15,KTVTUCOI!$D$3:$F$103,3,0)*S151/1000/12,0))</f>
        <v>2.1342035133002599</v>
      </c>
      <c r="S151" s="452">
        <f ca="1">KTVTD20namMH!E152-V150</f>
        <v>9850.1700613858156</v>
      </c>
      <c r="T151" s="418">
        <f ca="1">(T150-O151-P151)*(1+LS!$E$15)</f>
        <v>-8249.8479179338992</v>
      </c>
      <c r="U151" s="958"/>
      <c r="V151" s="418">
        <f ca="1">(V150-O151-R151)*(1+LS!$F$15)</f>
        <v>-9949.5231056961857</v>
      </c>
    </row>
    <row r="152" spans="5:22" ht="9.75" customHeight="1">
      <c r="E152" s="329"/>
      <c r="F152" s="329"/>
      <c r="L152" s="959"/>
      <c r="M152" s="252">
        <v>150</v>
      </c>
      <c r="N152" s="256">
        <f t="shared" ca="1" si="16"/>
        <v>8249.8479179338992</v>
      </c>
      <c r="O152" s="256">
        <f ca="1">KTVTD20namMH!F153</f>
        <v>60</v>
      </c>
      <c r="P152" s="452">
        <f ca="1">IF('Tinh phi QL'!$H$9="Nam",VLOOKUP(KTVTUCOI!$I$15,KTVTUCOI!$D$3:$F$103,2,0)*N152/1000/12,IF('Tinh phi QL'!$H$9="Nữ",VLOOKUP(KTVTUCOI!$I$15,KTVTUCOI!$D$3:$F$103,3,0)*N152/1000/12,0))</f>
        <v>1.7874670488856781</v>
      </c>
      <c r="Q152" s="957"/>
      <c r="R152" s="452">
        <f ca="1">IF('Tinh phi QL'!$H$9="Nam",VLOOKUP(KTVTUCOI!$I$15,KTVTUCOI!$D$3:$F$103,2,0)*S152/1000/12,IF('Tinh phi QL'!$H$9="Nữ",VLOOKUP(KTVTUCOI!$I$15,KTVTUCOI!$D$3:$F$103,3,0)*S152/1000/12,0))</f>
        <v>2.1557300062341738</v>
      </c>
      <c r="S152" s="452">
        <f ca="1">KTVTD20namMH!E153-V151</f>
        <v>9949.5231056961857</v>
      </c>
      <c r="T152" s="418">
        <f ca="1">(T151-O152-P152)*(1+LS!$E$15)</f>
        <v>-8318.5302033271764</v>
      </c>
      <c r="U152" s="958"/>
      <c r="V152" s="418">
        <f ca="1">(V151-O152-R152)*(1+LS!$F$15)</f>
        <v>-10049.270809348438</v>
      </c>
    </row>
    <row r="153" spans="5:22" ht="9.75" customHeight="1">
      <c r="E153" s="329"/>
      <c r="F153" s="329"/>
      <c r="L153" s="959"/>
      <c r="M153" s="252">
        <v>151</v>
      </c>
      <c r="N153" s="256">
        <f t="shared" ca="1" si="16"/>
        <v>8318.5302033271764</v>
      </c>
      <c r="O153" s="256">
        <f ca="1">KTVTD20namMH!F154</f>
        <v>60</v>
      </c>
      <c r="P153" s="452">
        <f ca="1">IF('Tinh phi QL'!$H$9="Nam",VLOOKUP(KTVTUCOI!$I$15,KTVTUCOI!$D$3:$F$103,2,0)*N153/1000/12,IF('Tinh phi QL'!$H$9="Nữ",VLOOKUP(KTVTUCOI!$I$15,KTVTUCOI!$D$3:$F$103,3,0)*N153/1000/12,0))</f>
        <v>1.8023482107208884</v>
      </c>
      <c r="Q153" s="957"/>
      <c r="R153" s="452">
        <f ca="1">IF('Tinh phi QL'!$H$9="Nam",VLOOKUP(KTVTUCOI!$I$15,KTVTUCOI!$D$3:$F$103,2,0)*S153/1000/12,IF('Tinh phi QL'!$H$9="Nữ",VLOOKUP(KTVTUCOI!$I$15,KTVTUCOI!$D$3:$F$103,3,0)*S153/1000/12,0))</f>
        <v>2.1773420086921615</v>
      </c>
      <c r="S153" s="452">
        <f ca="1">KTVTD20namMH!E154-V152</f>
        <v>10049.270809348438</v>
      </c>
      <c r="T153" s="418">
        <f ca="1">(T152-O153-P153)*(1+LS!$E$15)</f>
        <v>-8387.2843568002936</v>
      </c>
      <c r="U153" s="958"/>
      <c r="V153" s="418">
        <f ca="1">(V152-O153-R153)*(1+LS!$F$15)</f>
        <v>-10149.414740044873</v>
      </c>
    </row>
    <row r="154" spans="5:22" ht="9.75" customHeight="1">
      <c r="E154" s="329"/>
      <c r="F154" s="329"/>
      <c r="L154" s="959"/>
      <c r="M154" s="252">
        <v>152</v>
      </c>
      <c r="N154" s="256">
        <f t="shared" ca="1" si="16"/>
        <v>8387.2843568002936</v>
      </c>
      <c r="O154" s="256">
        <f ca="1">KTVTD20namMH!F155</f>
        <v>60</v>
      </c>
      <c r="P154" s="452">
        <f ca="1">IF('Tinh phi QL'!$H$9="Nam",VLOOKUP(KTVTUCOI!$I$15,KTVTUCOI!$D$3:$F$103,2,0)*N154/1000/12,IF('Tinh phi QL'!$H$9="Nữ",VLOOKUP(KTVTUCOI!$I$15,KTVTUCOI!$D$3:$F$103,3,0)*N154/1000/12,0))</f>
        <v>1.8172449439733969</v>
      </c>
      <c r="Q154" s="957"/>
      <c r="R154" s="452">
        <f ca="1">IF('Tinh phi QL'!$H$9="Nam",VLOOKUP(KTVTUCOI!$I$15,KTVTUCOI!$D$3:$F$103,2,0)*S154/1000/12,IF('Tinh phi QL'!$H$9="Nữ",VLOOKUP(KTVTUCOI!$I$15,KTVTUCOI!$D$3:$F$103,3,0)*S154/1000/12,0))</f>
        <v>2.1990398603430559</v>
      </c>
      <c r="S154" s="452">
        <f ca="1">KTVTD20namMH!E155-V153</f>
        <v>10149.414740044873</v>
      </c>
      <c r="T154" s="418">
        <f ca="1">(T153-O154-P154)*(1+LS!$E$15)</f>
        <v>-8456.1104535548966</v>
      </c>
      <c r="U154" s="958"/>
      <c r="V154" s="418">
        <f ca="1">(V153-O154-R154)*(1+LS!$F$15)</f>
        <v>-10249.956471715164</v>
      </c>
    </row>
    <row r="155" spans="5:22" ht="9.75" customHeight="1">
      <c r="E155" s="329"/>
      <c r="F155" s="329"/>
      <c r="L155" s="959"/>
      <c r="M155" s="252">
        <v>153</v>
      </c>
      <c r="N155" s="256">
        <f t="shared" ca="1" si="16"/>
        <v>8456.1104535548966</v>
      </c>
      <c r="O155" s="256">
        <f ca="1">KTVTD20namMH!F156</f>
        <v>60</v>
      </c>
      <c r="P155" s="452">
        <f ca="1">IF('Tinh phi QL'!$H$9="Nam",VLOOKUP(KTVTUCOI!$I$15,KTVTUCOI!$D$3:$F$103,2,0)*N155/1000/12,IF('Tinh phi QL'!$H$9="Nữ",VLOOKUP(KTVTUCOI!$I$15,KTVTUCOI!$D$3:$F$103,3,0)*N155/1000/12,0))</f>
        <v>1.8321572649368942</v>
      </c>
      <c r="Q155" s="957"/>
      <c r="R155" s="452">
        <f ca="1">IF('Tinh phi QL'!$H$9="Nam",VLOOKUP(KTVTUCOI!$I$15,KTVTUCOI!$D$3:$F$103,2,0)*S155/1000/12,IF('Tinh phi QL'!$H$9="Nữ",VLOOKUP(KTVTUCOI!$I$15,KTVTUCOI!$D$3:$F$103,3,0)*S155/1000/12,0))</f>
        <v>2.2208239022049523</v>
      </c>
      <c r="S155" s="452">
        <f ca="1">KTVTD20namMH!E156-V154</f>
        <v>10249.956471715164</v>
      </c>
      <c r="T155" s="418">
        <f ca="1">(T154-O155-P155)*(1+LS!$E$15)</f>
        <v>-8525.0085688713207</v>
      </c>
      <c r="U155" s="958"/>
      <c r="V155" s="418">
        <f ca="1">(V154-O155-R155)*(1+LS!$F$15)</f>
        <v>-10350.897584541093</v>
      </c>
    </row>
    <row r="156" spans="5:22" ht="9.75" customHeight="1">
      <c r="E156" s="329"/>
      <c r="F156" s="329"/>
      <c r="L156" s="959"/>
      <c r="M156" s="252">
        <v>154</v>
      </c>
      <c r="N156" s="256">
        <f t="shared" ca="1" si="16"/>
        <v>8525.0085688713207</v>
      </c>
      <c r="O156" s="256">
        <f ca="1">KTVTD20namMH!F157</f>
        <v>60</v>
      </c>
      <c r="P156" s="452">
        <f ca="1">IF('Tinh phi QL'!$H$9="Nam",VLOOKUP(KTVTUCOI!$I$15,KTVTUCOI!$D$3:$F$103,2,0)*N156/1000/12,IF('Tinh phi QL'!$H$9="Nữ",VLOOKUP(KTVTUCOI!$I$15,KTVTUCOI!$D$3:$F$103,3,0)*N156/1000/12,0))</f>
        <v>1.8470851899221195</v>
      </c>
      <c r="Q156" s="957"/>
      <c r="R156" s="452">
        <f ca="1">IF('Tinh phi QL'!$H$9="Nam",VLOOKUP(KTVTUCOI!$I$15,KTVTUCOI!$D$3:$F$103,2,0)*S156/1000/12,IF('Tinh phi QL'!$H$9="Nữ",VLOOKUP(KTVTUCOI!$I$15,KTVTUCOI!$D$3:$F$103,3,0)*S156/1000/12,0))</f>
        <v>2.2426944766505703</v>
      </c>
      <c r="S156" s="452">
        <f ca="1">KTVTD20namMH!E157-V155</f>
        <v>10350.897584541093</v>
      </c>
      <c r="T156" s="418">
        <f ca="1">(T155-O156-P156)*(1+LS!$E$15)</f>
        <v>-8593.9787781086761</v>
      </c>
      <c r="U156" s="958"/>
      <c r="V156" s="418">
        <f ca="1">(V155-O156-R156)*(1+LS!$F$15)</f>
        <v>-10452.239664981384</v>
      </c>
    </row>
    <row r="157" spans="5:22" ht="9.75" customHeight="1">
      <c r="E157" s="329"/>
      <c r="F157" s="329"/>
      <c r="L157" s="959"/>
      <c r="M157" s="252">
        <v>155</v>
      </c>
      <c r="N157" s="256">
        <f t="shared" ca="1" si="16"/>
        <v>8593.9787781086761</v>
      </c>
      <c r="O157" s="256">
        <f ca="1">KTVTD20namMH!F158</f>
        <v>60</v>
      </c>
      <c r="P157" s="452">
        <f ca="1">IF('Tinh phi QL'!$H$9="Nam",VLOOKUP(KTVTUCOI!$I$15,KTVTUCOI!$D$3:$F$103,2,0)*N157/1000/12,IF('Tinh phi QL'!$H$9="Nữ",VLOOKUP(KTVTUCOI!$I$15,KTVTUCOI!$D$3:$F$103,3,0)*N157/1000/12,0))</f>
        <v>1.8620287352568798</v>
      </c>
      <c r="Q157" s="957"/>
      <c r="R157" s="452">
        <f ca="1">IF('Tinh phi QL'!$H$9="Nam",VLOOKUP(KTVTUCOI!$I$15,KTVTUCOI!$D$3:$F$103,2,0)*S157/1000/12,IF('Tinh phi QL'!$H$9="Nữ",VLOOKUP(KTVTUCOI!$I$15,KTVTUCOI!$D$3:$F$103,3,0)*S157/1000/12,0))</f>
        <v>2.2646519274126331</v>
      </c>
      <c r="S157" s="452">
        <f ca="1">KTVTD20namMH!E158-V156</f>
        <v>10452.239664981384</v>
      </c>
      <c r="T157" s="418">
        <f ca="1">(T156-O157-P157)*(1+LS!$E$15)</f>
        <v>-8663.0211567049228</v>
      </c>
      <c r="U157" s="958"/>
      <c r="V157" s="418">
        <f ca="1">(V156-O157-R157)*(1+LS!$F$15)</f>
        <v>-10553.984305796639</v>
      </c>
    </row>
    <row r="158" spans="5:22" ht="9.75" customHeight="1">
      <c r="E158" s="329"/>
      <c r="F158" s="329"/>
      <c r="L158" s="959"/>
      <c r="M158" s="252">
        <v>156</v>
      </c>
      <c r="N158" s="256">
        <f t="shared" ca="1" si="16"/>
        <v>8663.0211567049228</v>
      </c>
      <c r="O158" s="256">
        <f ca="1">KTVTD20namMH!F159</f>
        <v>60</v>
      </c>
      <c r="P158" s="452">
        <f ca="1">IF('Tinh phi QL'!$H$9="Nam",VLOOKUP(KTVTUCOI!$I$15,KTVTUCOI!$D$3:$F$103,2,0)*N158/1000/12,IF('Tinh phi QL'!$H$9="Nữ",VLOOKUP(KTVTUCOI!$I$15,KTVTUCOI!$D$3:$F$103,3,0)*N158/1000/12,0))</f>
        <v>1.8769879172860666</v>
      </c>
      <c r="Q158" s="957"/>
      <c r="R158" s="452">
        <f ca="1">IF('Tinh phi QL'!$H$9="Nam",VLOOKUP(KTVTUCOI!$I$15,KTVTUCOI!$D$3:$F$103,2,0)*S158/1000/12,IF('Tinh phi QL'!$H$9="Nữ",VLOOKUP(KTVTUCOI!$I$15,KTVTUCOI!$D$3:$F$103,3,0)*S158/1000/12,0))</f>
        <v>2.2866965995892721</v>
      </c>
      <c r="S158" s="452">
        <f ca="1">KTVTD20namMH!E159-V157</f>
        <v>10553.984305796639</v>
      </c>
      <c r="T158" s="419">
        <f ca="1">(T157-O158-P158)*(1+LS!$E$15)</f>
        <v>-8732.1357801769627</v>
      </c>
      <c r="U158" s="958"/>
      <c r="V158" s="419">
        <f ca="1">(V157-O158-R158)*(1+LS!$F$15)</f>
        <v>-10656.133106074374</v>
      </c>
    </row>
    <row r="159" spans="5:22" ht="9.75" customHeight="1">
      <c r="E159" s="329"/>
      <c r="F159" s="329"/>
      <c r="L159" s="957">
        <f>L147+1</f>
        <v>14</v>
      </c>
      <c r="M159" s="262">
        <v>157</v>
      </c>
      <c r="N159" s="263">
        <f ca="1">$J$16-T158-KTVTDGTTKcamket!F20</f>
        <v>8732.1357801769627</v>
      </c>
      <c r="O159" s="256">
        <f ca="1">KTVTD20namMH!F160</f>
        <v>60</v>
      </c>
      <c r="P159" s="451">
        <f ca="1">IF('Tinh phi QL'!$H$9="Nam",VLOOKUP(KTVTUCOI!$I$16,KTVTUCOI!$D$3:$F$103,2,0)*N159/1000/12,IF('Tinh phi QL'!$H$9="Nữ",VLOOKUP(KTVTUCOI!$I$16,KTVTUCOI!$D$3:$F$103,3,0)*N159/1000/12,0))</f>
        <v>2.052051908341586</v>
      </c>
      <c r="Q159" s="957"/>
      <c r="R159" s="452">
        <f ca="1">IF('Tinh phi QL'!$H$9="Nam",VLOOKUP(KTVTUCOI!$I$16,KTVTUCOI!$D$3:$F$103,2,0)*S159/1000/12,IF('Tinh phi QL'!$H$9="Nữ",VLOOKUP(KTVTUCOI!$I$16,KTVTUCOI!$D$3:$F$103,3,0)*S159/1000/12,0))</f>
        <v>2.5041912799274777</v>
      </c>
      <c r="S159" s="451">
        <f ca="1">KTVTD20namMH!E160-V158-KTVTDGTTKMH!F20</f>
        <v>10656.133106074374</v>
      </c>
      <c r="T159" s="420">
        <f ca="1">(T158+KTVTDGTTKcamket!F20-O159-P159)*(1+LS!$E$16)</f>
        <v>-8801.4829460767396</v>
      </c>
      <c r="U159" s="958">
        <f>Q159</f>
        <v>0</v>
      </c>
      <c r="V159" s="418">
        <f ca="1">(V158+KTVTUGTTKMH!F20-O159-R159)*(1+LS!$F$16)</f>
        <v>-10758.883767243695</v>
      </c>
    </row>
    <row r="160" spans="5:22" ht="9.75" customHeight="1">
      <c r="E160" s="329"/>
      <c r="F160" s="329"/>
      <c r="L160" s="957"/>
      <c r="M160" s="262">
        <v>158</v>
      </c>
      <c r="N160" s="263">
        <f ca="1">$J$16-T159</f>
        <v>8801.4829460767396</v>
      </c>
      <c r="O160" s="256">
        <f ca="1">KTVTD20namMH!F161</f>
        <v>60</v>
      </c>
      <c r="P160" s="451">
        <f ca="1">IF('Tinh phi QL'!$H$9="Nam",VLOOKUP(KTVTUCOI!$I$16,KTVTUCOI!$D$3:$F$103,2,0)*N160/1000/12,IF('Tinh phi QL'!$H$9="Nữ",VLOOKUP(KTVTUCOI!$I$16,KTVTUCOI!$D$3:$F$103,3,0)*N160/1000/12,0))</f>
        <v>2.0683484923280333</v>
      </c>
      <c r="Q160" s="957"/>
      <c r="R160" s="452">
        <f ca="1">IF('Tinh phi QL'!$H$9="Nam",VLOOKUP(KTVTUCOI!$I$16,KTVTUCOI!$D$3:$F$103,2,0)*S160/1000/12,IF('Tinh phi QL'!$H$9="Nữ",VLOOKUP(KTVTUCOI!$I$16,KTVTUCOI!$D$3:$F$103,3,0)*S160/1000/12,0))</f>
        <v>2.5283376853022683</v>
      </c>
      <c r="S160" s="451">
        <f ca="1">KTVTD20namMH!E161-V159</f>
        <v>10758.883767243695</v>
      </c>
      <c r="T160" s="420">
        <f ca="1">(T159-O160-P160)*(1+LS!$E$16)</f>
        <v>-8870.9039481963755</v>
      </c>
      <c r="U160" s="958"/>
      <c r="V160" s="418">
        <f ca="1">(V159-O160-R160)*(1+LS!$F$16)</f>
        <v>-10862.044474917786</v>
      </c>
    </row>
    <row r="161" spans="5:22" ht="9.75" customHeight="1">
      <c r="E161" s="329"/>
      <c r="F161" s="329"/>
      <c r="L161" s="957"/>
      <c r="M161" s="262">
        <v>159</v>
      </c>
      <c r="N161" s="263">
        <f t="shared" ref="N161:N170" ca="1" si="17">$J$16-T160</f>
        <v>8870.9039481963755</v>
      </c>
      <c r="O161" s="256">
        <f ca="1">KTVTD20namMH!F162</f>
        <v>60</v>
      </c>
      <c r="P161" s="451">
        <f ca="1">IF('Tinh phi QL'!$H$9="Nam",VLOOKUP(KTVTUCOI!$I$16,KTVTUCOI!$D$3:$F$103,2,0)*N161/1000/12,IF('Tinh phi QL'!$H$9="Nữ",VLOOKUP(KTVTUCOI!$I$16,KTVTUCOI!$D$3:$F$103,3,0)*N161/1000/12,0))</f>
        <v>2.0846624278261481</v>
      </c>
      <c r="Q161" s="957"/>
      <c r="R161" s="452">
        <f ca="1">IF('Tinh phi QL'!$H$9="Nam",VLOOKUP(KTVTUCOI!$I$16,KTVTUCOI!$D$3:$F$103,2,0)*S161/1000/12,IF('Tinh phi QL'!$H$9="Nữ",VLOOKUP(KTVTUCOI!$I$16,KTVTUCOI!$D$3:$F$103,3,0)*S161/1000/12,0))</f>
        <v>2.5525804516056794</v>
      </c>
      <c r="S161" s="451">
        <f ca="1">KTVTD20namMH!E162-V160</f>
        <v>10862.044474917786</v>
      </c>
      <c r="T161" s="420">
        <f ca="1">(T160-O161-P161)*(1+LS!$E$16)</f>
        <v>-8940.3988651517338</v>
      </c>
      <c r="U161" s="958"/>
      <c r="V161" s="418">
        <f ca="1">(V160-O161-R161)*(1+LS!$F$16)</f>
        <v>-10965.616865467005</v>
      </c>
    </row>
    <row r="162" spans="5:22" ht="9.75" customHeight="1">
      <c r="E162" s="329"/>
      <c r="F162" s="329"/>
      <c r="L162" s="957"/>
      <c r="M162" s="262">
        <v>160</v>
      </c>
      <c r="N162" s="263">
        <f t="shared" ca="1" si="17"/>
        <v>8940.3988651517338</v>
      </c>
      <c r="O162" s="256">
        <f ca="1">KTVTD20namMH!F163</f>
        <v>60</v>
      </c>
      <c r="P162" s="451">
        <f ca="1">IF('Tinh phi QL'!$H$9="Nam",VLOOKUP(KTVTUCOI!$I$16,KTVTUCOI!$D$3:$F$103,2,0)*N162/1000/12,IF('Tinh phi QL'!$H$9="Nữ",VLOOKUP(KTVTUCOI!$I$16,KTVTUCOI!$D$3:$F$103,3,0)*N162/1000/12,0))</f>
        <v>2.100993733310657</v>
      </c>
      <c r="Q162" s="957"/>
      <c r="R162" s="452">
        <f ca="1">IF('Tinh phi QL'!$H$9="Nam",VLOOKUP(KTVTUCOI!$I$16,KTVTUCOI!$D$3:$F$103,2,0)*S162/1000/12,IF('Tinh phi QL'!$H$9="Nữ",VLOOKUP(KTVTUCOI!$I$16,KTVTUCOI!$D$3:$F$103,3,0)*S162/1000/12,0))</f>
        <v>2.5769199633847464</v>
      </c>
      <c r="S162" s="451">
        <f ca="1">KTVTD20namMH!E163-V161</f>
        <v>10965.616865467005</v>
      </c>
      <c r="T162" s="420">
        <f ca="1">(T161-O162-P162)*(1+LS!$E$16)</f>
        <v>-9009.9677756423862</v>
      </c>
      <c r="U162" s="958"/>
      <c r="V162" s="418">
        <f ca="1">(V161-O162-R162)*(1+LS!$F$16)</f>
        <v>-11069.602581791965</v>
      </c>
    </row>
    <row r="163" spans="5:22" ht="9.75" customHeight="1">
      <c r="E163" s="329"/>
      <c r="F163" s="329"/>
      <c r="L163" s="957"/>
      <c r="M163" s="262">
        <v>161</v>
      </c>
      <c r="N163" s="263">
        <f t="shared" ca="1" si="17"/>
        <v>9009.9677756423862</v>
      </c>
      <c r="O163" s="256">
        <f ca="1">KTVTD20namMH!F164</f>
        <v>60</v>
      </c>
      <c r="P163" s="451">
        <f ca="1">IF('Tinh phi QL'!$H$9="Nam",VLOOKUP(KTVTUCOI!$I$16,KTVTUCOI!$D$3:$F$103,2,0)*N163/1000/12,IF('Tinh phi QL'!$H$9="Nữ",VLOOKUP(KTVTUCOI!$I$16,KTVTUCOI!$D$3:$F$103,3,0)*N163/1000/12,0))</f>
        <v>2.1173424272759607</v>
      </c>
      <c r="Q163" s="957"/>
      <c r="R163" s="452">
        <f ca="1">IF('Tinh phi QL'!$H$9="Nam",VLOOKUP(KTVTUCOI!$I$16,KTVTUCOI!$D$3:$F$103,2,0)*S163/1000/12,IF('Tinh phi QL'!$H$9="Nữ",VLOOKUP(KTVTUCOI!$I$16,KTVTUCOI!$D$3:$F$103,3,0)*S163/1000/12,0))</f>
        <v>2.6013566067211116</v>
      </c>
      <c r="S163" s="451">
        <f ca="1">KTVTD20namMH!E164-V162</f>
        <v>11069.602581791965</v>
      </c>
      <c r="T163" s="420">
        <f ca="1">(T162-O163-P163)*(1+LS!$E$16)</f>
        <v>-9079.610758451694</v>
      </c>
      <c r="U163" s="958"/>
      <c r="V163" s="418">
        <f ca="1">(V162-O163-R163)*(1+LS!$F$16)</f>
        <v>-11174.00327334959</v>
      </c>
    </row>
    <row r="164" spans="5:22" ht="9.75" customHeight="1">
      <c r="E164" s="329"/>
      <c r="F164" s="329"/>
      <c r="L164" s="957"/>
      <c r="M164" s="262">
        <v>162</v>
      </c>
      <c r="N164" s="263">
        <f t="shared" ca="1" si="17"/>
        <v>9079.610758451694</v>
      </c>
      <c r="O164" s="256">
        <f ca="1">KTVTD20namMH!F165</f>
        <v>60</v>
      </c>
      <c r="P164" s="451">
        <f ca="1">IF('Tinh phi QL'!$H$9="Nam",VLOOKUP(KTVTUCOI!$I$16,KTVTUCOI!$D$3:$F$103,2,0)*N164/1000/12,IF('Tinh phi QL'!$H$9="Nữ",VLOOKUP(KTVTUCOI!$I$16,KTVTUCOI!$D$3:$F$103,3,0)*N164/1000/12,0))</f>
        <v>2.1337085282361481</v>
      </c>
      <c r="Q164" s="957"/>
      <c r="R164" s="452">
        <f ca="1">IF('Tinh phi QL'!$H$9="Nam",VLOOKUP(KTVTUCOI!$I$16,KTVTUCOI!$D$3:$F$103,2,0)*S164/1000/12,IF('Tinh phi QL'!$H$9="Nữ",VLOOKUP(KTVTUCOI!$I$16,KTVTUCOI!$D$3:$F$103,3,0)*S164/1000/12,0))</f>
        <v>2.6258907692371536</v>
      </c>
      <c r="S164" s="451">
        <f ca="1">KTVTD20namMH!E165-V163</f>
        <v>11174.00327334959</v>
      </c>
      <c r="T164" s="420">
        <f ca="1">(T163-O164-P164)*(1+LS!$E$16)</f>
        <v>-9149.3278924469032</v>
      </c>
      <c r="U164" s="958"/>
      <c r="V164" s="418">
        <f ca="1">(V163-O164-R164)*(1+LS!$F$16)</f>
        <v>-11278.820596179283</v>
      </c>
    </row>
    <row r="165" spans="5:22" ht="9.75" customHeight="1">
      <c r="E165" s="329"/>
      <c r="F165" s="329"/>
      <c r="L165" s="957"/>
      <c r="M165" s="262">
        <v>163</v>
      </c>
      <c r="N165" s="263">
        <f t="shared" ca="1" si="17"/>
        <v>9149.3278924469032</v>
      </c>
      <c r="O165" s="256">
        <f ca="1">KTVTD20namMH!F166</f>
        <v>60</v>
      </c>
      <c r="P165" s="451">
        <f ca="1">IF('Tinh phi QL'!$H$9="Nam",VLOOKUP(KTVTUCOI!$I$16,KTVTUCOI!$D$3:$F$103,2,0)*N165/1000/12,IF('Tinh phi QL'!$H$9="Nữ",VLOOKUP(KTVTUCOI!$I$16,KTVTUCOI!$D$3:$F$103,3,0)*N165/1000/12,0))</f>
        <v>2.1500920547250222</v>
      </c>
      <c r="Q165" s="957"/>
      <c r="R165" s="452">
        <f ca="1">IF('Tinh phi QL'!$H$9="Nam",VLOOKUP(KTVTUCOI!$I$16,KTVTUCOI!$D$3:$F$103,2,0)*S165/1000/12,IF('Tinh phi QL'!$H$9="Nữ",VLOOKUP(KTVTUCOI!$I$16,KTVTUCOI!$D$3:$F$103,3,0)*S165/1000/12,0))</f>
        <v>2.6505228401021315</v>
      </c>
      <c r="S165" s="451">
        <f ca="1">KTVTD20namMH!E166-V164</f>
        <v>11278.820596179283</v>
      </c>
      <c r="T165" s="420">
        <f ca="1">(T164-O165-P165)*(1+LS!$E$16)</f>
        <v>-9219.1192565792317</v>
      </c>
      <c r="U165" s="958"/>
      <c r="V165" s="418">
        <f ca="1">(V164-O165-R165)*(1+LS!$F$16)</f>
        <v>-11384.056212929196</v>
      </c>
    </row>
    <row r="166" spans="5:22" ht="9.75" customHeight="1">
      <c r="E166" s="329"/>
      <c r="F166" s="329"/>
      <c r="L166" s="957"/>
      <c r="M166" s="262">
        <v>164</v>
      </c>
      <c r="N166" s="263">
        <f t="shared" ca="1" si="17"/>
        <v>9219.1192565792317</v>
      </c>
      <c r="O166" s="256">
        <f ca="1">KTVTD20namMH!F167</f>
        <v>60</v>
      </c>
      <c r="P166" s="451">
        <f ca="1">IF('Tinh phi QL'!$H$9="Nam",VLOOKUP(KTVTUCOI!$I$16,KTVTUCOI!$D$3:$F$103,2,0)*N166/1000/12,IF('Tinh phi QL'!$H$9="Nữ",VLOOKUP(KTVTUCOI!$I$16,KTVTUCOI!$D$3:$F$103,3,0)*N166/1000/12,0))</f>
        <v>2.1664930252961194</v>
      </c>
      <c r="Q166" s="957"/>
      <c r="R166" s="452">
        <f ca="1">IF('Tinh phi QL'!$H$9="Nam",VLOOKUP(KTVTUCOI!$I$16,KTVTUCOI!$D$3:$F$103,2,0)*S166/1000/12,IF('Tinh phi QL'!$H$9="Nữ",VLOOKUP(KTVTUCOI!$I$16,KTVTUCOI!$D$3:$F$103,3,0)*S166/1000/12,0))</f>
        <v>2.675253210038361</v>
      </c>
      <c r="S166" s="451">
        <f ca="1">KTVTD20namMH!E167-V165</f>
        <v>11384.056212929196</v>
      </c>
      <c r="T166" s="420">
        <f ca="1">(T165-O166-P166)*(1+LS!$E$16)</f>
        <v>-9288.9849298839617</v>
      </c>
      <c r="U166" s="958"/>
      <c r="V166" s="418">
        <f ca="1">(V165-O166-R166)*(1+LS!$F$16)</f>
        <v>-11489.711792882603</v>
      </c>
    </row>
    <row r="167" spans="5:22" ht="9.75" customHeight="1">
      <c r="E167" s="329"/>
      <c r="F167" s="329"/>
      <c r="L167" s="957"/>
      <c r="M167" s="262">
        <v>165</v>
      </c>
      <c r="N167" s="263">
        <f t="shared" ca="1" si="17"/>
        <v>9288.9849298839617</v>
      </c>
      <c r="O167" s="256">
        <f ca="1">KTVTD20namMH!F168</f>
        <v>60</v>
      </c>
      <c r="P167" s="451">
        <f ca="1">IF('Tinh phi QL'!$H$9="Nam",VLOOKUP(KTVTUCOI!$I$16,KTVTUCOI!$D$3:$F$103,2,0)*N167/1000/12,IF('Tinh phi QL'!$H$9="Nữ",VLOOKUP(KTVTUCOI!$I$16,KTVTUCOI!$D$3:$F$103,3,0)*N167/1000/12,0))</f>
        <v>2.1829114585227307</v>
      </c>
      <c r="Q167" s="957"/>
      <c r="R167" s="452">
        <f ca="1">IF('Tinh phi QL'!$H$9="Nam",VLOOKUP(KTVTUCOI!$I$16,KTVTUCOI!$D$3:$F$103,2,0)*S167/1000/12,IF('Tinh phi QL'!$H$9="Nữ",VLOOKUP(KTVTUCOI!$I$16,KTVTUCOI!$D$3:$F$103,3,0)*S167/1000/12,0))</f>
        <v>2.7000822713274117</v>
      </c>
      <c r="S167" s="451">
        <f ca="1">KTVTD20namMH!E168-V166</f>
        <v>11489.711792882603</v>
      </c>
      <c r="T167" s="420">
        <f ca="1">(T166-O167-P167)*(1+LS!$E$16)</f>
        <v>-9358.9249914805278</v>
      </c>
      <c r="U167" s="958"/>
      <c r="V167" s="418">
        <f ca="1">(V166-O167-R167)*(1+LS!$F$16)</f>
        <v>-11595.789011984376</v>
      </c>
    </row>
    <row r="168" spans="5:22" ht="9.75" customHeight="1">
      <c r="E168" s="329"/>
      <c r="F168" s="329"/>
      <c r="L168" s="957"/>
      <c r="M168" s="262">
        <v>166</v>
      </c>
      <c r="N168" s="263">
        <f t="shared" ca="1" si="17"/>
        <v>9358.9249914805278</v>
      </c>
      <c r="O168" s="256">
        <f ca="1">KTVTD20namMH!F169</f>
        <v>60</v>
      </c>
      <c r="P168" s="451">
        <f ca="1">IF('Tinh phi QL'!$H$9="Nam",VLOOKUP(KTVTUCOI!$I$16,KTVTUCOI!$D$3:$F$103,2,0)*N168/1000/12,IF('Tinh phi QL'!$H$9="Nữ",VLOOKUP(KTVTUCOI!$I$16,KTVTUCOI!$D$3:$F$103,3,0)*N168/1000/12,0))</f>
        <v>2.199347372997924</v>
      </c>
      <c r="Q168" s="957"/>
      <c r="R168" s="452">
        <f ca="1">IF('Tinh phi QL'!$H$9="Nam",VLOOKUP(KTVTUCOI!$I$16,KTVTUCOI!$D$3:$F$103,2,0)*S168/1000/12,IF('Tinh phi QL'!$H$9="Nữ",VLOOKUP(KTVTUCOI!$I$16,KTVTUCOI!$D$3:$F$103,3,0)*S168/1000/12,0))</f>
        <v>2.7250104178163284</v>
      </c>
      <c r="S168" s="451">
        <f ca="1">KTVTD20namMH!E169-V167</f>
        <v>11595.789011984376</v>
      </c>
      <c r="T168" s="420">
        <f ca="1">(T167-O168-P168)*(1+LS!$E$16)</f>
        <v>-9428.9395205725996</v>
      </c>
      <c r="U168" s="958"/>
      <c r="V168" s="418">
        <f ca="1">(V167-O168-R168)*(1+LS!$F$16)</f>
        <v>-11702.289552867571</v>
      </c>
    </row>
    <row r="169" spans="5:22" ht="9.75" customHeight="1">
      <c r="E169" s="329"/>
      <c r="F169" s="329"/>
      <c r="L169" s="957"/>
      <c r="M169" s="262">
        <v>167</v>
      </c>
      <c r="N169" s="263">
        <f t="shared" ca="1" si="17"/>
        <v>9428.9395205725996</v>
      </c>
      <c r="O169" s="256">
        <f ca="1">KTVTD20namMH!F170</f>
        <v>60</v>
      </c>
      <c r="P169" s="451">
        <f ca="1">IF('Tinh phi QL'!$H$9="Nam",VLOOKUP(KTVTUCOI!$I$16,KTVTUCOI!$D$3:$F$103,2,0)*N169/1000/12,IF('Tinh phi QL'!$H$9="Nữ",VLOOKUP(KTVTUCOI!$I$16,KTVTUCOI!$D$3:$F$103,3,0)*N169/1000/12,0))</f>
        <v>2.2158007873345609</v>
      </c>
      <c r="Q169" s="957"/>
      <c r="R169" s="452">
        <f ca="1">IF('Tinh phi QL'!$H$9="Nam",VLOOKUP(KTVTUCOI!$I$16,KTVTUCOI!$D$3:$F$103,2,0)*S169/1000/12,IF('Tinh phi QL'!$H$9="Nữ",VLOOKUP(KTVTUCOI!$I$16,KTVTUCOI!$D$3:$F$103,3,0)*S169/1000/12,0))</f>
        <v>2.7500380449238793</v>
      </c>
      <c r="S169" s="451">
        <f ca="1">KTVTD20namMH!E170-V168</f>
        <v>11702.289552867571</v>
      </c>
      <c r="T169" s="420">
        <f ca="1">(T168-O169-P169)*(1+LS!$E$16)</f>
        <v>-9499.0285964481827</v>
      </c>
      <c r="U169" s="958"/>
      <c r="V169" s="418">
        <f ca="1">(V168-O169-R169)*(1+LS!$F$16)</f>
        <v>-11809.215104880119</v>
      </c>
    </row>
    <row r="170" spans="5:22" ht="9.75" customHeight="1">
      <c r="E170" s="329"/>
      <c r="F170" s="329"/>
      <c r="L170" s="957"/>
      <c r="M170" s="262">
        <v>168</v>
      </c>
      <c r="N170" s="263">
        <f t="shared" ca="1" si="17"/>
        <v>9499.0285964481827</v>
      </c>
      <c r="O170" s="256">
        <f ca="1">KTVTD20namMH!F171</f>
        <v>60</v>
      </c>
      <c r="P170" s="451">
        <f ca="1">IF('Tinh phi QL'!$H$9="Nam",VLOOKUP(KTVTUCOI!$I$16,KTVTUCOI!$D$3:$F$103,2,0)*N170/1000/12,IF('Tinh phi QL'!$H$9="Nữ",VLOOKUP(KTVTUCOI!$I$16,KTVTUCOI!$D$3:$F$103,3,0)*N170/1000/12,0))</f>
        <v>2.2322717201653228</v>
      </c>
      <c r="Q170" s="957"/>
      <c r="R170" s="452">
        <f ca="1">IF('Tinh phi QL'!$H$9="Nam",VLOOKUP(KTVTUCOI!$I$16,KTVTUCOI!$D$3:$F$103,2,0)*S170/1000/12,IF('Tinh phi QL'!$H$9="Nữ",VLOOKUP(KTVTUCOI!$I$16,KTVTUCOI!$D$3:$F$103,3,0)*S170/1000/12,0))</f>
        <v>2.7751655496468275</v>
      </c>
      <c r="S170" s="451">
        <f ca="1">KTVTD20namMH!E171-V169</f>
        <v>11809.215104880119</v>
      </c>
      <c r="T170" s="421">
        <f ca="1">(T169-O170-P170)*(1+LS!$E$16)</f>
        <v>-9569.1922984797002</v>
      </c>
      <c r="U170" s="958"/>
      <c r="V170" s="419">
        <f ca="1">(V169-O170-R170)*(1+LS!$F$16)</f>
        <v>-11916.567364111625</v>
      </c>
    </row>
    <row r="171" spans="5:22" ht="9.75" customHeight="1">
      <c r="E171" s="329"/>
      <c r="F171" s="329"/>
      <c r="L171" s="959">
        <f>L159+1</f>
        <v>15</v>
      </c>
      <c r="M171" s="252">
        <v>169</v>
      </c>
      <c r="N171" s="256">
        <f ca="1">$J$17-T170-KTVTDGTTKcamket!F21</f>
        <v>9569.1922984797002</v>
      </c>
      <c r="O171" s="256">
        <f ca="1">KTVTD20namMH!F172</f>
        <v>60</v>
      </c>
      <c r="P171" s="452">
        <f ca="1">IF('Tinh phi QL'!$H$9="Nam",VLOOKUP(KTVTUCOI!$I$17,KTVTUCOI!$D$3:$F$103,2,0)*N171/1000/12,IF('Tinh phi QL'!$H$9="Nữ",VLOOKUP(KTVTUCOI!$I$17,KTVTUCOI!$D$3:$F$103,3,0)*N171/1000/12,0))</f>
        <v>2.4401440361123234</v>
      </c>
      <c r="Q171" s="957"/>
      <c r="R171" s="452">
        <f ca="1">IF('Tinh phi QL'!$H$9="Nam",VLOOKUP(KTVTUCOI!$I$17,KTVTUCOI!$D$3:$F$103,2,0)*S171/1000/12,IF('Tinh phi QL'!$H$9="Nữ",VLOOKUP(KTVTUCOI!$I$17,KTVTUCOI!$D$3:$F$103,3,0)*S171/1000/12,0))</f>
        <v>3.0387246778484642</v>
      </c>
      <c r="S171" s="452">
        <f ca="1">KTVTD20namMH!E172-V170-KTVTDGTTKMH!F21</f>
        <v>11916.567364111625</v>
      </c>
      <c r="T171" s="418">
        <f ca="1">(T170+KTVTDGTTKcamket!F21-O171-P171)*(1+LS!$E$17)</f>
        <v>-9639.622248730253</v>
      </c>
      <c r="U171" s="958">
        <f>Q171</f>
        <v>0</v>
      </c>
      <c r="V171" s="418">
        <f ca="1">(V170+KTVTUGTTKMH!F21-O171-R171)*(1+LS!$F$17)</f>
        <v>-12024.587259656992</v>
      </c>
    </row>
    <row r="172" spans="5:22" ht="9.75" customHeight="1">
      <c r="E172" s="329"/>
      <c r="F172" s="329"/>
      <c r="L172" s="959"/>
      <c r="M172" s="252">
        <v>170</v>
      </c>
      <c r="N172" s="256">
        <f ca="1">$J$17-T171</f>
        <v>9639.622248730253</v>
      </c>
      <c r="O172" s="256">
        <f ca="1">KTVTD20namMH!F173</f>
        <v>60</v>
      </c>
      <c r="P172" s="452">
        <f ca="1">IF('Tinh phi QL'!$H$9="Nam",VLOOKUP(KTVTUCOI!$I$17,KTVTUCOI!$D$3:$F$103,2,0)*N172/1000/12,IF('Tinh phi QL'!$H$9="Nữ",VLOOKUP(KTVTUCOI!$I$17,KTVTUCOI!$D$3:$F$103,3,0)*N172/1000/12,0))</f>
        <v>2.4581036734262147</v>
      </c>
      <c r="Q172" s="957"/>
      <c r="R172" s="452">
        <f ca="1">IF('Tinh phi QL'!$H$9="Nam",VLOOKUP(KTVTUCOI!$I$17,KTVTUCOI!$D$3:$F$103,2,0)*S172/1000/12,IF('Tinh phi QL'!$H$9="Nữ",VLOOKUP(KTVTUCOI!$I$17,KTVTUCOI!$D$3:$F$103,3,0)*S172/1000/12,0))</f>
        <v>3.0662697512125328</v>
      </c>
      <c r="S172" s="452">
        <f ca="1">KTVTD20namMH!E173-V171</f>
        <v>12024.587259656992</v>
      </c>
      <c r="T172" s="418">
        <f ca="1">(T171-O172-P172)*(1+LS!$E$17)</f>
        <v>-9710.1285978444484</v>
      </c>
      <c r="U172" s="958"/>
      <c r="V172" s="418">
        <f ca="1">(V171-O172-R172)*(1+LS!$F$17)</f>
        <v>-12133.040398121901</v>
      </c>
    </row>
    <row r="173" spans="5:22" ht="9.75" customHeight="1">
      <c r="E173" s="329"/>
      <c r="F173" s="329"/>
      <c r="L173" s="959"/>
      <c r="M173" s="252">
        <v>171</v>
      </c>
      <c r="N173" s="256">
        <f t="shared" ref="N173:N182" ca="1" si="18">$J$17-T172</f>
        <v>9710.1285978444484</v>
      </c>
      <c r="O173" s="256">
        <f ca="1">KTVTD20namMH!F174</f>
        <v>60</v>
      </c>
      <c r="P173" s="452">
        <f ca="1">IF('Tinh phi QL'!$H$9="Nam",VLOOKUP(KTVTUCOI!$I$17,KTVTUCOI!$D$3:$F$103,2,0)*N173/1000/12,IF('Tinh phi QL'!$H$9="Nữ",VLOOKUP(KTVTUCOI!$I$17,KTVTUCOI!$D$3:$F$103,3,0)*N173/1000/12,0))</f>
        <v>2.4760827924503341</v>
      </c>
      <c r="Q173" s="957"/>
      <c r="R173" s="452">
        <f ca="1">IF('Tinh phi QL'!$H$9="Nam",VLOOKUP(KTVTUCOI!$I$17,KTVTUCOI!$D$3:$F$103,2,0)*S173/1000/12,IF('Tinh phi QL'!$H$9="Nữ",VLOOKUP(KTVTUCOI!$I$17,KTVTUCOI!$D$3:$F$103,3,0)*S173/1000/12,0))</f>
        <v>3.0939253015210846</v>
      </c>
      <c r="S173" s="452">
        <f ca="1">KTVTD20namMH!E174-V172</f>
        <v>12133.040398121901</v>
      </c>
      <c r="T173" s="418">
        <f ca="1">(T172-O173-P173)*(1+LS!$E$17)</f>
        <v>-9780.7114286959259</v>
      </c>
      <c r="U173" s="958"/>
      <c r="V173" s="418">
        <f ca="1">(V172-O173-R173)*(1+LS!$F$17)</f>
        <v>-12241.928517143906</v>
      </c>
    </row>
    <row r="174" spans="5:22" ht="9.75" customHeight="1">
      <c r="E174" s="329"/>
      <c r="F174" s="329"/>
      <c r="L174" s="959"/>
      <c r="M174" s="252">
        <v>172</v>
      </c>
      <c r="N174" s="256">
        <f t="shared" ca="1" si="18"/>
        <v>9780.7114286959259</v>
      </c>
      <c r="O174" s="256">
        <f ca="1">KTVTD20namMH!F175</f>
        <v>60</v>
      </c>
      <c r="P174" s="452">
        <f ca="1">IF('Tinh phi QL'!$H$9="Nam",VLOOKUP(KTVTUCOI!$I$17,KTVTUCOI!$D$3:$F$103,2,0)*N174/1000/12,IF('Tinh phi QL'!$H$9="Nữ",VLOOKUP(KTVTUCOI!$I$17,KTVTUCOI!$D$3:$F$103,3,0)*N174/1000/12,0))</f>
        <v>2.4940814143174612</v>
      </c>
      <c r="Q174" s="957"/>
      <c r="R174" s="452">
        <f ca="1">IF('Tinh phi QL'!$H$9="Nam",VLOOKUP(KTVTUCOI!$I$17,KTVTUCOI!$D$3:$F$103,2,0)*S174/1000/12,IF('Tinh phi QL'!$H$9="Nữ",VLOOKUP(KTVTUCOI!$I$17,KTVTUCOI!$D$3:$F$103,3,0)*S174/1000/12,0))</f>
        <v>3.1216917718716957</v>
      </c>
      <c r="S174" s="452">
        <f ca="1">KTVTD20namMH!E175-V173</f>
        <v>12241.928517143906</v>
      </c>
      <c r="T174" s="418">
        <f ca="1">(T173-O174-P174)*(1+LS!$E$17)</f>
        <v>-9851.3708242482226</v>
      </c>
      <c r="U174" s="958"/>
      <c r="V174" s="418">
        <f ca="1">(V173-O174-R174)*(1+LS!$F$17)</f>
        <v>-12351.253361329829</v>
      </c>
    </row>
    <row r="175" spans="5:22" ht="9.75" customHeight="1">
      <c r="E175" s="329"/>
      <c r="F175" s="329"/>
      <c r="L175" s="959"/>
      <c r="M175" s="252">
        <v>173</v>
      </c>
      <c r="N175" s="256">
        <f t="shared" ca="1" si="18"/>
        <v>9851.3708242482226</v>
      </c>
      <c r="O175" s="256">
        <f ca="1">KTVTD20namMH!F176</f>
        <v>60</v>
      </c>
      <c r="P175" s="452">
        <f ca="1">IF('Tinh phi QL'!$H$9="Nam",VLOOKUP(KTVTUCOI!$I$17,KTVTUCOI!$D$3:$F$103,2,0)*N175/1000/12,IF('Tinh phi QL'!$H$9="Nữ",VLOOKUP(KTVTUCOI!$I$17,KTVTUCOI!$D$3:$F$103,3,0)*N175/1000/12,0))</f>
        <v>2.5120995601832967</v>
      </c>
      <c r="Q175" s="957"/>
      <c r="R175" s="452">
        <f ca="1">IF('Tinh phi QL'!$H$9="Nam",VLOOKUP(KTVTUCOI!$I$17,KTVTUCOI!$D$3:$F$103,2,0)*S175/1000/12,IF('Tinh phi QL'!$H$9="Nữ",VLOOKUP(KTVTUCOI!$I$17,KTVTUCOI!$D$3:$F$103,3,0)*S175/1000/12,0))</f>
        <v>3.1495696071391066</v>
      </c>
      <c r="S175" s="452">
        <f ca="1">KTVTD20namMH!E176-V174</f>
        <v>12351.253361329829</v>
      </c>
      <c r="T175" s="418">
        <f ca="1">(T174-O175-P175)*(1+LS!$E$17)</f>
        <v>-9922.1068675548704</v>
      </c>
      <c r="U175" s="958"/>
      <c r="V175" s="418">
        <f ca="1">(V174-O175-R175)*(1+LS!$F$17)</f>
        <v>-12461.016682283707</v>
      </c>
    </row>
    <row r="176" spans="5:22" ht="9.75" customHeight="1">
      <c r="E176" s="329"/>
      <c r="F176" s="329"/>
      <c r="L176" s="959"/>
      <c r="M176" s="252">
        <v>174</v>
      </c>
      <c r="N176" s="256">
        <f t="shared" ca="1" si="18"/>
        <v>9922.1068675548704</v>
      </c>
      <c r="O176" s="256">
        <f ca="1">KTVTD20namMH!F177</f>
        <v>60</v>
      </c>
      <c r="P176" s="452">
        <f ca="1">IF('Tinh phi QL'!$H$9="Nam",VLOOKUP(KTVTUCOI!$I$17,KTVTUCOI!$D$3:$F$103,2,0)*N176/1000/12,IF('Tinh phi QL'!$H$9="Nữ",VLOOKUP(KTVTUCOI!$I$17,KTVTUCOI!$D$3:$F$103,3,0)*N176/1000/12,0))</f>
        <v>2.5301372512264919</v>
      </c>
      <c r="Q176" s="957"/>
      <c r="R176" s="452">
        <f ca="1">IF('Tinh phi QL'!$H$9="Nam",VLOOKUP(KTVTUCOI!$I$17,KTVTUCOI!$D$3:$F$103,2,0)*S176/1000/12,IF('Tinh phi QL'!$H$9="Nữ",VLOOKUP(KTVTUCOI!$I$17,KTVTUCOI!$D$3:$F$103,3,0)*S176/1000/12,0))</f>
        <v>3.1775592539823454</v>
      </c>
      <c r="S176" s="452">
        <f ca="1">KTVTD20namMH!E177-V175</f>
        <v>12461.016682283707</v>
      </c>
      <c r="T176" s="418">
        <f ca="1">(T175-O176-P176)*(1+LS!$E$17)</f>
        <v>-9992.919641759494</v>
      </c>
      <c r="U176" s="958"/>
      <c r="V176" s="418">
        <f ca="1">(V175-O176-R176)*(1+LS!$F$17)</f>
        <v>-12571.220238634854</v>
      </c>
    </row>
    <row r="177" spans="5:22" ht="9.75" customHeight="1">
      <c r="E177" s="329"/>
      <c r="F177" s="329"/>
      <c r="L177" s="959"/>
      <c r="M177" s="252">
        <v>175</v>
      </c>
      <c r="N177" s="256">
        <f t="shared" ca="1" si="18"/>
        <v>9992.919641759494</v>
      </c>
      <c r="O177" s="256">
        <f ca="1">KTVTD20namMH!F178</f>
        <v>60</v>
      </c>
      <c r="P177" s="452">
        <f ca="1">IF('Tinh phi QL'!$H$9="Nam",VLOOKUP(KTVTUCOI!$I$17,KTVTUCOI!$D$3:$F$103,2,0)*N177/1000/12,IF('Tinh phi QL'!$H$9="Nữ",VLOOKUP(KTVTUCOI!$I$17,KTVTUCOI!$D$3:$F$103,3,0)*N177/1000/12,0))</f>
        <v>2.5481945086486708</v>
      </c>
      <c r="Q177" s="957"/>
      <c r="R177" s="452">
        <f ca="1">IF('Tinh phi QL'!$H$9="Nam",VLOOKUP(KTVTUCOI!$I$17,KTVTUCOI!$D$3:$F$103,2,0)*S177/1000/12,IF('Tinh phi QL'!$H$9="Nữ",VLOOKUP(KTVTUCOI!$I$17,KTVTUCOI!$D$3:$F$103,3,0)*S177/1000/12,0))</f>
        <v>3.2056611608518879</v>
      </c>
      <c r="S177" s="452">
        <f ca="1">KTVTD20namMH!E178-V176</f>
        <v>12571.220238634854</v>
      </c>
      <c r="T177" s="418">
        <f ca="1">(T176-O177-P177)*(1+LS!$E$17)</f>
        <v>-10063.809230095909</v>
      </c>
      <c r="U177" s="958"/>
      <c r="V177" s="418">
        <f ca="1">(V176-O177-R177)*(1+LS!$F$17)</f>
        <v>-12681.865796066048</v>
      </c>
    </row>
    <row r="178" spans="5:22" ht="9.75" customHeight="1">
      <c r="E178" s="329"/>
      <c r="F178" s="329"/>
      <c r="L178" s="959"/>
      <c r="M178" s="252">
        <v>176</v>
      </c>
      <c r="N178" s="256">
        <f t="shared" ca="1" si="18"/>
        <v>10063.809230095909</v>
      </c>
      <c r="O178" s="256">
        <f ca="1">KTVTD20namMH!F179</f>
        <v>60</v>
      </c>
      <c r="P178" s="452">
        <f ca="1">IF('Tinh phi QL'!$H$9="Nam",VLOOKUP(KTVTUCOI!$I$17,KTVTUCOI!$D$3:$F$103,2,0)*N178/1000/12,IF('Tinh phi QL'!$H$9="Nữ",VLOOKUP(KTVTUCOI!$I$17,KTVTUCOI!$D$3:$F$103,3,0)*N178/1000/12,0))</f>
        <v>2.5662713536744568</v>
      </c>
      <c r="Q178" s="957"/>
      <c r="R178" s="452">
        <f ca="1">IF('Tinh phi QL'!$H$9="Nam",VLOOKUP(KTVTUCOI!$I$17,KTVTUCOI!$D$3:$F$103,2,0)*S178/1000/12,IF('Tinh phi QL'!$H$9="Nữ",VLOOKUP(KTVTUCOI!$I$17,KTVTUCOI!$D$3:$F$103,3,0)*S178/1000/12,0))</f>
        <v>3.2338757779968428</v>
      </c>
      <c r="S178" s="452">
        <f ca="1">KTVTD20namMH!E179-V177</f>
        <v>12681.865796066048</v>
      </c>
      <c r="T178" s="418">
        <f ca="1">(T177-O178-P178)*(1+LS!$E$17)</f>
        <v>-10134.775715888218</v>
      </c>
      <c r="U178" s="958"/>
      <c r="V178" s="418">
        <f ca="1">(V177-O178-R178)*(1+LS!$F$17)</f>
        <v>-12792.955127341806</v>
      </c>
    </row>
    <row r="179" spans="5:22" ht="9.75" customHeight="1">
      <c r="E179" s="329"/>
      <c r="F179" s="329"/>
      <c r="L179" s="959"/>
      <c r="M179" s="252">
        <v>177</v>
      </c>
      <c r="N179" s="256">
        <f t="shared" ca="1" si="18"/>
        <v>10134.775715888218</v>
      </c>
      <c r="O179" s="256">
        <f ca="1">KTVTD20namMH!F180</f>
        <v>60</v>
      </c>
      <c r="P179" s="452">
        <f ca="1">IF('Tinh phi QL'!$H$9="Nam",VLOOKUP(KTVTUCOI!$I$17,KTVTUCOI!$D$3:$F$103,2,0)*N179/1000/12,IF('Tinh phi QL'!$H$9="Nữ",VLOOKUP(KTVTUCOI!$I$17,KTVTUCOI!$D$3:$F$103,3,0)*N179/1000/12,0))</f>
        <v>2.5843678075514958</v>
      </c>
      <c r="Q179" s="957"/>
      <c r="R179" s="452">
        <f ca="1">IF('Tinh phi QL'!$H$9="Nam",VLOOKUP(KTVTUCOI!$I$17,KTVTUCOI!$D$3:$F$103,2,0)*S179/1000/12,IF('Tinh phi QL'!$H$9="Nữ",VLOOKUP(KTVTUCOI!$I$17,KTVTUCOI!$D$3:$F$103,3,0)*S179/1000/12,0))</f>
        <v>3.2622035574721604</v>
      </c>
      <c r="S179" s="452">
        <f ca="1">KTVTD20namMH!E180-V178</f>
        <v>12792.955127341806</v>
      </c>
      <c r="T179" s="418">
        <f ca="1">(T178-O179-P179)*(1+LS!$E$17)</f>
        <v>-10205.819182550906</v>
      </c>
      <c r="U179" s="958"/>
      <c r="V179" s="418">
        <f ca="1">(V178-O179-R179)*(1+LS!$F$17)</f>
        <v>-12904.490012336801</v>
      </c>
    </row>
    <row r="180" spans="5:22" ht="9.75" customHeight="1">
      <c r="L180" s="959"/>
      <c r="M180" s="252">
        <v>178</v>
      </c>
      <c r="N180" s="256">
        <f t="shared" ca="1" si="18"/>
        <v>10205.819182550906</v>
      </c>
      <c r="O180" s="256">
        <f ca="1">KTVTD20namMH!F181</f>
        <v>60</v>
      </c>
      <c r="P180" s="452">
        <f ca="1">IF('Tinh phi QL'!$H$9="Nam",VLOOKUP(KTVTUCOI!$I$17,KTVTUCOI!$D$3:$F$103,2,0)*N180/1000/12,IF('Tinh phi QL'!$H$9="Nữ",VLOOKUP(KTVTUCOI!$I$17,KTVTUCOI!$D$3:$F$103,3,0)*N180/1000/12,0))</f>
        <v>2.6024838915504809</v>
      </c>
      <c r="Q180" s="957"/>
      <c r="R180" s="452">
        <f ca="1">IF('Tinh phi QL'!$H$9="Nam",VLOOKUP(KTVTUCOI!$I$17,KTVTUCOI!$D$3:$F$103,2,0)*S180/1000/12,IF('Tinh phi QL'!$H$9="Nữ",VLOOKUP(KTVTUCOI!$I$17,KTVTUCOI!$D$3:$F$103,3,0)*S180/1000/12,0))</f>
        <v>3.2906449531458843</v>
      </c>
      <c r="S180" s="452">
        <f ca="1">KTVTD20namMH!E181-V179</f>
        <v>12904.490012336801</v>
      </c>
      <c r="T180" s="418">
        <f ca="1">(T179-O180-P180)*(1+LS!$E$17)</f>
        <v>-10276.939713588949</v>
      </c>
      <c r="U180" s="958"/>
      <c r="V180" s="418">
        <f ca="1">(V179-O180-R180)*(1+LS!$F$17)</f>
        <v>-13016.472238064371</v>
      </c>
    </row>
    <row r="181" spans="5:22" ht="9.75" customHeight="1">
      <c r="L181" s="959"/>
      <c r="M181" s="252">
        <v>179</v>
      </c>
      <c r="N181" s="256">
        <f t="shared" ca="1" si="18"/>
        <v>10276.939713588949</v>
      </c>
      <c r="O181" s="256">
        <f ca="1">KTVTD20namMH!F182</f>
        <v>60</v>
      </c>
      <c r="P181" s="452">
        <f ca="1">IF('Tinh phi QL'!$H$9="Nam",VLOOKUP(KTVTUCOI!$I$17,KTVTUCOI!$D$3:$F$103,2,0)*N181/1000/12,IF('Tinh phi QL'!$H$9="Nữ",VLOOKUP(KTVTUCOI!$I$17,KTVTUCOI!$D$3:$F$103,3,0)*N181/1000/12,0))</f>
        <v>2.620619626965182</v>
      </c>
      <c r="Q181" s="957"/>
      <c r="R181" s="452">
        <f ca="1">IF('Tinh phi QL'!$H$9="Nam",VLOOKUP(KTVTUCOI!$I$17,KTVTUCOI!$D$3:$F$103,2,0)*S181/1000/12,IF('Tinh phi QL'!$H$9="Nữ",VLOOKUP(KTVTUCOI!$I$17,KTVTUCOI!$D$3:$F$103,3,0)*S181/1000/12,0))</f>
        <v>3.3192004207064145</v>
      </c>
      <c r="S181" s="452">
        <f ca="1">KTVTD20namMH!E182-V180</f>
        <v>13016.472238064371</v>
      </c>
      <c r="T181" s="418">
        <f ca="1">(T180-O181-P181)*(1+LS!$E$17)</f>
        <v>-10348.137392597897</v>
      </c>
      <c r="U181" s="958"/>
      <c r="V181" s="418">
        <f ca="1">(V180-O181-R181)*(1+LS!$F$17)</f>
        <v>-13128.903598705152</v>
      </c>
    </row>
    <row r="182" spans="5:22" ht="9.75" customHeight="1">
      <c r="L182" s="959"/>
      <c r="M182" s="252">
        <v>180</v>
      </c>
      <c r="N182" s="256">
        <f t="shared" ca="1" si="18"/>
        <v>10348.137392597897</v>
      </c>
      <c r="O182" s="256">
        <f ca="1">KTVTD20namMH!F183</f>
        <v>60</v>
      </c>
      <c r="P182" s="452">
        <f ca="1">IF('Tinh phi QL'!$H$9="Nam",VLOOKUP(KTVTUCOI!$I$17,KTVTUCOI!$D$3:$F$103,2,0)*N182/1000/12,IF('Tinh phi QL'!$H$9="Nữ",VLOOKUP(KTVTUCOI!$I$17,KTVTUCOI!$D$3:$F$103,3,0)*N182/1000/12,0))</f>
        <v>2.6387750351124639</v>
      </c>
      <c r="Q182" s="957"/>
      <c r="R182" s="452">
        <f ca="1">IF('Tinh phi QL'!$H$9="Nam",VLOOKUP(KTVTUCOI!$I$17,KTVTUCOI!$D$3:$F$103,2,0)*S182/1000/12,IF('Tinh phi QL'!$H$9="Nữ",VLOOKUP(KTVTUCOI!$I$17,KTVTUCOI!$D$3:$F$103,3,0)*S182/1000/12,0))</f>
        <v>3.3478704176698137</v>
      </c>
      <c r="S182" s="452">
        <f ca="1">KTVTD20namMH!E183-V181</f>
        <v>13128.903598705152</v>
      </c>
      <c r="T182" s="419">
        <f ca="1">(T181-O182-P182)*(1+LS!$E$17)</f>
        <v>-10419.412303263989</v>
      </c>
      <c r="U182" s="958"/>
      <c r="V182" s="419">
        <f ca="1">(V181-O182-R182)*(1+LS!$F$17)</f>
        <v>-13241.785895635829</v>
      </c>
    </row>
    <row r="183" spans="5:22" ht="9.75" customHeight="1">
      <c r="L183" s="957">
        <f>L171+1</f>
        <v>16</v>
      </c>
      <c r="M183" s="262">
        <v>181</v>
      </c>
      <c r="N183" s="263">
        <f ca="1">$J$18-T182-KTVTDGTTKcamket!F22</f>
        <v>10419.412303263989</v>
      </c>
      <c r="O183" s="256">
        <f ca="1">KTVTD20namMH!F184</f>
        <v>60</v>
      </c>
      <c r="P183" s="451">
        <f ca="1">IF('Tinh phi QL'!$H$9="Nam",VLOOKUP(KTVTUCOI!$I$18,KTVTUCOI!$D$3:$F$103,2,0)*N183/1000/12,IF('Tinh phi QL'!$H$9="Nữ",VLOOKUP(KTVTUCOI!$I$18,KTVTUCOI!$D$3:$F$103,3,0)*N183/1000/12,0))</f>
        <v>2.8740212269836505</v>
      </c>
      <c r="Q183" s="957"/>
      <c r="R183" s="452">
        <f ca="1">IF('Tinh phi QL'!$H$9="Nam",VLOOKUP(KTVTUCOI!$I$18,KTVTUCOI!$D$3:$F$103,2,0)*S183/1000/12,IF('Tinh phi QL'!$H$9="Nữ",VLOOKUP(KTVTUCOI!$I$18,KTVTUCOI!$D$3:$F$103,3,0)*S183/1000/12,0))</f>
        <v>3.6525259428795493</v>
      </c>
      <c r="S183" s="451">
        <f ca="1">KTVTD20namMH!E184-V182-KTVTDGTTKMH!F22</f>
        <v>13241.785895635829</v>
      </c>
      <c r="T183" s="420">
        <f ca="1">(T182+KTVTDGTTKcamket!F22-O183-P183)*(1+LS!$E$18)</f>
        <v>-10486.643966522764</v>
      </c>
      <c r="U183" s="958">
        <f>Q183</f>
        <v>0</v>
      </c>
      <c r="V183" s="418">
        <f ca="1">(V182+KTVTUGTTKMH!F22-O183-R183)*(1+LS!$F$18)</f>
        <v>-13355.397843839542</v>
      </c>
    </row>
    <row r="184" spans="5:22" ht="9.75" customHeight="1">
      <c r="L184" s="957"/>
      <c r="M184" s="262">
        <v>182</v>
      </c>
      <c r="N184" s="263">
        <f ca="1">$J$18-T183</f>
        <v>10486.643966522764</v>
      </c>
      <c r="O184" s="256">
        <f ca="1">KTVTD20namMH!F185</f>
        <v>60</v>
      </c>
      <c r="P184" s="451">
        <f ca="1">IF('Tinh phi QL'!$H$9="Nam",VLOOKUP(KTVTUCOI!$I$18,KTVTUCOI!$D$3:$F$103,2,0)*N184/1000/12,IF('Tinh phi QL'!$H$9="Nữ",VLOOKUP(KTVTUCOI!$I$18,KTVTUCOI!$D$3:$F$103,3,0)*N184/1000/12,0))</f>
        <v>2.8925659607658623</v>
      </c>
      <c r="Q184" s="957"/>
      <c r="R184" s="452">
        <f ca="1">IF('Tinh phi QL'!$H$9="Nam",VLOOKUP(KTVTUCOI!$I$18,KTVTUCOI!$D$3:$F$103,2,0)*S184/1000/12,IF('Tinh phi QL'!$H$9="Nữ",VLOOKUP(KTVTUCOI!$I$18,KTVTUCOI!$D$3:$F$103,3,0)*S184/1000/12,0))</f>
        <v>3.683863905259074</v>
      </c>
      <c r="S184" s="451">
        <f ca="1">KTVTD20namMH!E185-V183</f>
        <v>13355.397843839542</v>
      </c>
      <c r="T184" s="420">
        <f ca="1">(T183-O184-P184)*(1+LS!$E$18)</f>
        <v>-10553.922131425095</v>
      </c>
      <c r="U184" s="958"/>
      <c r="V184" s="418">
        <f ca="1">(V183-O184-R184)*(1+LS!$F$18)</f>
        <v>-13469.467839200837</v>
      </c>
    </row>
    <row r="185" spans="5:22" ht="9.75" customHeight="1">
      <c r="L185" s="957"/>
      <c r="M185" s="262">
        <v>183</v>
      </c>
      <c r="N185" s="263">
        <f t="shared" ref="N185:N194" ca="1" si="19">$J$18-T184</f>
        <v>10553.922131425095</v>
      </c>
      <c r="O185" s="256">
        <f ca="1">KTVTD20namMH!F186</f>
        <v>60</v>
      </c>
      <c r="P185" s="451">
        <f ca="1">IF('Tinh phi QL'!$H$9="Nam",VLOOKUP(KTVTUCOI!$I$18,KTVTUCOI!$D$3:$F$103,2,0)*N185/1000/12,IF('Tinh phi QL'!$H$9="Nữ",VLOOKUP(KTVTUCOI!$I$18,KTVTUCOI!$D$3:$F$103,3,0)*N185/1000/12,0))</f>
        <v>2.9111235212514219</v>
      </c>
      <c r="Q185" s="957"/>
      <c r="R185" s="452">
        <f ca="1">IF('Tinh phi QL'!$H$9="Nam",VLOOKUP(KTVTUCOI!$I$18,KTVTUCOI!$D$3:$F$103,2,0)*S185/1000/12,IF('Tinh phi QL'!$H$9="Nữ",VLOOKUP(KTVTUCOI!$I$18,KTVTUCOI!$D$3:$F$103,3,0)*S185/1000/12,0))</f>
        <v>3.7153282123128974</v>
      </c>
      <c r="S185" s="451">
        <f ca="1">KTVTD20namMH!E186-V184</f>
        <v>13469.467839200837</v>
      </c>
      <c r="T185" s="420">
        <f ca="1">(T184-O185-P185)*(1+LS!$E$18)</f>
        <v>-10621.24683013444</v>
      </c>
      <c r="U185" s="958"/>
      <c r="V185" s="418">
        <f ca="1">(V184-O185-R185)*(1+LS!$F$18)</f>
        <v>-13583.997728419836</v>
      </c>
    </row>
    <row r="186" spans="5:22" ht="9.75" customHeight="1">
      <c r="L186" s="957"/>
      <c r="M186" s="262">
        <v>184</v>
      </c>
      <c r="N186" s="263">
        <f t="shared" ca="1" si="19"/>
        <v>10621.24683013444</v>
      </c>
      <c r="O186" s="256">
        <f ca="1">KTVTD20namMH!F187</f>
        <v>60</v>
      </c>
      <c r="P186" s="451">
        <f ca="1">IF('Tinh phi QL'!$H$9="Nam",VLOOKUP(KTVTUCOI!$I$18,KTVTUCOI!$D$3:$F$103,2,0)*N186/1000/12,IF('Tinh phi QL'!$H$9="Nữ",VLOOKUP(KTVTUCOI!$I$18,KTVTUCOI!$D$3:$F$103,3,0)*N186/1000/12,0))</f>
        <v>2.9296939173120831</v>
      </c>
      <c r="Q186" s="957"/>
      <c r="R186" s="452">
        <f ca="1">IF('Tinh phi QL'!$H$9="Nam",VLOOKUP(KTVTUCOI!$I$18,KTVTUCOI!$D$3:$F$103,2,0)*S186/1000/12,IF('Tinh phi QL'!$H$9="Nữ",VLOOKUP(KTVTUCOI!$I$18,KTVTUCOI!$D$3:$F$103,3,0)*S186/1000/12,0))</f>
        <v>3.7469193734224713</v>
      </c>
      <c r="S186" s="451">
        <f ca="1">KTVTD20namMH!E187-V185</f>
        <v>13583.997728419836</v>
      </c>
      <c r="T186" s="420">
        <f ca="1">(T185-O186-P186)*(1+LS!$E$18)</f>
        <v>-10688.618094836505</v>
      </c>
      <c r="U186" s="958"/>
      <c r="V186" s="418">
        <f ca="1">(V185-O186-R186)*(1+LS!$F$18)</f>
        <v>-13698.989365641964</v>
      </c>
    </row>
    <row r="187" spans="5:22" ht="9.75" customHeight="1">
      <c r="L187" s="957"/>
      <c r="M187" s="262">
        <v>185</v>
      </c>
      <c r="N187" s="263">
        <f t="shared" ca="1" si="19"/>
        <v>10688.618094836505</v>
      </c>
      <c r="O187" s="256">
        <f ca="1">KTVTD20namMH!F188</f>
        <v>60</v>
      </c>
      <c r="P187" s="451">
        <f ca="1">IF('Tinh phi QL'!$H$9="Nam",VLOOKUP(KTVTUCOI!$I$18,KTVTUCOI!$D$3:$F$103,2,0)*N187/1000/12,IF('Tinh phi QL'!$H$9="Nữ",VLOOKUP(KTVTUCOI!$I$18,KTVTUCOI!$D$3:$F$103,3,0)*N187/1000/12,0))</f>
        <v>2.9482771578257361</v>
      </c>
      <c r="Q187" s="957"/>
      <c r="R187" s="452">
        <f ca="1">IF('Tinh phi QL'!$H$9="Nam",VLOOKUP(KTVTUCOI!$I$18,KTVTUCOI!$D$3:$F$103,2,0)*S187/1000/12,IF('Tinh phi QL'!$H$9="Nữ",VLOOKUP(KTVTUCOI!$I$18,KTVTUCOI!$D$3:$F$103,3,0)*S187/1000/12,0))</f>
        <v>3.7786379000229089</v>
      </c>
      <c r="S187" s="451">
        <f ca="1">KTVTD20namMH!E188-V186</f>
        <v>13698.989365641964</v>
      </c>
      <c r="T187" s="420">
        <f ca="1">(T186-O187-P187)*(1+LS!$E$18)</f>
        <v>-10756.035957739259</v>
      </c>
      <c r="U187" s="958"/>
      <c r="V187" s="418">
        <f ca="1">(V186-O187-R187)*(1+LS!$F$18)</f>
        <v>-13814.444612487974</v>
      </c>
    </row>
    <row r="188" spans="5:22" ht="9.75" customHeight="1">
      <c r="L188" s="957"/>
      <c r="M188" s="262">
        <v>186</v>
      </c>
      <c r="N188" s="263">
        <f t="shared" ca="1" si="19"/>
        <v>10756.035957739259</v>
      </c>
      <c r="O188" s="256">
        <f ca="1">KTVTD20namMH!F189</f>
        <v>60</v>
      </c>
      <c r="P188" s="451">
        <f ca="1">IF('Tinh phi QL'!$H$9="Nam",VLOOKUP(KTVTUCOI!$I$18,KTVTUCOI!$D$3:$F$103,2,0)*N188/1000/12,IF('Tinh phi QL'!$H$9="Nữ",VLOOKUP(KTVTUCOI!$I$18,KTVTUCOI!$D$3:$F$103,3,0)*N188/1000/12,0))</f>
        <v>2.9668732516764122</v>
      </c>
      <c r="Q188" s="957"/>
      <c r="R188" s="452">
        <f ca="1">IF('Tinh phi QL'!$H$9="Nam",VLOOKUP(KTVTUCOI!$I$18,KTVTUCOI!$D$3:$F$103,2,0)*S188/1000/12,IF('Tinh phi QL'!$H$9="Nữ",VLOOKUP(KTVTUCOI!$I$18,KTVTUCOI!$D$3:$F$103,3,0)*S188/1000/12,0))</f>
        <v>3.8104843056112667</v>
      </c>
      <c r="S188" s="451">
        <f ca="1">KTVTD20namMH!E189-V187</f>
        <v>13814.444612487974</v>
      </c>
      <c r="T188" s="420">
        <f ca="1">(T187-O188-P188)*(1+LS!$E$18)</f>
        <v>-10823.500451072943</v>
      </c>
      <c r="U188" s="958"/>
      <c r="V188" s="418">
        <f ca="1">(V187-O188-R188)*(1+LS!$F$18)</f>
        <v>-13930.365338084081</v>
      </c>
    </row>
    <row r="189" spans="5:22" ht="9.75" customHeight="1">
      <c r="L189" s="957"/>
      <c r="M189" s="262">
        <v>187</v>
      </c>
      <c r="N189" s="263">
        <f t="shared" ca="1" si="19"/>
        <v>10823.500451072943</v>
      </c>
      <c r="O189" s="256">
        <f ca="1">KTVTD20namMH!F190</f>
        <v>60</v>
      </c>
      <c r="P189" s="451">
        <f ca="1">IF('Tinh phi QL'!$H$9="Nam",VLOOKUP(KTVTUCOI!$I$18,KTVTUCOI!$D$3:$F$103,2,0)*N189/1000/12,IF('Tinh phi QL'!$H$9="Nữ",VLOOKUP(KTVTUCOI!$I$18,KTVTUCOI!$D$3:$F$103,3,0)*N189/1000/12,0))</f>
        <v>2.9854822077542864</v>
      </c>
      <c r="Q189" s="957"/>
      <c r="R189" s="452">
        <f ca="1">IF('Tinh phi QL'!$H$9="Nam",VLOOKUP(KTVTUCOI!$I$18,KTVTUCOI!$D$3:$F$103,2,0)*S189/1000/12,IF('Tinh phi QL'!$H$9="Nữ",VLOOKUP(KTVTUCOI!$I$18,KTVTUCOI!$D$3:$F$103,3,0)*S189/1000/12,0))</f>
        <v>3.8424591057548589</v>
      </c>
      <c r="S189" s="451">
        <f ca="1">KTVTD20namMH!E190-V188</f>
        <v>13930.365338084081</v>
      </c>
      <c r="T189" s="420">
        <f ca="1">(T188-O189-P189)*(1+LS!$E$18)</f>
        <v>-10891.011607090095</v>
      </c>
      <c r="U189" s="958"/>
      <c r="V189" s="418">
        <f ca="1">(V188-O189-R189)*(1+LS!$F$18)</f>
        <v>-14046.753419092214</v>
      </c>
    </row>
    <row r="190" spans="5:22" ht="9.75" customHeight="1">
      <c r="L190" s="957"/>
      <c r="M190" s="262">
        <v>188</v>
      </c>
      <c r="N190" s="263">
        <f t="shared" ca="1" si="19"/>
        <v>10891.011607090095</v>
      </c>
      <c r="O190" s="256">
        <f ca="1">KTVTD20namMH!F191</f>
        <v>60</v>
      </c>
      <c r="P190" s="451">
        <f ca="1">IF('Tinh phi QL'!$H$9="Nam",VLOOKUP(KTVTUCOI!$I$18,KTVTUCOI!$D$3:$F$103,2,0)*N190/1000/12,IF('Tinh phi QL'!$H$9="Nữ",VLOOKUP(KTVTUCOI!$I$18,KTVTUCOI!$D$3:$F$103,3,0)*N190/1000/12,0))</f>
        <v>3.0041040349556849</v>
      </c>
      <c r="Q190" s="957"/>
      <c r="R190" s="452">
        <f ca="1">IF('Tinh phi QL'!$H$9="Nam",VLOOKUP(KTVTUCOI!$I$18,KTVTUCOI!$D$3:$F$103,2,0)*S190/1000/12,IF('Tinh phi QL'!$H$9="Nữ",VLOOKUP(KTVTUCOI!$I$18,KTVTUCOI!$D$3:$F$103,3,0)*S190/1000/12,0))</f>
        <v>3.8745628180996028</v>
      </c>
      <c r="S190" s="451">
        <f ca="1">KTVTD20namMH!E191-V189</f>
        <v>14046.753419092214</v>
      </c>
      <c r="T190" s="420">
        <f ca="1">(T189-O190-P190)*(1+LS!$E$18)</f>
        <v>-10958.56945806556</v>
      </c>
      <c r="U190" s="958"/>
      <c r="V190" s="418">
        <f ca="1">(V189-O190-R190)*(1+LS!$F$18)</f>
        <v>-14163.610739740414</v>
      </c>
    </row>
    <row r="191" spans="5:22" ht="9.75" customHeight="1">
      <c r="L191" s="957"/>
      <c r="M191" s="262">
        <v>189</v>
      </c>
      <c r="N191" s="263">
        <f t="shared" ca="1" si="19"/>
        <v>10958.56945806556</v>
      </c>
      <c r="O191" s="256">
        <f ca="1">KTVTD20namMH!F192</f>
        <v>60</v>
      </c>
      <c r="P191" s="451">
        <f ca="1">IF('Tinh phi QL'!$H$9="Nam",VLOOKUP(KTVTUCOI!$I$18,KTVTUCOI!$D$3:$F$103,2,0)*N191/1000/12,IF('Tinh phi QL'!$H$9="Nữ",VLOOKUP(KTVTUCOI!$I$18,KTVTUCOI!$D$3:$F$103,3,0)*N191/1000/12,0))</f>
        <v>3.0227387421830838</v>
      </c>
      <c r="Q191" s="957"/>
      <c r="R191" s="452">
        <f ca="1">IF('Tinh phi QL'!$H$9="Nam",VLOOKUP(KTVTUCOI!$I$18,KTVTUCOI!$D$3:$F$103,2,0)*S191/1000/12,IF('Tinh phi QL'!$H$9="Nữ",VLOOKUP(KTVTUCOI!$I$18,KTVTUCOI!$D$3:$F$103,3,0)*S191/1000/12,0))</f>
        <v>3.9067959623783981</v>
      </c>
      <c r="S191" s="451">
        <f ca="1">KTVTD20namMH!E192-V190</f>
        <v>14163.610739740414</v>
      </c>
      <c r="T191" s="420">
        <f ca="1">(T190-O191-P191)*(1+LS!$E$18)</f>
        <v>-11026.174036296507</v>
      </c>
      <c r="U191" s="958"/>
      <c r="V191" s="418">
        <f ca="1">(V190-O191-R191)*(1+LS!$F$18)</f>
        <v>-14280.93919185332</v>
      </c>
    </row>
    <row r="192" spans="5:22" ht="9.75" customHeight="1">
      <c r="L192" s="957"/>
      <c r="M192" s="262">
        <v>190</v>
      </c>
      <c r="N192" s="263">
        <f t="shared" ca="1" si="19"/>
        <v>11026.174036296507</v>
      </c>
      <c r="O192" s="256">
        <f ca="1">KTVTD20namMH!F193</f>
        <v>60</v>
      </c>
      <c r="P192" s="451">
        <f ca="1">IF('Tinh phi QL'!$H$9="Nam",VLOOKUP(KTVTUCOI!$I$18,KTVTUCOI!$D$3:$F$103,2,0)*N192/1000/12,IF('Tinh phi QL'!$H$9="Nữ",VLOOKUP(KTVTUCOI!$I$18,KTVTUCOI!$D$3:$F$103,3,0)*N192/1000/12,0))</f>
        <v>3.0413863383451196</v>
      </c>
      <c r="Q192" s="957"/>
      <c r="R192" s="452">
        <f ca="1">IF('Tinh phi QL'!$H$9="Nam",VLOOKUP(KTVTUCOI!$I$18,KTVTUCOI!$D$3:$F$103,2,0)*S192/1000/12,IF('Tinh phi QL'!$H$9="Nữ",VLOOKUP(KTVTUCOI!$I$18,KTVTUCOI!$D$3:$F$103,3,0)*S192/1000/12,0))</f>
        <v>3.939159060419541</v>
      </c>
      <c r="S192" s="451">
        <f ca="1">KTVTD20namMH!E193-V191</f>
        <v>14280.93919185332</v>
      </c>
      <c r="T192" s="420">
        <f ca="1">(T191-O192-P192)*(1+LS!$E$18)</f>
        <v>-11093.82537410244</v>
      </c>
      <c r="U192" s="958"/>
      <c r="V192" s="418">
        <f ca="1">(V191-O192-R192)*(1+LS!$F$18)</f>
        <v>-14398.740674882811</v>
      </c>
    </row>
    <row r="193" spans="12:22" ht="9.75" customHeight="1">
      <c r="L193" s="957"/>
      <c r="M193" s="262">
        <v>191</v>
      </c>
      <c r="N193" s="263">
        <f t="shared" ca="1" si="19"/>
        <v>11093.82537410244</v>
      </c>
      <c r="O193" s="256">
        <f ca="1">KTVTD20namMH!F194</f>
        <v>60</v>
      </c>
      <c r="P193" s="451">
        <f ca="1">IF('Tinh phi QL'!$H$9="Nam",VLOOKUP(KTVTUCOI!$I$18,KTVTUCOI!$D$3:$F$103,2,0)*N193/1000/12,IF('Tinh phi QL'!$H$9="Nữ",VLOOKUP(KTVTUCOI!$I$18,KTVTUCOI!$D$3:$F$103,3,0)*N193/1000/12,0))</f>
        <v>3.0600468323565901</v>
      </c>
      <c r="Q193" s="957"/>
      <c r="R193" s="452">
        <f ca="1">IF('Tinh phi QL'!$H$9="Nam",VLOOKUP(KTVTUCOI!$I$18,KTVTUCOI!$D$3:$F$103,2,0)*S193/1000/12,IF('Tinh phi QL'!$H$9="Nữ",VLOOKUP(KTVTUCOI!$I$18,KTVTUCOI!$D$3:$F$103,3,0)*S193/1000/12,0))</f>
        <v>3.9716526361551749</v>
      </c>
      <c r="S193" s="451">
        <f ca="1">KTVTD20namMH!E194-V192</f>
        <v>14398.740674882811</v>
      </c>
      <c r="T193" s="420">
        <f ca="1">(T192-O193-P193)*(1+LS!$E$18)</f>
        <v>-11161.523503825221</v>
      </c>
      <c r="U193" s="958"/>
      <c r="V193" s="418">
        <f ca="1">(V192-O193-R193)*(1+LS!$F$18)</f>
        <v>-14517.017095938747</v>
      </c>
    </row>
    <row r="194" spans="12:22" ht="9.75" customHeight="1">
      <c r="L194" s="957"/>
      <c r="M194" s="262">
        <v>192</v>
      </c>
      <c r="N194" s="263">
        <f t="shared" ca="1" si="19"/>
        <v>11161.523503825221</v>
      </c>
      <c r="O194" s="256">
        <f ca="1">KTVTD20namMH!F195</f>
        <v>60</v>
      </c>
      <c r="P194" s="451">
        <f ca="1">IF('Tinh phi QL'!$H$9="Nam",VLOOKUP(KTVTUCOI!$I$18,KTVTUCOI!$D$3:$F$103,2,0)*N194/1000/12,IF('Tinh phi QL'!$H$9="Nữ",VLOOKUP(KTVTUCOI!$I$18,KTVTUCOI!$D$3:$F$103,3,0)*N194/1000/12,0))</f>
        <v>3.0787202331384567</v>
      </c>
      <c r="Q194" s="957"/>
      <c r="R194" s="452">
        <f ca="1">IF('Tinh phi QL'!$H$9="Nam",VLOOKUP(KTVTUCOI!$I$18,KTVTUCOI!$D$3:$F$103,2,0)*S194/1000/12,IF('Tinh phi QL'!$H$9="Nữ",VLOOKUP(KTVTUCOI!$I$18,KTVTUCOI!$D$3:$F$103,3,0)*S194/1000/12,0))</f>
        <v>4.004277215629771</v>
      </c>
      <c r="S194" s="451">
        <f ca="1">KTVTD20namMH!E195-V193</f>
        <v>14517.017095938747</v>
      </c>
      <c r="T194" s="421">
        <f ca="1">(T193-O194-P194)*(1+LS!$E$18)</f>
        <v>-11229.268457829079</v>
      </c>
      <c r="U194" s="958"/>
      <c r="V194" s="419">
        <f ca="1">(V193-O194-R194)*(1+LS!$F$18)</f>
        <v>-14635.770369819849</v>
      </c>
    </row>
    <row r="195" spans="12:22" ht="9.75" customHeight="1">
      <c r="L195" s="960">
        <f>L183+1</f>
        <v>17</v>
      </c>
      <c r="M195" s="265">
        <v>193</v>
      </c>
      <c r="N195" s="266">
        <f ca="1">$J$19-T194-KTVTDGTTKcamket!F23</f>
        <v>11229.268457829079</v>
      </c>
      <c r="O195" s="256">
        <f ca="1">KTVTD20namMH!F196</f>
        <v>60</v>
      </c>
      <c r="P195" s="453">
        <f ca="1">IF('Tinh phi QL'!$H$9="Nam",VLOOKUP(KTVTUCOI!$I$19,KTVTUCOI!$D$3:$F$103,2,0)*N195/1000/12,IF('Tinh phi QL'!$H$9="Nữ",VLOOKUP(KTVTUCOI!$I$19,KTVTUCOI!$D$3:$F$103,3,0)*N195/1000/12,0))</f>
        <v>3.3500650899190085</v>
      </c>
      <c r="Q195" s="957"/>
      <c r="R195" s="452">
        <f ca="1">IF('Tinh phi QL'!$H$9="Nam",VLOOKUP(KTVTUCOI!$I$19,KTVTUCOI!$D$3:$F$103,2,0)*S195/1000/12,IF('Tinh phi QL'!$H$9="Nữ",VLOOKUP(KTVTUCOI!$I$19,KTVTUCOI!$D$3:$F$103,3,0)*S195/1000/12,0))</f>
        <v>4.3663381603295885</v>
      </c>
      <c r="S195" s="453">
        <f ca="1">KTVTD20namMH!E196-V194-KTVTDGTTKMH!F23</f>
        <v>14635.770369819849</v>
      </c>
      <c r="T195" s="425">
        <f ca="1">(T194+KTVTDGTTKcamket!F23-O195-P195)*(1+LS!$E$19)</f>
        <v>-11297.313032074837</v>
      </c>
      <c r="U195" s="958">
        <f>Q195</f>
        <v>0</v>
      </c>
      <c r="V195" s="418">
        <f ca="1">(V194+KTVTUGTTKMH!F23-O195-R195)*(1+LS!$F$19)</f>
        <v>-14755.332960355816</v>
      </c>
    </row>
    <row r="196" spans="12:22" ht="9.75" customHeight="1">
      <c r="L196" s="960"/>
      <c r="M196" s="265">
        <v>194</v>
      </c>
      <c r="N196" s="266">
        <f ca="1">$J$19-T195</f>
        <v>11297.313032074837</v>
      </c>
      <c r="O196" s="256">
        <f ca="1">KTVTD20namMH!F197</f>
        <v>60</v>
      </c>
      <c r="P196" s="453">
        <f ca="1">IF('Tinh phi QL'!$H$9="Nam",VLOOKUP(KTVTUCOI!$I$19,KTVTUCOI!$D$3:$F$103,2,0)*N196/1000/12,IF('Tinh phi QL'!$H$9="Nữ",VLOOKUP(KTVTUCOI!$I$19,KTVTUCOI!$D$3:$F$103,3,0)*N196/1000/12,0))</f>
        <v>3.3703650545689929</v>
      </c>
      <c r="Q196" s="957"/>
      <c r="R196" s="452">
        <f ca="1">IF('Tinh phi QL'!$H$9="Nam",VLOOKUP(KTVTUCOI!$I$19,KTVTUCOI!$D$3:$F$103,2,0)*S196/1000/12,IF('Tinh phi QL'!$H$9="Nữ",VLOOKUP(KTVTUCOI!$I$19,KTVTUCOI!$D$3:$F$103,3,0)*S196/1000/12,0))</f>
        <v>4.4020076665061518</v>
      </c>
      <c r="S196" s="453">
        <f ca="1">KTVTD20namMH!E197-V195</f>
        <v>14755.332960355816</v>
      </c>
      <c r="T196" s="425">
        <f ca="1">(T195-O196-P196)*(1+LS!$E$19)</f>
        <v>-11365.406201863858</v>
      </c>
      <c r="U196" s="958"/>
      <c r="V196" s="418">
        <f ca="1">(V195-O196-R196)*(1+LS!$F$19)</f>
        <v>-14875.38028940161</v>
      </c>
    </row>
    <row r="197" spans="12:22" ht="9.75" customHeight="1">
      <c r="L197" s="960"/>
      <c r="M197" s="265">
        <v>195</v>
      </c>
      <c r="N197" s="266">
        <f t="shared" ref="N197:N206" ca="1" si="20">$J$19-T196</f>
        <v>11365.406201863858</v>
      </c>
      <c r="O197" s="256">
        <f ca="1">KTVTD20namMH!F198</f>
        <v>60</v>
      </c>
      <c r="P197" s="453">
        <f ca="1">IF('Tinh phi QL'!$H$9="Nam",VLOOKUP(KTVTUCOI!$I$19,KTVTUCOI!$D$3:$F$103,2,0)*N197/1000/12,IF('Tinh phi QL'!$H$9="Nữ",VLOOKUP(KTVTUCOI!$I$19,KTVTUCOI!$D$3:$F$103,3,0)*N197/1000/12,0))</f>
        <v>3.3906795168893837</v>
      </c>
      <c r="Q197" s="957"/>
      <c r="R197" s="452">
        <f ca="1">IF('Tinh phi QL'!$H$9="Nam",VLOOKUP(KTVTUCOI!$I$19,KTVTUCOI!$D$3:$F$103,2,0)*S197/1000/12,IF('Tinh phi QL'!$H$9="Nữ",VLOOKUP(KTVTUCOI!$I$19,KTVTUCOI!$D$3:$F$103,3,0)*S197/1000/12,0))</f>
        <v>4.4378217863381471</v>
      </c>
      <c r="S197" s="453">
        <f ca="1">KTVTD20namMH!E198-V196</f>
        <v>14875.38028940161</v>
      </c>
      <c r="T197" s="425">
        <f ca="1">(T196-O197-P197)*(1+LS!$E$19)</f>
        <v>-11433.54800190173</v>
      </c>
      <c r="U197" s="958"/>
      <c r="V197" s="418">
        <f ca="1">(V196-O197-R197)*(1+LS!$F$19)</f>
        <v>-14995.914322215944</v>
      </c>
    </row>
    <row r="198" spans="12:22" ht="9.75" customHeight="1">
      <c r="L198" s="960"/>
      <c r="M198" s="265">
        <v>196</v>
      </c>
      <c r="N198" s="266">
        <f t="shared" ca="1" si="20"/>
        <v>11433.54800190173</v>
      </c>
      <c r="O198" s="256">
        <f ca="1">KTVTD20namMH!F199</f>
        <v>60</v>
      </c>
      <c r="P198" s="453">
        <f ca="1">IF('Tinh phi QL'!$H$9="Nam",VLOOKUP(KTVTUCOI!$I$19,KTVTUCOI!$D$3:$F$103,2,0)*N198/1000/12,IF('Tinh phi QL'!$H$9="Nữ",VLOOKUP(KTVTUCOI!$I$19,KTVTUCOI!$D$3:$F$103,3,0)*N198/1000/12,0))</f>
        <v>3.4110084872340161</v>
      </c>
      <c r="Q198" s="957"/>
      <c r="R198" s="452">
        <f ca="1">IF('Tinh phi QL'!$H$9="Nam",VLOOKUP(KTVTUCOI!$I$19,KTVTUCOI!$D$3:$F$103,2,0)*S198/1000/12,IF('Tinh phi QL'!$H$9="Nữ",VLOOKUP(KTVTUCOI!$I$19,KTVTUCOI!$D$3:$F$103,3,0)*S198/1000/12,0))</f>
        <v>4.473781106127757</v>
      </c>
      <c r="S198" s="453">
        <f ca="1">KTVTD20namMH!E199-V197</f>
        <v>14995.914322215944</v>
      </c>
      <c r="T198" s="425">
        <f ca="1">(T197-O198-P198)*(1+LS!$E$19)</f>
        <v>-11501.738466918823</v>
      </c>
      <c r="U198" s="958"/>
      <c r="V198" s="418">
        <f ca="1">(V197-O198-R198)*(1+LS!$F$19)</f>
        <v>-15116.937032025213</v>
      </c>
    </row>
    <row r="199" spans="12:22" ht="9.75" customHeight="1">
      <c r="L199" s="960"/>
      <c r="M199" s="265">
        <v>197</v>
      </c>
      <c r="N199" s="266">
        <f t="shared" ca="1" si="20"/>
        <v>11501.738466918823</v>
      </c>
      <c r="O199" s="256">
        <f ca="1">KTVTD20namMH!F200</f>
        <v>60</v>
      </c>
      <c r="P199" s="453">
        <f ca="1">IF('Tinh phi QL'!$H$9="Nam",VLOOKUP(KTVTUCOI!$I$19,KTVTUCOI!$D$3:$F$103,2,0)*N199/1000/12,IF('Tinh phi QL'!$H$9="Nữ",VLOOKUP(KTVTUCOI!$I$19,KTVTUCOI!$D$3:$F$103,3,0)*N199/1000/12,0))</f>
        <v>3.4313519759641156</v>
      </c>
      <c r="Q199" s="957"/>
      <c r="R199" s="452">
        <f ca="1">IF('Tinh phi QL'!$H$9="Nam",VLOOKUP(KTVTUCOI!$I$19,KTVTUCOI!$D$3:$F$103,2,0)*S199/1000/12,IF('Tinh phi QL'!$H$9="Nữ",VLOOKUP(KTVTUCOI!$I$19,KTVTUCOI!$D$3:$F$103,3,0)*S199/1000/12,0))</f>
        <v>4.5098862145541885</v>
      </c>
      <c r="S199" s="453">
        <f ca="1">KTVTD20namMH!E200-V198</f>
        <v>15116.937032025213</v>
      </c>
      <c r="T199" s="425">
        <f ca="1">(T198-O199-P199)*(1+LS!$E$19)</f>
        <v>-11569.977631670314</v>
      </c>
      <c r="U199" s="958"/>
      <c r="V199" s="418">
        <f ca="1">(V198-O199-R199)*(1+LS!$F$19)</f>
        <v>-15238.450400055799</v>
      </c>
    </row>
    <row r="200" spans="12:22" ht="9.75" customHeight="1">
      <c r="L200" s="960"/>
      <c r="M200" s="265">
        <v>198</v>
      </c>
      <c r="N200" s="266">
        <f t="shared" ca="1" si="20"/>
        <v>11569.977631670314</v>
      </c>
      <c r="O200" s="256">
        <f ca="1">KTVTD20namMH!F201</f>
        <v>60</v>
      </c>
      <c r="P200" s="453">
        <f ca="1">IF('Tinh phi QL'!$H$9="Nam",VLOOKUP(KTVTUCOI!$I$19,KTVTUCOI!$D$3:$F$103,2,0)*N200/1000/12,IF('Tinh phi QL'!$H$9="Nữ",VLOOKUP(KTVTUCOI!$I$19,KTVTUCOI!$D$3:$F$103,3,0)*N200/1000/12,0))</f>
        <v>3.45170999344831</v>
      </c>
      <c r="Q200" s="957"/>
      <c r="R200" s="452">
        <f ca="1">IF('Tinh phi QL'!$H$9="Nam",VLOOKUP(KTVTUCOI!$I$19,KTVTUCOI!$D$3:$F$103,2,0)*S200/1000/12,IF('Tinh phi QL'!$H$9="Nữ",VLOOKUP(KTVTUCOI!$I$19,KTVTUCOI!$D$3:$F$103,3,0)*S200/1000/12,0))</f>
        <v>4.5461377026833132</v>
      </c>
      <c r="S200" s="453">
        <f ca="1">KTVTD20namMH!E201-V199</f>
        <v>15238.450400055799</v>
      </c>
      <c r="T200" s="425">
        <f ca="1">(T199-O200-P200)*(1+LS!$E$19)</f>
        <v>-11638.265530936198</v>
      </c>
      <c r="U200" s="958"/>
      <c r="V200" s="418">
        <f ca="1">(V199-O200-R200)*(1+LS!$F$19)</f>
        <v>-15360.456415566496</v>
      </c>
    </row>
    <row r="201" spans="12:22" ht="9.75" customHeight="1">
      <c r="L201" s="960"/>
      <c r="M201" s="265">
        <v>199</v>
      </c>
      <c r="N201" s="266">
        <f t="shared" ca="1" si="20"/>
        <v>11638.265530936198</v>
      </c>
      <c r="O201" s="256">
        <f ca="1">KTVTD20namMH!F202</f>
        <v>60</v>
      </c>
      <c r="P201" s="453">
        <f ca="1">IF('Tinh phi QL'!$H$9="Nam",VLOOKUP(KTVTUCOI!$I$19,KTVTUCOI!$D$3:$F$103,2,0)*N201/1000/12,IF('Tinh phi QL'!$H$9="Nữ",VLOOKUP(KTVTUCOI!$I$19,KTVTUCOI!$D$3:$F$103,3,0)*N201/1000/12,0))</f>
        <v>3.4720825500626322</v>
      </c>
      <c r="Q201" s="957"/>
      <c r="R201" s="452">
        <f ca="1">IF('Tinh phi QL'!$H$9="Nam",VLOOKUP(KTVTUCOI!$I$19,KTVTUCOI!$D$3:$F$103,2,0)*S201/1000/12,IF('Tinh phi QL'!$H$9="Nữ",VLOOKUP(KTVTUCOI!$I$19,KTVTUCOI!$D$3:$F$103,3,0)*S201/1000/12,0))</f>
        <v>4.5825361639773385</v>
      </c>
      <c r="S201" s="453">
        <f ca="1">KTVTD20namMH!E202-V200</f>
        <v>15360.456415566496</v>
      </c>
      <c r="T201" s="425">
        <f ca="1">(T200-O201-P201)*(1+LS!$E$19)</f>
        <v>-11706.60219952131</v>
      </c>
      <c r="U201" s="958"/>
      <c r="V201" s="418">
        <f ca="1">(V200-O201-R201)*(1+LS!$F$19)</f>
        <v>-15482.957075881086</v>
      </c>
    </row>
    <row r="202" spans="12:22" ht="9.75" customHeight="1">
      <c r="L202" s="960"/>
      <c r="M202" s="265">
        <v>200</v>
      </c>
      <c r="N202" s="266">
        <f t="shared" ca="1" si="20"/>
        <v>11706.60219952131</v>
      </c>
      <c r="O202" s="256">
        <f ca="1">KTVTD20namMH!F203</f>
        <v>60</v>
      </c>
      <c r="P202" s="453">
        <f ca="1">IF('Tinh phi QL'!$H$9="Nam",VLOOKUP(KTVTUCOI!$I$19,KTVTUCOI!$D$3:$F$103,2,0)*N202/1000/12,IF('Tinh phi QL'!$H$9="Nữ",VLOOKUP(KTVTUCOI!$I$19,KTVTUCOI!$D$3:$F$103,3,0)*N202/1000/12,0))</f>
        <v>3.4924696561905244</v>
      </c>
      <c r="Q202" s="957"/>
      <c r="R202" s="452">
        <f ca="1">IF('Tinh phi QL'!$H$9="Nam",VLOOKUP(KTVTUCOI!$I$19,KTVTUCOI!$D$3:$F$103,2,0)*S202/1000/12,IF('Tinh phi QL'!$H$9="Nữ",VLOOKUP(KTVTUCOI!$I$19,KTVTUCOI!$D$3:$F$103,3,0)*S202/1000/12,0))</f>
        <v>4.6190821943045242</v>
      </c>
      <c r="S202" s="453">
        <f ca="1">KTVTD20namMH!E203-V201</f>
        <v>15482.957075881086</v>
      </c>
      <c r="T202" s="425">
        <f ca="1">(T201-O202-P202)*(1+LS!$E$19)</f>
        <v>-11774.987672255344</v>
      </c>
      <c r="U202" s="958"/>
      <c r="V202" s="418">
        <f ca="1">(V201-O202-R202)*(1+LS!$F$19)</f>
        <v>-15605.954386421028</v>
      </c>
    </row>
    <row r="203" spans="12:22" ht="9.75" customHeight="1">
      <c r="L203" s="960"/>
      <c r="M203" s="265">
        <v>201</v>
      </c>
      <c r="N203" s="266">
        <f t="shared" ca="1" si="20"/>
        <v>11774.987672255344</v>
      </c>
      <c r="O203" s="256">
        <f ca="1">KTVTD20namMH!F204</f>
        <v>60</v>
      </c>
      <c r="P203" s="453">
        <f ca="1">IF('Tinh phi QL'!$H$9="Nam",VLOOKUP(KTVTUCOI!$I$19,KTVTUCOI!$D$3:$F$103,2,0)*N203/1000/12,IF('Tinh phi QL'!$H$9="Nữ",VLOOKUP(KTVTUCOI!$I$19,KTVTUCOI!$D$3:$F$103,3,0)*N203/1000/12,0))</f>
        <v>3.512871322222844</v>
      </c>
      <c r="Q203" s="957"/>
      <c r="R203" s="452">
        <f ca="1">IF('Tinh phi QL'!$H$9="Nam",VLOOKUP(KTVTUCOI!$I$19,KTVTUCOI!$D$3:$F$103,2,0)*S203/1000/12,IF('Tinh phi QL'!$H$9="Nữ",VLOOKUP(KTVTUCOI!$I$19,KTVTUCOI!$D$3:$F$103,3,0)*S203/1000/12,0))</f>
        <v>4.6557763919489403</v>
      </c>
      <c r="S203" s="453">
        <f ca="1">KTVTD20namMH!E204-V202</f>
        <v>15605.954386421028</v>
      </c>
      <c r="T203" s="425">
        <f ca="1">(T202-O203-P203)*(1+LS!$E$19)</f>
        <v>-11843.421983992863</v>
      </c>
      <c r="U203" s="958"/>
      <c r="V203" s="418">
        <f ca="1">(V202-O203-R203)*(1+LS!$F$19)</f>
        <v>-15729.450360738299</v>
      </c>
    </row>
    <row r="204" spans="12:22" ht="9.75" customHeight="1">
      <c r="L204" s="960"/>
      <c r="M204" s="265">
        <v>202</v>
      </c>
      <c r="N204" s="266">
        <f t="shared" ca="1" si="20"/>
        <v>11843.421983992863</v>
      </c>
      <c r="O204" s="256">
        <f ca="1">KTVTD20namMH!F205</f>
        <v>60</v>
      </c>
      <c r="P204" s="453">
        <f ca="1">IF('Tinh phi QL'!$H$9="Nam",VLOOKUP(KTVTUCOI!$I$19,KTVTUCOI!$D$3:$F$103,2,0)*N204/1000/12,IF('Tinh phi QL'!$H$9="Nữ",VLOOKUP(KTVTUCOI!$I$19,KTVTUCOI!$D$3:$F$103,3,0)*N204/1000/12,0))</f>
        <v>3.5332875585578711</v>
      </c>
      <c r="Q204" s="957"/>
      <c r="R204" s="452">
        <f ca="1">IF('Tinh phi QL'!$H$9="Nam",VLOOKUP(KTVTUCOI!$I$19,KTVTUCOI!$D$3:$F$103,2,0)*S204/1000/12,IF('Tinh phi QL'!$H$9="Nữ",VLOOKUP(KTVTUCOI!$I$19,KTVTUCOI!$D$3:$F$103,3,0)*S204/1000/12,0))</f>
        <v>4.6926193576202593</v>
      </c>
      <c r="S204" s="453">
        <f ca="1">KTVTD20namMH!E205-V203</f>
        <v>15729.450360738299</v>
      </c>
      <c r="T204" s="425">
        <f ca="1">(T203-O204-P204)*(1+LS!$E$19)</f>
        <v>-11911.905169613328</v>
      </c>
      <c r="U204" s="958"/>
      <c r="V204" s="418">
        <f ca="1">(V203-O204-R204)*(1+LS!$F$19)</f>
        <v>-15853.447020548347</v>
      </c>
    </row>
    <row r="205" spans="12:22" ht="9.75" customHeight="1">
      <c r="L205" s="960"/>
      <c r="M205" s="265">
        <v>203</v>
      </c>
      <c r="N205" s="266">
        <f t="shared" ca="1" si="20"/>
        <v>11911.905169613328</v>
      </c>
      <c r="O205" s="256">
        <f ca="1">KTVTD20namMH!F206</f>
        <v>60</v>
      </c>
      <c r="P205" s="453">
        <f ca="1">IF('Tinh phi QL'!$H$9="Nam",VLOOKUP(KTVTUCOI!$I$19,KTVTUCOI!$D$3:$F$103,2,0)*N205/1000/12,IF('Tinh phi QL'!$H$9="Nữ",VLOOKUP(KTVTUCOI!$I$19,KTVTUCOI!$D$3:$F$103,3,0)*N205/1000/12,0))</f>
        <v>3.55371837560131</v>
      </c>
      <c r="Q205" s="957"/>
      <c r="R205" s="452">
        <f ca="1">IF('Tinh phi QL'!$H$9="Nam",VLOOKUP(KTVTUCOI!$I$19,KTVTUCOI!$D$3:$F$103,2,0)*S205/1000/12,IF('Tinh phi QL'!$H$9="Nữ",VLOOKUP(KTVTUCOI!$I$19,KTVTUCOI!$D$3:$F$103,3,0)*S205/1000/12,0))</f>
        <v>4.72961169446359</v>
      </c>
      <c r="S205" s="453">
        <f ca="1">KTVTD20namMH!E206-V204</f>
        <v>15853.447020548347</v>
      </c>
      <c r="T205" s="425">
        <f ca="1">(T204-O205-P205)*(1+LS!$E$19)</f>
        <v>-11980.437264021108</v>
      </c>
      <c r="U205" s="958"/>
      <c r="V205" s="418">
        <f ca="1">(V204-O205-R205)*(1+LS!$F$19)</f>
        <v>-15977.946395763192</v>
      </c>
    </row>
    <row r="206" spans="12:22" ht="9.75" customHeight="1">
      <c r="L206" s="960"/>
      <c r="M206" s="265">
        <v>204</v>
      </c>
      <c r="N206" s="266">
        <f t="shared" ca="1" si="20"/>
        <v>11980.437264021108</v>
      </c>
      <c r="O206" s="256">
        <f ca="1">KTVTD20namMH!F207</f>
        <v>60</v>
      </c>
      <c r="P206" s="453">
        <f ca="1">IF('Tinh phi QL'!$H$9="Nam",VLOOKUP(KTVTUCOI!$I$19,KTVTUCOI!$D$3:$F$103,2,0)*N206/1000/12,IF('Tinh phi QL'!$H$9="Nữ",VLOOKUP(KTVTUCOI!$I$19,KTVTUCOI!$D$3:$F$103,3,0)*N206/1000/12,0))</f>
        <v>3.5741637837662972</v>
      </c>
      <c r="Q206" s="957"/>
      <c r="R206" s="452">
        <f ca="1">IF('Tinh phi QL'!$H$9="Nam",VLOOKUP(KTVTUCOI!$I$19,KTVTUCOI!$D$3:$F$103,2,0)*S206/1000/12,IF('Tinh phi QL'!$H$9="Nữ",VLOOKUP(KTVTUCOI!$I$19,KTVTUCOI!$D$3:$F$103,3,0)*S206/1000/12,0))</f>
        <v>4.7667540080693529</v>
      </c>
      <c r="S206" s="453">
        <f ca="1">KTVTD20namMH!E207-V205</f>
        <v>15977.946395763192</v>
      </c>
      <c r="T206" s="426">
        <f ca="1">(T205-O206-P206)*(1+LS!$E$19)</f>
        <v>-12049.018302145498</v>
      </c>
      <c r="U206" s="958"/>
      <c r="V206" s="419">
        <f ca="1">(V205-O206-R206)*(1+LS!$F$19)</f>
        <v>-16102.950524524656</v>
      </c>
    </row>
    <row r="207" spans="12:22" ht="9.75" customHeight="1">
      <c r="L207" s="957">
        <f>L195+1</f>
        <v>18</v>
      </c>
      <c r="M207" s="262">
        <v>205</v>
      </c>
      <c r="N207" s="263">
        <f ca="1">$J$20-T206-KTVTDGTTKcamket!F24</f>
        <v>12049.018302145498</v>
      </c>
      <c r="O207" s="256">
        <f ca="1">KTVTD20namMH!F208</f>
        <v>60</v>
      </c>
      <c r="P207" s="451">
        <f ca="1">IF('Tinh phi QL'!$H$9="Nam",VLOOKUP(KTVTUCOI!$I$20,KTVTUCOI!$D$3:$F$103,2,0)*N207/1000/12,IF('Tinh phi QL'!$H$9="Nữ",VLOOKUP(KTVTUCOI!$I$20,KTVTUCOI!$D$3:$F$103,3,0)*N207/1000/12,0))</f>
        <v>3.8858084024419228</v>
      </c>
      <c r="Q207" s="957"/>
      <c r="R207" s="452">
        <f ca="1">IF('Tinh phi QL'!$H$9="Nam",VLOOKUP(KTVTUCOI!$I$20,KTVTUCOI!$D$3:$F$103,2,0)*S207/1000/12,IF('Tinh phi QL'!$H$9="Nữ",VLOOKUP(KTVTUCOI!$I$20,KTVTUCOI!$D$3:$F$103,3,0)*S207/1000/12,0))</f>
        <v>5.1932015441592023</v>
      </c>
      <c r="S207" s="451">
        <f ca="1">KTVTD20namMH!E208-V206-KTVTDGTTKMH!F24</f>
        <v>16102.950524524656</v>
      </c>
      <c r="T207" s="425">
        <f ca="1">(T206+KTVTDGTTKcamket!F24-O207-P207)*(1+LS!$E$20)</f>
        <v>-12117.939624599474</v>
      </c>
      <c r="U207" s="958">
        <f>Q207</f>
        <v>0</v>
      </c>
      <c r="V207" s="418">
        <f ca="1">(V206+KTVTUGTTKMH!F24-O207-R207)*(1+LS!$F$20)</f>
        <v>-16228.852069077981</v>
      </c>
    </row>
    <row r="208" spans="12:22" ht="9.75" customHeight="1">
      <c r="L208" s="957"/>
      <c r="M208" s="262">
        <v>206</v>
      </c>
      <c r="N208" s="263">
        <f ca="1">$J$20-T207</f>
        <v>12117.939624599474</v>
      </c>
      <c r="O208" s="256">
        <f ca="1">KTVTD20namMH!F209</f>
        <v>60</v>
      </c>
      <c r="P208" s="451">
        <f ca="1">IF('Tinh phi QL'!$H$9="Nam",VLOOKUP(KTVTUCOI!$I$20,KTVTUCOI!$D$3:$F$103,2,0)*N208/1000/12,IF('Tinh phi QL'!$H$9="Nữ",VLOOKUP(KTVTUCOI!$I$20,KTVTUCOI!$D$3:$F$103,3,0)*N208/1000/12,0))</f>
        <v>3.9080355289333304</v>
      </c>
      <c r="Q208" s="957"/>
      <c r="R208" s="452">
        <f ca="1">IF('Tinh phi QL'!$H$9="Nam",VLOOKUP(KTVTUCOI!$I$20,KTVTUCOI!$D$3:$F$103,2,0)*S208/1000/12,IF('Tinh phi QL'!$H$9="Nữ",VLOOKUP(KTVTUCOI!$I$20,KTVTUCOI!$D$3:$F$103,3,0)*S208/1000/12,0))</f>
        <v>5.2338047922776489</v>
      </c>
      <c r="S208" s="451">
        <f ca="1">KTVTD20namMH!E209-V207</f>
        <v>16228.852069077981</v>
      </c>
      <c r="T208" s="425">
        <f ca="1">(T207-O208-P208)*(1+LS!$E$20)</f>
        <v>-12186.91183503695</v>
      </c>
      <c r="U208" s="958"/>
      <c r="V208" s="418">
        <f ca="1">(V207-O208-R208)*(1+LS!$F$20)</f>
        <v>-16355.267105990108</v>
      </c>
    </row>
    <row r="209" spans="12:22" ht="9.75" customHeight="1">
      <c r="L209" s="957"/>
      <c r="M209" s="262">
        <v>207</v>
      </c>
      <c r="N209" s="263">
        <f t="shared" ref="N209:N218" ca="1" si="21">$J$20-T208</f>
        <v>12186.91183503695</v>
      </c>
      <c r="O209" s="256">
        <f ca="1">KTVTD20namMH!F210</f>
        <v>60</v>
      </c>
      <c r="P209" s="451">
        <f ca="1">IF('Tinh phi QL'!$H$9="Nam",VLOOKUP(KTVTUCOI!$I$20,KTVTUCOI!$D$3:$F$103,2,0)*N209/1000/12,IF('Tinh phi QL'!$H$9="Nữ",VLOOKUP(KTVTUCOI!$I$20,KTVTUCOI!$D$3:$F$103,3,0)*N209/1000/12,0))</f>
        <v>3.9302790667994163</v>
      </c>
      <c r="Q209" s="957"/>
      <c r="R209" s="452">
        <f ca="1">IF('Tinh phi QL'!$H$9="Nam",VLOOKUP(KTVTUCOI!$I$20,KTVTUCOI!$D$3:$F$103,2,0)*S209/1000/12,IF('Tinh phi QL'!$H$9="Nữ",VLOOKUP(KTVTUCOI!$I$20,KTVTUCOI!$D$3:$F$103,3,0)*S209/1000/12,0))</f>
        <v>5.2745736416818092</v>
      </c>
      <c r="S209" s="451">
        <f ca="1">KTVTD20namMH!E210-V208</f>
        <v>16355.267105990108</v>
      </c>
      <c r="T209" s="425">
        <f ca="1">(T208-O209-P209)*(1+LS!$E$20)</f>
        <v>-12255.934971031013</v>
      </c>
      <c r="U209" s="958"/>
      <c r="V209" s="418">
        <f ca="1">(V208-O209-R209)*(1+LS!$F$20)</f>
        <v>-16482.197729551488</v>
      </c>
    </row>
    <row r="210" spans="12:22" ht="9.75" customHeight="1">
      <c r="L210" s="957"/>
      <c r="M210" s="262">
        <v>208</v>
      </c>
      <c r="N210" s="263">
        <f t="shared" ca="1" si="21"/>
        <v>12255.934971031013</v>
      </c>
      <c r="O210" s="256">
        <f ca="1">KTVTD20namMH!F211</f>
        <v>60</v>
      </c>
      <c r="P210" s="451">
        <f ca="1">IF('Tinh phi QL'!$H$9="Nam",VLOOKUP(KTVTUCOI!$I$20,KTVTUCOI!$D$3:$F$103,2,0)*N210/1000/12,IF('Tinh phi QL'!$H$9="Nữ",VLOOKUP(KTVTUCOI!$I$20,KTVTUCOI!$D$3:$F$103,3,0)*N210/1000/12,0))</f>
        <v>3.9525390281575015</v>
      </c>
      <c r="Q210" s="957"/>
      <c r="R210" s="452">
        <f ca="1">IF('Tinh phi QL'!$H$9="Nam",VLOOKUP(KTVTUCOI!$I$20,KTVTUCOI!$D$3:$F$103,2,0)*S210/1000/12,IF('Tinh phi QL'!$H$9="Nữ",VLOOKUP(KTVTUCOI!$I$20,KTVTUCOI!$D$3:$F$103,3,0)*S210/1000/12,0))</f>
        <v>5.3155087677803552</v>
      </c>
      <c r="S210" s="451">
        <f ca="1">KTVTD20namMH!E211-V209</f>
        <v>16482.197729551488</v>
      </c>
      <c r="T210" s="425">
        <f ca="1">(T209-O210-P210)*(1+LS!$E$20)</f>
        <v>-12325.009070182494</v>
      </c>
      <c r="U210" s="958"/>
      <c r="V210" s="418">
        <f ca="1">(V209-O210-R210)*(1+LS!$F$20)</f>
        <v>-16609.646042594188</v>
      </c>
    </row>
    <row r="211" spans="12:22" ht="9.75" customHeight="1">
      <c r="L211" s="957"/>
      <c r="M211" s="262">
        <v>209</v>
      </c>
      <c r="N211" s="263">
        <f t="shared" ca="1" si="21"/>
        <v>12325.009070182494</v>
      </c>
      <c r="O211" s="256">
        <f ca="1">KTVTD20namMH!F212</f>
        <v>60</v>
      </c>
      <c r="P211" s="451">
        <f ca="1">IF('Tinh phi QL'!$H$9="Nam",VLOOKUP(KTVTUCOI!$I$20,KTVTUCOI!$D$3:$F$103,2,0)*N211/1000/12,IF('Tinh phi QL'!$H$9="Nữ",VLOOKUP(KTVTUCOI!$I$20,KTVTUCOI!$D$3:$F$103,3,0)*N211/1000/12,0))</f>
        <v>3.9748154251338548</v>
      </c>
      <c r="Q211" s="957"/>
      <c r="R211" s="452">
        <f ca="1">IF('Tinh phi QL'!$H$9="Nam",VLOOKUP(KTVTUCOI!$I$20,KTVTUCOI!$D$3:$F$103,2,0)*S211/1000/12,IF('Tinh phi QL'!$H$9="Nữ",VLOOKUP(KTVTUCOI!$I$20,KTVTUCOI!$D$3:$F$103,3,0)*S211/1000/12,0))</f>
        <v>5.3566108487366257</v>
      </c>
      <c r="S211" s="451">
        <f ca="1">KTVTD20namMH!E212-V210</f>
        <v>16609.646042594188</v>
      </c>
      <c r="T211" s="425">
        <f ca="1">(T210-O211-P211)*(1+LS!$E$20)</f>
        <v>-12394.134170119984</v>
      </c>
      <c r="U211" s="958"/>
      <c r="V211" s="418">
        <f ca="1">(V210-O211-R211)*(1+LS!$F$20)</f>
        <v>-16737.614156526717</v>
      </c>
    </row>
    <row r="212" spans="12:22" ht="9.75" customHeight="1">
      <c r="L212" s="957"/>
      <c r="M212" s="262">
        <v>210</v>
      </c>
      <c r="N212" s="263">
        <f t="shared" ca="1" si="21"/>
        <v>12394.134170119984</v>
      </c>
      <c r="O212" s="256">
        <f ca="1">KTVTD20namMH!F213</f>
        <v>60</v>
      </c>
      <c r="P212" s="451">
        <f ca="1">IF('Tinh phi QL'!$H$9="Nam",VLOOKUP(KTVTUCOI!$I$20,KTVTUCOI!$D$3:$F$103,2,0)*N212/1000/12,IF('Tinh phi QL'!$H$9="Nữ",VLOOKUP(KTVTUCOI!$I$20,KTVTUCOI!$D$3:$F$103,3,0)*N212/1000/12,0))</f>
        <v>3.9971082698636948</v>
      </c>
      <c r="Q212" s="957"/>
      <c r="R212" s="452">
        <f ca="1">IF('Tinh phi QL'!$H$9="Nam",VLOOKUP(KTVTUCOI!$I$20,KTVTUCOI!$D$3:$F$103,2,0)*S212/1000/12,IF('Tinh phi QL'!$H$9="Nữ",VLOOKUP(KTVTUCOI!$I$20,KTVTUCOI!$D$3:$F$103,3,0)*S212/1000/12,0))</f>
        <v>5.3978805654798663</v>
      </c>
      <c r="S212" s="451">
        <f ca="1">KTVTD20namMH!E213-V211</f>
        <v>16737.614156526717</v>
      </c>
      <c r="T212" s="425">
        <f ca="1">(T211-O212-P212)*(1+LS!$E$20)</f>
        <v>-12463.310308499857</v>
      </c>
      <c r="U212" s="958"/>
      <c r="V212" s="418">
        <f ca="1">(V211-O212-R212)*(1+LS!$F$20)</f>
        <v>-16866.104191369017</v>
      </c>
    </row>
    <row r="213" spans="12:22" ht="9.75" customHeight="1">
      <c r="L213" s="957"/>
      <c r="M213" s="262">
        <v>211</v>
      </c>
      <c r="N213" s="263">
        <f t="shared" ca="1" si="21"/>
        <v>12463.310308499857</v>
      </c>
      <c r="O213" s="256">
        <f ca="1">KTVTD20namMH!F214</f>
        <v>60</v>
      </c>
      <c r="P213" s="451">
        <f ca="1">IF('Tinh phi QL'!$H$9="Nam",VLOOKUP(KTVTUCOI!$I$20,KTVTUCOI!$D$3:$F$103,2,0)*N213/1000/12,IF('Tinh phi QL'!$H$9="Nữ",VLOOKUP(KTVTUCOI!$I$20,KTVTUCOI!$D$3:$F$103,3,0)*N213/1000/12,0))</f>
        <v>4.0194175744912037</v>
      </c>
      <c r="Q213" s="957"/>
      <c r="R213" s="452">
        <f ca="1">IF('Tinh phi QL'!$H$9="Nam",VLOOKUP(KTVTUCOI!$I$20,KTVTUCOI!$D$3:$F$103,2,0)*S213/1000/12,IF('Tinh phi QL'!$H$9="Nữ",VLOOKUP(KTVTUCOI!$I$20,KTVTUCOI!$D$3:$F$103,3,0)*S213/1000/12,0))</f>
        <v>5.4393186017165078</v>
      </c>
      <c r="S213" s="451">
        <f ca="1">KTVTD20namMH!E214-V212</f>
        <v>16866.104191369017</v>
      </c>
      <c r="T213" s="425">
        <f ca="1">(T212-O213-P213)*(1+LS!$E$20)</f>
        <v>-12532.537523006291</v>
      </c>
      <c r="U213" s="958"/>
      <c r="V213" s="418">
        <f ca="1">(V212-O213-R213)*(1+LS!$F$20)</f>
        <v>-16995.118275787576</v>
      </c>
    </row>
    <row r="214" spans="12:22" ht="9.75" customHeight="1">
      <c r="L214" s="957"/>
      <c r="M214" s="262">
        <v>212</v>
      </c>
      <c r="N214" s="263">
        <f t="shared" ca="1" si="21"/>
        <v>12532.537523006291</v>
      </c>
      <c r="O214" s="256">
        <f ca="1">KTVTD20namMH!F215</f>
        <v>60</v>
      </c>
      <c r="P214" s="451">
        <f ca="1">IF('Tinh phi QL'!$H$9="Nam",VLOOKUP(KTVTUCOI!$I$20,KTVTUCOI!$D$3:$F$103,2,0)*N214/1000/12,IF('Tinh phi QL'!$H$9="Nữ",VLOOKUP(KTVTUCOI!$I$20,KTVTUCOI!$D$3:$F$103,3,0)*N214/1000/12,0))</f>
        <v>4.0417433511695284</v>
      </c>
      <c r="Q214" s="957"/>
      <c r="R214" s="452">
        <f ca="1">IF('Tinh phi QL'!$H$9="Nam",VLOOKUP(KTVTUCOI!$I$20,KTVTUCOI!$D$3:$F$103,2,0)*S214/1000/12,IF('Tinh phi QL'!$H$9="Nữ",VLOOKUP(KTVTUCOI!$I$20,KTVTUCOI!$D$3:$F$103,3,0)*S214/1000/12,0))</f>
        <v>5.4809256439414931</v>
      </c>
      <c r="S214" s="451">
        <f ca="1">KTVTD20namMH!E215-V213</f>
        <v>16995.118275787576</v>
      </c>
      <c r="T214" s="425">
        <f ca="1">(T213-O214-P214)*(1+LS!$E$20)</f>
        <v>-12601.815851351292</v>
      </c>
      <c r="U214" s="958"/>
      <c r="V214" s="418">
        <f ca="1">(V213-O214-R214)*(1+LS!$F$20)</f>
        <v>-17124.658547130704</v>
      </c>
    </row>
    <row r="215" spans="12:22" ht="9.75" customHeight="1">
      <c r="L215" s="957"/>
      <c r="M215" s="262">
        <v>213</v>
      </c>
      <c r="N215" s="263">
        <f t="shared" ca="1" si="21"/>
        <v>12601.815851351292</v>
      </c>
      <c r="O215" s="256">
        <f ca="1">KTVTD20namMH!F216</f>
        <v>60</v>
      </c>
      <c r="P215" s="451">
        <f ca="1">IF('Tinh phi QL'!$H$9="Nam",VLOOKUP(KTVTUCOI!$I$20,KTVTUCOI!$D$3:$F$103,2,0)*N215/1000/12,IF('Tinh phi QL'!$H$9="Nữ",VLOOKUP(KTVTUCOI!$I$20,KTVTUCOI!$D$3:$F$103,3,0)*N215/1000/12,0))</f>
        <v>4.0640856120607909</v>
      </c>
      <c r="Q215" s="957"/>
      <c r="R215" s="452">
        <f ca="1">IF('Tinh phi QL'!$H$9="Nam",VLOOKUP(KTVTUCOI!$I$20,KTVTUCOI!$D$3:$F$103,2,0)*S215/1000/12,IF('Tinh phi QL'!$H$9="Nữ",VLOOKUP(KTVTUCOI!$I$20,KTVTUCOI!$D$3:$F$103,3,0)*S215/1000/12,0))</f>
        <v>5.5227023814496521</v>
      </c>
      <c r="S215" s="451">
        <f ca="1">KTVTD20namMH!E216-V214</f>
        <v>17124.658547130704</v>
      </c>
      <c r="T215" s="425">
        <f ca="1">(T214-O215-P215)*(1+LS!$E$20)</f>
        <v>-12671.145331274703</v>
      </c>
      <c r="U215" s="958"/>
      <c r="V215" s="418">
        <f ca="1">(V214-O215-R215)*(1+LS!$F$20)</f>
        <v>-17254.727151463932</v>
      </c>
    </row>
    <row r="216" spans="12:22" ht="9.75" customHeight="1">
      <c r="L216" s="957"/>
      <c r="M216" s="262">
        <v>214</v>
      </c>
      <c r="N216" s="263">
        <f t="shared" ca="1" si="21"/>
        <v>12671.145331274703</v>
      </c>
      <c r="O216" s="256">
        <f ca="1">KTVTD20namMH!F217</f>
        <v>60</v>
      </c>
      <c r="P216" s="451">
        <f ca="1">IF('Tinh phi QL'!$H$9="Nam",VLOOKUP(KTVTUCOI!$I$20,KTVTUCOI!$D$3:$F$103,2,0)*N216/1000/12,IF('Tinh phi QL'!$H$9="Nữ",VLOOKUP(KTVTUCOI!$I$20,KTVTUCOI!$D$3:$F$103,3,0)*N216/1000/12,0))</f>
        <v>4.0864443693360917</v>
      </c>
      <c r="Q216" s="957"/>
      <c r="R216" s="452">
        <f ca="1">IF('Tinh phi QL'!$H$9="Nam",VLOOKUP(KTVTUCOI!$I$20,KTVTUCOI!$D$3:$F$103,2,0)*S216/1000/12,IF('Tinh phi QL'!$H$9="Nữ",VLOOKUP(KTVTUCOI!$I$20,KTVTUCOI!$D$3:$F$103,3,0)*S216/1000/12,0))</f>
        <v>5.5646495063471173</v>
      </c>
      <c r="S216" s="451">
        <f ca="1">KTVTD20namMH!E217-V215</f>
        <v>17254.727151463932</v>
      </c>
      <c r="T216" s="425">
        <f ca="1">(T215-O216-P216)*(1+LS!$E$20)</f>
        <v>-12740.52600054424</v>
      </c>
      <c r="U216" s="958"/>
      <c r="V216" s="418">
        <f ca="1">(V215-O216-R216)*(1+LS!$F$20)</f>
        <v>-17385.32624360557</v>
      </c>
    </row>
    <row r="217" spans="12:22" ht="9.75" customHeight="1">
      <c r="L217" s="957"/>
      <c r="M217" s="262">
        <v>215</v>
      </c>
      <c r="N217" s="263">
        <f t="shared" ca="1" si="21"/>
        <v>12740.52600054424</v>
      </c>
      <c r="O217" s="256">
        <f ca="1">KTVTD20namMH!F218</f>
        <v>60</v>
      </c>
      <c r="P217" s="451">
        <f ca="1">IF('Tinh phi QL'!$H$9="Nam",VLOOKUP(KTVTUCOI!$I$20,KTVTUCOI!$D$3:$F$103,2,0)*N217/1000/12,IF('Tinh phi QL'!$H$9="Nữ",VLOOKUP(KTVTUCOI!$I$20,KTVTUCOI!$D$3:$F$103,3,0)*N217/1000/12,0))</f>
        <v>4.1088196351755171</v>
      </c>
      <c r="Q217" s="957"/>
      <c r="R217" s="452">
        <f ca="1">IF('Tinh phi QL'!$H$9="Nam",VLOOKUP(KTVTUCOI!$I$20,KTVTUCOI!$D$3:$F$103,2,0)*S217/1000/12,IF('Tinh phi QL'!$H$9="Nữ",VLOOKUP(KTVTUCOI!$I$20,KTVTUCOI!$D$3:$F$103,3,0)*S217/1000/12,0))</f>
        <v>5.606767713562796</v>
      </c>
      <c r="S217" s="451">
        <f ca="1">KTVTD20namMH!E218-V216</f>
        <v>17385.32624360557</v>
      </c>
      <c r="T217" s="425">
        <f ca="1">(T216-O217-P217)*(1+LS!$E$20)</f>
        <v>-12809.957896955499</v>
      </c>
      <c r="U217" s="958"/>
      <c r="V217" s="418">
        <f ca="1">(V216-O217-R217)*(1+LS!$F$20)</f>
        <v>-17516.457987162397</v>
      </c>
    </row>
    <row r="218" spans="12:22" ht="9.75" customHeight="1">
      <c r="L218" s="957"/>
      <c r="M218" s="262">
        <v>216</v>
      </c>
      <c r="N218" s="263">
        <f t="shared" ca="1" si="21"/>
        <v>12809.957896955499</v>
      </c>
      <c r="O218" s="256">
        <f ca="1">KTVTD20namMH!F219</f>
        <v>60</v>
      </c>
      <c r="P218" s="451">
        <f ca="1">IF('Tinh phi QL'!$H$9="Nam",VLOOKUP(KTVTUCOI!$I$20,KTVTUCOI!$D$3:$F$103,2,0)*N218/1000/12,IF('Tinh phi QL'!$H$9="Nữ",VLOOKUP(KTVTUCOI!$I$20,KTVTUCOI!$D$3:$F$103,3,0)*N218/1000/12,0))</f>
        <v>4.1312114217681488</v>
      </c>
      <c r="Q218" s="957"/>
      <c r="R218" s="452">
        <f ca="1">IF('Tinh phi QL'!$H$9="Nam",VLOOKUP(KTVTUCOI!$I$20,KTVTUCOI!$D$3:$F$103,2,0)*S218/1000/12,IF('Tinh phi QL'!$H$9="Nữ",VLOOKUP(KTVTUCOI!$I$20,KTVTUCOI!$D$3:$F$103,3,0)*S218/1000/12,0))</f>
        <v>5.6490577008598741</v>
      </c>
      <c r="S218" s="451">
        <f ca="1">KTVTD20namMH!E219-V217</f>
        <v>17516.457987162397</v>
      </c>
      <c r="T218" s="426">
        <f ca="1">(T217-O218-P218)*(1+LS!$E$20)</f>
        <v>-12879.441058331984</v>
      </c>
      <c r="U218" s="958"/>
      <c r="V218" s="419">
        <f ca="1">(V217-O218-R218)*(1+LS!$F$20)</f>
        <v>-17648.124554565526</v>
      </c>
    </row>
    <row r="219" spans="12:22" ht="9.75" customHeight="1">
      <c r="L219" s="959">
        <f>L207+1</f>
        <v>19</v>
      </c>
      <c r="M219" s="252">
        <v>217</v>
      </c>
      <c r="N219" s="256">
        <f ca="1">$J$21-T218-KTVTDGTTKcamket!F25</f>
        <v>12879.441058331984</v>
      </c>
      <c r="O219" s="256">
        <f ca="1">KTVTD20namMH!F220</f>
        <v>60</v>
      </c>
      <c r="P219" s="452">
        <f ca="1">IF('Tinh phi QL'!$H$9="Nam",VLOOKUP(KTVTUCOI!$I$21,KTVTUCOI!$D$3:$F$103,2,0)*N219/1000/12,IF('Tinh phi QL'!$H$9="Nữ",VLOOKUP(KTVTUCOI!$I$21,KTVTUCOI!$D$3:$F$103,3,0)*N219/1000/12,0))</f>
        <v>4.4863386353189743</v>
      </c>
      <c r="Q219" s="957"/>
      <c r="R219" s="452">
        <f ca="1">IF('Tinh phi QL'!$H$9="Nam",VLOOKUP(KTVTUCOI!$I$21,KTVTUCOI!$D$3:$F$103,2,0)*S219/1000/12,IF('Tinh phi QL'!$H$9="Nữ",VLOOKUP(KTVTUCOI!$I$21,KTVTUCOI!$D$3:$F$103,3,0)*S219/1000/12,0))</f>
        <v>6.1474300531736574</v>
      </c>
      <c r="S219" s="452">
        <f ca="1">KTVTD20namMH!E220-V218-KTVTDGTTKMH!F25</f>
        <v>17648.124554565526</v>
      </c>
      <c r="T219" s="425">
        <f ca="1">(T218+KTVTDGTTKcamket!F25-O219-P219)*(1+LS!$E$21)</f>
        <v>-12949.308379735317</v>
      </c>
      <c r="U219" s="958">
        <f>Q219</f>
        <v>0</v>
      </c>
      <c r="V219" s="418">
        <f ca="1">(V218+KTVTUGTTKMH!F25-O219-R219)*(1+LS!$F$21)</f>
        <v>-17780.78574884668</v>
      </c>
    </row>
    <row r="220" spans="12:22" ht="9.75" customHeight="1">
      <c r="L220" s="959"/>
      <c r="M220" s="252">
        <v>218</v>
      </c>
      <c r="N220" s="256">
        <f ca="1">$J$21-T219</f>
        <v>12949.308379735317</v>
      </c>
      <c r="O220" s="256">
        <f ca="1">KTVTD20namMH!F221</f>
        <v>60</v>
      </c>
      <c r="P220" s="452">
        <f ca="1">IF('Tinh phi QL'!$H$9="Nam",VLOOKUP(KTVTUCOI!$I$21,KTVTUCOI!$D$3:$F$103,2,0)*N220/1000/12,IF('Tinh phi QL'!$H$9="Nữ",VLOOKUP(KTVTUCOI!$I$21,KTVTUCOI!$D$3:$F$103,3,0)*N220/1000/12,0))</f>
        <v>4.5106757522744685</v>
      </c>
      <c r="Q220" s="957"/>
      <c r="R220" s="452">
        <f ca="1">IF('Tinh phi QL'!$H$9="Nam",VLOOKUP(KTVTUCOI!$I$21,KTVTUCOI!$D$3:$F$103,2,0)*S220/1000/12,IF('Tinh phi QL'!$H$9="Nữ",VLOOKUP(KTVTUCOI!$I$21,KTVTUCOI!$D$3:$F$103,3,0)*S220/1000/12,0))</f>
        <v>6.1936403691815931</v>
      </c>
      <c r="S220" s="452">
        <f ca="1">KTVTD20namMH!E221-V219</f>
        <v>17780.78574884668</v>
      </c>
      <c r="T220" s="425">
        <f ca="1">(T219-O220-P220)*(1+LS!$E$21)</f>
        <v>-13019.229093255577</v>
      </c>
      <c r="U220" s="958"/>
      <c r="V220" s="418">
        <f ca="1">(V219-O220-R220)*(1+LS!$F$21)</f>
        <v>-17913.991444823154</v>
      </c>
    </row>
    <row r="221" spans="12:22" ht="9.75" customHeight="1">
      <c r="L221" s="959"/>
      <c r="M221" s="252">
        <v>219</v>
      </c>
      <c r="N221" s="256">
        <f t="shared" ref="N221:N230" ca="1" si="22">$J$21-T220</f>
        <v>13019.229093255577</v>
      </c>
      <c r="O221" s="256">
        <f ca="1">KTVTD20namMH!F222</f>
        <v>60</v>
      </c>
      <c r="P221" s="452">
        <f ca="1">IF('Tinh phi QL'!$H$9="Nam",VLOOKUP(KTVTUCOI!$I$21,KTVTUCOI!$D$3:$F$103,2,0)*N221/1000/12,IF('Tinh phi QL'!$H$9="Nữ",VLOOKUP(KTVTUCOI!$I$21,KTVTUCOI!$D$3:$F$103,3,0)*N221/1000/12,0))</f>
        <v>4.5350314674840257</v>
      </c>
      <c r="Q221" s="957"/>
      <c r="R221" s="452">
        <f ca="1">IF('Tinh phi QL'!$H$9="Nam",VLOOKUP(KTVTUCOI!$I$21,KTVTUCOI!$D$3:$F$103,2,0)*S221/1000/12,IF('Tinh phi QL'!$H$9="Nữ",VLOOKUP(KTVTUCOI!$I$21,KTVTUCOI!$D$3:$F$103,3,0)*S221/1000/12,0))</f>
        <v>6.2400403532800652</v>
      </c>
      <c r="S221" s="452">
        <f ca="1">KTVTD20namMH!E222-V220</f>
        <v>17913.991444823154</v>
      </c>
      <c r="T221" s="425">
        <f ca="1">(T220-O221-P221)*(1+LS!$E$21)</f>
        <v>-13089.203239694642</v>
      </c>
      <c r="U221" s="958"/>
      <c r="V221" s="418">
        <f ca="1">(V220-O221-R221)*(1+LS!$F$21)</f>
        <v>-18047.743877376804</v>
      </c>
    </row>
    <row r="222" spans="12:22" ht="9.75" customHeight="1">
      <c r="L222" s="959"/>
      <c r="M222" s="252">
        <v>220</v>
      </c>
      <c r="N222" s="256">
        <f t="shared" ca="1" si="22"/>
        <v>13089.203239694642</v>
      </c>
      <c r="O222" s="256">
        <f ca="1">KTVTD20namMH!F223</f>
        <v>60</v>
      </c>
      <c r="P222" s="452">
        <f ca="1">IF('Tinh phi QL'!$H$9="Nam",VLOOKUP(KTVTUCOI!$I$21,KTVTUCOI!$D$3:$F$103,2,0)*N222/1000/12,IF('Tinh phi QL'!$H$9="Nữ",VLOOKUP(KTVTUCOI!$I$21,KTVTUCOI!$D$3:$F$103,3,0)*N222/1000/12,0))</f>
        <v>4.5594057951602993</v>
      </c>
      <c r="Q222" s="957"/>
      <c r="R222" s="452">
        <f ca="1">IF('Tinh phi QL'!$H$9="Nam",VLOOKUP(KTVTUCOI!$I$21,KTVTUCOI!$D$3:$F$103,2,0)*S222/1000/12,IF('Tinh phi QL'!$H$9="Nữ",VLOOKUP(KTVTUCOI!$I$21,KTVTUCOI!$D$3:$F$103,3,0)*S222/1000/12,0))</f>
        <v>6.2866307839529192</v>
      </c>
      <c r="S222" s="452">
        <f ca="1">KTVTD20namMH!E223-V221</f>
        <v>18047.743877376804</v>
      </c>
      <c r="T222" s="425">
        <f ca="1">(T221-O222-P222)*(1+LS!$E$21)</f>
        <v>-13159.230859885574</v>
      </c>
      <c r="U222" s="958"/>
      <c r="V222" s="418">
        <f ca="1">(V221-O222-R222)*(1+LS!$F$21)</f>
        <v>-18182.045290562455</v>
      </c>
    </row>
    <row r="223" spans="12:22" ht="9.75" customHeight="1">
      <c r="L223" s="959"/>
      <c r="M223" s="252">
        <v>221</v>
      </c>
      <c r="N223" s="256">
        <f t="shared" ca="1" si="22"/>
        <v>13159.230859885574</v>
      </c>
      <c r="O223" s="256">
        <f ca="1">KTVTD20namMH!F224</f>
        <v>60</v>
      </c>
      <c r="P223" s="452">
        <f ca="1">IF('Tinh phi QL'!$H$9="Nam",VLOOKUP(KTVTUCOI!$I$21,KTVTUCOI!$D$3:$F$103,2,0)*N223/1000/12,IF('Tinh phi QL'!$H$9="Nữ",VLOOKUP(KTVTUCOI!$I$21,KTVTUCOI!$D$3:$F$103,3,0)*N223/1000/12,0))</f>
        <v>4.5837987495268075</v>
      </c>
      <c r="Q223" s="957"/>
      <c r="R223" s="452">
        <f ca="1">IF('Tinh phi QL'!$H$9="Nam",VLOOKUP(KTVTUCOI!$I$21,KTVTUCOI!$D$3:$F$103,2,0)*S223/1000/12,IF('Tinh phi QL'!$H$9="Nữ",VLOOKUP(KTVTUCOI!$I$21,KTVTUCOI!$D$3:$F$103,3,0)*S223/1000/12,0))</f>
        <v>6.3334124428792551</v>
      </c>
      <c r="S223" s="452">
        <f ca="1">KTVTD20namMH!E224-V222</f>
        <v>18182.045290562455</v>
      </c>
      <c r="T223" s="425">
        <f ca="1">(T222-O223-P223)*(1+LS!$E$21)</f>
        <v>-13229.311994692642</v>
      </c>
      <c r="U223" s="958"/>
      <c r="V223" s="418">
        <f ca="1">(V222-O223-R223)*(1+LS!$F$21)</f>
        <v>-18316.897937645546</v>
      </c>
    </row>
    <row r="224" spans="12:22" ht="9.75" customHeight="1">
      <c r="L224" s="959"/>
      <c r="M224" s="252">
        <v>222</v>
      </c>
      <c r="N224" s="256">
        <f t="shared" ca="1" si="22"/>
        <v>13229.311994692642</v>
      </c>
      <c r="O224" s="256">
        <f ca="1">KTVTD20namMH!F225</f>
        <v>60</v>
      </c>
      <c r="P224" s="452">
        <f ca="1">IF('Tinh phi QL'!$H$9="Nam",VLOOKUP(KTVTUCOI!$I$21,KTVTUCOI!$D$3:$F$103,2,0)*N224/1000/12,IF('Tinh phi QL'!$H$9="Nữ",VLOOKUP(KTVTUCOI!$I$21,KTVTUCOI!$D$3:$F$103,3,0)*N224/1000/12,0))</f>
        <v>4.6082103448179366</v>
      </c>
      <c r="Q224" s="957"/>
      <c r="R224" s="452">
        <f ca="1">IF('Tinh phi QL'!$H$9="Nam",VLOOKUP(KTVTUCOI!$I$21,KTVTUCOI!$D$3:$F$103,2,0)*S224/1000/12,IF('Tinh phi QL'!$H$9="Nữ",VLOOKUP(KTVTUCOI!$I$21,KTVTUCOI!$D$3:$F$103,3,0)*S224/1000/12,0))</f>
        <v>6.3803861149465311</v>
      </c>
      <c r="S224" s="452">
        <f ca="1">KTVTD20namMH!E225-V223</f>
        <v>18316.897937645546</v>
      </c>
      <c r="T224" s="425">
        <f ca="1">(T223-O224-P224)*(1+LS!$E$21)</f>
        <v>-13299.446685011337</v>
      </c>
      <c r="U224" s="958"/>
      <c r="V224" s="418">
        <f ca="1">(V223-O224-R224)*(1+LS!$F$21)</f>
        <v>-18452.304081139948</v>
      </c>
    </row>
    <row r="225" spans="12:22" ht="9.75" customHeight="1">
      <c r="L225" s="959"/>
      <c r="M225" s="252">
        <v>223</v>
      </c>
      <c r="N225" s="256">
        <f t="shared" ca="1" si="22"/>
        <v>13299.446685011337</v>
      </c>
      <c r="O225" s="256">
        <f ca="1">KTVTD20namMH!F226</f>
        <v>60</v>
      </c>
      <c r="P225" s="452">
        <f ca="1">IF('Tinh phi QL'!$H$9="Nam",VLOOKUP(KTVTUCOI!$I$21,KTVTUCOI!$D$3:$F$103,2,0)*N225/1000/12,IF('Tinh phi QL'!$H$9="Nữ",VLOOKUP(KTVTUCOI!$I$21,KTVTUCOI!$D$3:$F$103,3,0)*N225/1000/12,0))</f>
        <v>4.6326405952789491</v>
      </c>
      <c r="Q225" s="957"/>
      <c r="R225" s="452">
        <f ca="1">IF('Tinh phi QL'!$H$9="Nam",VLOOKUP(KTVTUCOI!$I$21,KTVTUCOI!$D$3:$F$103,2,0)*S225/1000/12,IF('Tinh phi QL'!$H$9="Nữ",VLOOKUP(KTVTUCOI!$I$21,KTVTUCOI!$D$3:$F$103,3,0)*S225/1000/12,0))</f>
        <v>6.4275525882637483</v>
      </c>
      <c r="S225" s="452">
        <f ca="1">KTVTD20namMH!E226-V224</f>
        <v>18452.304081139948</v>
      </c>
      <c r="T225" s="425">
        <f ca="1">(T224-O225-P225)*(1+LS!$E$21)</f>
        <v>-13369.634971768406</v>
      </c>
      <c r="U225" s="958"/>
      <c r="V225" s="418">
        <f ca="1">(V224-O225-R225)*(1+LS!$F$21)</f>
        <v>-18588.265992845911</v>
      </c>
    </row>
    <row r="226" spans="12:22" ht="9.75" customHeight="1">
      <c r="L226" s="959"/>
      <c r="M226" s="252">
        <v>224</v>
      </c>
      <c r="N226" s="256">
        <f t="shared" ca="1" si="22"/>
        <v>13369.634971768406</v>
      </c>
      <c r="O226" s="256">
        <f ca="1">KTVTD20namMH!F227</f>
        <v>60</v>
      </c>
      <c r="P226" s="452">
        <f ca="1">IF('Tinh phi QL'!$H$9="Nam",VLOOKUP(KTVTUCOI!$I$21,KTVTUCOI!$D$3:$F$103,2,0)*N226/1000/12,IF('Tinh phi QL'!$H$9="Nữ",VLOOKUP(KTVTUCOI!$I$21,KTVTUCOI!$D$3:$F$103,3,0)*N226/1000/12,0))</f>
        <v>4.6570895151659943</v>
      </c>
      <c r="Q226" s="957"/>
      <c r="R226" s="452">
        <f ca="1">IF('Tinh phi QL'!$H$9="Nam",VLOOKUP(KTVTUCOI!$I$21,KTVTUCOI!$D$3:$F$103,2,0)*S226/1000/12,IF('Tinh phi QL'!$H$9="Nữ",VLOOKUP(KTVTUCOI!$I$21,KTVTUCOI!$D$3:$F$103,3,0)*S226/1000/12,0))</f>
        <v>6.4749126541746582</v>
      </c>
      <c r="S226" s="452">
        <f ca="1">KTVTD20namMH!E227-V225</f>
        <v>18588.265992845911</v>
      </c>
      <c r="T226" s="425">
        <f ca="1">(T225-O226-P226)*(1+LS!$E$21)</f>
        <v>-13439.876895921872</v>
      </c>
      <c r="U226" s="958"/>
      <c r="V226" s="418">
        <f ca="1">(V225-O226-R226)*(1+LS!$F$21)</f>
        <v>-18724.785953888182</v>
      </c>
    </row>
    <row r="227" spans="12:22" ht="9.75" customHeight="1">
      <c r="L227" s="959"/>
      <c r="M227" s="252">
        <v>225</v>
      </c>
      <c r="N227" s="256">
        <f t="shared" ca="1" si="22"/>
        <v>13439.876895921872</v>
      </c>
      <c r="O227" s="256">
        <f ca="1">KTVTD20namMH!F228</f>
        <v>60</v>
      </c>
      <c r="P227" s="452">
        <f ca="1">IF('Tinh phi QL'!$H$9="Nam",VLOOKUP(KTVTUCOI!$I$21,KTVTUCOI!$D$3:$F$103,2,0)*N227/1000/12,IF('Tinh phi QL'!$H$9="Nữ",VLOOKUP(KTVTUCOI!$I$21,KTVTUCOI!$D$3:$F$103,3,0)*N227/1000/12,0))</f>
        <v>4.6815571187461185</v>
      </c>
      <c r="Q227" s="957"/>
      <c r="R227" s="452">
        <f ca="1">IF('Tinh phi QL'!$H$9="Nam",VLOOKUP(KTVTUCOI!$I$21,KTVTUCOI!$D$3:$F$103,2,0)*S227/1000/12,IF('Tinh phi QL'!$H$9="Nữ",VLOOKUP(KTVTUCOI!$I$21,KTVTUCOI!$D$3:$F$103,3,0)*S227/1000/12,0))</f>
        <v>6.5224671072710487</v>
      </c>
      <c r="S227" s="452">
        <f ca="1">KTVTD20namMH!E228-V226</f>
        <v>18724.785953888182</v>
      </c>
      <c r="T227" s="425">
        <f ca="1">(T226-O227-P227)*(1+LS!$E$21)</f>
        <v>-13510.172498461057</v>
      </c>
      <c r="U227" s="958"/>
      <c r="V227" s="418">
        <f ca="1">(V226-O227-R227)*(1+LS!$F$21)</f>
        <v>-18861.866254754281</v>
      </c>
    </row>
    <row r="228" spans="12:22" ht="9.75" customHeight="1">
      <c r="L228" s="959"/>
      <c r="M228" s="252">
        <v>226</v>
      </c>
      <c r="N228" s="256">
        <f t="shared" ca="1" si="22"/>
        <v>13510.172498461057</v>
      </c>
      <c r="O228" s="256">
        <f ca="1">KTVTD20namMH!F229</f>
        <v>60</v>
      </c>
      <c r="P228" s="452">
        <f ca="1">IF('Tinh phi QL'!$H$9="Nam",VLOOKUP(KTVTUCOI!$I$21,KTVTUCOI!$D$3:$F$103,2,0)*N228/1000/12,IF('Tinh phi QL'!$H$9="Nữ",VLOOKUP(KTVTUCOI!$I$21,KTVTUCOI!$D$3:$F$103,3,0)*N228/1000/12,0))</f>
        <v>4.7060434202972674</v>
      </c>
      <c r="Q228" s="957"/>
      <c r="R228" s="452">
        <f ca="1">IF('Tinh phi QL'!$H$9="Nam",VLOOKUP(KTVTUCOI!$I$21,KTVTUCOI!$D$3:$F$103,2,0)*S228/1000/12,IF('Tinh phi QL'!$H$9="Nữ",VLOOKUP(KTVTUCOI!$I$21,KTVTUCOI!$D$3:$F$103,3,0)*S228/1000/12,0))</f>
        <v>6.570216745406074</v>
      </c>
      <c r="S228" s="452">
        <f ca="1">KTVTD20namMH!E229-V227</f>
        <v>18861.866254754281</v>
      </c>
      <c r="T228" s="425">
        <f ca="1">(T227-O228-P228)*(1+LS!$E$21)</f>
        <v>-13580.521820406608</v>
      </c>
      <c r="U228" s="958"/>
      <c r="V228" s="418">
        <f ca="1">(V227-O228-R228)*(1+LS!$F$21)</f>
        <v>-18999.509195332925</v>
      </c>
    </row>
    <row r="229" spans="12:22" ht="9.75" customHeight="1">
      <c r="L229" s="959"/>
      <c r="M229" s="252">
        <v>227</v>
      </c>
      <c r="N229" s="256">
        <f t="shared" ca="1" si="22"/>
        <v>13580.521820406608</v>
      </c>
      <c r="O229" s="256">
        <f ca="1">KTVTD20namMH!F230</f>
        <v>60</v>
      </c>
      <c r="P229" s="452">
        <f ca="1">IF('Tinh phi QL'!$H$9="Nam",VLOOKUP(KTVTUCOI!$I$21,KTVTUCOI!$D$3:$F$103,2,0)*N229/1000/12,IF('Tinh phi QL'!$H$9="Nữ",VLOOKUP(KTVTUCOI!$I$21,KTVTUCOI!$D$3:$F$103,3,0)*N229/1000/12,0))</f>
        <v>4.7305484341083011</v>
      </c>
      <c r="Q229" s="957"/>
      <c r="R229" s="452">
        <f ca="1">IF('Tinh phi QL'!$H$9="Nam",VLOOKUP(KTVTUCOI!$I$21,KTVTUCOI!$D$3:$F$103,2,0)*S229/1000/12,IF('Tinh phi QL'!$H$9="Nữ",VLOOKUP(KTVTUCOI!$I$21,KTVTUCOI!$D$3:$F$103,3,0)*S229/1000/12,0))</f>
        <v>6.6181623697076342</v>
      </c>
      <c r="S229" s="452">
        <f ca="1">KTVTD20namMH!E230-V228</f>
        <v>18999.509195332925</v>
      </c>
      <c r="T229" s="425">
        <f ca="1">(T228-O229-P229)*(1+LS!$E$21)</f>
        <v>-13650.924902810517</v>
      </c>
      <c r="U229" s="958"/>
      <c r="V229" s="418">
        <f ca="1">(V228-O229-R229)*(1+LS!$F$21)</f>
        <v>-19137.717084952619</v>
      </c>
    </row>
    <row r="230" spans="12:22" ht="9.75" customHeight="1">
      <c r="L230" s="959"/>
      <c r="M230" s="252">
        <v>228</v>
      </c>
      <c r="N230" s="256">
        <f t="shared" ca="1" si="22"/>
        <v>13650.924902810517</v>
      </c>
      <c r="O230" s="256">
        <f ca="1">KTVTD20namMH!F231</f>
        <v>60</v>
      </c>
      <c r="P230" s="452">
        <f ca="1">IF('Tinh phi QL'!$H$9="Nam",VLOOKUP(KTVTUCOI!$I$21,KTVTUCOI!$D$3:$F$103,2,0)*N230/1000/12,IF('Tinh phi QL'!$H$9="Nữ",VLOOKUP(KTVTUCOI!$I$21,KTVTUCOI!$D$3:$F$103,3,0)*N230/1000/12,0))</f>
        <v>4.7550721744789968</v>
      </c>
      <c r="Q230" s="957"/>
      <c r="R230" s="452">
        <f ca="1">IF('Tinh phi QL'!$H$9="Nam",VLOOKUP(KTVTUCOI!$I$21,KTVTUCOI!$D$3:$F$103,2,0)*S230/1000/12,IF('Tinh phi QL'!$H$9="Nữ",VLOOKUP(KTVTUCOI!$I$21,KTVTUCOI!$D$3:$F$103,3,0)*S230/1000/12,0))</f>
        <v>6.6663047845918291</v>
      </c>
      <c r="S230" s="452">
        <f ca="1">KTVTD20namMH!E231-V229</f>
        <v>19137.717084952619</v>
      </c>
      <c r="T230" s="426">
        <f ca="1">(T229-O230-P230)*(1+LS!$E$21)</f>
        <v>-13721.38178675615</v>
      </c>
      <c r="U230" s="958"/>
      <c r="V230" s="419">
        <f ca="1">(V229-O230-R230)*(1+LS!$F$21)</f>
        <v>-19276.492242420394</v>
      </c>
    </row>
    <row r="231" spans="12:22" ht="9.75" customHeight="1">
      <c r="L231" s="957">
        <f>L219+1</f>
        <v>20</v>
      </c>
      <c r="M231" s="262">
        <v>229</v>
      </c>
      <c r="N231" s="263">
        <f ca="1">$J$22-T230-KTVTDGTTKcamket!F26</f>
        <v>13721.38178675615</v>
      </c>
      <c r="O231" s="256">
        <f ca="1">KTVTD20namMH!F232</f>
        <v>60</v>
      </c>
      <c r="P231" s="451">
        <f ca="1">IF('Tinh phi QL'!$H$9="Nam",VLOOKUP(KTVTUCOI!$I$22,KTVTUCOI!$D$3:$F$103,2,0)*N231/1000/12,IF('Tinh phi QL'!$H$9="Nữ",VLOOKUP(KTVTUCOI!$I$22,KTVTUCOI!$D$3:$F$103,3,0)*N231/1000/12,0))</f>
        <v>5.1683871396781491</v>
      </c>
      <c r="Q231" s="957">
        <f ca="1">KTVTD20namcamket!I232</f>
        <v>0</v>
      </c>
      <c r="R231" s="452">
        <f ca="1">IF('Tinh phi QL'!$H$9="Nam",VLOOKUP(KTVTUCOI!$I$22,KTVTUCOI!$D$3:$F$103,2,0)*S231/1000/12,IF('Tinh phi QL'!$H$9="Nữ",VLOOKUP(KTVTUCOI!$I$22,KTVTUCOI!$D$3:$F$103,3,0)*S231/1000/12,0))</f>
        <v>7.2608120779783478</v>
      </c>
      <c r="S231" s="451">
        <f ca="1">KTVTD20namMH!E232-V230-KTVTDGTTKMH!F26</f>
        <v>19276.492242420394</v>
      </c>
      <c r="T231" s="425">
        <f ca="1">(T230+KTVTDGTTKcamket!F26-O231-P231)*(1+LS!$E$22)</f>
        <v>-13792.281447460718</v>
      </c>
      <c r="U231" s="958">
        <f ca="1">Q231</f>
        <v>0</v>
      </c>
      <c r="V231" s="418">
        <f ca="1">(V230+KTVTUGTTKMH!F26-O231-R231)*(1+LS!$F$22)</f>
        <v>-19416.385214096485</v>
      </c>
    </row>
    <row r="232" spans="12:22" ht="9.75" customHeight="1">
      <c r="L232" s="957"/>
      <c r="M232" s="262">
        <v>230</v>
      </c>
      <c r="N232" s="263">
        <f ca="1">$J$22-T231</f>
        <v>13792.281447460718</v>
      </c>
      <c r="O232" s="256">
        <f ca="1">KTVTD20namMH!F233</f>
        <v>60</v>
      </c>
      <c r="P232" s="451">
        <f ca="1">IF('Tinh phi QL'!$H$9="Nam",VLOOKUP(KTVTUCOI!$I$22,KTVTUCOI!$D$3:$F$103,2,0)*N232/1000/12,IF('Tinh phi QL'!$H$9="Nữ",VLOOKUP(KTVTUCOI!$I$22,KTVTUCOI!$D$3:$F$103,3,0)*N232/1000/12,0))</f>
        <v>5.1950926785435367</v>
      </c>
      <c r="Q232" s="957"/>
      <c r="R232" s="452">
        <f ca="1">IF('Tinh phi QL'!$H$9="Nam",VLOOKUP(KTVTUCOI!$I$22,KTVTUCOI!$D$3:$F$103,2,0)*S232/1000/12,IF('Tinh phi QL'!$H$9="Nữ",VLOOKUP(KTVTUCOI!$I$22,KTVTUCOI!$D$3:$F$103,3,0)*S232/1000/12,0))</f>
        <v>7.313505097309676</v>
      </c>
      <c r="S232" s="451">
        <f ca="1">KTVTD20namMH!E233-V231</f>
        <v>19416.385214096485</v>
      </c>
      <c r="T232" s="425">
        <f ca="1">(T231-O232-P232)*(1+LS!$E$22)</f>
        <v>-13863.237298847482</v>
      </c>
      <c r="U232" s="958"/>
      <c r="V232" s="418">
        <f ca="1">(V231-O232-R232)*(1+LS!$F$22)</f>
        <v>-19556.856348478406</v>
      </c>
    </row>
    <row r="233" spans="12:22" ht="9.75" customHeight="1">
      <c r="L233" s="957"/>
      <c r="M233" s="262">
        <v>231</v>
      </c>
      <c r="N233" s="263">
        <f t="shared" ref="N233:N242" ca="1" si="23">$J$22-T232</f>
        <v>13863.237298847482</v>
      </c>
      <c r="O233" s="256">
        <f ca="1">KTVTD20namMH!F234</f>
        <v>60</v>
      </c>
      <c r="P233" s="451">
        <f ca="1">IF('Tinh phi QL'!$H$9="Nam",VLOOKUP(KTVTUCOI!$I$22,KTVTUCOI!$D$3:$F$103,2,0)*N233/1000/12,IF('Tinh phi QL'!$H$9="Nữ",VLOOKUP(KTVTUCOI!$I$22,KTVTUCOI!$D$3:$F$103,3,0)*N233/1000/12,0))</f>
        <v>5.2218193825658838</v>
      </c>
      <c r="Q233" s="957"/>
      <c r="R233" s="452">
        <f ca="1">IF('Tinh phi QL'!$H$9="Nam",VLOOKUP(KTVTUCOI!$I$22,KTVTUCOI!$D$3:$F$103,2,0)*S233/1000/12,IF('Tinh phi QL'!$H$9="Nữ",VLOOKUP(KTVTUCOI!$I$22,KTVTUCOI!$D$3:$F$103,3,0)*S233/1000/12,0))</f>
        <v>7.3664158912601989</v>
      </c>
      <c r="S233" s="451">
        <f ca="1">KTVTD20namMH!E234-V232</f>
        <v>19556.856348478406</v>
      </c>
      <c r="T233" s="425">
        <f ca="1">(T232-O233-P233)*(1+LS!$E$22)</f>
        <v>-13934.249385449697</v>
      </c>
      <c r="U233" s="958"/>
      <c r="V233" s="418">
        <f ca="1">(V232-O233-R233)*(1+LS!$F$22)</f>
        <v>-19697.908035050848</v>
      </c>
    </row>
    <row r="234" spans="12:22" ht="9.75" customHeight="1">
      <c r="L234" s="957"/>
      <c r="M234" s="262">
        <v>232</v>
      </c>
      <c r="N234" s="263">
        <f t="shared" ca="1" si="23"/>
        <v>13934.249385449697</v>
      </c>
      <c r="O234" s="256">
        <f ca="1">KTVTD20namMH!F235</f>
        <v>60</v>
      </c>
      <c r="P234" s="451">
        <f ca="1">IF('Tinh phi QL'!$H$9="Nam",VLOOKUP(KTVTUCOI!$I$22,KTVTUCOI!$D$3:$F$103,2,0)*N234/1000/12,IF('Tinh phi QL'!$H$9="Nữ",VLOOKUP(KTVTUCOI!$I$22,KTVTUCOI!$D$3:$F$103,3,0)*N234/1000/12,0))</f>
        <v>5.2485672685193849</v>
      </c>
      <c r="Q234" s="957"/>
      <c r="R234" s="452">
        <f ca="1">IF('Tinh phi QL'!$H$9="Nam",VLOOKUP(KTVTUCOI!$I$22,KTVTUCOI!$D$3:$F$103,2,0)*S234/1000/12,IF('Tinh phi QL'!$H$9="Nữ",VLOOKUP(KTVTUCOI!$I$22,KTVTUCOI!$D$3:$F$103,3,0)*S234/1000/12,0))</f>
        <v>7.4195453598691516</v>
      </c>
      <c r="S234" s="451">
        <f ca="1">KTVTD20namMH!E235-V233</f>
        <v>19697.908035050848</v>
      </c>
      <c r="T234" s="425">
        <f ca="1">(T233-O234-P234)*(1+LS!$E$22)</f>
        <v>-14005.317751835915</v>
      </c>
      <c r="U234" s="958"/>
      <c r="V234" s="418">
        <f ca="1">(V233-O234-R234)*(1+LS!$F$22)</f>
        <v>-19839.542673173986</v>
      </c>
    </row>
    <row r="235" spans="12:22" ht="9.75" customHeight="1">
      <c r="L235" s="957"/>
      <c r="M235" s="262">
        <v>233</v>
      </c>
      <c r="N235" s="263">
        <f t="shared" ca="1" si="23"/>
        <v>14005.317751835915</v>
      </c>
      <c r="O235" s="256">
        <f ca="1">KTVTD20namMH!F236</f>
        <v>60</v>
      </c>
      <c r="P235" s="451">
        <f ca="1">IF('Tinh phi QL'!$H$9="Nam",VLOOKUP(KTVTUCOI!$I$22,KTVTUCOI!$D$3:$F$103,2,0)*N235/1000/12,IF('Tinh phi QL'!$H$9="Nữ",VLOOKUP(KTVTUCOI!$I$22,KTVTUCOI!$D$3:$F$103,3,0)*N235/1000/12,0))</f>
        <v>5.2753363531915278</v>
      </c>
      <c r="Q235" s="957"/>
      <c r="R235" s="452">
        <f ca="1">IF('Tinh phi QL'!$H$9="Nam",VLOOKUP(KTVTUCOI!$I$22,KTVTUCOI!$D$3:$F$103,2,0)*S235/1000/12,IF('Tinh phi QL'!$H$9="Nữ",VLOOKUP(KTVTUCOI!$I$22,KTVTUCOI!$D$3:$F$103,3,0)*S235/1000/12,0))</f>
        <v>7.4728944068955343</v>
      </c>
      <c r="S235" s="451">
        <f ca="1">KTVTD20namMH!E236-V234</f>
        <v>19839.542673173986</v>
      </c>
      <c r="T235" s="425">
        <f ca="1">(T234-O235-P235)*(1+LS!$E$22)</f>
        <v>-14076.442442610009</v>
      </c>
      <c r="U235" s="958"/>
      <c r="V235" s="418">
        <f ca="1">(V234-O235-R235)*(1+LS!$F$22)</f>
        <v>-19981.7626721243</v>
      </c>
    </row>
    <row r="236" spans="12:22" ht="9.75" customHeight="1">
      <c r="L236" s="957"/>
      <c r="M236" s="262">
        <v>234</v>
      </c>
      <c r="N236" s="263">
        <f t="shared" ca="1" si="23"/>
        <v>14076.442442610009</v>
      </c>
      <c r="O236" s="256">
        <f ca="1">KTVTD20namMH!F237</f>
        <v>60</v>
      </c>
      <c r="P236" s="451">
        <f ca="1">IF('Tinh phi QL'!$H$9="Nam",VLOOKUP(KTVTUCOI!$I$22,KTVTUCOI!$D$3:$F$103,2,0)*N236/1000/12,IF('Tinh phi QL'!$H$9="Nữ",VLOOKUP(KTVTUCOI!$I$22,KTVTUCOI!$D$3:$F$103,3,0)*N236/1000/12,0))</f>
        <v>5.3021266533831026</v>
      </c>
      <c r="Q236" s="957"/>
      <c r="R236" s="452">
        <f ca="1">IF('Tinh phi QL'!$H$9="Nam",VLOOKUP(KTVTUCOI!$I$22,KTVTUCOI!$D$3:$F$103,2,0)*S236/1000/12,IF('Tinh phi QL'!$H$9="Nữ",VLOOKUP(KTVTUCOI!$I$22,KTVTUCOI!$D$3:$F$103,3,0)*S236/1000/12,0))</f>
        <v>7.5264639398334845</v>
      </c>
      <c r="S236" s="451">
        <f ca="1">KTVTD20namMH!E237-V235</f>
        <v>19981.7626721243</v>
      </c>
      <c r="T236" s="425">
        <f ca="1">(T235-O236-P236)*(1+LS!$E$22)</f>
        <v>-14147.623502411201</v>
      </c>
      <c r="U236" s="958"/>
      <c r="V236" s="418">
        <f ca="1">(V235-O236-R236)*(1+LS!$F$22)</f>
        <v>-20124.570451135547</v>
      </c>
    </row>
    <row r="237" spans="12:22" ht="9.75" customHeight="1">
      <c r="L237" s="957"/>
      <c r="M237" s="262">
        <v>235</v>
      </c>
      <c r="N237" s="263">
        <f t="shared" ca="1" si="23"/>
        <v>14147.623502411201</v>
      </c>
      <c r="O237" s="256">
        <f ca="1">KTVTD20namMH!F238</f>
        <v>60</v>
      </c>
      <c r="P237" s="451">
        <f ca="1">IF('Tinh phi QL'!$H$9="Nam",VLOOKUP(KTVTUCOI!$I$22,KTVTUCOI!$D$3:$F$103,2,0)*N237/1000/12,IF('Tinh phi QL'!$H$9="Nữ",VLOOKUP(KTVTUCOI!$I$22,KTVTUCOI!$D$3:$F$103,3,0)*N237/1000/12,0))</f>
        <v>5.3289381859082185</v>
      </c>
      <c r="Q237" s="957"/>
      <c r="R237" s="452">
        <f ca="1">IF('Tinh phi QL'!$H$9="Nam",VLOOKUP(KTVTUCOI!$I$22,KTVTUCOI!$D$3:$F$103,2,0)*S237/1000/12,IF('Tinh phi QL'!$H$9="Nữ",VLOOKUP(KTVTUCOI!$I$22,KTVTUCOI!$D$3:$F$103,3,0)*S237/1000/12,0))</f>
        <v>7.5802548699277219</v>
      </c>
      <c r="S237" s="451">
        <f ca="1">KTVTD20namMH!E238-V236</f>
        <v>20124.570451135547</v>
      </c>
      <c r="T237" s="425">
        <f ca="1">(T236-O237-P237)*(1+LS!$E$22)</f>
        <v>-14218.860975914093</v>
      </c>
      <c r="U237" s="958"/>
      <c r="V237" s="418">
        <f ca="1">(V236-O237-R237)*(1+LS!$F$22)</f>
        <v>-20267.968439439923</v>
      </c>
    </row>
    <row r="238" spans="12:22" ht="9.75" customHeight="1">
      <c r="L238" s="957"/>
      <c r="M238" s="262">
        <v>236</v>
      </c>
      <c r="N238" s="263">
        <f t="shared" ca="1" si="23"/>
        <v>14218.860975914093</v>
      </c>
      <c r="O238" s="256">
        <f ca="1">KTVTD20namMH!F239</f>
        <v>60</v>
      </c>
      <c r="P238" s="451">
        <f ca="1">IF('Tinh phi QL'!$H$9="Nam",VLOOKUP(KTVTUCOI!$I$22,KTVTUCOI!$D$3:$F$103,2,0)*N238/1000/12,IF('Tinh phi QL'!$H$9="Nữ",VLOOKUP(KTVTUCOI!$I$22,KTVTUCOI!$D$3:$F$103,3,0)*N238/1000/12,0))</f>
        <v>5.3557709675943075</v>
      </c>
      <c r="Q238" s="957"/>
      <c r="R238" s="452">
        <f ca="1">IF('Tinh phi QL'!$H$9="Nam",VLOOKUP(KTVTUCOI!$I$22,KTVTUCOI!$D$3:$F$103,2,0)*S238/1000/12,IF('Tinh phi QL'!$H$9="Nữ",VLOOKUP(KTVTUCOI!$I$22,KTVTUCOI!$D$3:$F$103,3,0)*S238/1000/12,0))</f>
        <v>7.6342681121890372</v>
      </c>
      <c r="S238" s="451">
        <f ca="1">KTVTD20namMH!E239-V237</f>
        <v>20267.968439439923</v>
      </c>
      <c r="T238" s="425">
        <f ca="1">(T237-O238-P238)*(1+LS!$E$22)</f>
        <v>-14290.154907828693</v>
      </c>
      <c r="U238" s="958"/>
      <c r="V238" s="418">
        <f ca="1">(V237-O238-R238)*(1+LS!$F$22)</f>
        <v>-20411.959076309377</v>
      </c>
    </row>
    <row r="239" spans="12:22" ht="9.75" customHeight="1">
      <c r="L239" s="957"/>
      <c r="M239" s="262">
        <v>237</v>
      </c>
      <c r="N239" s="263">
        <f t="shared" ca="1" si="23"/>
        <v>14290.154907828693</v>
      </c>
      <c r="O239" s="256">
        <f ca="1">KTVTD20namMH!F240</f>
        <v>60</v>
      </c>
      <c r="P239" s="451">
        <f ca="1">IF('Tinh phi QL'!$H$9="Nam",VLOOKUP(KTVTUCOI!$I$22,KTVTUCOI!$D$3:$F$103,2,0)*N239/1000/12,IF('Tinh phi QL'!$H$9="Nữ",VLOOKUP(KTVTUCOI!$I$22,KTVTUCOI!$D$3:$F$103,3,0)*N239/1000/12,0))</f>
        <v>5.3826250152821409</v>
      </c>
      <c r="Q239" s="957"/>
      <c r="R239" s="452">
        <f ca="1">IF('Tinh phi QL'!$H$9="Nam",VLOOKUP(KTVTUCOI!$I$22,KTVTUCOI!$D$3:$F$103,2,0)*S239/1000/12,IF('Tinh phi QL'!$H$9="Nữ",VLOOKUP(KTVTUCOI!$I$22,KTVTUCOI!$D$3:$F$103,3,0)*S239/1000/12,0))</f>
        <v>7.6885045854098637</v>
      </c>
      <c r="S239" s="451">
        <f ca="1">KTVTD20namMH!E240-V238</f>
        <v>20411.959076309377</v>
      </c>
      <c r="T239" s="425">
        <f ca="1">(T238-O239-P239)*(1+LS!$E$22)</f>
        <v>-14361.505342900442</v>
      </c>
      <c r="U239" s="958"/>
      <c r="V239" s="418">
        <f ca="1">(V238-O239-R239)*(1+LS!$F$22)</f>
        <v>-20556.544811097112</v>
      </c>
    </row>
    <row r="240" spans="12:22" ht="9.75" customHeight="1">
      <c r="L240" s="957"/>
      <c r="M240" s="262">
        <v>238</v>
      </c>
      <c r="N240" s="263">
        <f t="shared" ca="1" si="23"/>
        <v>14361.505342900442</v>
      </c>
      <c r="O240" s="256">
        <f ca="1">KTVTD20namMH!F241</f>
        <v>60</v>
      </c>
      <c r="P240" s="451">
        <f ca="1">IF('Tinh phi QL'!$H$9="Nam",VLOOKUP(KTVTUCOI!$I$22,KTVTUCOI!$D$3:$F$103,2,0)*N240/1000/12,IF('Tinh phi QL'!$H$9="Nữ",VLOOKUP(KTVTUCOI!$I$22,KTVTUCOI!$D$3:$F$103,3,0)*N240/1000/12,0))</f>
        <v>5.4095003458258324</v>
      </c>
      <c r="Q240" s="957"/>
      <c r="R240" s="452">
        <f ca="1">IF('Tinh phi QL'!$H$9="Nam",VLOOKUP(KTVTUCOI!$I$22,KTVTUCOI!$D$3:$F$103,2,0)*S240/1000/12,IF('Tinh phi QL'!$H$9="Nữ",VLOOKUP(KTVTUCOI!$I$22,KTVTUCOI!$D$3:$F$103,3,0)*S240/1000/12,0))</f>
        <v>7.7429652121799117</v>
      </c>
      <c r="S240" s="451">
        <f ca="1">KTVTD20namMH!E241-V239</f>
        <v>20556.544811097112</v>
      </c>
      <c r="T240" s="425">
        <f ca="1">(T239-O240-P240)*(1+LS!$E$22)</f>
        <v>-14432.912325910247</v>
      </c>
      <c r="U240" s="958"/>
      <c r="V240" s="418">
        <f ca="1">(V239-O240-R240)*(1+LS!$F$22)</f>
        <v>-20701.728103279242</v>
      </c>
    </row>
    <row r="241" spans="12:22" ht="9.75" customHeight="1">
      <c r="L241" s="957"/>
      <c r="M241" s="262">
        <v>239</v>
      </c>
      <c r="N241" s="263">
        <f t="shared" ca="1" si="23"/>
        <v>14432.912325910247</v>
      </c>
      <c r="O241" s="256">
        <f ca="1">KTVTD20namMH!F242</f>
        <v>60</v>
      </c>
      <c r="P241" s="451">
        <f ca="1">IF('Tinh phi QL'!$H$9="Nam",VLOOKUP(KTVTUCOI!$I$22,KTVTUCOI!$D$3:$F$103,2,0)*N241/1000/12,IF('Tinh phi QL'!$H$9="Nữ",VLOOKUP(KTVTUCOI!$I$22,KTVTUCOI!$D$3:$F$103,3,0)*N241/1000/12,0))</f>
        <v>5.4363969760928592</v>
      </c>
      <c r="Q241" s="957"/>
      <c r="R241" s="452">
        <f ca="1">IF('Tinh phi QL'!$H$9="Nam",VLOOKUP(KTVTUCOI!$I$22,KTVTUCOI!$D$3:$F$103,2,0)*S241/1000/12,IF('Tinh phi QL'!$H$9="Nữ",VLOOKUP(KTVTUCOI!$I$22,KTVTUCOI!$D$3:$F$103,3,0)*S241/1000/12,0))</f>
        <v>7.797650918901847</v>
      </c>
      <c r="S241" s="451">
        <f ca="1">KTVTD20namMH!E242-V240</f>
        <v>20701.728103279242</v>
      </c>
      <c r="T241" s="425">
        <f ca="1">(T240-O241-P241)*(1+LS!$E$22)</f>
        <v>-14504.375901674501</v>
      </c>
      <c r="U241" s="958"/>
      <c r="V241" s="418">
        <f ca="1">(V240-O241-R241)*(1+LS!$F$22)</f>
        <v>-20847.511422496635</v>
      </c>
    </row>
    <row r="242" spans="12:22" ht="9.75" customHeight="1">
      <c r="L242" s="957"/>
      <c r="M242" s="262">
        <v>240</v>
      </c>
      <c r="N242" s="263">
        <f t="shared" ca="1" si="23"/>
        <v>14504.375901674501</v>
      </c>
      <c r="O242" s="256">
        <f ca="1">KTVTD20namMH!F243</f>
        <v>60</v>
      </c>
      <c r="P242" s="451">
        <f ca="1">IF('Tinh phi QL'!$H$9="Nam",VLOOKUP(KTVTUCOI!$I$22,KTVTUCOI!$D$3:$F$103,2,0)*N242/1000/12,IF('Tinh phi QL'!$H$9="Nữ",VLOOKUP(KTVTUCOI!$I$22,KTVTUCOI!$D$3:$F$103,3,0)*N242/1000/12,0))</f>
        <v>5.4633149229640603</v>
      </c>
      <c r="Q242" s="957"/>
      <c r="R242" s="452">
        <f ca="1">IF('Tinh phi QL'!$H$9="Nam",VLOOKUP(KTVTUCOI!$I$22,KTVTUCOI!$D$3:$F$103,2,0)*S242/1000/12,IF('Tinh phi QL'!$H$9="Nữ",VLOOKUP(KTVTUCOI!$I$22,KTVTUCOI!$D$3:$F$103,3,0)*S242/1000/12,0))</f>
        <v>7.8525626358070646</v>
      </c>
      <c r="S242" s="451">
        <f ca="1">KTVTD20namMH!E243-V241</f>
        <v>20847.511422496635</v>
      </c>
      <c r="T242" s="426">
        <f ca="1">(T241-O242-P242)*(1+LS!$E$22)+Q231</f>
        <v>-14575.89611504512</v>
      </c>
      <c r="U242" s="958"/>
      <c r="V242" s="419">
        <f ca="1">(V241-O242-R242)*(1+LS!$F$22)+U231</f>
        <v>-20993.897248596921</v>
      </c>
    </row>
  </sheetData>
  <mergeCells count="53">
    <mergeCell ref="L3:L14"/>
    <mergeCell ref="L15:L26"/>
    <mergeCell ref="L27:L38"/>
    <mergeCell ref="L39:L50"/>
    <mergeCell ref="Q39:Q50"/>
    <mergeCell ref="U51:U62"/>
    <mergeCell ref="L63:L74"/>
    <mergeCell ref="Q63:Q74"/>
    <mergeCell ref="U63:U74"/>
    <mergeCell ref="L75:L86"/>
    <mergeCell ref="Q75:Q86"/>
    <mergeCell ref="U75:U86"/>
    <mergeCell ref="L51:L62"/>
    <mergeCell ref="Q51:Q62"/>
    <mergeCell ref="L87:L98"/>
    <mergeCell ref="Q87:Q98"/>
    <mergeCell ref="U87:U98"/>
    <mergeCell ref="L99:L110"/>
    <mergeCell ref="Q99:Q110"/>
    <mergeCell ref="U99:U110"/>
    <mergeCell ref="L111:L122"/>
    <mergeCell ref="Q111:Q122"/>
    <mergeCell ref="U111:U122"/>
    <mergeCell ref="L123:L134"/>
    <mergeCell ref="Q123:Q134"/>
    <mergeCell ref="U123:U134"/>
    <mergeCell ref="L135:L146"/>
    <mergeCell ref="Q135:Q146"/>
    <mergeCell ref="U135:U146"/>
    <mergeCell ref="L147:L158"/>
    <mergeCell ref="Q147:Q158"/>
    <mergeCell ref="U147:U158"/>
    <mergeCell ref="L159:L170"/>
    <mergeCell ref="Q159:Q170"/>
    <mergeCell ref="U159:U170"/>
    <mergeCell ref="L171:L182"/>
    <mergeCell ref="Q171:Q182"/>
    <mergeCell ref="U171:U182"/>
    <mergeCell ref="L183:L194"/>
    <mergeCell ref="Q183:Q194"/>
    <mergeCell ref="U183:U194"/>
    <mergeCell ref="L195:L206"/>
    <mergeCell ref="Q195:Q206"/>
    <mergeCell ref="U195:U206"/>
    <mergeCell ref="L231:L242"/>
    <mergeCell ref="Q231:Q242"/>
    <mergeCell ref="U231:U242"/>
    <mergeCell ref="L207:L218"/>
    <mergeCell ref="Q207:Q218"/>
    <mergeCell ref="U207:U218"/>
    <mergeCell ref="L219:L230"/>
    <mergeCell ref="Q219:Q230"/>
    <mergeCell ref="U219:U230"/>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663EA8-CE52-4250-BFDA-6A21B0904181}">
  <dimension ref="B1:AJ24"/>
  <sheetViews>
    <sheetView showGridLines="0" zoomScaleNormal="100" workbookViewId="0">
      <selection activeCell="T9" sqref="T9"/>
    </sheetView>
  </sheetViews>
  <sheetFormatPr defaultColWidth="12.5" defaultRowHeight="10.5"/>
  <cols>
    <col min="1" max="1" width="0.5" style="363" customWidth="1"/>
    <col min="2" max="3" width="2.5" style="363" customWidth="1"/>
    <col min="4" max="4" width="6.796875" style="363" customWidth="1"/>
    <col min="5" max="7" width="6.69921875" style="363" customWidth="1"/>
    <col min="8" max="8" width="9.796875" style="363" customWidth="1"/>
    <col min="9" max="14" width="6.69921875" style="363" customWidth="1"/>
    <col min="15" max="15" width="8.796875" style="363" customWidth="1"/>
    <col min="16" max="26" width="6.69921875" style="363" customWidth="1"/>
    <col min="27" max="33" width="6.5" style="363" customWidth="1"/>
    <col min="34" max="34" width="10.296875" style="363" customWidth="1"/>
    <col min="35" max="16384" width="12.5" style="363"/>
  </cols>
  <sheetData>
    <row r="1" spans="2:36">
      <c r="B1" s="964"/>
      <c r="C1" s="964"/>
      <c r="D1" s="964"/>
      <c r="E1" s="964"/>
      <c r="F1" s="964"/>
      <c r="G1" s="964"/>
      <c r="H1" s="964"/>
    </row>
    <row r="2" spans="2:36">
      <c r="B2" s="965" t="str">
        <f>'Tinh phi QL'!F7</f>
        <v xml:space="preserve">TRAN VAN HUY    </v>
      </c>
      <c r="C2" s="965"/>
      <c r="D2" s="965"/>
      <c r="E2" s="965"/>
      <c r="F2" s="965"/>
      <c r="G2" s="965"/>
      <c r="H2" s="965"/>
      <c r="I2" s="965"/>
      <c r="J2" s="965"/>
      <c r="K2" s="965"/>
      <c r="L2" s="966" t="str">
        <f>'Tinh phi QL'!F28</f>
        <v>Đỗ Thị X</v>
      </c>
      <c r="M2" s="966"/>
      <c r="N2" s="966"/>
      <c r="O2" s="966"/>
      <c r="P2" s="966"/>
      <c r="Q2" s="966"/>
      <c r="R2" s="966"/>
      <c r="S2" s="364"/>
      <c r="T2" s="966" t="str">
        <f>'Tinh phi QL'!F48</f>
        <v>Trần Huy A</v>
      </c>
      <c r="U2" s="966"/>
      <c r="V2" s="966"/>
      <c r="W2" s="966"/>
      <c r="X2" s="966"/>
      <c r="Y2" s="966"/>
      <c r="Z2" s="966"/>
      <c r="AA2" s="966" t="str">
        <f>'Tinh phi QL'!F67</f>
        <v>Trần Huy B</v>
      </c>
      <c r="AB2" s="966"/>
      <c r="AC2" s="966"/>
      <c r="AD2" s="966"/>
      <c r="AE2" s="966"/>
      <c r="AF2" s="966"/>
      <c r="AG2" s="966"/>
    </row>
    <row r="3" spans="2:36" ht="66.75" customHeight="1">
      <c r="B3" s="366" t="s">
        <v>670</v>
      </c>
      <c r="C3" s="366" t="s">
        <v>842</v>
      </c>
      <c r="D3" s="366" t="s">
        <v>742</v>
      </c>
      <c r="E3" s="366" t="str">
        <f>'Tinh phi QL'!$B$14</f>
        <v>Bảo hiểm Tử vong và thương tật do tai nạn</v>
      </c>
      <c r="F3" s="366" t="str">
        <f>'Tinh phi QL'!$B$15</f>
        <v>Bảo hiểm Hỗ trợ chi phí nằm viện</v>
      </c>
      <c r="G3" s="366" t="str">
        <f>'Tinh phi QL'!$B$16</f>
        <v>Bảo hiểm Toàn diện Bệnh hiểm nghèo 2.0</v>
      </c>
      <c r="H3" s="366" t="str">
        <f>'Tinh phi QL'!$B$17</f>
        <v>Bảo hiểm chăm sóc sức khỏe Trọn đời - Nội Trú (Chọn phạm vi bảo lãnh)</v>
      </c>
      <c r="I3" s="366" t="str">
        <f>'Tinh phi QL'!$B$19</f>
        <v>Bảo hiểm chăm sóc sức khỏe Trọn đời - Ngoại Trú</v>
      </c>
      <c r="J3" s="366" t="str">
        <f>'Tinh phi QL'!$B$21</f>
        <v>Bảo hiểm chăm sóc sức khỏe Trọn đời - Nha khoa</v>
      </c>
      <c r="K3" s="366" t="str">
        <f>'Tinh phi QL'!$B$25</f>
        <v>Bảo hiểm tử kỳ gia hạn hàng năm</v>
      </c>
      <c r="L3" s="367" t="str">
        <f>'Tinh phi QL'!$B$14</f>
        <v>Bảo hiểm Tử vong và thương tật do tai nạn</v>
      </c>
      <c r="M3" s="367" t="str">
        <f>'Tinh phi QL'!$B$15</f>
        <v>Bảo hiểm Hỗ trợ chi phí nằm viện</v>
      </c>
      <c r="N3" s="367" t="str">
        <f>'Tinh phi QL'!$B$16</f>
        <v>Bảo hiểm Toàn diện Bệnh hiểm nghèo 2.0</v>
      </c>
      <c r="O3" s="367" t="str">
        <f>'Tinh phi QL'!$B$17</f>
        <v>Bảo hiểm chăm sóc sức khỏe Trọn đời - Nội Trú (Chọn phạm vi bảo lãnh)</v>
      </c>
      <c r="P3" s="367" t="str">
        <f>'Tinh phi QL'!$B$19</f>
        <v>Bảo hiểm chăm sóc sức khỏe Trọn đời - Ngoại Trú</v>
      </c>
      <c r="Q3" s="367" t="str">
        <f>'Tinh phi QL'!$B$21</f>
        <v>Bảo hiểm chăm sóc sức khỏe Trọn đời - Nha khoa</v>
      </c>
      <c r="R3" s="367" t="str">
        <f>'Tinh phi QL'!$B$25</f>
        <v>Bảo hiểm tử kỳ gia hạn hàng năm</v>
      </c>
      <c r="S3" s="367" t="str">
        <f>'Tinh phi QL'!B45</f>
        <v>Bảo hiểm Miễn thu phí - phiên bản 3.0</v>
      </c>
      <c r="T3" s="366" t="str">
        <f>'Tinh phi QL'!$B$14</f>
        <v>Bảo hiểm Tử vong và thương tật do tai nạn</v>
      </c>
      <c r="U3" s="366" t="str">
        <f>'Tinh phi QL'!$B$15</f>
        <v>Bảo hiểm Hỗ trợ chi phí nằm viện</v>
      </c>
      <c r="V3" s="366" t="str">
        <f>'Tinh phi QL'!$B$16</f>
        <v>Bảo hiểm Toàn diện Bệnh hiểm nghèo 2.0</v>
      </c>
      <c r="W3" s="366" t="str">
        <f>'Tinh phi QL'!$B$17</f>
        <v>Bảo hiểm chăm sóc sức khỏe Trọn đời - Nội Trú (Chọn phạm vi bảo lãnh)</v>
      </c>
      <c r="X3" s="366" t="str">
        <f>'Tinh phi QL'!$B$19</f>
        <v>Bảo hiểm chăm sóc sức khỏe Trọn đời - Ngoại Trú</v>
      </c>
      <c r="Y3" s="366" t="str">
        <f>'Tinh phi QL'!$B$21</f>
        <v>Bảo hiểm chăm sóc sức khỏe Trọn đời - Nha khoa</v>
      </c>
      <c r="Z3" s="366" t="str">
        <f>'Tinh phi QL'!$B$25</f>
        <v>Bảo hiểm tử kỳ gia hạn hàng năm</v>
      </c>
      <c r="AA3" s="367" t="str">
        <f>'Tinh phi QL'!$B$14</f>
        <v>Bảo hiểm Tử vong và thương tật do tai nạn</v>
      </c>
      <c r="AB3" s="367" t="str">
        <f>'Tinh phi QL'!$B$15</f>
        <v>Bảo hiểm Hỗ trợ chi phí nằm viện</v>
      </c>
      <c r="AC3" s="367" t="str">
        <f>'Tinh phi QL'!$B$16</f>
        <v>Bảo hiểm Toàn diện Bệnh hiểm nghèo 2.0</v>
      </c>
      <c r="AD3" s="367" t="str">
        <f>'Tinh phi QL'!$B$17</f>
        <v>Bảo hiểm chăm sóc sức khỏe Trọn đời - Nội Trú (Chọn phạm vi bảo lãnh)</v>
      </c>
      <c r="AE3" s="367" t="str">
        <f>'Tinh phi QL'!$B$19</f>
        <v>Bảo hiểm chăm sóc sức khỏe Trọn đời - Ngoại Trú</v>
      </c>
      <c r="AF3" s="367" t="str">
        <f>'Tinh phi QL'!$B$21</f>
        <v>Bảo hiểm chăm sóc sức khỏe Trọn đời - Nha khoa</v>
      </c>
      <c r="AG3" s="367" t="str">
        <f>'Tinh phi QL'!$B$25</f>
        <v>Bảo hiểm tử kỳ gia hạn hàng năm</v>
      </c>
      <c r="AH3" s="366" t="s">
        <v>763</v>
      </c>
      <c r="AI3" s="608" t="s">
        <v>861</v>
      </c>
      <c r="AJ3" s="608" t="s">
        <v>862</v>
      </c>
    </row>
    <row r="4" spans="2:36">
      <c r="B4" s="368">
        <v>1</v>
      </c>
      <c r="C4" s="368">
        <f>IF(ROW(A1)&gt;'Tinh phi QL'!$D$12,"",ROW(A1))</f>
        <v>1</v>
      </c>
      <c r="D4" s="369">
        <f ca="1">IF(IFERROR(--TRIM(C4),0)=0,0,'Tinh phi QL'!$H$12/1000)</f>
        <v>0</v>
      </c>
      <c r="E4" s="370">
        <f>'Tinh phi QL'!H14/1000</f>
        <v>2270</v>
      </c>
      <c r="F4" s="370">
        <f ca="1">IF('Tinh phi QL'!I8=0,0,VLOOKUP('Tinh phi QL'!$I$8,TCYT!$A$2:$B$60,2,0)*'Tinh phi QL'!$G$15/100000)</f>
        <v>0</v>
      </c>
      <c r="G4" s="370">
        <f ca="1">'Tinh phi QL'!$G$16/1000000*IF('Tinh phi QL'!$H$9="nam",VLOOKUP('Tinh phi QL'!$I$8,BHN!$A$2:$C$87,2,0),VLOOKUP('Tinh phi QL'!$I$8,BHN!$A$2:$C$87,3,0))</f>
        <v>606</v>
      </c>
      <c r="H4" s="370">
        <f ca="1">'Tinh phi QL'!H17/1000</f>
        <v>3695</v>
      </c>
      <c r="I4" s="370">
        <f>'Tinh phi QL'!H19/1000</f>
        <v>0</v>
      </c>
      <c r="J4" s="370">
        <f>'Tinh phi QL'!H21/1000</f>
        <v>0</v>
      </c>
      <c r="K4" s="370">
        <f ca="1">'Tinh phi QL'!$G$25/1000000*IF('Tinh phi QL'!$H$9="nam",VLOOKUP('Tinh phi QL'!$I$8,Tuky!$A$2:$C$87,2,0),VLOOKUP('Tinh phi QL'!$I$8,Tuky!$A$2:$C$87,3,0))</f>
        <v>0</v>
      </c>
      <c r="L4" s="370">
        <f>'Tinh phi QL'!H33/1000</f>
        <v>0</v>
      </c>
      <c r="M4" s="370" t="e">
        <f ca="1">VLOOKUP('Tinh phi QL'!$I$29,TCYT!$A$2:$B$60,2,0)*'Tinh phi QL'!$G$34/100000</f>
        <v>#N/A</v>
      </c>
      <c r="N4" s="370">
        <f ca="1">'Tinh phi QL'!$G$35/1000000*IF('Tinh phi QL'!$H$30="nam",VLOOKUP('Tinh phi QL'!$I$29,BHN!$A$2:$C$87,2,0),VLOOKUP('Tinh phi QL'!$I$29,BHN!$A$2:$C$87,3,0))</f>
        <v>0</v>
      </c>
      <c r="O4" s="370">
        <f>'Tinh phi QL'!H36/1000</f>
        <v>0</v>
      </c>
      <c r="P4" s="370">
        <f>'Tinh phi QL'!H38/1000</f>
        <v>0</v>
      </c>
      <c r="Q4" s="370">
        <f>'Tinh phi QL'!H40/1000</f>
        <v>0</v>
      </c>
      <c r="R4" s="370">
        <f ca="1">'Tinh phi QL'!$G$44/1000000*IF('Tinh phi QL'!$H$30="nam",VLOOKUP('Tinh phi QL'!$I$29,Tuky!$A$2:$C$87,2,0),VLOOKUP('Tinh phi QL'!$I$29,Tuky!$A$2:$C$87,3,0))</f>
        <v>0</v>
      </c>
      <c r="S4" s="370">
        <f>IF('Tinh phi QL'!$G$45=0,0,'Tinh phi QL'!$G$45/1000000*IF('Tinh phi QL'!$H$30="nam",INDEX(MTPNam!$B$2:$AR$44,MATCH('Tinh phi QL'!$I$29,MTPNam!$A$2:$A$44,0),MATCH('Tinh phi QL'!$E$45,MTPNam!$B$1:$AR$1,0)),IF('Tinh phi QL'!$H$30="nữ",INDEX(MTPNu!$B$2:$AR$44,MATCH('Tinh phi QL'!$I$29,MTPNu!$A$2:$A$44,0),MATCH('Tinh phi QL'!$E$45,MTPNu!$B$1:$AR$1,0)))))</f>
        <v>0</v>
      </c>
      <c r="T4" s="370">
        <f>'Tinh phi QL'!H53/1000</f>
        <v>0</v>
      </c>
      <c r="U4" s="370">
        <f ca="1">VLOOKUP('Tinh phi QL'!$I$49,TCYT!$A$2:$B$60,2,0)*'Tinh phi QL'!$G$54/100000</f>
        <v>0</v>
      </c>
      <c r="V4" s="370">
        <f ca="1">'Tinh phi QL'!$G$55/1000000*IF('Tinh phi QL'!$H$50="nam",VLOOKUP('Tinh phi QL'!$I$49,BHN!$A$2:$C$87,2,0),VLOOKUP('Tinh phi QL'!$I$49,BHN!$A$2:$C$87,3,0))</f>
        <v>0</v>
      </c>
      <c r="W4" s="370">
        <f>'Tinh phi QL'!H56/1000</f>
        <v>0</v>
      </c>
      <c r="X4" s="370">
        <f>'Tinh phi QL'!H58/1000</f>
        <v>0</v>
      </c>
      <c r="Y4" s="370">
        <f>'Tinh phi QL'!H60/1000</f>
        <v>0</v>
      </c>
      <c r="Z4" s="370">
        <f ca="1">'Tinh phi QL'!$G$64/1000000*IF('Tinh phi QL'!$H$50="nam",VLOOKUP('Tinh phi QL'!$I$49,Tuky!$A$2:$C$87,2,0),VLOOKUP('Tinh phi QL'!$I$49,Tuky!$A$2:$C$87,3,0))</f>
        <v>0</v>
      </c>
      <c r="AA4" s="370">
        <f>'Tinh phi QL'!H72/1000</f>
        <v>0</v>
      </c>
      <c r="AB4" s="370">
        <f ca="1">VLOOKUP('Tinh phi QL'!$I$68,TCYT!$A$2:$B$60,2,0)*'Tinh phi QL'!$G$73/100000</f>
        <v>0</v>
      </c>
      <c r="AC4" s="370">
        <f ca="1">'Tinh phi QL'!$G$74/1000000*IF('Tinh phi QL'!$H$69="nam",VLOOKUP('Tinh phi QL'!$I$68,BHN!$A$2:$C$87,2,0),VLOOKUP('Tinh phi QL'!$I$68,BHN!$A$2:$C$87,3,0))</f>
        <v>0</v>
      </c>
      <c r="AD4" s="370">
        <f>'Tinh phi QL'!H75/1000</f>
        <v>0</v>
      </c>
      <c r="AE4" s="370">
        <f>'Tinh phi QL'!H77/1000</f>
        <v>0</v>
      </c>
      <c r="AF4" s="370">
        <f>'Tinh phi QL'!H79/1000</f>
        <v>0</v>
      </c>
      <c r="AG4" s="370">
        <f ca="1">'Tinh phi QL'!$G$83/1000000*IF('Tinh phi QL'!$H$69="nam",VLOOKUP('Tinh phi QL'!$I$68,Tuky!$A$2:$C$87,2,0),VLOOKUP('Tinh phi QL'!$I$68,Tuky!$A$2:$C$87,3,0))</f>
        <v>0</v>
      </c>
      <c r="AH4" s="371">
        <f ca="1">_xlfn.AGGREGATE(9,6,D4:AG4)</f>
        <v>6571</v>
      </c>
      <c r="AI4" s="609">
        <f ca="1">AH4-D4</f>
        <v>6571</v>
      </c>
      <c r="AJ4" s="609">
        <f ca="1">AI4</f>
        <v>6571</v>
      </c>
    </row>
    <row r="5" spans="2:36">
      <c r="B5" s="368">
        <v>2</v>
      </c>
      <c r="C5" s="368">
        <f>IF(ROW(A2)&gt;'Tinh phi QL'!$D$12,"",ROW(A2))</f>
        <v>2</v>
      </c>
      <c r="D5" s="369">
        <f ca="1">IF(IFERROR(--TRIM(C5),0)=0,0,'Tinh phi QL'!$H$12/1000)</f>
        <v>0</v>
      </c>
      <c r="E5" s="370">
        <f>E4</f>
        <v>2270</v>
      </c>
      <c r="F5" s="370">
        <f ca="1">VLOOKUP('Tinh phi QL'!$I$8+B4,TCYT!$A$2:$B$60,2,0)*'Tinh phi QL'!$G$15/100000</f>
        <v>0</v>
      </c>
      <c r="G5" s="370">
        <f ca="1">'Tinh phi QL'!$G$16/1000000*IF('Tinh phi QL'!$H$9="nam",VLOOKUP('Tinh phi QL'!$I$8+B4,BHN!$A$2:$C$87,2,0),VLOOKUP('Tinh phi QL'!$I$8+B4,BHN!$A$2:$C$87,3,0))</f>
        <v>606</v>
      </c>
      <c r="H5" s="370">
        <f ca="1">IF($H$4=0,0,IF('Tinh phi QL'!$F$17="Việt Nam",INDEX(TTD!$B$3:$E$102,MATCH('Tinh phi QL'!$I$8+B4,TTD!$A$3:$A$102,0),MATCH('Tinh phi QL'!$G$17,TTD!$B$2:$E$2,0)),IF('Tinh phi QL'!$F$17="Toàn cầu",INDEX(TTD!$F$3:$I$102,MATCH('Tinh phi QL'!$I$8+B4,TTD!$A$3:$A$102,0),MATCH('Tinh phi QL'!$G$17,TTD!$F$2:$I$2,0)))))/1000</f>
        <v>3695</v>
      </c>
      <c r="I5" s="370">
        <f>IF($I$4=0,0,INDEX(TTD!$J$3:$M$102,MATCH('Tinh phi QL'!$I$8+B4,TTD!$A$3:$A$102,0),MATCH('Tinh phi QL'!$G$19,TTD!$J$2:$M$2,0)))/1000</f>
        <v>0</v>
      </c>
      <c r="J5" s="370">
        <f>IF($J$4=0,0,INDEX(TTD!$N$3:$Q$102,MATCH('Tinh phi QL'!$I$8+B4,TTD!$A$3:$A$102,0),MATCH('Tinh phi QL'!$G$21,TTD!$N$2:$Q$2,0)))/1000</f>
        <v>0</v>
      </c>
      <c r="K5" s="370">
        <f ca="1">'Tinh phi QL'!$G$25/1000000*IF('Tinh phi QL'!$H$9="nam",VLOOKUP('Tinh phi QL'!$I$8+B4,Tuky!$A$2:$C$87,2,0),VLOOKUP('Tinh phi QL'!$I$8+B4,Tuky!$A$2:$C$87,3,0))</f>
        <v>0</v>
      </c>
      <c r="L5" s="370">
        <f>L4</f>
        <v>0</v>
      </c>
      <c r="M5" s="370">
        <f ca="1">VLOOKUP('Tinh phi QL'!$I$29+B4,TCYT!$A$2:$B$60,2,0)*'Tinh phi QL'!$G$34/100000</f>
        <v>0</v>
      </c>
      <c r="N5" s="370">
        <f ca="1">'Tinh phi QL'!$G$35/1000000*IF('Tinh phi QL'!$H$30="nam",VLOOKUP('Tinh phi QL'!$I$29+B4,BHN!$A$2:$C$87,2,0),VLOOKUP('Tinh phi QL'!$I$29+B4,BHN!$A$2:$C$87,3,0))</f>
        <v>0</v>
      </c>
      <c r="O5" s="370">
        <f>IF($O$4=0,0,IF('Tinh phi QL'!$F$36="Việt Nam",INDEX(TTD!$B$3:$E$102,MATCH('Tinh phi QL'!$I$29+B4,TTD!$A$3:$A$102,0),MATCH('Tinh phi QL'!$G$36,TTD!$B$2:$E$2,0)),IF('Tinh phi QL'!$F$36="Toàn cầu",INDEX(TTD!$F$3:$I$102,MATCH('Tinh phi QL'!$I$29+B4,TTD!$A$3:$A$102,0),MATCH('Tinh phi QL'!$G$36,TTD!$F$2:$I$2,0)))))/1000</f>
        <v>0</v>
      </c>
      <c r="P5" s="370">
        <f>IF($P$4=0,0,INDEX(TTD!$J$3:$M$102,MATCH('Tinh phi QL'!$I$29+B4,TTD!$A$3:$A$102,0),MATCH('Tinh phi QL'!$G$38,TTD!$J$2:$M$2,0)))/1000</f>
        <v>0</v>
      </c>
      <c r="Q5" s="370">
        <f>IF($Q$4=0,0,INDEX(TTD!$N$3:$Q$102,MATCH('Tinh phi QL'!$I$29+B4,TTD!$A$3:$A$102,0),MATCH('Tinh phi QL'!$G$40,TTD!$N$2:$Q$2,0)))/1000</f>
        <v>0</v>
      </c>
      <c r="R5" s="370">
        <f ca="1">'Tinh phi QL'!$G$44/1000000*IF('Tinh phi QL'!$H$30="nam",VLOOKUP('Tinh phi QL'!$I$29+B4,Tuky!$A$2:$C$87,2,0),VLOOKUP('Tinh phi QL'!$I$29+B4,Tuky!$A$2:$C$87,3,0))</f>
        <v>0</v>
      </c>
      <c r="S5" s="370">
        <f>IF('Tinh phi QL'!$G$45=0,0,((SUM(D5:R5)+SUM(T5:AG5))/1000*IF('Tinh phi QL'!$H$30="nam",INDEX(MTPNam!$B$2:$AR$44,MATCH('Tinh phi QL'!$I$29+B4,MTPNam!$A$2:$A$44,0),MATCH('Tinh phi QL'!$E$45-B4,MTPNam!$B$1:$AR$1,0)),IF('Tinh phi QL'!$H$30="nữ",INDEX(MTPNu!$B$2:$AR$44,MATCH('Tinh phi QL'!$I$29+B4,MTPNu!$A$2:$A$44,0),MATCH('Tinh phi QL'!$E$45-B4,MTPNu!$B$1:$AR$1,0))))))</f>
        <v>0</v>
      </c>
      <c r="T5" s="370">
        <f>T4</f>
        <v>0</v>
      </c>
      <c r="U5" s="370">
        <f ca="1">VLOOKUP('Tinh phi QL'!$I$49+B4,TCYT!$A$2:$B$60,2,0)*'Tinh phi QL'!$G$54/100000</f>
        <v>0</v>
      </c>
      <c r="V5" s="370">
        <f ca="1">'Tinh phi QL'!$G$55/1000000*IF('Tinh phi QL'!$H$50="nam",VLOOKUP('Tinh phi QL'!$I$49+B4,BHN!$A$2:$C$87,2,0),VLOOKUP('Tinh phi QL'!$I$49+B4,BHN!$A$2:$C$87,3,0))</f>
        <v>0</v>
      </c>
      <c r="W5" s="370">
        <f>IF($W$4=0,0,IF('Tinh phi QL'!$F$56="Việt Nam",INDEX(TTD!$B$3:$E$102,MATCH('Tinh phi QL'!$I$49+B4,TTD!$A$3:$A$102,0),MATCH('Tinh phi QL'!$G$56,TTD!$B$2:$E$2,0)),IF('Tinh phi QL'!$F$56="Toàn cầu",INDEX(TTD!$F$3:$I$102,MATCH('Tinh phi QL'!$I$49+B4,TTD!$A$3:$A$102,0),MATCH('Tinh phi QL'!$G$56,TTD!$F$2:$I$2,0)))))/1000</f>
        <v>0</v>
      </c>
      <c r="X5" s="370">
        <f>IF($X$4=0,0,INDEX(TTD!$J$3:$M$102,MATCH('Tinh phi QL'!$I$49+B4,TTD!$A$3:$A$102,0),MATCH('Tinh phi QL'!$G$58,TTD!$J$2:$M$2,0)))/1000</f>
        <v>0</v>
      </c>
      <c r="Y5" s="370">
        <f>IF($Y$4=0,0,INDEX(TTD!$N$3:$Q$102,MATCH('Tinh phi QL'!$I$49+B4,TTD!$A$3:$A$102,0),MATCH('Tinh phi QL'!$G$60,TTD!$N$2:$Q$2,0)))/1000</f>
        <v>0</v>
      </c>
      <c r="Z5" s="370">
        <f ca="1">'Tinh phi QL'!$G$64/1000000*IF('Tinh phi QL'!$H$50="nam",VLOOKUP('Tinh phi QL'!$I$49+B4,Tuky!$A$2:$C$87,2,0),VLOOKUP('Tinh phi QL'!$I$49+B4,Tuky!$A$2:$C$87,3,0))</f>
        <v>0</v>
      </c>
      <c r="AA5" s="370">
        <f>AA4</f>
        <v>0</v>
      </c>
      <c r="AB5" s="370">
        <f ca="1">VLOOKUP('Tinh phi QL'!$I$68+B4,TCYT!$A$2:$B$60,2,0)*'Tinh phi QL'!$G$73/100000</f>
        <v>0</v>
      </c>
      <c r="AC5" s="370">
        <f ca="1">'Tinh phi QL'!$G$74/1000000*IF('Tinh phi QL'!$H$69="nam",VLOOKUP('Tinh phi QL'!$I$68+B4,BHN!$A$2:$C$87,2,0),VLOOKUP('Tinh phi QL'!$I$68+B4,BHN!$A$2:$C$87,3,0))</f>
        <v>0</v>
      </c>
      <c r="AD5" s="370">
        <f>IF($AD$4=0,0,IF('Tinh phi QL'!$F$75="Việt Nam",INDEX(TTD!$B$3:$E$102,MATCH('Tinh phi QL'!$I$68+B4,TTD!$A$3:$A$102,0),MATCH('Tinh phi QL'!$G$75,TTD!$B$2:$E$2,0)),IF('Tinh phi QL'!$F$75="Toàn cầu",INDEX(TTD!$F$3:$I$102,MATCH('Tinh phi QL'!$I$68+B4,TTD!$A$3:$A$102,0),MATCH('Tinh phi QL'!$G$75,TTD!$F$2:$I$2,0)))))/1000</f>
        <v>0</v>
      </c>
      <c r="AE5" s="370">
        <f>IF($AE$4=0,0,INDEX(TTD!$J$3:$M$102,MATCH('Tinh phi QL'!$I$68+B4,TTD!$A$3:$A$102,0),MATCH('Tinh phi QL'!$G$77,TTD!$J$2:$M$2,0)))/1000</f>
        <v>0</v>
      </c>
      <c r="AF5" s="370">
        <f>IF($AF$4=0,0,INDEX(TTD!$N$3:$Q$102,MATCH('Tinh phi QL'!$I$68+B4,TTD!$A$3:$A$102,0),MATCH('Tinh phi QL'!$G$79,TTD!$N$2:$Q$2,0)))/1000</f>
        <v>0</v>
      </c>
      <c r="AG5" s="370">
        <f ca="1">'Tinh phi QL'!$G$83/1000000*IF('Tinh phi QL'!$H$69="nam",VLOOKUP('Tinh phi QL'!$I$68+B4,Tuky!$A$2:$C$87,2,0),VLOOKUP('Tinh phi QL'!$I$68+B4,Tuky!$A$2:$C$87,3,0))</f>
        <v>0</v>
      </c>
      <c r="AH5" s="371">
        <f t="shared" ref="AH5:AH23" ca="1" si="0">_xlfn.AGGREGATE(9,6,D5:AG5)</f>
        <v>6571</v>
      </c>
      <c r="AI5" s="609">
        <f t="shared" ref="AI5:AI23" ca="1" si="1">AH5-D5</f>
        <v>6571</v>
      </c>
      <c r="AJ5" s="609">
        <f ca="1">AI5+AJ4</f>
        <v>13142</v>
      </c>
    </row>
    <row r="6" spans="2:36">
      <c r="B6" s="368">
        <v>3</v>
      </c>
      <c r="C6" s="368">
        <f>IF(ROW(A3)&gt;'Tinh phi QL'!$D$12,"",ROW(A3))</f>
        <v>3</v>
      </c>
      <c r="D6" s="369">
        <f ca="1">IF(IFERROR(--TRIM(C6),0)=0,0,'Tinh phi QL'!$H$12/1000)</f>
        <v>0</v>
      </c>
      <c r="E6" s="370">
        <f t="shared" ref="E6:E21" si="2">E5</f>
        <v>2270</v>
      </c>
      <c r="F6" s="370">
        <f ca="1">VLOOKUP('Tinh phi QL'!$I$8+B5,TCYT!$A$2:$B$60,2,0)*'Tinh phi QL'!$G$15/100000</f>
        <v>0</v>
      </c>
      <c r="G6" s="370">
        <f ca="1">'Tinh phi QL'!$G$16/1000000*IF('Tinh phi QL'!$H$9="nam",VLOOKUP('Tinh phi QL'!$I$8+B5,BHN!$A$2:$C$87,2,0),VLOOKUP('Tinh phi QL'!$I$8+B5,BHN!$A$2:$C$87,3,0))</f>
        <v>606</v>
      </c>
      <c r="H6" s="370">
        <f ca="1">IF($H$4=0,0,IF('Tinh phi QL'!$F$17="Việt Nam",INDEX(TTD!$B$3:$E$102,MATCH('Tinh phi QL'!$I$8+B5,TTD!$A$3:$A$102,0),MATCH('Tinh phi QL'!$G$17,TTD!$B$2:$E$2,0)),IF('Tinh phi QL'!$F$17="Toàn cầu",INDEX(TTD!$F$3:$I$102,MATCH('Tinh phi QL'!$I$8+B5,TTD!$A$3:$A$102,0),MATCH('Tinh phi QL'!$G$17,TTD!$F$2:$I$2,0)))))/1000</f>
        <v>3695</v>
      </c>
      <c r="I6" s="370">
        <f>IF($I$4=0,0,INDEX(TTD!$J$3:$M$102,MATCH('Tinh phi QL'!$I$8+B5,TTD!$A$3:$A$102,0),MATCH('Tinh phi QL'!$G$19,TTD!$J$2:$M$2,0)))/1000</f>
        <v>0</v>
      </c>
      <c r="J6" s="370">
        <f>IF($J$4=0,0,INDEX(TTD!$N$3:$Q$102,MATCH('Tinh phi QL'!$I$8+B5,TTD!$A$3:$A$102,0),MATCH('Tinh phi QL'!$G$21,TTD!$N$2:$Q$2,0)))/1000</f>
        <v>0</v>
      </c>
      <c r="K6" s="370">
        <f ca="1">'Tinh phi QL'!$G$25/1000000*IF('Tinh phi QL'!$H$9="nam",VLOOKUP('Tinh phi QL'!$I$8+B5,Tuky!$A$2:$C$87,2,0),VLOOKUP('Tinh phi QL'!$I$8+B5,Tuky!$A$2:$C$87,3,0))</f>
        <v>0</v>
      </c>
      <c r="L6" s="370">
        <f t="shared" ref="L6:L23" si="3">L5</f>
        <v>0</v>
      </c>
      <c r="M6" s="370">
        <f ca="1">VLOOKUP('Tinh phi QL'!$I$29+B5,TCYT!$A$2:$B$60,2,0)*'Tinh phi QL'!$G$34/100000</f>
        <v>0</v>
      </c>
      <c r="N6" s="370">
        <f ca="1">'Tinh phi QL'!$G$35/1000000*IF('Tinh phi QL'!$H$30="nam",VLOOKUP('Tinh phi QL'!$I$29+B5,BHN!$A$2:$C$87,2,0),VLOOKUP('Tinh phi QL'!$I$29+B5,BHN!$A$2:$C$87,3,0))</f>
        <v>0</v>
      </c>
      <c r="O6" s="370">
        <f>IF($O$4=0,0,IF('Tinh phi QL'!$F$36="Việt Nam",INDEX(TTD!$B$3:$E$102,MATCH('Tinh phi QL'!$I$29+B5,TTD!$A$3:$A$102,0),MATCH('Tinh phi QL'!$G$36,TTD!$B$2:$E$2,0)),IF('Tinh phi QL'!$F$36="Toàn cầu",INDEX(TTD!$F$3:$I$102,MATCH('Tinh phi QL'!$I$29+B5,TTD!$A$3:$A$102,0),MATCH('Tinh phi QL'!$G$36,TTD!$F$2:$I$2,0)))))/1000</f>
        <v>0</v>
      </c>
      <c r="P6" s="370">
        <f>IF($P$4=0,0,INDEX(TTD!$J$3:$M$102,MATCH('Tinh phi QL'!$I$29+B5,TTD!$A$3:$A$102,0),MATCH('Tinh phi QL'!$G$38,TTD!$J$2:$M$2,0)))/1000</f>
        <v>0</v>
      </c>
      <c r="Q6" s="370">
        <f>IF($Q$4=0,0,INDEX(TTD!$N$3:$Q$102,MATCH('Tinh phi QL'!$I$29+B5,TTD!$A$3:$A$102,0),MATCH('Tinh phi QL'!$G$40,TTD!$N$2:$Q$2,0)))/1000</f>
        <v>0</v>
      </c>
      <c r="R6" s="370">
        <f ca="1">'Tinh phi QL'!$G$44/1000000*IF('Tinh phi QL'!$H$30="nam",VLOOKUP('Tinh phi QL'!$I$29+B5,Tuky!$A$2:$C$87,2,0),VLOOKUP('Tinh phi QL'!$I$29+B5,Tuky!$A$2:$C$87,3,0))</f>
        <v>0</v>
      </c>
      <c r="S6" s="370">
        <f>IF('Tinh phi QL'!$G$45=0,0,((SUM(D6:R6)+SUM(T6:AG6))/1000*IF('Tinh phi QL'!$H$30="nam",INDEX(MTPNam!$B$2:$AR$44,MATCH('Tinh phi QL'!$I$29+B5,MTPNam!$A$2:$A$44,0),MATCH('Tinh phi QL'!$E$45-B5,MTPNam!$B$1:$AR$1,0)),IF('Tinh phi QL'!$H$30="nữ",INDEX(MTPNu!$B$2:$AR$44,MATCH('Tinh phi QL'!$I$29+B5,MTPNu!$A$2:$A$44,0),MATCH('Tinh phi QL'!$E$45-B5,MTPNu!$B$1:$AR$1,0))))))</f>
        <v>0</v>
      </c>
      <c r="T6" s="370">
        <f t="shared" ref="T6:T23" si="4">T5</f>
        <v>0</v>
      </c>
      <c r="U6" s="370">
        <f ca="1">VLOOKUP('Tinh phi QL'!$I$49+B5,TCYT!$A$2:$B$60,2,0)*'Tinh phi QL'!$G$54/100000</f>
        <v>0</v>
      </c>
      <c r="V6" s="370">
        <f ca="1">'Tinh phi QL'!$G$55/1000000*IF('Tinh phi QL'!$H$50="nam",VLOOKUP('Tinh phi QL'!$I$49+B5,BHN!$A$2:$C$87,2,0),VLOOKUP('Tinh phi QL'!$I$49+B5,BHN!$A$2:$C$87,3,0))</f>
        <v>0</v>
      </c>
      <c r="W6" s="370">
        <f>IF($W$4=0,0,IF('Tinh phi QL'!$F$56="Việt Nam",INDEX(TTD!$B$3:$E$102,MATCH('Tinh phi QL'!$I$49+B5,TTD!$A$3:$A$102,0),MATCH('Tinh phi QL'!$G$56,TTD!$B$2:$E$2,0)),IF('Tinh phi QL'!$F$56="Toàn cầu",INDEX(TTD!$F$3:$I$102,MATCH('Tinh phi QL'!$I$49+B5,TTD!$A$3:$A$102,0),MATCH('Tinh phi QL'!$G$56,TTD!$F$2:$I$2,0)))))/1000</f>
        <v>0</v>
      </c>
      <c r="X6" s="370">
        <f>IF($X$4=0,0,INDEX(TTD!$J$3:$M$102,MATCH('Tinh phi QL'!$I$49+B5,TTD!$A$3:$A$102,0),MATCH('Tinh phi QL'!$G$58,TTD!$J$2:$M$2,0)))/1000</f>
        <v>0</v>
      </c>
      <c r="Y6" s="370">
        <f>IF($Y$4=0,0,INDEX(TTD!$N$3:$Q$102,MATCH('Tinh phi QL'!$I$49+B5,TTD!$A$3:$A$102,0),MATCH('Tinh phi QL'!$G$60,TTD!$N$2:$Q$2,0)))/1000</f>
        <v>0</v>
      </c>
      <c r="Z6" s="370">
        <f ca="1">'Tinh phi QL'!$G$64/1000000*IF('Tinh phi QL'!$H$50="nam",VLOOKUP('Tinh phi QL'!$I$49+B5,Tuky!$A$2:$C$87,2,0),VLOOKUP('Tinh phi QL'!$I$49+B5,Tuky!$A$2:$C$87,3,0))</f>
        <v>0</v>
      </c>
      <c r="AA6" s="370">
        <f t="shared" ref="AA6:AA23" si="5">AA5</f>
        <v>0</v>
      </c>
      <c r="AB6" s="370">
        <f ca="1">VLOOKUP('Tinh phi QL'!$I$68+B5,TCYT!$A$2:$B$60,2,0)*'Tinh phi QL'!$G$73/100000</f>
        <v>0</v>
      </c>
      <c r="AC6" s="370">
        <f ca="1">'Tinh phi QL'!$G$74/1000000*IF('Tinh phi QL'!$H$69="nam",VLOOKUP('Tinh phi QL'!$I$68+B5,BHN!$A$2:$C$87,2,0),VLOOKUP('Tinh phi QL'!$I$68+B5,BHN!$A$2:$C$87,3,0))</f>
        <v>0</v>
      </c>
      <c r="AD6" s="370">
        <f>IF($AD$4=0,0,IF('Tinh phi QL'!$F$75="Việt Nam",INDEX(TTD!$B$3:$E$102,MATCH('Tinh phi QL'!$I$68+B5,TTD!$A$3:$A$102,0),MATCH('Tinh phi QL'!$G$75,TTD!$B$2:$E$2,0)),IF('Tinh phi QL'!$F$75="Toàn cầu",INDEX(TTD!$F$3:$I$102,MATCH('Tinh phi QL'!$I$68+B5,TTD!$A$3:$A$102,0),MATCH('Tinh phi QL'!$G$75,TTD!$F$2:$I$2,0)))))/1000</f>
        <v>0</v>
      </c>
      <c r="AE6" s="370">
        <f>IF($AE$4=0,0,INDEX(TTD!$J$3:$M$102,MATCH('Tinh phi QL'!$I$68+B5,TTD!$A$3:$A$102,0),MATCH('Tinh phi QL'!$G$77,TTD!$J$2:$M$2,0)))/1000</f>
        <v>0</v>
      </c>
      <c r="AF6" s="370">
        <f>IF($AF$4=0,0,INDEX(TTD!$N$3:$Q$102,MATCH('Tinh phi QL'!$I$68+B5,TTD!$A$3:$A$102,0),MATCH('Tinh phi QL'!$G$79,TTD!$N$2:$Q$2,0)))/1000</f>
        <v>0</v>
      </c>
      <c r="AG6" s="370">
        <f ca="1">'Tinh phi QL'!$G$83/1000000*IF('Tinh phi QL'!$H$69="nam",VLOOKUP('Tinh phi QL'!$I$68+B5,Tuky!$A$2:$C$87,2,0),VLOOKUP('Tinh phi QL'!$I$68+B5,Tuky!$A$2:$C$87,3,0))</f>
        <v>0</v>
      </c>
      <c r="AH6" s="371">
        <f t="shared" ca="1" si="0"/>
        <v>6571</v>
      </c>
      <c r="AI6" s="609">
        <f t="shared" ca="1" si="1"/>
        <v>6571</v>
      </c>
      <c r="AJ6" s="609">
        <f t="shared" ref="AJ6:AJ23" ca="1" si="6">AI6+AJ5</f>
        <v>19713</v>
      </c>
    </row>
    <row r="7" spans="2:36">
      <c r="B7" s="368">
        <v>4</v>
      </c>
      <c r="C7" s="368">
        <f>IF(ROW(A4)&gt;'Tinh phi QL'!$D$12,"",ROW(A4))</f>
        <v>4</v>
      </c>
      <c r="D7" s="369">
        <f ca="1">IF(IFERROR(--TRIM(C7),0)=0,0,'Tinh phi QL'!$H$12/1000)</f>
        <v>0</v>
      </c>
      <c r="E7" s="370">
        <f t="shared" si="2"/>
        <v>2270</v>
      </c>
      <c r="F7" s="370">
        <f ca="1">VLOOKUP('Tinh phi QL'!$I$8+B6,TCYT!$A$2:$B$60,2,0)*'Tinh phi QL'!$G$15/100000</f>
        <v>0</v>
      </c>
      <c r="G7" s="370">
        <f ca="1">'Tinh phi QL'!$G$16/1000000*IF('Tinh phi QL'!$H$9="nam",VLOOKUP('Tinh phi QL'!$I$8+B6,BHN!$A$2:$C$87,2,0),VLOOKUP('Tinh phi QL'!$I$8+B6,BHN!$A$2:$C$87,3,0))</f>
        <v>606</v>
      </c>
      <c r="H7" s="370">
        <f ca="1">IF($H$4=0,0,IF('Tinh phi QL'!$F$17="Việt Nam",INDEX(TTD!$B$3:$E$102,MATCH('Tinh phi QL'!$I$8+B6,TTD!$A$3:$A$102,0),MATCH('Tinh phi QL'!$G$17,TTD!$B$2:$E$2,0)),IF('Tinh phi QL'!$F$17="Toàn cầu",INDEX(TTD!$F$3:$I$102,MATCH('Tinh phi QL'!$I$8+B6,TTD!$A$3:$A$102,0),MATCH('Tinh phi QL'!$G$17,TTD!$F$2:$I$2,0)))))/1000</f>
        <v>3695</v>
      </c>
      <c r="I7" s="370">
        <f>IF($I$4=0,0,INDEX(TTD!$J$3:$M$102,MATCH('Tinh phi QL'!$I$8+B6,TTD!$A$3:$A$102,0),MATCH('Tinh phi QL'!$G$19,TTD!$J$2:$M$2,0)))/1000</f>
        <v>0</v>
      </c>
      <c r="J7" s="370">
        <f>IF($J$4=0,0,INDEX(TTD!$N$3:$Q$102,MATCH('Tinh phi QL'!$I$8+B6,TTD!$A$3:$A$102,0),MATCH('Tinh phi QL'!$G$21,TTD!$N$2:$Q$2,0)))/1000</f>
        <v>0</v>
      </c>
      <c r="K7" s="370">
        <f ca="1">'Tinh phi QL'!$G$25/1000000*IF('Tinh phi QL'!$H$9="nam",VLOOKUP('Tinh phi QL'!$I$8+B6,Tuky!$A$2:$C$87,2,0),VLOOKUP('Tinh phi QL'!$I$8+B6,Tuky!$A$2:$C$87,3,0))</f>
        <v>0</v>
      </c>
      <c r="L7" s="370">
        <f t="shared" si="3"/>
        <v>0</v>
      </c>
      <c r="M7" s="370">
        <f ca="1">VLOOKUP('Tinh phi QL'!$I$29+B6,TCYT!$A$2:$B$60,2,0)*'Tinh phi QL'!$G$34/100000</f>
        <v>0</v>
      </c>
      <c r="N7" s="370">
        <f ca="1">'Tinh phi QL'!$G$35/1000000*IF('Tinh phi QL'!$H$30="nam",VLOOKUP('Tinh phi QL'!$I$29+B6,BHN!$A$2:$C$87,2,0),VLOOKUP('Tinh phi QL'!$I$29+B6,BHN!$A$2:$C$87,3,0))</f>
        <v>0</v>
      </c>
      <c r="O7" s="370">
        <f>IF($O$4=0,0,IF('Tinh phi QL'!$F$36="Việt Nam",INDEX(TTD!$B$3:$E$102,MATCH('Tinh phi QL'!$I$29+B6,TTD!$A$3:$A$102,0),MATCH('Tinh phi QL'!$G$36,TTD!$B$2:$E$2,0)),IF('Tinh phi QL'!$F$36="Toàn cầu",INDEX(TTD!$F$3:$I$102,MATCH('Tinh phi QL'!$I$29+B6,TTD!$A$3:$A$102,0),MATCH('Tinh phi QL'!$G$36,TTD!$F$2:$I$2,0)))))/1000</f>
        <v>0</v>
      </c>
      <c r="P7" s="370">
        <f>IF($P$4=0,0,INDEX(TTD!$J$3:$M$102,MATCH('Tinh phi QL'!$I$29+B6,TTD!$A$3:$A$102,0),MATCH('Tinh phi QL'!$G$38,TTD!$J$2:$M$2,0)))/1000</f>
        <v>0</v>
      </c>
      <c r="Q7" s="370">
        <f>IF($Q$4=0,0,INDEX(TTD!$N$3:$Q$102,MATCH('Tinh phi QL'!$I$29+B6,TTD!$A$3:$A$102,0),MATCH('Tinh phi QL'!$G$40,TTD!$N$2:$Q$2,0)))/1000</f>
        <v>0</v>
      </c>
      <c r="R7" s="370">
        <f ca="1">'Tinh phi QL'!$G$44/1000000*IF('Tinh phi QL'!$H$30="nam",VLOOKUP('Tinh phi QL'!$I$29+B6,Tuky!$A$2:$C$87,2,0),VLOOKUP('Tinh phi QL'!$I$29+B6,Tuky!$A$2:$C$87,3,0))</f>
        <v>0</v>
      </c>
      <c r="S7" s="370">
        <f>IF('Tinh phi QL'!$G$45=0,0,((SUM(D7:R7)+SUM(T7:AG7))/1000*IF('Tinh phi QL'!$H$30="nam",INDEX(MTPNam!$B$2:$AR$44,MATCH('Tinh phi QL'!$I$29+B6,MTPNam!$A$2:$A$44,0),MATCH('Tinh phi QL'!$E$45-B6,MTPNam!$B$1:$AR$1,0)),IF('Tinh phi QL'!$H$30="nữ",INDEX(MTPNu!$B$2:$AR$44,MATCH('Tinh phi QL'!$I$29+B6,MTPNu!$A$2:$A$44,0),MATCH('Tinh phi QL'!$E$45-B6,MTPNu!$B$1:$AR$1,0))))))</f>
        <v>0</v>
      </c>
      <c r="T7" s="370">
        <f t="shared" si="4"/>
        <v>0</v>
      </c>
      <c r="U7" s="370">
        <f ca="1">VLOOKUP('Tinh phi QL'!$I$49+B6,TCYT!$A$2:$B$60,2,0)*'Tinh phi QL'!$G$54/100000</f>
        <v>0</v>
      </c>
      <c r="V7" s="370">
        <f ca="1">'Tinh phi QL'!$G$55/1000000*IF('Tinh phi QL'!$H$50="nam",VLOOKUP('Tinh phi QL'!$I$49+B6,BHN!$A$2:$C$87,2,0),VLOOKUP('Tinh phi QL'!$I$49+B6,BHN!$A$2:$C$87,3,0))</f>
        <v>0</v>
      </c>
      <c r="W7" s="370">
        <f>IF($W$4=0,0,IF('Tinh phi QL'!$F$56="Việt Nam",INDEX(TTD!$B$3:$E$102,MATCH('Tinh phi QL'!$I$49+B6,TTD!$A$3:$A$102,0),MATCH('Tinh phi QL'!$G$56,TTD!$B$2:$E$2,0)),IF('Tinh phi QL'!$F$56="Toàn cầu",INDEX(TTD!$F$3:$I$102,MATCH('Tinh phi QL'!$I$49+B6,TTD!$A$3:$A$102,0),MATCH('Tinh phi QL'!$G$56,TTD!$F$2:$I$2,0)))))/1000</f>
        <v>0</v>
      </c>
      <c r="X7" s="370">
        <f>IF($X$4=0,0,INDEX(TTD!$J$3:$M$102,MATCH('Tinh phi QL'!$I$49+B6,TTD!$A$3:$A$102,0),MATCH('Tinh phi QL'!$G$58,TTD!$J$2:$M$2,0)))/1000</f>
        <v>0</v>
      </c>
      <c r="Y7" s="370">
        <f>IF($Y$4=0,0,INDEX(TTD!$N$3:$Q$102,MATCH('Tinh phi QL'!$I$49+B6,TTD!$A$3:$A$102,0),MATCH('Tinh phi QL'!$G$60,TTD!$N$2:$Q$2,0)))/1000</f>
        <v>0</v>
      </c>
      <c r="Z7" s="370">
        <f ca="1">'Tinh phi QL'!$G$64/1000000*IF('Tinh phi QL'!$H$50="nam",VLOOKUP('Tinh phi QL'!$I$49+B6,Tuky!$A$2:$C$87,2,0),VLOOKUP('Tinh phi QL'!$I$49+B6,Tuky!$A$2:$C$87,3,0))</f>
        <v>0</v>
      </c>
      <c r="AA7" s="370">
        <f t="shared" si="5"/>
        <v>0</v>
      </c>
      <c r="AB7" s="370">
        <f ca="1">VLOOKUP('Tinh phi QL'!$I$68+B6,TCYT!$A$2:$B$60,2,0)*'Tinh phi QL'!$G$73/100000</f>
        <v>0</v>
      </c>
      <c r="AC7" s="370">
        <f ca="1">'Tinh phi QL'!$G$74/1000000*IF('Tinh phi QL'!$H$69="nam",VLOOKUP('Tinh phi QL'!$I$68+B6,BHN!$A$2:$C$87,2,0),VLOOKUP('Tinh phi QL'!$I$68+B6,BHN!$A$2:$C$87,3,0))</f>
        <v>0</v>
      </c>
      <c r="AD7" s="370">
        <f>IF($AD$4=0,0,IF('Tinh phi QL'!$F$75="Việt Nam",INDEX(TTD!$B$3:$E$102,MATCH('Tinh phi QL'!$I$68+B6,TTD!$A$3:$A$102,0),MATCH('Tinh phi QL'!$G$75,TTD!$B$2:$E$2,0)),IF('Tinh phi QL'!$F$75="Toàn cầu",INDEX(TTD!$F$3:$I$102,MATCH('Tinh phi QL'!$I$68+B6,TTD!$A$3:$A$102,0),MATCH('Tinh phi QL'!$G$75,TTD!$F$2:$I$2,0)))))/1000</f>
        <v>0</v>
      </c>
      <c r="AE7" s="370">
        <f>IF($AE$4=0,0,INDEX(TTD!$J$3:$M$102,MATCH('Tinh phi QL'!$I$68+B6,TTD!$A$3:$A$102,0),MATCH('Tinh phi QL'!$G$77,TTD!$J$2:$M$2,0)))/1000</f>
        <v>0</v>
      </c>
      <c r="AF7" s="370">
        <f>IF($AF$4=0,0,INDEX(TTD!$N$3:$Q$102,MATCH('Tinh phi QL'!$I$68+B6,TTD!$A$3:$A$102,0),MATCH('Tinh phi QL'!$G$79,TTD!$N$2:$Q$2,0)))/1000</f>
        <v>0</v>
      </c>
      <c r="AG7" s="370">
        <f ca="1">'Tinh phi QL'!$G$83/1000000*IF('Tinh phi QL'!$H$69="nam",VLOOKUP('Tinh phi QL'!$I$68+B6,Tuky!$A$2:$C$87,2,0),VLOOKUP('Tinh phi QL'!$I$68+B6,Tuky!$A$2:$C$87,3,0))</f>
        <v>0</v>
      </c>
      <c r="AH7" s="371">
        <f t="shared" ca="1" si="0"/>
        <v>6571</v>
      </c>
      <c r="AI7" s="609">
        <f t="shared" ca="1" si="1"/>
        <v>6571</v>
      </c>
      <c r="AJ7" s="609">
        <f t="shared" ca="1" si="6"/>
        <v>26284</v>
      </c>
    </row>
    <row r="8" spans="2:36">
      <c r="B8" s="368">
        <v>5</v>
      </c>
      <c r="C8" s="368">
        <f>IF(ROW(A5)&gt;'Tinh phi QL'!$D$12,"",ROW(A5))</f>
        <v>5</v>
      </c>
      <c r="D8" s="369">
        <f ca="1">IF(IFERROR(--TRIM(C8),0)=0,0,'Tinh phi QL'!$H$12/1000)</f>
        <v>0</v>
      </c>
      <c r="E8" s="370">
        <f t="shared" si="2"/>
        <v>2270</v>
      </c>
      <c r="F8" s="370">
        <f ca="1">VLOOKUP('Tinh phi QL'!$I$8+B7,TCYT!$A$2:$B$60,2,0)*'Tinh phi QL'!$G$15/100000</f>
        <v>0</v>
      </c>
      <c r="G8" s="370">
        <f ca="1">'Tinh phi QL'!$G$16/1000000*IF('Tinh phi QL'!$H$9="nam",VLOOKUP('Tinh phi QL'!$I$8+B7,BHN!$A$2:$C$87,2,0),VLOOKUP('Tinh phi QL'!$I$8+B7,BHN!$A$2:$C$87,3,0))</f>
        <v>606</v>
      </c>
      <c r="H8" s="370">
        <f ca="1">IF($H$4=0,0,IF('Tinh phi QL'!$F$17="Việt Nam",INDEX(TTD!$B$3:$E$102,MATCH('Tinh phi QL'!$I$8+B7,TTD!$A$3:$A$102,0),MATCH('Tinh phi QL'!$G$17,TTD!$B$2:$E$2,0)),IF('Tinh phi QL'!$F$17="Toàn cầu",INDEX(TTD!$F$3:$I$102,MATCH('Tinh phi QL'!$I$8+B7,TTD!$A$3:$A$102,0),MATCH('Tinh phi QL'!$G$17,TTD!$F$2:$I$2,0)))))/1000</f>
        <v>3695</v>
      </c>
      <c r="I8" s="370">
        <f>IF($I$4=0,0,INDEX(TTD!$J$3:$M$102,MATCH('Tinh phi QL'!$I$8+B7,TTD!$A$3:$A$102,0),MATCH('Tinh phi QL'!$G$19,TTD!$J$2:$M$2,0)))/1000</f>
        <v>0</v>
      </c>
      <c r="J8" s="370">
        <f>IF($J$4=0,0,INDEX(TTD!$N$3:$Q$102,MATCH('Tinh phi QL'!$I$8+B7,TTD!$A$3:$A$102,0),MATCH('Tinh phi QL'!$G$21,TTD!$N$2:$Q$2,0)))/1000</f>
        <v>0</v>
      </c>
      <c r="K8" s="370">
        <f ca="1">'Tinh phi QL'!$G$25/1000000*IF('Tinh phi QL'!$H$9="nam",VLOOKUP('Tinh phi QL'!$I$8+B7,Tuky!$A$2:$C$87,2,0),VLOOKUP('Tinh phi QL'!$I$8+B7,Tuky!$A$2:$C$87,3,0))</f>
        <v>0</v>
      </c>
      <c r="L8" s="370">
        <f t="shared" si="3"/>
        <v>0</v>
      </c>
      <c r="M8" s="370">
        <f ca="1">VLOOKUP('Tinh phi QL'!$I$29+B7,TCYT!$A$2:$B$60,2,0)*'Tinh phi QL'!$G$34/100000</f>
        <v>0</v>
      </c>
      <c r="N8" s="370">
        <f ca="1">'Tinh phi QL'!$G$35/1000000*IF('Tinh phi QL'!$H$30="nam",VLOOKUP('Tinh phi QL'!$I$29+B7,BHN!$A$2:$C$87,2,0),VLOOKUP('Tinh phi QL'!$I$29+B7,BHN!$A$2:$C$87,3,0))</f>
        <v>0</v>
      </c>
      <c r="O8" s="370">
        <f>IF($O$4=0,0,IF('Tinh phi QL'!$F$36="Việt Nam",INDEX(TTD!$B$3:$E$102,MATCH('Tinh phi QL'!$I$29+B7,TTD!$A$3:$A$102,0),MATCH('Tinh phi QL'!$G$36,TTD!$B$2:$E$2,0)),IF('Tinh phi QL'!$F$36="Toàn cầu",INDEX(TTD!$F$3:$I$102,MATCH('Tinh phi QL'!$I$29+B7,TTD!$A$3:$A$102,0),MATCH('Tinh phi QL'!$G$36,TTD!$F$2:$I$2,0)))))/1000</f>
        <v>0</v>
      </c>
      <c r="P8" s="370">
        <f>IF($P$4=0,0,INDEX(TTD!$J$3:$M$102,MATCH('Tinh phi QL'!$I$29+B7,TTD!$A$3:$A$102,0),MATCH('Tinh phi QL'!$G$38,TTD!$J$2:$M$2,0)))/1000</f>
        <v>0</v>
      </c>
      <c r="Q8" s="370">
        <f>IF($Q$4=0,0,INDEX(TTD!$N$3:$Q$102,MATCH('Tinh phi QL'!$I$29+B7,TTD!$A$3:$A$102,0),MATCH('Tinh phi QL'!$G$40,TTD!$N$2:$Q$2,0)))/1000</f>
        <v>0</v>
      </c>
      <c r="R8" s="370">
        <f ca="1">'Tinh phi QL'!$G$44/1000000*IF('Tinh phi QL'!$H$30="nam",VLOOKUP('Tinh phi QL'!$I$29+B7,Tuky!$A$2:$C$87,2,0),VLOOKUP('Tinh phi QL'!$I$29+B7,Tuky!$A$2:$C$87,3,0))</f>
        <v>0</v>
      </c>
      <c r="S8" s="370">
        <f>IF('Tinh phi QL'!$G$45=0,0,((SUM(D8:R8)+SUM(T8:AG8))/1000*IF('Tinh phi QL'!$H$30="nam",INDEX(MTPNam!$B$2:$AR$44,MATCH('Tinh phi QL'!$I$29+B7,MTPNam!$A$2:$A$44,0),MATCH('Tinh phi QL'!$E$45-B7,MTPNam!$B$1:$AR$1,0)),IF('Tinh phi QL'!$H$30="nữ",INDEX(MTPNu!$B$2:$AR$44,MATCH('Tinh phi QL'!$I$29+B7,MTPNu!$A$2:$A$44,0),MATCH('Tinh phi QL'!$E$45-B7,MTPNu!$B$1:$AR$1,0))))))</f>
        <v>0</v>
      </c>
      <c r="T8" s="370">
        <f t="shared" si="4"/>
        <v>0</v>
      </c>
      <c r="U8" s="370">
        <f ca="1">VLOOKUP('Tinh phi QL'!$I$49+B7,TCYT!$A$2:$B$60,2,0)*'Tinh phi QL'!$G$54/100000</f>
        <v>0</v>
      </c>
      <c r="V8" s="370">
        <f ca="1">'Tinh phi QL'!$G$55/1000000*IF('Tinh phi QL'!$H$50="nam",VLOOKUP('Tinh phi QL'!$I$49+B7,BHN!$A$2:$C$87,2,0),VLOOKUP('Tinh phi QL'!$I$49+B7,BHN!$A$2:$C$87,3,0))</f>
        <v>0</v>
      </c>
      <c r="W8" s="370">
        <f>IF($W$4=0,0,IF('Tinh phi QL'!$F$56="Việt Nam",INDEX(TTD!$B$3:$E$102,MATCH('Tinh phi QL'!$I$49+B7,TTD!$A$3:$A$102,0),MATCH('Tinh phi QL'!$G$56,TTD!$B$2:$E$2,0)),IF('Tinh phi QL'!$F$56="Toàn cầu",INDEX(TTD!$F$3:$I$102,MATCH('Tinh phi QL'!$I$49+B7,TTD!$A$3:$A$102,0),MATCH('Tinh phi QL'!$G$56,TTD!$F$2:$I$2,0)))))/1000</f>
        <v>0</v>
      </c>
      <c r="X8" s="370">
        <f>IF($X$4=0,0,INDEX(TTD!$J$3:$M$102,MATCH('Tinh phi QL'!$I$49+B7,TTD!$A$3:$A$102,0),MATCH('Tinh phi QL'!$G$58,TTD!$J$2:$M$2,0)))/1000</f>
        <v>0</v>
      </c>
      <c r="Y8" s="370">
        <f>IF($Y$4=0,0,INDEX(TTD!$N$3:$Q$102,MATCH('Tinh phi QL'!$I$49+B7,TTD!$A$3:$A$102,0),MATCH('Tinh phi QL'!$G$60,TTD!$N$2:$Q$2,0)))/1000</f>
        <v>0</v>
      </c>
      <c r="Z8" s="370">
        <f ca="1">'Tinh phi QL'!$G$64/1000000*IF('Tinh phi QL'!$H$50="nam",VLOOKUP('Tinh phi QL'!$I$49+B7,Tuky!$A$2:$C$87,2,0),VLOOKUP('Tinh phi QL'!$I$49+B7,Tuky!$A$2:$C$87,3,0))</f>
        <v>0</v>
      </c>
      <c r="AA8" s="370">
        <f t="shared" si="5"/>
        <v>0</v>
      </c>
      <c r="AB8" s="370">
        <f ca="1">VLOOKUP('Tinh phi QL'!$I$68+B7,TCYT!$A$2:$B$60,2,0)*'Tinh phi QL'!$G$73/100000</f>
        <v>0</v>
      </c>
      <c r="AC8" s="370">
        <f ca="1">'Tinh phi QL'!$G$74/1000000*IF('Tinh phi QL'!$H$69="nam",VLOOKUP('Tinh phi QL'!$I$68+B7,BHN!$A$2:$C$87,2,0),VLOOKUP('Tinh phi QL'!$I$68+B7,BHN!$A$2:$C$87,3,0))</f>
        <v>0</v>
      </c>
      <c r="AD8" s="370">
        <f>IF($AD$4=0,0,IF('Tinh phi QL'!$F$75="Việt Nam",INDEX(TTD!$B$3:$E$102,MATCH('Tinh phi QL'!$I$68+B7,TTD!$A$3:$A$102,0),MATCH('Tinh phi QL'!$G$75,TTD!$B$2:$E$2,0)),IF('Tinh phi QL'!$F$75="Toàn cầu",INDEX(TTD!$F$3:$I$102,MATCH('Tinh phi QL'!$I$68+B7,TTD!$A$3:$A$102,0),MATCH('Tinh phi QL'!$G$75,TTD!$F$2:$I$2,0)))))/1000</f>
        <v>0</v>
      </c>
      <c r="AE8" s="370">
        <f>IF($AE$4=0,0,INDEX(TTD!$J$3:$M$102,MATCH('Tinh phi QL'!$I$68+B7,TTD!$A$3:$A$102,0),MATCH('Tinh phi QL'!$G$77,TTD!$J$2:$M$2,0)))/1000</f>
        <v>0</v>
      </c>
      <c r="AF8" s="370">
        <f>IF($AF$4=0,0,INDEX(TTD!$N$3:$Q$102,MATCH('Tinh phi QL'!$I$68+B7,TTD!$A$3:$A$102,0),MATCH('Tinh phi QL'!$G$79,TTD!$N$2:$Q$2,0)))/1000</f>
        <v>0</v>
      </c>
      <c r="AG8" s="370">
        <f ca="1">'Tinh phi QL'!$G$83/1000000*IF('Tinh phi QL'!$H$69="nam",VLOOKUP('Tinh phi QL'!$I$68+B7,Tuky!$A$2:$C$87,2,0),VLOOKUP('Tinh phi QL'!$I$68+B7,Tuky!$A$2:$C$87,3,0))</f>
        <v>0</v>
      </c>
      <c r="AH8" s="371">
        <f t="shared" ca="1" si="0"/>
        <v>6571</v>
      </c>
      <c r="AI8" s="609">
        <f t="shared" ca="1" si="1"/>
        <v>6571</v>
      </c>
      <c r="AJ8" s="609">
        <f t="shared" ca="1" si="6"/>
        <v>32855</v>
      </c>
    </row>
    <row r="9" spans="2:36">
      <c r="B9" s="368">
        <v>6</v>
      </c>
      <c r="C9" s="368">
        <f>IF(ROW(A6)&gt;'Tinh phi QL'!$D$12,"",ROW(A6))</f>
        <v>6</v>
      </c>
      <c r="D9" s="369">
        <f ca="1">IF(IFERROR(--TRIM(C9),0)=0,0,'Tinh phi QL'!$H$12/1000)</f>
        <v>0</v>
      </c>
      <c r="E9" s="370">
        <f t="shared" si="2"/>
        <v>2270</v>
      </c>
      <c r="F9" s="370">
        <f ca="1">VLOOKUP('Tinh phi QL'!$I$8+B8,TCYT!$A$2:$B$60,2,0)*'Tinh phi QL'!$G$15/100000</f>
        <v>0</v>
      </c>
      <c r="G9" s="370">
        <f ca="1">'Tinh phi QL'!$G$16/1000000*IF('Tinh phi QL'!$H$9="nam",VLOOKUP('Tinh phi QL'!$I$8+B8,BHN!$A$2:$C$87,2,0),VLOOKUP('Tinh phi QL'!$I$8+B8,BHN!$A$2:$C$87,3,0))</f>
        <v>1002</v>
      </c>
      <c r="H9" s="370">
        <f ca="1">IF($H$4=0,0,IF('Tinh phi QL'!$F$17="Việt Nam",INDEX(TTD!$B$3:$E$102,MATCH('Tinh phi QL'!$I$8+B8,TTD!$A$3:$A$102,0),MATCH('Tinh phi QL'!$G$17,TTD!$B$2:$E$2,0)),IF('Tinh phi QL'!$F$17="Toàn cầu",INDEX(TTD!$F$3:$I$102,MATCH('Tinh phi QL'!$I$8+B8,TTD!$A$3:$A$102,0),MATCH('Tinh phi QL'!$G$17,TTD!$F$2:$I$2,0)))))/1000</f>
        <v>4223</v>
      </c>
      <c r="I9" s="370">
        <f>IF($I$4=0,0,INDEX(TTD!$J$3:$M$102,MATCH('Tinh phi QL'!$I$8+B8,TTD!$A$3:$A$102,0),MATCH('Tinh phi QL'!$G$19,TTD!$J$2:$M$2,0)))/1000</f>
        <v>0</v>
      </c>
      <c r="J9" s="370">
        <f>IF($J$4=0,0,INDEX(TTD!$N$3:$Q$102,MATCH('Tinh phi QL'!$I$8+B8,TTD!$A$3:$A$102,0),MATCH('Tinh phi QL'!$G$21,TTD!$N$2:$Q$2,0)))/1000</f>
        <v>0</v>
      </c>
      <c r="K9" s="370">
        <f ca="1">'Tinh phi QL'!$G$25/1000000*IF('Tinh phi QL'!$H$9="nam",VLOOKUP('Tinh phi QL'!$I$8+B8,Tuky!$A$2:$C$87,2,0),VLOOKUP('Tinh phi QL'!$I$8+B8,Tuky!$A$2:$C$87,3,0))</f>
        <v>0</v>
      </c>
      <c r="L9" s="370">
        <f t="shared" si="3"/>
        <v>0</v>
      </c>
      <c r="M9" s="370">
        <f ca="1">VLOOKUP('Tinh phi QL'!$I$29+B8,TCYT!$A$2:$B$60,2,0)*'Tinh phi QL'!$G$34/100000</f>
        <v>0</v>
      </c>
      <c r="N9" s="370">
        <f ca="1">'Tinh phi QL'!$G$35/1000000*IF('Tinh phi QL'!$H$30="nam",VLOOKUP('Tinh phi QL'!$I$29+B8,BHN!$A$2:$C$87,2,0),VLOOKUP('Tinh phi QL'!$I$29+B8,BHN!$A$2:$C$87,3,0))</f>
        <v>0</v>
      </c>
      <c r="O9" s="370">
        <f>IF($O$4=0,0,IF('Tinh phi QL'!$F$36="Việt Nam",INDEX(TTD!$B$3:$E$102,MATCH('Tinh phi QL'!$I$29+B8,TTD!$A$3:$A$102,0),MATCH('Tinh phi QL'!$G$36,TTD!$B$2:$E$2,0)),IF('Tinh phi QL'!$F$36="Toàn cầu",INDEX(TTD!$F$3:$I$102,MATCH('Tinh phi QL'!$I$29+B8,TTD!$A$3:$A$102,0),MATCH('Tinh phi QL'!$G$36,TTD!$F$2:$I$2,0)))))/1000</f>
        <v>0</v>
      </c>
      <c r="P9" s="370">
        <f>IF($P$4=0,0,INDEX(TTD!$J$3:$M$102,MATCH('Tinh phi QL'!$I$29+B8,TTD!$A$3:$A$102,0),MATCH('Tinh phi QL'!$G$38,TTD!$J$2:$M$2,0)))/1000</f>
        <v>0</v>
      </c>
      <c r="Q9" s="370">
        <f>IF($Q$4=0,0,INDEX(TTD!$N$3:$Q$102,MATCH('Tinh phi QL'!$I$29+B8,TTD!$A$3:$A$102,0),MATCH('Tinh phi QL'!$G$40,TTD!$N$2:$Q$2,0)))/1000</f>
        <v>0</v>
      </c>
      <c r="R9" s="370">
        <f ca="1">'Tinh phi QL'!$G$44/1000000*IF('Tinh phi QL'!$H$30="nam",VLOOKUP('Tinh phi QL'!$I$29+B8,Tuky!$A$2:$C$87,2,0),VLOOKUP('Tinh phi QL'!$I$29+B8,Tuky!$A$2:$C$87,3,0))</f>
        <v>0</v>
      </c>
      <c r="S9" s="370">
        <f>IF('Tinh phi QL'!$G$45=0,0,((SUM(D9:R9)+SUM(T9:AG9))/1000*IF('Tinh phi QL'!$H$30="nam",INDEX(MTPNam!$B$2:$AR$44,MATCH('Tinh phi QL'!$I$29+B8,MTPNam!$A$2:$A$44,0),MATCH('Tinh phi QL'!$E$45-B8,MTPNam!$B$1:$AR$1,0)),IF('Tinh phi QL'!$H$30="nữ",INDEX(MTPNu!$B$2:$AR$44,MATCH('Tinh phi QL'!$I$29+B8,MTPNu!$A$2:$A$44,0),MATCH('Tinh phi QL'!$E$45-B8,MTPNu!$B$1:$AR$1,0))))))</f>
        <v>0</v>
      </c>
      <c r="T9" s="370">
        <f t="shared" si="4"/>
        <v>0</v>
      </c>
      <c r="U9" s="370">
        <f ca="1">VLOOKUP('Tinh phi QL'!$I$49+B8,TCYT!$A$2:$B$60,2,0)*'Tinh phi QL'!$G$54/100000</f>
        <v>0</v>
      </c>
      <c r="V9" s="370">
        <f ca="1">'Tinh phi QL'!$G$55/1000000*IF('Tinh phi QL'!$H$50="nam",VLOOKUP('Tinh phi QL'!$I$49+B8,BHN!$A$2:$C$87,2,0),VLOOKUP('Tinh phi QL'!$I$49+B8,BHN!$A$2:$C$87,3,0))</f>
        <v>0</v>
      </c>
      <c r="W9" s="370">
        <f>IF($W$4=0,0,IF('Tinh phi QL'!$F$56="Việt Nam",INDEX(TTD!$B$3:$E$102,MATCH('Tinh phi QL'!$I$49+B8,TTD!$A$3:$A$102,0),MATCH('Tinh phi QL'!$G$56,TTD!$B$2:$E$2,0)),IF('Tinh phi QL'!$F$56="Toàn cầu",INDEX(TTD!$F$3:$I$102,MATCH('Tinh phi QL'!$I$49+B8,TTD!$A$3:$A$102,0),MATCH('Tinh phi QL'!$G$56,TTD!$F$2:$I$2,0)))))/1000</f>
        <v>0</v>
      </c>
      <c r="X9" s="370">
        <f>IF($X$4=0,0,INDEX(TTD!$J$3:$M$102,MATCH('Tinh phi QL'!$I$49+B8,TTD!$A$3:$A$102,0),MATCH('Tinh phi QL'!$G$58,TTD!$J$2:$M$2,0)))/1000</f>
        <v>0</v>
      </c>
      <c r="Y9" s="370">
        <f>IF($Y$4=0,0,INDEX(TTD!$N$3:$Q$102,MATCH('Tinh phi QL'!$I$49+B8,TTD!$A$3:$A$102,0),MATCH('Tinh phi QL'!$G$60,TTD!$N$2:$Q$2,0)))/1000</f>
        <v>0</v>
      </c>
      <c r="Z9" s="370">
        <f ca="1">'Tinh phi QL'!$G$64/1000000*IF('Tinh phi QL'!$H$50="nam",VLOOKUP('Tinh phi QL'!$I$49+B8,Tuky!$A$2:$C$87,2,0),VLOOKUP('Tinh phi QL'!$I$49+B8,Tuky!$A$2:$C$87,3,0))</f>
        <v>0</v>
      </c>
      <c r="AA9" s="370">
        <f t="shared" si="5"/>
        <v>0</v>
      </c>
      <c r="AB9" s="370">
        <f ca="1">VLOOKUP('Tinh phi QL'!$I$68+B8,TCYT!$A$2:$B$60,2,0)*'Tinh phi QL'!$G$73/100000</f>
        <v>0</v>
      </c>
      <c r="AC9" s="370">
        <f ca="1">'Tinh phi QL'!$G$74/1000000*IF('Tinh phi QL'!$H$69="nam",VLOOKUP('Tinh phi QL'!$I$68+B8,BHN!$A$2:$C$87,2,0),VLOOKUP('Tinh phi QL'!$I$68+B8,BHN!$A$2:$C$87,3,0))</f>
        <v>0</v>
      </c>
      <c r="AD9" s="370">
        <f>IF($AD$4=0,0,IF('Tinh phi QL'!$F$75="Việt Nam",INDEX(TTD!$B$3:$E$102,MATCH('Tinh phi QL'!$I$68+B8,TTD!$A$3:$A$102,0),MATCH('Tinh phi QL'!$G$75,TTD!$B$2:$E$2,0)),IF('Tinh phi QL'!$F$75="Toàn cầu",INDEX(TTD!$F$3:$I$102,MATCH('Tinh phi QL'!$I$68+B8,TTD!$A$3:$A$102,0),MATCH('Tinh phi QL'!$G$75,TTD!$F$2:$I$2,0)))))/1000</f>
        <v>0</v>
      </c>
      <c r="AE9" s="370">
        <f>IF($AE$4=0,0,INDEX(TTD!$J$3:$M$102,MATCH('Tinh phi QL'!$I$68+B8,TTD!$A$3:$A$102,0),MATCH('Tinh phi QL'!$G$77,TTD!$J$2:$M$2,0)))/1000</f>
        <v>0</v>
      </c>
      <c r="AF9" s="370">
        <f>IF($AF$4=0,0,INDEX(TTD!$N$3:$Q$102,MATCH('Tinh phi QL'!$I$68+B8,TTD!$A$3:$A$102,0),MATCH('Tinh phi QL'!$G$79,TTD!$N$2:$Q$2,0)))/1000</f>
        <v>0</v>
      </c>
      <c r="AG9" s="370">
        <f ca="1">'Tinh phi QL'!$G$83/1000000*IF('Tinh phi QL'!$H$69="nam",VLOOKUP('Tinh phi QL'!$I$68+B8,Tuky!$A$2:$C$87,2,0),VLOOKUP('Tinh phi QL'!$I$68+B8,Tuky!$A$2:$C$87,3,0))</f>
        <v>0</v>
      </c>
      <c r="AH9" s="371">
        <f t="shared" ca="1" si="0"/>
        <v>7495</v>
      </c>
      <c r="AI9" s="609">
        <f t="shared" ca="1" si="1"/>
        <v>7495</v>
      </c>
      <c r="AJ9" s="609">
        <f t="shared" ca="1" si="6"/>
        <v>40350</v>
      </c>
    </row>
    <row r="10" spans="2:36">
      <c r="B10" s="368">
        <v>7</v>
      </c>
      <c r="C10" s="368">
        <f>IF(ROW(A7)&gt;'Tinh phi QL'!$D$12,"",ROW(A7))</f>
        <v>7</v>
      </c>
      <c r="D10" s="369">
        <f ca="1">IF(IFERROR(--TRIM(C10),0)=0,0,'Tinh phi QL'!$H$12/1000)</f>
        <v>0</v>
      </c>
      <c r="E10" s="370">
        <f t="shared" si="2"/>
        <v>2270</v>
      </c>
      <c r="F10" s="370">
        <f ca="1">VLOOKUP('Tinh phi QL'!$I$8+B9,TCYT!$A$2:$B$60,2,0)*'Tinh phi QL'!$G$15/100000</f>
        <v>0</v>
      </c>
      <c r="G10" s="370">
        <f ca="1">'Tinh phi QL'!$G$16/1000000*IF('Tinh phi QL'!$H$9="nam",VLOOKUP('Tinh phi QL'!$I$8+B9,BHN!$A$2:$C$87,2,0),VLOOKUP('Tinh phi QL'!$I$8+B9,BHN!$A$2:$C$87,3,0))</f>
        <v>1002</v>
      </c>
      <c r="H10" s="370">
        <f ca="1">IF($H$4=0,0,IF('Tinh phi QL'!$F$17="Việt Nam",INDEX(TTD!$B$3:$E$102,MATCH('Tinh phi QL'!$I$8+B9,TTD!$A$3:$A$102,0),MATCH('Tinh phi QL'!$G$17,TTD!$B$2:$E$2,0)),IF('Tinh phi QL'!$F$17="Toàn cầu",INDEX(TTD!$F$3:$I$102,MATCH('Tinh phi QL'!$I$8+B9,TTD!$A$3:$A$102,0),MATCH('Tinh phi QL'!$G$17,TTD!$F$2:$I$2,0)))))/1000</f>
        <v>4223</v>
      </c>
      <c r="I10" s="370">
        <f>IF($I$4=0,0,INDEX(TTD!$J$3:$M$102,MATCH('Tinh phi QL'!$I$8+B9,TTD!$A$3:$A$102,0),MATCH('Tinh phi QL'!$G$19,TTD!$J$2:$M$2,0)))/1000</f>
        <v>0</v>
      </c>
      <c r="J10" s="370">
        <f>IF($J$4=0,0,INDEX(TTD!$N$3:$Q$102,MATCH('Tinh phi QL'!$I$8+B9,TTD!$A$3:$A$102,0),MATCH('Tinh phi QL'!$G$21,TTD!$N$2:$Q$2,0)))/1000</f>
        <v>0</v>
      </c>
      <c r="K10" s="370">
        <f ca="1">'Tinh phi QL'!$G$25/1000000*IF('Tinh phi QL'!$H$9="nam",VLOOKUP('Tinh phi QL'!$I$8+B9,Tuky!$A$2:$C$87,2,0),VLOOKUP('Tinh phi QL'!$I$8+B9,Tuky!$A$2:$C$87,3,0))</f>
        <v>0</v>
      </c>
      <c r="L10" s="370">
        <f t="shared" si="3"/>
        <v>0</v>
      </c>
      <c r="M10" s="370">
        <f ca="1">VLOOKUP('Tinh phi QL'!$I$29+B9,TCYT!$A$2:$B$60,2,0)*'Tinh phi QL'!$G$34/100000</f>
        <v>0</v>
      </c>
      <c r="N10" s="370">
        <f ca="1">'Tinh phi QL'!$G$35/1000000*IF('Tinh phi QL'!$H$30="nam",VLOOKUP('Tinh phi QL'!$I$29+B9,BHN!$A$2:$C$87,2,0),VLOOKUP('Tinh phi QL'!$I$29+B9,BHN!$A$2:$C$87,3,0))</f>
        <v>0</v>
      </c>
      <c r="O10" s="370">
        <f>IF($O$4=0,0,IF('Tinh phi QL'!$F$36="Việt Nam",INDEX(TTD!$B$3:$E$102,MATCH('Tinh phi QL'!$I$29+B9,TTD!$A$3:$A$102,0),MATCH('Tinh phi QL'!$G$36,TTD!$B$2:$E$2,0)),IF('Tinh phi QL'!$F$36="Toàn cầu",INDEX(TTD!$F$3:$I$102,MATCH('Tinh phi QL'!$I$29+B9,TTD!$A$3:$A$102,0),MATCH('Tinh phi QL'!$G$36,TTD!$F$2:$I$2,0)))))/1000</f>
        <v>0</v>
      </c>
      <c r="P10" s="370">
        <f>IF($P$4=0,0,INDEX(TTD!$J$3:$M$102,MATCH('Tinh phi QL'!$I$29+B9,TTD!$A$3:$A$102,0),MATCH('Tinh phi QL'!$G$38,TTD!$J$2:$M$2,0)))/1000</f>
        <v>0</v>
      </c>
      <c r="Q10" s="370">
        <f>IF($Q$4=0,0,INDEX(TTD!$N$3:$Q$102,MATCH('Tinh phi QL'!$I$29+B9,TTD!$A$3:$A$102,0),MATCH('Tinh phi QL'!$G$40,TTD!$N$2:$Q$2,0)))/1000</f>
        <v>0</v>
      </c>
      <c r="R10" s="370">
        <f ca="1">'Tinh phi QL'!$G$44/1000000*IF('Tinh phi QL'!$H$30="nam",VLOOKUP('Tinh phi QL'!$I$29+B9,Tuky!$A$2:$C$87,2,0),VLOOKUP('Tinh phi QL'!$I$29+B9,Tuky!$A$2:$C$87,3,0))</f>
        <v>0</v>
      </c>
      <c r="S10" s="370">
        <f>IF('Tinh phi QL'!$G$45=0,0,((SUM(D10:R10)+SUM(T10:AG10))/1000*IF('Tinh phi QL'!$H$30="nam",INDEX(MTPNam!$B$2:$AR$44,MATCH('Tinh phi QL'!$I$29+B9,MTPNam!$A$2:$A$44,0),MATCH('Tinh phi QL'!$E$45-B9,MTPNam!$B$1:$AR$1,0)),IF('Tinh phi QL'!$H$30="nữ",INDEX(MTPNu!$B$2:$AR$44,MATCH('Tinh phi QL'!$I$29+B9,MTPNu!$A$2:$A$44,0),MATCH('Tinh phi QL'!$E$45-B9,MTPNu!$B$1:$AR$1,0))))))</f>
        <v>0</v>
      </c>
      <c r="T10" s="370">
        <f t="shared" si="4"/>
        <v>0</v>
      </c>
      <c r="U10" s="370">
        <f ca="1">VLOOKUP('Tinh phi QL'!$I$49+B9,TCYT!$A$2:$B$60,2,0)*'Tinh phi QL'!$G$54/100000</f>
        <v>0</v>
      </c>
      <c r="V10" s="370">
        <f ca="1">'Tinh phi QL'!$G$55/1000000*IF('Tinh phi QL'!$H$50="nam",VLOOKUP('Tinh phi QL'!$I$49+B9,BHN!$A$2:$C$87,2,0),VLOOKUP('Tinh phi QL'!$I$49+B9,BHN!$A$2:$C$87,3,0))</f>
        <v>0</v>
      </c>
      <c r="W10" s="370">
        <f>IF($W$4=0,0,IF('Tinh phi QL'!$F$56="Việt Nam",INDEX(TTD!$B$3:$E$102,MATCH('Tinh phi QL'!$I$49+B9,TTD!$A$3:$A$102,0),MATCH('Tinh phi QL'!$G$56,TTD!$B$2:$E$2,0)),IF('Tinh phi QL'!$F$56="Toàn cầu",INDEX(TTD!$F$3:$I$102,MATCH('Tinh phi QL'!$I$49+B9,TTD!$A$3:$A$102,0),MATCH('Tinh phi QL'!$G$56,TTD!$F$2:$I$2,0)))))/1000</f>
        <v>0</v>
      </c>
      <c r="X10" s="370">
        <f>IF($X$4=0,0,INDEX(TTD!$J$3:$M$102,MATCH('Tinh phi QL'!$I$49+B9,TTD!$A$3:$A$102,0),MATCH('Tinh phi QL'!$G$58,TTD!$J$2:$M$2,0)))/1000</f>
        <v>0</v>
      </c>
      <c r="Y10" s="370">
        <f>IF($Y$4=0,0,INDEX(TTD!$N$3:$Q$102,MATCH('Tinh phi QL'!$I$49+B9,TTD!$A$3:$A$102,0),MATCH('Tinh phi QL'!$G$60,TTD!$N$2:$Q$2,0)))/1000</f>
        <v>0</v>
      </c>
      <c r="Z10" s="370">
        <f ca="1">'Tinh phi QL'!$G$64/1000000*IF('Tinh phi QL'!$H$50="nam",VLOOKUP('Tinh phi QL'!$I$49+B9,Tuky!$A$2:$C$87,2,0),VLOOKUP('Tinh phi QL'!$I$49+B9,Tuky!$A$2:$C$87,3,0))</f>
        <v>0</v>
      </c>
      <c r="AA10" s="370">
        <f t="shared" si="5"/>
        <v>0</v>
      </c>
      <c r="AB10" s="370">
        <f ca="1">VLOOKUP('Tinh phi QL'!$I$68+B9,TCYT!$A$2:$B$60,2,0)*'Tinh phi QL'!$G$73/100000</f>
        <v>0</v>
      </c>
      <c r="AC10" s="370">
        <f ca="1">'Tinh phi QL'!$G$74/1000000*IF('Tinh phi QL'!$H$69="nam",VLOOKUP('Tinh phi QL'!$I$68+B9,BHN!$A$2:$C$87,2,0),VLOOKUP('Tinh phi QL'!$I$68+B9,BHN!$A$2:$C$87,3,0))</f>
        <v>0</v>
      </c>
      <c r="AD10" s="370">
        <f>IF($AD$4=0,0,IF('Tinh phi QL'!$F$75="Việt Nam",INDEX(TTD!$B$3:$E$102,MATCH('Tinh phi QL'!$I$68+B9,TTD!$A$3:$A$102,0),MATCH('Tinh phi QL'!$G$75,TTD!$B$2:$E$2,0)),IF('Tinh phi QL'!$F$75="Toàn cầu",INDEX(TTD!$F$3:$I$102,MATCH('Tinh phi QL'!$I$68+B9,TTD!$A$3:$A$102,0),MATCH('Tinh phi QL'!$G$75,TTD!$F$2:$I$2,0)))))/1000</f>
        <v>0</v>
      </c>
      <c r="AE10" s="370">
        <f>IF($AE$4=0,0,INDEX(TTD!$J$3:$M$102,MATCH('Tinh phi QL'!$I$68+B9,TTD!$A$3:$A$102,0),MATCH('Tinh phi QL'!$G$77,TTD!$J$2:$M$2,0)))/1000</f>
        <v>0</v>
      </c>
      <c r="AF10" s="370">
        <f>IF($AF$4=0,0,INDEX(TTD!$N$3:$Q$102,MATCH('Tinh phi QL'!$I$68+B9,TTD!$A$3:$A$102,0),MATCH('Tinh phi QL'!$G$79,TTD!$N$2:$Q$2,0)))/1000</f>
        <v>0</v>
      </c>
      <c r="AG10" s="370">
        <f ca="1">'Tinh phi QL'!$G$83/1000000*IF('Tinh phi QL'!$H$69="nam",VLOOKUP('Tinh phi QL'!$I$68+B9,Tuky!$A$2:$C$87,2,0),VLOOKUP('Tinh phi QL'!$I$68+B9,Tuky!$A$2:$C$87,3,0))</f>
        <v>0</v>
      </c>
      <c r="AH10" s="371">
        <f t="shared" ca="1" si="0"/>
        <v>7495</v>
      </c>
      <c r="AI10" s="609">
        <f t="shared" ca="1" si="1"/>
        <v>7495</v>
      </c>
      <c r="AJ10" s="609">
        <f t="shared" ca="1" si="6"/>
        <v>47845</v>
      </c>
    </row>
    <row r="11" spans="2:36">
      <c r="B11" s="368">
        <v>8</v>
      </c>
      <c r="C11" s="368">
        <f>IF(ROW(A8)&gt;'Tinh phi QL'!$D$12,"",ROW(A8))</f>
        <v>8</v>
      </c>
      <c r="D11" s="369">
        <f ca="1">IF(IFERROR(--TRIM(C11),0)=0,0,'Tinh phi QL'!$H$12/1000)</f>
        <v>0</v>
      </c>
      <c r="E11" s="370">
        <f t="shared" si="2"/>
        <v>2270</v>
      </c>
      <c r="F11" s="370">
        <f ca="1">VLOOKUP('Tinh phi QL'!$I$8+B10,TCYT!$A$2:$B$60,2,0)*'Tinh phi QL'!$G$15/100000</f>
        <v>0</v>
      </c>
      <c r="G11" s="370">
        <f ca="1">'Tinh phi QL'!$G$16/1000000*IF('Tinh phi QL'!$H$9="nam",VLOOKUP('Tinh phi QL'!$I$8+B10,BHN!$A$2:$C$87,2,0),VLOOKUP('Tinh phi QL'!$I$8+B10,BHN!$A$2:$C$87,3,0))</f>
        <v>1002</v>
      </c>
      <c r="H11" s="370">
        <f ca="1">IF($H$4=0,0,IF('Tinh phi QL'!$F$17="Việt Nam",INDEX(TTD!$B$3:$E$102,MATCH('Tinh phi QL'!$I$8+B10,TTD!$A$3:$A$102,0),MATCH('Tinh phi QL'!$G$17,TTD!$B$2:$E$2,0)),IF('Tinh phi QL'!$F$17="Toàn cầu",INDEX(TTD!$F$3:$I$102,MATCH('Tinh phi QL'!$I$8+B10,TTD!$A$3:$A$102,0),MATCH('Tinh phi QL'!$G$17,TTD!$F$2:$I$2,0)))))/1000</f>
        <v>4223</v>
      </c>
      <c r="I11" s="370">
        <f>IF($I$4=0,0,INDEX(TTD!$J$3:$M$102,MATCH('Tinh phi QL'!$I$8+B10,TTD!$A$3:$A$102,0),MATCH('Tinh phi QL'!$G$19,TTD!$J$2:$M$2,0)))/1000</f>
        <v>0</v>
      </c>
      <c r="J11" s="370">
        <f>IF($J$4=0,0,INDEX(TTD!$N$3:$Q$102,MATCH('Tinh phi QL'!$I$8+B10,TTD!$A$3:$A$102,0),MATCH('Tinh phi QL'!$G$21,TTD!$N$2:$Q$2,0)))/1000</f>
        <v>0</v>
      </c>
      <c r="K11" s="370">
        <f ca="1">'Tinh phi QL'!$G$25/1000000*IF('Tinh phi QL'!$H$9="nam",VLOOKUP('Tinh phi QL'!$I$8+B10,Tuky!$A$2:$C$87,2,0),VLOOKUP('Tinh phi QL'!$I$8+B10,Tuky!$A$2:$C$87,3,0))</f>
        <v>0</v>
      </c>
      <c r="L11" s="370">
        <f t="shared" si="3"/>
        <v>0</v>
      </c>
      <c r="M11" s="370">
        <f ca="1">VLOOKUP('Tinh phi QL'!$I$29+B10,TCYT!$A$2:$B$60,2,0)*'Tinh phi QL'!$G$34/100000</f>
        <v>0</v>
      </c>
      <c r="N11" s="370">
        <f ca="1">'Tinh phi QL'!$G$35/1000000*IF('Tinh phi QL'!$H$30="nam",VLOOKUP('Tinh phi QL'!$I$29+B10,BHN!$A$2:$C$87,2,0),VLOOKUP('Tinh phi QL'!$I$29+B10,BHN!$A$2:$C$87,3,0))</f>
        <v>0</v>
      </c>
      <c r="O11" s="370">
        <f>IF($O$4=0,0,IF('Tinh phi QL'!$F$36="Việt Nam",INDEX(TTD!$B$3:$E$102,MATCH('Tinh phi QL'!$I$29+B10,TTD!$A$3:$A$102,0),MATCH('Tinh phi QL'!$G$36,TTD!$B$2:$E$2,0)),IF('Tinh phi QL'!$F$36="Toàn cầu",INDEX(TTD!$F$3:$I$102,MATCH('Tinh phi QL'!$I$29+B10,TTD!$A$3:$A$102,0),MATCH('Tinh phi QL'!$G$36,TTD!$F$2:$I$2,0)))))/1000</f>
        <v>0</v>
      </c>
      <c r="P11" s="370">
        <f>IF($P$4=0,0,INDEX(TTD!$J$3:$M$102,MATCH('Tinh phi QL'!$I$29+B10,TTD!$A$3:$A$102,0),MATCH('Tinh phi QL'!$G$38,TTD!$J$2:$M$2,0)))/1000</f>
        <v>0</v>
      </c>
      <c r="Q11" s="370">
        <f>IF($Q$4=0,0,INDEX(TTD!$N$3:$Q$102,MATCH('Tinh phi QL'!$I$29+B10,TTD!$A$3:$A$102,0),MATCH('Tinh phi QL'!$G$40,TTD!$N$2:$Q$2,0)))/1000</f>
        <v>0</v>
      </c>
      <c r="R11" s="370">
        <f ca="1">'Tinh phi QL'!$G$44/1000000*IF('Tinh phi QL'!$H$30="nam",VLOOKUP('Tinh phi QL'!$I$29+B10,Tuky!$A$2:$C$87,2,0),VLOOKUP('Tinh phi QL'!$I$29+B10,Tuky!$A$2:$C$87,3,0))</f>
        <v>0</v>
      </c>
      <c r="S11" s="370">
        <f>IF('Tinh phi QL'!$G$45=0,0,((SUM(D11:R11)+SUM(T11:AG11))/1000*IF('Tinh phi QL'!$H$30="nam",INDEX(MTPNam!$B$2:$AR$44,MATCH('Tinh phi QL'!$I$29+B10,MTPNam!$A$2:$A$44,0),MATCH('Tinh phi QL'!$E$45-B10,MTPNam!$B$1:$AR$1,0)),IF('Tinh phi QL'!$H$30="nữ",INDEX(MTPNu!$B$2:$AR$44,MATCH('Tinh phi QL'!$I$29+B10,MTPNu!$A$2:$A$44,0),MATCH('Tinh phi QL'!$E$45-B10,MTPNu!$B$1:$AR$1,0))))))</f>
        <v>0</v>
      </c>
      <c r="T11" s="370">
        <f t="shared" si="4"/>
        <v>0</v>
      </c>
      <c r="U11" s="370">
        <f ca="1">VLOOKUP('Tinh phi QL'!$I$49+B10,TCYT!$A$2:$B$60,2,0)*'Tinh phi QL'!$G$54/100000</f>
        <v>0</v>
      </c>
      <c r="V11" s="370">
        <f ca="1">'Tinh phi QL'!$G$55/1000000*IF('Tinh phi QL'!$H$50="nam",VLOOKUP('Tinh phi QL'!$I$49+B10,BHN!$A$2:$C$87,2,0),VLOOKUP('Tinh phi QL'!$I$49+B10,BHN!$A$2:$C$87,3,0))</f>
        <v>0</v>
      </c>
      <c r="W11" s="370">
        <f>IF($W$4=0,0,IF('Tinh phi QL'!$F$56="Việt Nam",INDEX(TTD!$B$3:$E$102,MATCH('Tinh phi QL'!$I$49+B10,TTD!$A$3:$A$102,0),MATCH('Tinh phi QL'!$G$56,TTD!$B$2:$E$2,0)),IF('Tinh phi QL'!$F$56="Toàn cầu",INDEX(TTD!$F$3:$I$102,MATCH('Tinh phi QL'!$I$49+B10,TTD!$A$3:$A$102,0),MATCH('Tinh phi QL'!$G$56,TTD!$F$2:$I$2,0)))))/1000</f>
        <v>0</v>
      </c>
      <c r="X11" s="370">
        <f>IF($X$4=0,0,INDEX(TTD!$J$3:$M$102,MATCH('Tinh phi QL'!$I$49+B10,TTD!$A$3:$A$102,0),MATCH('Tinh phi QL'!$G$58,TTD!$J$2:$M$2,0)))/1000</f>
        <v>0</v>
      </c>
      <c r="Y11" s="370">
        <f>IF($Y$4=0,0,INDEX(TTD!$N$3:$Q$102,MATCH('Tinh phi QL'!$I$49+B10,TTD!$A$3:$A$102,0),MATCH('Tinh phi QL'!$G$60,TTD!$N$2:$Q$2,0)))/1000</f>
        <v>0</v>
      </c>
      <c r="Z11" s="370">
        <f ca="1">'Tinh phi QL'!$G$64/1000000*IF('Tinh phi QL'!$H$50="nam",VLOOKUP('Tinh phi QL'!$I$49+B10,Tuky!$A$2:$C$87,2,0),VLOOKUP('Tinh phi QL'!$I$49+B10,Tuky!$A$2:$C$87,3,0))</f>
        <v>0</v>
      </c>
      <c r="AA11" s="370">
        <f t="shared" si="5"/>
        <v>0</v>
      </c>
      <c r="AB11" s="370">
        <f ca="1">VLOOKUP('Tinh phi QL'!$I$68+B10,TCYT!$A$2:$B$60,2,0)*'Tinh phi QL'!$G$73/100000</f>
        <v>0</v>
      </c>
      <c r="AC11" s="370">
        <f ca="1">'Tinh phi QL'!$G$74/1000000*IF('Tinh phi QL'!$H$69="nam",VLOOKUP('Tinh phi QL'!$I$68+B10,BHN!$A$2:$C$87,2,0),VLOOKUP('Tinh phi QL'!$I$68+B10,BHN!$A$2:$C$87,3,0))</f>
        <v>0</v>
      </c>
      <c r="AD11" s="370">
        <f>IF($AD$4=0,0,IF('Tinh phi QL'!$F$75="Việt Nam",INDEX(TTD!$B$3:$E$102,MATCH('Tinh phi QL'!$I$68+B10,TTD!$A$3:$A$102,0),MATCH('Tinh phi QL'!$G$75,TTD!$B$2:$E$2,0)),IF('Tinh phi QL'!$F$75="Toàn cầu",INDEX(TTD!$F$3:$I$102,MATCH('Tinh phi QL'!$I$68+B10,TTD!$A$3:$A$102,0),MATCH('Tinh phi QL'!$G$75,TTD!$F$2:$I$2,0)))))/1000</f>
        <v>0</v>
      </c>
      <c r="AE11" s="370">
        <f>IF($AE$4=0,0,INDEX(TTD!$J$3:$M$102,MATCH('Tinh phi QL'!$I$68+B10,TTD!$A$3:$A$102,0),MATCH('Tinh phi QL'!$G$77,TTD!$J$2:$M$2,0)))/1000</f>
        <v>0</v>
      </c>
      <c r="AF11" s="370">
        <f>IF($AF$4=0,0,INDEX(TTD!$N$3:$Q$102,MATCH('Tinh phi QL'!$I$68+B10,TTD!$A$3:$A$102,0),MATCH('Tinh phi QL'!$G$79,TTD!$N$2:$Q$2,0)))/1000</f>
        <v>0</v>
      </c>
      <c r="AG11" s="370">
        <f ca="1">'Tinh phi QL'!$G$83/1000000*IF('Tinh phi QL'!$H$69="nam",VLOOKUP('Tinh phi QL'!$I$68+B10,Tuky!$A$2:$C$87,2,0),VLOOKUP('Tinh phi QL'!$I$68+B10,Tuky!$A$2:$C$87,3,0))</f>
        <v>0</v>
      </c>
      <c r="AH11" s="371">
        <f t="shared" ca="1" si="0"/>
        <v>7495</v>
      </c>
      <c r="AI11" s="609">
        <f t="shared" ca="1" si="1"/>
        <v>7495</v>
      </c>
      <c r="AJ11" s="609">
        <f t="shared" ca="1" si="6"/>
        <v>55340</v>
      </c>
    </row>
    <row r="12" spans="2:36">
      <c r="B12" s="368">
        <v>9</v>
      </c>
      <c r="C12" s="368">
        <f>IF(ROW(A9)&gt;'Tinh phi QL'!$D$12,"",ROW(A9))</f>
        <v>9</v>
      </c>
      <c r="D12" s="369">
        <f ca="1">IF(IFERROR(--TRIM(C12),0)=0,0,'Tinh phi QL'!$H$12/1000)</f>
        <v>0</v>
      </c>
      <c r="E12" s="370">
        <f t="shared" si="2"/>
        <v>2270</v>
      </c>
      <c r="F12" s="370">
        <f ca="1">VLOOKUP('Tinh phi QL'!$I$8+B11,TCYT!$A$2:$B$60,2,0)*'Tinh phi QL'!$G$15/100000</f>
        <v>0</v>
      </c>
      <c r="G12" s="370">
        <f ca="1">'Tinh phi QL'!$G$16/1000000*IF('Tinh phi QL'!$H$9="nam",VLOOKUP('Tinh phi QL'!$I$8+B11,BHN!$A$2:$C$87,2,0),VLOOKUP('Tinh phi QL'!$I$8+B11,BHN!$A$2:$C$87,3,0))</f>
        <v>1002</v>
      </c>
      <c r="H12" s="370">
        <f ca="1">IF($H$4=0,0,IF('Tinh phi QL'!$F$17="Việt Nam",INDEX(TTD!$B$3:$E$102,MATCH('Tinh phi QL'!$I$8+B11,TTD!$A$3:$A$102,0),MATCH('Tinh phi QL'!$G$17,TTD!$B$2:$E$2,0)),IF('Tinh phi QL'!$F$17="Toàn cầu",INDEX(TTD!$F$3:$I$102,MATCH('Tinh phi QL'!$I$8+B11,TTD!$A$3:$A$102,0),MATCH('Tinh phi QL'!$G$17,TTD!$F$2:$I$2,0)))))/1000</f>
        <v>4223</v>
      </c>
      <c r="I12" s="370">
        <f>IF($I$4=0,0,INDEX(TTD!$J$3:$M$102,MATCH('Tinh phi QL'!$I$8+B11,TTD!$A$3:$A$102,0),MATCH('Tinh phi QL'!$G$19,TTD!$J$2:$M$2,0)))/1000</f>
        <v>0</v>
      </c>
      <c r="J12" s="370">
        <f>IF($J$4=0,0,INDEX(TTD!$N$3:$Q$102,MATCH('Tinh phi QL'!$I$8+B11,TTD!$A$3:$A$102,0),MATCH('Tinh phi QL'!$G$21,TTD!$N$2:$Q$2,0)))/1000</f>
        <v>0</v>
      </c>
      <c r="K12" s="370">
        <f ca="1">'Tinh phi QL'!$G$25/1000000*IF('Tinh phi QL'!$H$9="nam",VLOOKUP('Tinh phi QL'!$I$8+B11,Tuky!$A$2:$C$87,2,0),VLOOKUP('Tinh phi QL'!$I$8+B11,Tuky!$A$2:$C$87,3,0))</f>
        <v>0</v>
      </c>
      <c r="L12" s="370">
        <f t="shared" si="3"/>
        <v>0</v>
      </c>
      <c r="M12" s="370">
        <f ca="1">VLOOKUP('Tinh phi QL'!$I$29+B11,TCYT!$A$2:$B$60,2,0)*'Tinh phi QL'!$G$34/100000</f>
        <v>0</v>
      </c>
      <c r="N12" s="370">
        <f ca="1">'Tinh phi QL'!$G$35/1000000*IF('Tinh phi QL'!$H$30="nam",VLOOKUP('Tinh phi QL'!$I$29+B11,BHN!$A$2:$C$87,2,0),VLOOKUP('Tinh phi QL'!$I$29+B11,BHN!$A$2:$C$87,3,0))</f>
        <v>0</v>
      </c>
      <c r="O12" s="370">
        <f>IF($O$4=0,0,IF('Tinh phi QL'!$F$36="Việt Nam",INDEX(TTD!$B$3:$E$102,MATCH('Tinh phi QL'!$I$29+B11,TTD!$A$3:$A$102,0),MATCH('Tinh phi QL'!$G$36,TTD!$B$2:$E$2,0)),IF('Tinh phi QL'!$F$36="Toàn cầu",INDEX(TTD!$F$3:$I$102,MATCH('Tinh phi QL'!$I$29+B11,TTD!$A$3:$A$102,0),MATCH('Tinh phi QL'!$G$36,TTD!$F$2:$I$2,0)))))/1000</f>
        <v>0</v>
      </c>
      <c r="P12" s="370">
        <f>IF($P$4=0,0,INDEX(TTD!$J$3:$M$102,MATCH('Tinh phi QL'!$I$29+B11,TTD!$A$3:$A$102,0),MATCH('Tinh phi QL'!$G$38,TTD!$J$2:$M$2,0)))/1000</f>
        <v>0</v>
      </c>
      <c r="Q12" s="370">
        <f>IF($Q$4=0,0,INDEX(TTD!$N$3:$Q$102,MATCH('Tinh phi QL'!$I$29+B11,TTD!$A$3:$A$102,0),MATCH('Tinh phi QL'!$G$40,TTD!$N$2:$Q$2,0)))/1000</f>
        <v>0</v>
      </c>
      <c r="R12" s="370">
        <f ca="1">'Tinh phi QL'!$G$44/1000000*IF('Tinh phi QL'!$H$30="nam",VLOOKUP('Tinh phi QL'!$I$29+B11,Tuky!$A$2:$C$87,2,0),VLOOKUP('Tinh phi QL'!$I$29+B11,Tuky!$A$2:$C$87,3,0))</f>
        <v>0</v>
      </c>
      <c r="S12" s="370">
        <f>IF('Tinh phi QL'!$G$45=0,0,((SUM(D12:R12)+SUM(T12:AG12))/1000*IF('Tinh phi QL'!$H$30="nam",INDEX(MTPNam!$B$2:$AR$44,MATCH('Tinh phi QL'!$I$29+B11,MTPNam!$A$2:$A$44,0),MATCH('Tinh phi QL'!$E$45-B11,MTPNam!$B$1:$AR$1,0)),IF('Tinh phi QL'!$H$30="nữ",INDEX(MTPNu!$B$2:$AR$44,MATCH('Tinh phi QL'!$I$29+B11,MTPNu!$A$2:$A$44,0),MATCH('Tinh phi QL'!$E$45-B11,MTPNu!$B$1:$AR$1,0))))))</f>
        <v>0</v>
      </c>
      <c r="T12" s="370">
        <f t="shared" si="4"/>
        <v>0</v>
      </c>
      <c r="U12" s="370">
        <f ca="1">VLOOKUP('Tinh phi QL'!$I$49+B11,TCYT!$A$2:$B$60,2,0)*'Tinh phi QL'!$G$54/100000</f>
        <v>0</v>
      </c>
      <c r="V12" s="370">
        <f ca="1">'Tinh phi QL'!$G$55/1000000*IF('Tinh phi QL'!$H$50="nam",VLOOKUP('Tinh phi QL'!$I$49+B11,BHN!$A$2:$C$87,2,0),VLOOKUP('Tinh phi QL'!$I$49+B11,BHN!$A$2:$C$87,3,0))</f>
        <v>0</v>
      </c>
      <c r="W12" s="370">
        <f>IF($W$4=0,0,IF('Tinh phi QL'!$F$56="Việt Nam",INDEX(TTD!$B$3:$E$102,MATCH('Tinh phi QL'!$I$49+B11,TTD!$A$3:$A$102,0),MATCH('Tinh phi QL'!$G$56,TTD!$B$2:$E$2,0)),IF('Tinh phi QL'!$F$56="Toàn cầu",INDEX(TTD!$F$3:$I$102,MATCH('Tinh phi QL'!$I$49+B11,TTD!$A$3:$A$102,0),MATCH('Tinh phi QL'!$G$56,TTD!$F$2:$I$2,0)))))/1000</f>
        <v>0</v>
      </c>
      <c r="X12" s="370">
        <f>IF($X$4=0,0,INDEX(TTD!$J$3:$M$102,MATCH('Tinh phi QL'!$I$49+B11,TTD!$A$3:$A$102,0),MATCH('Tinh phi QL'!$G$58,TTD!$J$2:$M$2,0)))/1000</f>
        <v>0</v>
      </c>
      <c r="Y12" s="370">
        <f>IF($Y$4=0,0,INDEX(TTD!$N$3:$Q$102,MATCH('Tinh phi QL'!$I$49+B11,TTD!$A$3:$A$102,0),MATCH('Tinh phi QL'!$G$60,TTD!$N$2:$Q$2,0)))/1000</f>
        <v>0</v>
      </c>
      <c r="Z12" s="370">
        <f ca="1">'Tinh phi QL'!$G$64/1000000*IF('Tinh phi QL'!$H$50="nam",VLOOKUP('Tinh phi QL'!$I$49+B11,Tuky!$A$2:$C$87,2,0),VLOOKUP('Tinh phi QL'!$I$49+B11,Tuky!$A$2:$C$87,3,0))</f>
        <v>0</v>
      </c>
      <c r="AA12" s="370">
        <f t="shared" si="5"/>
        <v>0</v>
      </c>
      <c r="AB12" s="370">
        <f ca="1">VLOOKUP('Tinh phi QL'!$I$68+B11,TCYT!$A$2:$B$60,2,0)*'Tinh phi QL'!$G$73/100000</f>
        <v>0</v>
      </c>
      <c r="AC12" s="370">
        <f ca="1">'Tinh phi QL'!$G$74/1000000*IF('Tinh phi QL'!$H$69="nam",VLOOKUP('Tinh phi QL'!$I$68+B11,BHN!$A$2:$C$87,2,0),VLOOKUP('Tinh phi QL'!$I$68+B11,BHN!$A$2:$C$87,3,0))</f>
        <v>0</v>
      </c>
      <c r="AD12" s="370">
        <f>IF($AD$4=0,0,IF('Tinh phi QL'!$F$75="Việt Nam",INDEX(TTD!$B$3:$E$102,MATCH('Tinh phi QL'!$I$68+B11,TTD!$A$3:$A$102,0),MATCH('Tinh phi QL'!$G$75,TTD!$B$2:$E$2,0)),IF('Tinh phi QL'!$F$75="Toàn cầu",INDEX(TTD!$F$3:$I$102,MATCH('Tinh phi QL'!$I$68+B11,TTD!$A$3:$A$102,0),MATCH('Tinh phi QL'!$G$75,TTD!$F$2:$I$2,0)))))/1000</f>
        <v>0</v>
      </c>
      <c r="AE12" s="370">
        <f>IF($AE$4=0,0,INDEX(TTD!$J$3:$M$102,MATCH('Tinh phi QL'!$I$68+B11,TTD!$A$3:$A$102,0),MATCH('Tinh phi QL'!$G$77,TTD!$J$2:$M$2,0)))/1000</f>
        <v>0</v>
      </c>
      <c r="AF12" s="370">
        <f>IF($AF$4=0,0,INDEX(TTD!$N$3:$Q$102,MATCH('Tinh phi QL'!$I$68+B11,TTD!$A$3:$A$102,0),MATCH('Tinh phi QL'!$G$79,TTD!$N$2:$Q$2,0)))/1000</f>
        <v>0</v>
      </c>
      <c r="AG12" s="370">
        <f ca="1">'Tinh phi QL'!$G$83/1000000*IF('Tinh phi QL'!$H$69="nam",VLOOKUP('Tinh phi QL'!$I$68+B11,Tuky!$A$2:$C$87,2,0),VLOOKUP('Tinh phi QL'!$I$68+B11,Tuky!$A$2:$C$87,3,0))</f>
        <v>0</v>
      </c>
      <c r="AH12" s="371">
        <f t="shared" ca="1" si="0"/>
        <v>7495</v>
      </c>
      <c r="AI12" s="609">
        <f t="shared" ca="1" si="1"/>
        <v>7495</v>
      </c>
      <c r="AJ12" s="609">
        <f t="shared" ca="1" si="6"/>
        <v>62835</v>
      </c>
    </row>
    <row r="13" spans="2:36">
      <c r="B13" s="368">
        <v>10</v>
      </c>
      <c r="C13" s="368">
        <f>IF(ROW(A10)&gt;'Tinh phi QL'!$D$12,"",ROW(A10))</f>
        <v>10</v>
      </c>
      <c r="D13" s="369">
        <f ca="1">IF(IFERROR(--TRIM(C13),0)=0,0,'Tinh phi QL'!$H$12/1000)</f>
        <v>0</v>
      </c>
      <c r="E13" s="370">
        <f t="shared" si="2"/>
        <v>2270</v>
      </c>
      <c r="F13" s="370">
        <f ca="1">VLOOKUP('Tinh phi QL'!$I$8+B12,TCYT!$A$2:$B$60,2,0)*'Tinh phi QL'!$G$15/100000</f>
        <v>0</v>
      </c>
      <c r="G13" s="370">
        <f ca="1">'Tinh phi QL'!$G$16/1000000*IF('Tinh phi QL'!$H$9="nam",VLOOKUP('Tinh phi QL'!$I$8+B12,BHN!$A$2:$C$87,2,0),VLOOKUP('Tinh phi QL'!$I$8+B12,BHN!$A$2:$C$87,3,0))</f>
        <v>1002</v>
      </c>
      <c r="H13" s="370">
        <f ca="1">IF($H$4=0,0,IF('Tinh phi QL'!$F$17="Việt Nam",INDEX(TTD!$B$3:$E$102,MATCH('Tinh phi QL'!$I$8+B12,TTD!$A$3:$A$102,0),MATCH('Tinh phi QL'!$G$17,TTD!$B$2:$E$2,0)),IF('Tinh phi QL'!$F$17="Toàn cầu",INDEX(TTD!$F$3:$I$102,MATCH('Tinh phi QL'!$I$8+B12,TTD!$A$3:$A$102,0),MATCH('Tinh phi QL'!$G$17,TTD!$F$2:$I$2,0)))))/1000</f>
        <v>4223</v>
      </c>
      <c r="I13" s="370">
        <f>IF($I$4=0,0,INDEX(TTD!$J$3:$M$102,MATCH('Tinh phi QL'!$I$8+B12,TTD!$A$3:$A$102,0),MATCH('Tinh phi QL'!$G$19,TTD!$J$2:$M$2,0)))/1000</f>
        <v>0</v>
      </c>
      <c r="J13" s="370">
        <f>IF($J$4=0,0,INDEX(TTD!$N$3:$Q$102,MATCH('Tinh phi QL'!$I$8+B12,TTD!$A$3:$A$102,0),MATCH('Tinh phi QL'!$G$21,TTD!$N$2:$Q$2,0)))/1000</f>
        <v>0</v>
      </c>
      <c r="K13" s="370">
        <f ca="1">'Tinh phi QL'!$G$25/1000000*IF('Tinh phi QL'!$H$9="nam",VLOOKUP('Tinh phi QL'!$I$8+B12,Tuky!$A$2:$C$87,2,0),VLOOKUP('Tinh phi QL'!$I$8+B12,Tuky!$A$2:$C$87,3,0))</f>
        <v>0</v>
      </c>
      <c r="L13" s="370">
        <f t="shared" si="3"/>
        <v>0</v>
      </c>
      <c r="M13" s="370">
        <f ca="1">VLOOKUP('Tinh phi QL'!$I$29+B12,TCYT!$A$2:$B$60,2,0)*'Tinh phi QL'!$G$34/100000</f>
        <v>0</v>
      </c>
      <c r="N13" s="370">
        <f ca="1">'Tinh phi QL'!$G$35/1000000*IF('Tinh phi QL'!$H$30="nam",VLOOKUP('Tinh phi QL'!$I$29+B12,BHN!$A$2:$C$87,2,0),VLOOKUP('Tinh phi QL'!$I$29+B12,BHN!$A$2:$C$87,3,0))</f>
        <v>0</v>
      </c>
      <c r="O13" s="370">
        <f>IF($O$4=0,0,IF('Tinh phi QL'!$F$36="Việt Nam",INDEX(TTD!$B$3:$E$102,MATCH('Tinh phi QL'!$I$29+B12,TTD!$A$3:$A$102,0),MATCH('Tinh phi QL'!$G$36,TTD!$B$2:$E$2,0)),IF('Tinh phi QL'!$F$36="Toàn cầu",INDEX(TTD!$F$3:$I$102,MATCH('Tinh phi QL'!$I$29+B12,TTD!$A$3:$A$102,0),MATCH('Tinh phi QL'!$G$36,TTD!$F$2:$I$2,0)))))/1000</f>
        <v>0</v>
      </c>
      <c r="P13" s="370">
        <f>IF($P$4=0,0,INDEX(TTD!$J$3:$M$102,MATCH('Tinh phi QL'!$I$29+B12,TTD!$A$3:$A$102,0),MATCH('Tinh phi QL'!$G$38,TTD!$J$2:$M$2,0)))/1000</f>
        <v>0</v>
      </c>
      <c r="Q13" s="370">
        <f>IF($Q$4=0,0,INDEX(TTD!$N$3:$Q$102,MATCH('Tinh phi QL'!$I$29+B12,TTD!$A$3:$A$102,0),MATCH('Tinh phi QL'!$G$40,TTD!$N$2:$Q$2,0)))/1000</f>
        <v>0</v>
      </c>
      <c r="R13" s="370">
        <f ca="1">'Tinh phi QL'!$G$44/1000000*IF('Tinh phi QL'!$H$30="nam",VLOOKUP('Tinh phi QL'!$I$29+B12,Tuky!$A$2:$C$87,2,0),VLOOKUP('Tinh phi QL'!$I$29+B12,Tuky!$A$2:$C$87,3,0))</f>
        <v>0</v>
      </c>
      <c r="S13" s="370">
        <f>IF('Tinh phi QL'!$G$45=0,0,((SUM(D13:R13)+SUM(T13:AG13))/1000*IF('Tinh phi QL'!$H$30="nam",INDEX(MTPNam!$B$2:$AR$44,MATCH('Tinh phi QL'!$I$29+B12,MTPNam!$A$2:$A$44,0),MATCH('Tinh phi QL'!$E$45-B12,MTPNam!$B$1:$AR$1,0)),IF('Tinh phi QL'!$H$30="nữ",INDEX(MTPNu!$B$2:$AR$44,MATCH('Tinh phi QL'!$I$29+B12,MTPNu!$A$2:$A$44,0),MATCH('Tinh phi QL'!$E$45-B12,MTPNu!$B$1:$AR$1,0))))))</f>
        <v>0</v>
      </c>
      <c r="T13" s="370">
        <f t="shared" si="4"/>
        <v>0</v>
      </c>
      <c r="U13" s="370">
        <f ca="1">VLOOKUP('Tinh phi QL'!$I$49+B12,TCYT!$A$2:$B$60,2,0)*'Tinh phi QL'!$G$54/100000</f>
        <v>0</v>
      </c>
      <c r="V13" s="370">
        <f ca="1">'Tinh phi QL'!$G$55/1000000*IF('Tinh phi QL'!$H$50="nam",VLOOKUP('Tinh phi QL'!$I$49+B12,BHN!$A$2:$C$87,2,0),VLOOKUP('Tinh phi QL'!$I$49+B12,BHN!$A$2:$C$87,3,0))</f>
        <v>0</v>
      </c>
      <c r="W13" s="370">
        <f>IF($W$4=0,0,IF('Tinh phi QL'!$F$56="Việt Nam",INDEX(TTD!$B$3:$E$102,MATCH('Tinh phi QL'!$I$49+B12,TTD!$A$3:$A$102,0),MATCH('Tinh phi QL'!$G$56,TTD!$B$2:$E$2,0)),IF('Tinh phi QL'!$F$56="Toàn cầu",INDEX(TTD!$F$3:$I$102,MATCH('Tinh phi QL'!$I$49+B12,TTD!$A$3:$A$102,0),MATCH('Tinh phi QL'!$G$56,TTD!$F$2:$I$2,0)))))/1000</f>
        <v>0</v>
      </c>
      <c r="X13" s="370">
        <f>IF($X$4=0,0,INDEX(TTD!$J$3:$M$102,MATCH('Tinh phi QL'!$I$49+B12,TTD!$A$3:$A$102,0),MATCH('Tinh phi QL'!$G$58,TTD!$J$2:$M$2,0)))/1000</f>
        <v>0</v>
      </c>
      <c r="Y13" s="370">
        <f>IF($Y$4=0,0,INDEX(TTD!$N$3:$Q$102,MATCH('Tinh phi QL'!$I$49+B12,TTD!$A$3:$A$102,0),MATCH('Tinh phi QL'!$G$60,TTD!$N$2:$Q$2,0)))/1000</f>
        <v>0</v>
      </c>
      <c r="Z13" s="370">
        <f ca="1">'Tinh phi QL'!$G$64/1000000*IF('Tinh phi QL'!$H$50="nam",VLOOKUP('Tinh phi QL'!$I$49+B12,Tuky!$A$2:$C$87,2,0),VLOOKUP('Tinh phi QL'!$I$49+B12,Tuky!$A$2:$C$87,3,0))</f>
        <v>0</v>
      </c>
      <c r="AA13" s="370">
        <f t="shared" si="5"/>
        <v>0</v>
      </c>
      <c r="AB13" s="370">
        <f ca="1">VLOOKUP('Tinh phi QL'!$I$68+B12,TCYT!$A$2:$B$60,2,0)*'Tinh phi QL'!$G$73/100000</f>
        <v>0</v>
      </c>
      <c r="AC13" s="370">
        <f ca="1">'Tinh phi QL'!$G$74/1000000*IF('Tinh phi QL'!$H$69="nam",VLOOKUP('Tinh phi QL'!$I$68+B12,BHN!$A$2:$C$87,2,0),VLOOKUP('Tinh phi QL'!$I$68+B12,BHN!$A$2:$C$87,3,0))</f>
        <v>0</v>
      </c>
      <c r="AD13" s="370">
        <f>IF($AD$4=0,0,IF('Tinh phi QL'!$F$75="Việt Nam",INDEX(TTD!$B$3:$E$102,MATCH('Tinh phi QL'!$I$68+B12,TTD!$A$3:$A$102,0),MATCH('Tinh phi QL'!$G$75,TTD!$B$2:$E$2,0)),IF('Tinh phi QL'!$F$75="Toàn cầu",INDEX(TTD!$F$3:$I$102,MATCH('Tinh phi QL'!$I$68+B12,TTD!$A$3:$A$102,0),MATCH('Tinh phi QL'!$G$75,TTD!$F$2:$I$2,0)))))/1000</f>
        <v>0</v>
      </c>
      <c r="AE13" s="370">
        <f>IF($AE$4=0,0,INDEX(TTD!$J$3:$M$102,MATCH('Tinh phi QL'!$I$68+B12,TTD!$A$3:$A$102,0),MATCH('Tinh phi QL'!$G$77,TTD!$J$2:$M$2,0)))/1000</f>
        <v>0</v>
      </c>
      <c r="AF13" s="370">
        <f>IF($AF$4=0,0,INDEX(TTD!$N$3:$Q$102,MATCH('Tinh phi QL'!$I$68+B12,TTD!$A$3:$A$102,0),MATCH('Tinh phi QL'!$G$79,TTD!$N$2:$Q$2,0)))/1000</f>
        <v>0</v>
      </c>
      <c r="AG13" s="370">
        <f ca="1">'Tinh phi QL'!$G$83/1000000*IF('Tinh phi QL'!$H$69="nam",VLOOKUP('Tinh phi QL'!$I$68+B12,Tuky!$A$2:$C$87,2,0),VLOOKUP('Tinh phi QL'!$I$68+B12,Tuky!$A$2:$C$87,3,0))</f>
        <v>0</v>
      </c>
      <c r="AH13" s="371">
        <f t="shared" ca="1" si="0"/>
        <v>7495</v>
      </c>
      <c r="AI13" s="609">
        <f t="shared" ca="1" si="1"/>
        <v>7495</v>
      </c>
      <c r="AJ13" s="609">
        <f t="shared" ca="1" si="6"/>
        <v>70330</v>
      </c>
    </row>
    <row r="14" spans="2:36">
      <c r="B14" s="368">
        <v>11</v>
      </c>
      <c r="C14" s="368">
        <f>IF(ROW(A11)&gt;'Tinh phi QL'!$D$12,"",ROW(A11))</f>
        <v>11</v>
      </c>
      <c r="D14" s="369">
        <f ca="1">IF(IFERROR(--TRIM(C14),0)=0,0,'Tinh phi QL'!$H$12/1000)</f>
        <v>0</v>
      </c>
      <c r="E14" s="370">
        <f t="shared" si="2"/>
        <v>2270</v>
      </c>
      <c r="F14" s="370">
        <f ca="1">VLOOKUP('Tinh phi QL'!$I$8+B13,TCYT!$A$2:$B$60,2,0)*'Tinh phi QL'!$G$15/100000</f>
        <v>0</v>
      </c>
      <c r="G14" s="370">
        <f ca="1">'Tinh phi QL'!$G$16/1000000*IF('Tinh phi QL'!$H$9="nam",VLOOKUP('Tinh phi QL'!$I$8+B13,BHN!$A$2:$C$87,2,0),VLOOKUP('Tinh phi QL'!$I$8+B13,BHN!$A$2:$C$87,3,0))</f>
        <v>1611</v>
      </c>
      <c r="H14" s="370">
        <f ca="1">IF($H$4=0,0,IF('Tinh phi QL'!$F$17="Việt Nam",INDEX(TTD!$B$3:$E$102,MATCH('Tinh phi QL'!$I$8+B13,TTD!$A$3:$A$102,0),MATCH('Tinh phi QL'!$G$17,TTD!$B$2:$E$2,0)),IF('Tinh phi QL'!$F$17="Toàn cầu",INDEX(TTD!$F$3:$I$102,MATCH('Tinh phi QL'!$I$8+B13,TTD!$A$3:$A$102,0),MATCH('Tinh phi QL'!$G$17,TTD!$F$2:$I$2,0)))))/1000</f>
        <v>4652</v>
      </c>
      <c r="I14" s="370">
        <f>IF($I$4=0,0,INDEX(TTD!$J$3:$M$102,MATCH('Tinh phi QL'!$I$8+B13,TTD!$A$3:$A$102,0),MATCH('Tinh phi QL'!$G$19,TTD!$J$2:$M$2,0)))/1000</f>
        <v>0</v>
      </c>
      <c r="J14" s="370">
        <f>IF($J$4=0,0,INDEX(TTD!$N$3:$Q$102,MATCH('Tinh phi QL'!$I$8+B13,TTD!$A$3:$A$102,0),MATCH('Tinh phi QL'!$G$21,TTD!$N$2:$Q$2,0)))/1000</f>
        <v>0</v>
      </c>
      <c r="K14" s="370">
        <f ca="1">'Tinh phi QL'!$G$25/1000000*IF('Tinh phi QL'!$H$9="nam",VLOOKUP('Tinh phi QL'!$I$8+B13,Tuky!$A$2:$C$87,2,0),VLOOKUP('Tinh phi QL'!$I$8+B13,Tuky!$A$2:$C$87,3,0))</f>
        <v>0</v>
      </c>
      <c r="L14" s="370">
        <f t="shared" si="3"/>
        <v>0</v>
      </c>
      <c r="M14" s="370">
        <f ca="1">VLOOKUP('Tinh phi QL'!$I$29+B13,TCYT!$A$2:$B$60,2,0)*'Tinh phi QL'!$G$34/100000</f>
        <v>0</v>
      </c>
      <c r="N14" s="370">
        <f ca="1">'Tinh phi QL'!$G$35/1000000*IF('Tinh phi QL'!$H$30="nam",VLOOKUP('Tinh phi QL'!$I$29+B13,BHN!$A$2:$C$87,2,0),VLOOKUP('Tinh phi QL'!$I$29+B13,BHN!$A$2:$C$87,3,0))</f>
        <v>0</v>
      </c>
      <c r="O14" s="370">
        <f>IF($O$4=0,0,IF('Tinh phi QL'!$F$36="Việt Nam",INDEX(TTD!$B$3:$E$102,MATCH('Tinh phi QL'!$I$29+B13,TTD!$A$3:$A$102,0),MATCH('Tinh phi QL'!$G$36,TTD!$B$2:$E$2,0)),IF('Tinh phi QL'!$F$36="Toàn cầu",INDEX(TTD!$F$3:$I$102,MATCH('Tinh phi QL'!$I$29+B13,TTD!$A$3:$A$102,0),MATCH('Tinh phi QL'!$G$36,TTD!$F$2:$I$2,0)))))/1000</f>
        <v>0</v>
      </c>
      <c r="P14" s="370">
        <f>IF($P$4=0,0,INDEX(TTD!$J$3:$M$102,MATCH('Tinh phi QL'!$I$29+B13,TTD!$A$3:$A$102,0),MATCH('Tinh phi QL'!$G$38,TTD!$J$2:$M$2,0)))/1000</f>
        <v>0</v>
      </c>
      <c r="Q14" s="370">
        <f>IF($Q$4=0,0,INDEX(TTD!$N$3:$Q$102,MATCH('Tinh phi QL'!$I$29+B13,TTD!$A$3:$A$102,0),MATCH('Tinh phi QL'!$G$40,TTD!$N$2:$Q$2,0)))/1000</f>
        <v>0</v>
      </c>
      <c r="R14" s="370">
        <f ca="1">'Tinh phi QL'!$G$44/1000000*IF('Tinh phi QL'!$H$30="nam",VLOOKUP('Tinh phi QL'!$I$29+B13,Tuky!$A$2:$C$87,2,0),VLOOKUP('Tinh phi QL'!$I$29+B13,Tuky!$A$2:$C$87,3,0))</f>
        <v>0</v>
      </c>
      <c r="S14" s="370">
        <f>IF('Tinh phi QL'!$G$45=0,0,((SUM(D14:R14)+SUM(T14:AG14))/1000*IF('Tinh phi QL'!$H$30="nam",INDEX(MTPNam!$B$2:$AR$44,MATCH('Tinh phi QL'!$I$29+B13,MTPNam!$A$2:$A$44,0),MATCH('Tinh phi QL'!$E$45-B13,MTPNam!$B$1:$AR$1,0)),IF('Tinh phi QL'!$H$30="nữ",INDEX(MTPNu!$B$2:$AR$44,MATCH('Tinh phi QL'!$I$29+B13,MTPNu!$A$2:$A$44,0),MATCH('Tinh phi QL'!$E$45-B13,MTPNu!$B$1:$AR$1,0))))))</f>
        <v>0</v>
      </c>
      <c r="T14" s="370">
        <f t="shared" si="4"/>
        <v>0</v>
      </c>
      <c r="U14" s="370">
        <f ca="1">VLOOKUP('Tinh phi QL'!$I$49+B13,TCYT!$A$2:$B$60,2,0)*'Tinh phi QL'!$G$54/100000</f>
        <v>0</v>
      </c>
      <c r="V14" s="370">
        <f ca="1">'Tinh phi QL'!$G$55/1000000*IF('Tinh phi QL'!$H$50="nam",VLOOKUP('Tinh phi QL'!$I$49+B13,BHN!$A$2:$C$87,2,0),VLOOKUP('Tinh phi QL'!$I$49+B13,BHN!$A$2:$C$87,3,0))</f>
        <v>0</v>
      </c>
      <c r="W14" s="370">
        <f>IF($W$4=0,0,IF('Tinh phi QL'!$F$56="Việt Nam",INDEX(TTD!$B$3:$E$102,MATCH('Tinh phi QL'!$I$49+B13,TTD!$A$3:$A$102,0),MATCH('Tinh phi QL'!$G$56,TTD!$B$2:$E$2,0)),IF('Tinh phi QL'!$F$56="Toàn cầu",INDEX(TTD!$F$3:$I$102,MATCH('Tinh phi QL'!$I$49+B13,TTD!$A$3:$A$102,0),MATCH('Tinh phi QL'!$G$56,TTD!$F$2:$I$2,0)))))/1000</f>
        <v>0</v>
      </c>
      <c r="X14" s="370">
        <f>IF($X$4=0,0,INDEX(TTD!$J$3:$M$102,MATCH('Tinh phi QL'!$I$49+B13,TTD!$A$3:$A$102,0),MATCH('Tinh phi QL'!$G$58,TTD!$J$2:$M$2,0)))/1000</f>
        <v>0</v>
      </c>
      <c r="Y14" s="370">
        <f>IF($Y$4=0,0,INDEX(TTD!$N$3:$Q$102,MATCH('Tinh phi QL'!$I$49+B13,TTD!$A$3:$A$102,0),MATCH('Tinh phi QL'!$G$60,TTD!$N$2:$Q$2,0)))/1000</f>
        <v>0</v>
      </c>
      <c r="Z14" s="370">
        <f ca="1">'Tinh phi QL'!$G$64/1000000*IF('Tinh phi QL'!$H$50="nam",VLOOKUP('Tinh phi QL'!$I$49+B13,Tuky!$A$2:$C$87,2,0),VLOOKUP('Tinh phi QL'!$I$49+B13,Tuky!$A$2:$C$87,3,0))</f>
        <v>0</v>
      </c>
      <c r="AA14" s="370">
        <f t="shared" si="5"/>
        <v>0</v>
      </c>
      <c r="AB14" s="370">
        <f ca="1">VLOOKUP('Tinh phi QL'!$I$68+B13,TCYT!$A$2:$B$60,2,0)*'Tinh phi QL'!$G$73/100000</f>
        <v>0</v>
      </c>
      <c r="AC14" s="370">
        <f ca="1">'Tinh phi QL'!$G$74/1000000*IF('Tinh phi QL'!$H$69="nam",VLOOKUP('Tinh phi QL'!$I$68+B13,BHN!$A$2:$C$87,2,0),VLOOKUP('Tinh phi QL'!$I$68+B13,BHN!$A$2:$C$87,3,0))</f>
        <v>0</v>
      </c>
      <c r="AD14" s="370">
        <f>IF($AD$4=0,0,IF('Tinh phi QL'!$F$75="Việt Nam",INDEX(TTD!$B$3:$E$102,MATCH('Tinh phi QL'!$I$68+B13,TTD!$A$3:$A$102,0),MATCH('Tinh phi QL'!$G$75,TTD!$B$2:$E$2,0)),IF('Tinh phi QL'!$F$75="Toàn cầu",INDEX(TTD!$F$3:$I$102,MATCH('Tinh phi QL'!$I$68+B13,TTD!$A$3:$A$102,0),MATCH('Tinh phi QL'!$G$75,TTD!$F$2:$I$2,0)))))/1000</f>
        <v>0</v>
      </c>
      <c r="AE14" s="370">
        <f>IF($AE$4=0,0,INDEX(TTD!$J$3:$M$102,MATCH('Tinh phi QL'!$I$68+B13,TTD!$A$3:$A$102,0),MATCH('Tinh phi QL'!$G$77,TTD!$J$2:$M$2,0)))/1000</f>
        <v>0</v>
      </c>
      <c r="AF14" s="370">
        <f>IF($AF$4=0,0,INDEX(TTD!$N$3:$Q$102,MATCH('Tinh phi QL'!$I$68+B13,TTD!$A$3:$A$102,0),MATCH('Tinh phi QL'!$G$79,TTD!$N$2:$Q$2,0)))/1000</f>
        <v>0</v>
      </c>
      <c r="AG14" s="370">
        <f ca="1">'Tinh phi QL'!$G$83/1000000*IF('Tinh phi QL'!$H$69="nam",VLOOKUP('Tinh phi QL'!$I$68+B13,Tuky!$A$2:$C$87,2,0),VLOOKUP('Tinh phi QL'!$I$68+B13,Tuky!$A$2:$C$87,3,0))</f>
        <v>0</v>
      </c>
      <c r="AH14" s="371">
        <f t="shared" ca="1" si="0"/>
        <v>8533</v>
      </c>
      <c r="AI14" s="609">
        <f t="shared" ca="1" si="1"/>
        <v>8533</v>
      </c>
      <c r="AJ14" s="609">
        <f t="shared" ca="1" si="6"/>
        <v>78863</v>
      </c>
    </row>
    <row r="15" spans="2:36">
      <c r="B15" s="368">
        <v>12</v>
      </c>
      <c r="C15" s="368">
        <f>IF(ROW(A12)&gt;'Tinh phi QL'!$D$12,"",ROW(A12))</f>
        <v>12</v>
      </c>
      <c r="D15" s="369">
        <f ca="1">IF(IFERROR(--TRIM(C15),0)=0,0,'Tinh phi QL'!$H$12/1000)</f>
        <v>0</v>
      </c>
      <c r="E15" s="370">
        <f t="shared" si="2"/>
        <v>2270</v>
      </c>
      <c r="F15" s="370">
        <f ca="1">VLOOKUP('Tinh phi QL'!$I$8+B14,TCYT!$A$2:$B$60,2,0)*'Tinh phi QL'!$G$15/100000</f>
        <v>0</v>
      </c>
      <c r="G15" s="370">
        <f ca="1">'Tinh phi QL'!$G$16/1000000*IF('Tinh phi QL'!$H$9="nam",VLOOKUP('Tinh phi QL'!$I$8+B14,BHN!$A$2:$C$87,2,0),VLOOKUP('Tinh phi QL'!$I$8+B14,BHN!$A$2:$C$87,3,0))</f>
        <v>1611</v>
      </c>
      <c r="H15" s="370">
        <f ca="1">IF($H$4=0,0,IF('Tinh phi QL'!$F$17="Việt Nam",INDEX(TTD!$B$3:$E$102,MATCH('Tinh phi QL'!$I$8+B14,TTD!$A$3:$A$102,0),MATCH('Tinh phi QL'!$G$17,TTD!$B$2:$E$2,0)),IF('Tinh phi QL'!$F$17="Toàn cầu",INDEX(TTD!$F$3:$I$102,MATCH('Tinh phi QL'!$I$8+B14,TTD!$A$3:$A$102,0),MATCH('Tinh phi QL'!$G$17,TTD!$F$2:$I$2,0)))))/1000</f>
        <v>4652</v>
      </c>
      <c r="I15" s="370">
        <f>IF($I$4=0,0,INDEX(TTD!$J$3:$M$102,MATCH('Tinh phi QL'!$I$8+B14,TTD!$A$3:$A$102,0),MATCH('Tinh phi QL'!$G$19,TTD!$J$2:$M$2,0)))/1000</f>
        <v>0</v>
      </c>
      <c r="J15" s="370">
        <f>IF($J$4=0,0,INDEX(TTD!$N$3:$Q$102,MATCH('Tinh phi QL'!$I$8+B14,TTD!$A$3:$A$102,0),MATCH('Tinh phi QL'!$G$21,TTD!$N$2:$Q$2,0)))/1000</f>
        <v>0</v>
      </c>
      <c r="K15" s="370">
        <f ca="1">'Tinh phi QL'!$G$25/1000000*IF('Tinh phi QL'!$H$9="nam",VLOOKUP('Tinh phi QL'!$I$8+B14,Tuky!$A$2:$C$87,2,0),VLOOKUP('Tinh phi QL'!$I$8+B14,Tuky!$A$2:$C$87,3,0))</f>
        <v>0</v>
      </c>
      <c r="L15" s="370">
        <f t="shared" si="3"/>
        <v>0</v>
      </c>
      <c r="M15" s="370">
        <f ca="1">VLOOKUP('Tinh phi QL'!$I$29+B14,TCYT!$A$2:$B$60,2,0)*'Tinh phi QL'!$G$34/100000</f>
        <v>0</v>
      </c>
      <c r="N15" s="370">
        <f ca="1">'Tinh phi QL'!$G$35/1000000*IF('Tinh phi QL'!$H$30="nam",VLOOKUP('Tinh phi QL'!$I$29+B14,BHN!$A$2:$C$87,2,0),VLOOKUP('Tinh phi QL'!$I$29+B14,BHN!$A$2:$C$87,3,0))</f>
        <v>0</v>
      </c>
      <c r="O15" s="370">
        <f>IF($O$4=0,0,IF('Tinh phi QL'!$F$36="Việt Nam",INDEX(TTD!$B$3:$E$102,MATCH('Tinh phi QL'!$I$29+B14,TTD!$A$3:$A$102,0),MATCH('Tinh phi QL'!$G$36,TTD!$B$2:$E$2,0)),IF('Tinh phi QL'!$F$36="Toàn cầu",INDEX(TTD!$F$3:$I$102,MATCH('Tinh phi QL'!$I$29+B14,TTD!$A$3:$A$102,0),MATCH('Tinh phi QL'!$G$36,TTD!$F$2:$I$2,0)))))/1000</f>
        <v>0</v>
      </c>
      <c r="P15" s="370">
        <f>IF($P$4=0,0,INDEX(TTD!$J$3:$M$102,MATCH('Tinh phi QL'!$I$29+B14,TTD!$A$3:$A$102,0),MATCH('Tinh phi QL'!$G$38,TTD!$J$2:$M$2,0)))/1000</f>
        <v>0</v>
      </c>
      <c r="Q15" s="370">
        <f>IF($Q$4=0,0,INDEX(TTD!$N$3:$Q$102,MATCH('Tinh phi QL'!$I$29+B14,TTD!$A$3:$A$102,0),MATCH('Tinh phi QL'!$G$40,TTD!$N$2:$Q$2,0)))/1000</f>
        <v>0</v>
      </c>
      <c r="R15" s="370">
        <f ca="1">'Tinh phi QL'!$G$44/1000000*IF('Tinh phi QL'!$H$30="nam",VLOOKUP('Tinh phi QL'!$I$29+B14,Tuky!$A$2:$C$87,2,0),VLOOKUP('Tinh phi QL'!$I$29+B14,Tuky!$A$2:$C$87,3,0))</f>
        <v>0</v>
      </c>
      <c r="S15" s="370">
        <f>IF('Tinh phi QL'!$G$45=0,0,((SUM(D15:R15)+SUM(T15:AG15))/1000*IF('Tinh phi QL'!$H$30="nam",INDEX(MTPNam!$B$2:$AR$44,MATCH('Tinh phi QL'!$I$29+B14,MTPNam!$A$2:$A$44,0),MATCH('Tinh phi QL'!$E$45-B14,MTPNam!$B$1:$AR$1,0)),IF('Tinh phi QL'!$H$30="nữ",INDEX(MTPNu!$B$2:$AR$44,MATCH('Tinh phi QL'!$I$29+B14,MTPNu!$A$2:$A$44,0),MATCH('Tinh phi QL'!$E$45-B14,MTPNu!$B$1:$AR$1,0))))))</f>
        <v>0</v>
      </c>
      <c r="T15" s="370">
        <f t="shared" si="4"/>
        <v>0</v>
      </c>
      <c r="U15" s="370">
        <f ca="1">VLOOKUP('Tinh phi QL'!$I$49+B14,TCYT!$A$2:$B$60,2,0)*'Tinh phi QL'!$G$54/100000</f>
        <v>0</v>
      </c>
      <c r="V15" s="370">
        <f ca="1">'Tinh phi QL'!$G$55/1000000*IF('Tinh phi QL'!$H$50="nam",VLOOKUP('Tinh phi QL'!$I$49+B14,BHN!$A$2:$C$87,2,0),VLOOKUP('Tinh phi QL'!$I$49+B14,BHN!$A$2:$C$87,3,0))</f>
        <v>0</v>
      </c>
      <c r="W15" s="370">
        <f>IF($W$4=0,0,IF('Tinh phi QL'!$F$56="Việt Nam",INDEX(TTD!$B$3:$E$102,MATCH('Tinh phi QL'!$I$49+B14,TTD!$A$3:$A$102,0),MATCH('Tinh phi QL'!$G$56,TTD!$B$2:$E$2,0)),IF('Tinh phi QL'!$F$56="Toàn cầu",INDEX(TTD!$F$3:$I$102,MATCH('Tinh phi QL'!$I$49+B14,TTD!$A$3:$A$102,0),MATCH('Tinh phi QL'!$G$56,TTD!$F$2:$I$2,0)))))/1000</f>
        <v>0</v>
      </c>
      <c r="X15" s="370">
        <f>IF($X$4=0,0,INDEX(TTD!$J$3:$M$102,MATCH('Tinh phi QL'!$I$49+B14,TTD!$A$3:$A$102,0),MATCH('Tinh phi QL'!$G$58,TTD!$J$2:$M$2,0)))/1000</f>
        <v>0</v>
      </c>
      <c r="Y15" s="370">
        <f>IF($Y$4=0,0,INDEX(TTD!$N$3:$Q$102,MATCH('Tinh phi QL'!$I$49+B14,TTD!$A$3:$A$102,0),MATCH('Tinh phi QL'!$G$60,TTD!$N$2:$Q$2,0)))/1000</f>
        <v>0</v>
      </c>
      <c r="Z15" s="370">
        <f ca="1">'Tinh phi QL'!$G$64/1000000*IF('Tinh phi QL'!$H$50="nam",VLOOKUP('Tinh phi QL'!$I$49+B14,Tuky!$A$2:$C$87,2,0),VLOOKUP('Tinh phi QL'!$I$49+B14,Tuky!$A$2:$C$87,3,0))</f>
        <v>0</v>
      </c>
      <c r="AA15" s="370">
        <f t="shared" si="5"/>
        <v>0</v>
      </c>
      <c r="AB15" s="370">
        <f ca="1">VLOOKUP('Tinh phi QL'!$I$68+B14,TCYT!$A$2:$B$60,2,0)*'Tinh phi QL'!$G$73/100000</f>
        <v>0</v>
      </c>
      <c r="AC15" s="370">
        <f ca="1">'Tinh phi QL'!$G$74/1000000*IF('Tinh phi QL'!$H$69="nam",VLOOKUP('Tinh phi QL'!$I$68+B14,BHN!$A$2:$C$87,2,0),VLOOKUP('Tinh phi QL'!$I$68+B14,BHN!$A$2:$C$87,3,0))</f>
        <v>0</v>
      </c>
      <c r="AD15" s="370">
        <f>IF($AD$4=0,0,IF('Tinh phi QL'!$F$75="Việt Nam",INDEX(TTD!$B$3:$E$102,MATCH('Tinh phi QL'!$I$68+B14,TTD!$A$3:$A$102,0),MATCH('Tinh phi QL'!$G$75,TTD!$B$2:$E$2,0)),IF('Tinh phi QL'!$F$75="Toàn cầu",INDEX(TTD!$F$3:$I$102,MATCH('Tinh phi QL'!$I$68+B14,TTD!$A$3:$A$102,0),MATCH('Tinh phi QL'!$G$75,TTD!$F$2:$I$2,0)))))/1000</f>
        <v>0</v>
      </c>
      <c r="AE15" s="370">
        <f>IF($AE$4=0,0,INDEX(TTD!$J$3:$M$102,MATCH('Tinh phi QL'!$I$68+B14,TTD!$A$3:$A$102,0),MATCH('Tinh phi QL'!$G$77,TTD!$J$2:$M$2,0)))/1000</f>
        <v>0</v>
      </c>
      <c r="AF15" s="370">
        <f>IF($AF$4=0,0,INDEX(TTD!$N$3:$Q$102,MATCH('Tinh phi QL'!$I$68+B14,TTD!$A$3:$A$102,0),MATCH('Tinh phi QL'!$G$79,TTD!$N$2:$Q$2,0)))/1000</f>
        <v>0</v>
      </c>
      <c r="AG15" s="370">
        <f ca="1">'Tinh phi QL'!$G$83/1000000*IF('Tinh phi QL'!$H$69="nam",VLOOKUP('Tinh phi QL'!$I$68+B14,Tuky!$A$2:$C$87,2,0),VLOOKUP('Tinh phi QL'!$I$68+B14,Tuky!$A$2:$C$87,3,0))</f>
        <v>0</v>
      </c>
      <c r="AH15" s="371">
        <f t="shared" ca="1" si="0"/>
        <v>8533</v>
      </c>
      <c r="AI15" s="609">
        <f t="shared" ca="1" si="1"/>
        <v>8533</v>
      </c>
      <c r="AJ15" s="609">
        <f t="shared" ca="1" si="6"/>
        <v>87396</v>
      </c>
    </row>
    <row r="16" spans="2:36">
      <c r="B16" s="368">
        <v>13</v>
      </c>
      <c r="C16" s="368">
        <f>IF(ROW(A13)&gt;'Tinh phi QL'!$D$12,"",ROW(A13))</f>
        <v>13</v>
      </c>
      <c r="D16" s="369">
        <f ca="1">IF(IFERROR(--TRIM(C16),0)=0,0,'Tinh phi QL'!$H$12/1000)</f>
        <v>0</v>
      </c>
      <c r="E16" s="370">
        <f t="shared" si="2"/>
        <v>2270</v>
      </c>
      <c r="F16" s="370">
        <f ca="1">VLOOKUP('Tinh phi QL'!$I$8+B15,TCYT!$A$2:$B$60,2,0)*'Tinh phi QL'!$G$15/100000</f>
        <v>0</v>
      </c>
      <c r="G16" s="370">
        <f ca="1">'Tinh phi QL'!$G$16/1000000*IF('Tinh phi QL'!$H$9="nam",VLOOKUP('Tinh phi QL'!$I$8+B15,BHN!$A$2:$C$87,2,0),VLOOKUP('Tinh phi QL'!$I$8+B15,BHN!$A$2:$C$87,3,0))</f>
        <v>1611</v>
      </c>
      <c r="H16" s="370">
        <f ca="1">IF($H$4=0,0,IF('Tinh phi QL'!$F$17="Việt Nam",INDEX(TTD!$B$3:$E$102,MATCH('Tinh phi QL'!$I$8+B15,TTD!$A$3:$A$102,0),MATCH('Tinh phi QL'!$G$17,TTD!$B$2:$E$2,0)),IF('Tinh phi QL'!$F$17="Toàn cầu",INDEX(TTD!$F$3:$I$102,MATCH('Tinh phi QL'!$I$8+B15,TTD!$A$3:$A$102,0),MATCH('Tinh phi QL'!$G$17,TTD!$F$2:$I$2,0)))))/1000</f>
        <v>4652</v>
      </c>
      <c r="I16" s="370">
        <f>IF($I$4=0,0,INDEX(TTD!$J$3:$M$102,MATCH('Tinh phi QL'!$I$8+B15,TTD!$A$3:$A$102,0),MATCH('Tinh phi QL'!$G$19,TTD!$J$2:$M$2,0)))/1000</f>
        <v>0</v>
      </c>
      <c r="J16" s="370">
        <f>IF($J$4=0,0,INDEX(TTD!$N$3:$Q$102,MATCH('Tinh phi QL'!$I$8+B15,TTD!$A$3:$A$102,0),MATCH('Tinh phi QL'!$G$21,TTD!$N$2:$Q$2,0)))/1000</f>
        <v>0</v>
      </c>
      <c r="K16" s="370">
        <f ca="1">'Tinh phi QL'!$G$25/1000000*IF('Tinh phi QL'!$H$9="nam",VLOOKUP('Tinh phi QL'!$I$8+B15,Tuky!$A$2:$C$87,2,0),VLOOKUP('Tinh phi QL'!$I$8+B15,Tuky!$A$2:$C$87,3,0))</f>
        <v>0</v>
      </c>
      <c r="L16" s="370">
        <f t="shared" si="3"/>
        <v>0</v>
      </c>
      <c r="M16" s="370">
        <f ca="1">VLOOKUP('Tinh phi QL'!$I$29+B15,TCYT!$A$2:$B$60,2,0)*'Tinh phi QL'!$G$34/100000</f>
        <v>0</v>
      </c>
      <c r="N16" s="370">
        <f ca="1">'Tinh phi QL'!$G$35/1000000*IF('Tinh phi QL'!$H$30="nam",VLOOKUP('Tinh phi QL'!$I$29+B15,BHN!$A$2:$C$87,2,0),VLOOKUP('Tinh phi QL'!$I$29+B15,BHN!$A$2:$C$87,3,0))</f>
        <v>0</v>
      </c>
      <c r="O16" s="370">
        <f>IF($O$4=0,0,IF('Tinh phi QL'!$F$36="Việt Nam",INDEX(TTD!$B$3:$E$102,MATCH('Tinh phi QL'!$I$29+B15,TTD!$A$3:$A$102,0),MATCH('Tinh phi QL'!$G$36,TTD!$B$2:$E$2,0)),IF('Tinh phi QL'!$F$36="Toàn cầu",INDEX(TTD!$F$3:$I$102,MATCH('Tinh phi QL'!$I$29+B15,TTD!$A$3:$A$102,0),MATCH('Tinh phi QL'!$G$36,TTD!$F$2:$I$2,0)))))/1000</f>
        <v>0</v>
      </c>
      <c r="P16" s="370">
        <f>IF($P$4=0,0,INDEX(TTD!$J$3:$M$102,MATCH('Tinh phi QL'!$I$29+B15,TTD!$A$3:$A$102,0),MATCH('Tinh phi QL'!$G$38,TTD!$J$2:$M$2,0)))/1000</f>
        <v>0</v>
      </c>
      <c r="Q16" s="370">
        <f>IF($Q$4=0,0,INDEX(TTD!$N$3:$Q$102,MATCH('Tinh phi QL'!$I$29+B15,TTD!$A$3:$A$102,0),MATCH('Tinh phi QL'!$G$40,TTD!$N$2:$Q$2,0)))/1000</f>
        <v>0</v>
      </c>
      <c r="R16" s="370">
        <f ca="1">'Tinh phi QL'!$G$44/1000000*IF('Tinh phi QL'!$H$30="nam",VLOOKUP('Tinh phi QL'!$I$29+B15,Tuky!$A$2:$C$87,2,0),VLOOKUP('Tinh phi QL'!$I$29+B15,Tuky!$A$2:$C$87,3,0))</f>
        <v>0</v>
      </c>
      <c r="S16" s="370">
        <f>IF('Tinh phi QL'!$G$45=0,0,((SUM(D16:R16)+SUM(T16:AG16))/1000*IF('Tinh phi QL'!$H$30="nam",INDEX(MTPNam!$B$2:$AR$44,MATCH('Tinh phi QL'!$I$29+B15,MTPNam!$A$2:$A$44,0),MATCH('Tinh phi QL'!$E$45-B15,MTPNam!$B$1:$AR$1,0)),IF('Tinh phi QL'!$H$30="nữ",INDEX(MTPNu!$B$2:$AR$44,MATCH('Tinh phi QL'!$I$29+B15,MTPNu!$A$2:$A$44,0),MATCH('Tinh phi QL'!$E$45-B15,MTPNu!$B$1:$AR$1,0))))))</f>
        <v>0</v>
      </c>
      <c r="T16" s="370">
        <f t="shared" si="4"/>
        <v>0</v>
      </c>
      <c r="U16" s="370">
        <f ca="1">VLOOKUP('Tinh phi QL'!$I$49+B15,TCYT!$A$2:$B$60,2,0)*'Tinh phi QL'!$G$54/100000</f>
        <v>0</v>
      </c>
      <c r="V16" s="370">
        <f ca="1">'Tinh phi QL'!$G$55/1000000*IF('Tinh phi QL'!$H$50="nam",VLOOKUP('Tinh phi QL'!$I$49+B15,BHN!$A$2:$C$87,2,0),VLOOKUP('Tinh phi QL'!$I$49+B15,BHN!$A$2:$C$87,3,0))</f>
        <v>0</v>
      </c>
      <c r="W16" s="370">
        <f>IF($W$4=0,0,IF('Tinh phi QL'!$F$56="Việt Nam",INDEX(TTD!$B$3:$E$102,MATCH('Tinh phi QL'!$I$49+B15,TTD!$A$3:$A$102,0),MATCH('Tinh phi QL'!$G$56,TTD!$B$2:$E$2,0)),IF('Tinh phi QL'!$F$56="Toàn cầu",INDEX(TTD!$F$3:$I$102,MATCH('Tinh phi QL'!$I$49+B15,TTD!$A$3:$A$102,0),MATCH('Tinh phi QL'!$G$56,TTD!$F$2:$I$2,0)))))/1000</f>
        <v>0</v>
      </c>
      <c r="X16" s="370">
        <f>IF($X$4=0,0,INDEX(TTD!$J$3:$M$102,MATCH('Tinh phi QL'!$I$49+B15,TTD!$A$3:$A$102,0),MATCH('Tinh phi QL'!$G$58,TTD!$J$2:$M$2,0)))/1000</f>
        <v>0</v>
      </c>
      <c r="Y16" s="370">
        <f>IF($Y$4=0,0,INDEX(TTD!$N$3:$Q$102,MATCH('Tinh phi QL'!$I$49+B15,TTD!$A$3:$A$102,0),MATCH('Tinh phi QL'!$G$60,TTD!$N$2:$Q$2,0)))/1000</f>
        <v>0</v>
      </c>
      <c r="Z16" s="370">
        <f ca="1">'Tinh phi QL'!$G$64/1000000*IF('Tinh phi QL'!$H$50="nam",VLOOKUP('Tinh phi QL'!$I$49+B15,Tuky!$A$2:$C$87,2,0),VLOOKUP('Tinh phi QL'!$I$49+B15,Tuky!$A$2:$C$87,3,0))</f>
        <v>0</v>
      </c>
      <c r="AA16" s="370">
        <f t="shared" si="5"/>
        <v>0</v>
      </c>
      <c r="AB16" s="370">
        <f ca="1">VLOOKUP('Tinh phi QL'!$I$68+B15,TCYT!$A$2:$B$60,2,0)*'Tinh phi QL'!$G$73/100000</f>
        <v>0</v>
      </c>
      <c r="AC16" s="370">
        <f ca="1">'Tinh phi QL'!$G$74/1000000*IF('Tinh phi QL'!$H$69="nam",VLOOKUP('Tinh phi QL'!$I$68+B15,BHN!$A$2:$C$87,2,0),VLOOKUP('Tinh phi QL'!$I$68+B15,BHN!$A$2:$C$87,3,0))</f>
        <v>0</v>
      </c>
      <c r="AD16" s="370">
        <f>IF($AD$4=0,0,IF('Tinh phi QL'!$F$75="Việt Nam",INDEX(TTD!$B$3:$E$102,MATCH('Tinh phi QL'!$I$68+B15,TTD!$A$3:$A$102,0),MATCH('Tinh phi QL'!$G$75,TTD!$B$2:$E$2,0)),IF('Tinh phi QL'!$F$75="Toàn cầu",INDEX(TTD!$F$3:$I$102,MATCH('Tinh phi QL'!$I$68+B15,TTD!$A$3:$A$102,0),MATCH('Tinh phi QL'!$G$75,TTD!$F$2:$I$2,0)))))/1000</f>
        <v>0</v>
      </c>
      <c r="AE16" s="370">
        <f>IF($AE$4=0,0,INDEX(TTD!$J$3:$M$102,MATCH('Tinh phi QL'!$I$68+B15,TTD!$A$3:$A$102,0),MATCH('Tinh phi QL'!$G$77,TTD!$J$2:$M$2,0)))/1000</f>
        <v>0</v>
      </c>
      <c r="AF16" s="370">
        <f>IF($AF$4=0,0,INDEX(TTD!$N$3:$Q$102,MATCH('Tinh phi QL'!$I$68+B15,TTD!$A$3:$A$102,0),MATCH('Tinh phi QL'!$G$79,TTD!$N$2:$Q$2,0)))/1000</f>
        <v>0</v>
      </c>
      <c r="AG16" s="370">
        <f ca="1">'Tinh phi QL'!$G$83/1000000*IF('Tinh phi QL'!$H$69="nam",VLOOKUP('Tinh phi QL'!$I$68+B15,Tuky!$A$2:$C$87,2,0),VLOOKUP('Tinh phi QL'!$I$68+B15,Tuky!$A$2:$C$87,3,0))</f>
        <v>0</v>
      </c>
      <c r="AH16" s="371">
        <f t="shared" ca="1" si="0"/>
        <v>8533</v>
      </c>
      <c r="AI16" s="609">
        <f t="shared" ca="1" si="1"/>
        <v>8533</v>
      </c>
      <c r="AJ16" s="609">
        <f t="shared" ca="1" si="6"/>
        <v>95929</v>
      </c>
    </row>
    <row r="17" spans="2:36">
      <c r="B17" s="368">
        <v>14</v>
      </c>
      <c r="C17" s="368">
        <f>IF(ROW(A14)&gt;'Tinh phi QL'!$D$12,"",ROW(A14))</f>
        <v>14</v>
      </c>
      <c r="D17" s="369">
        <f ca="1">IF(IFERROR(--TRIM(C17),0)=0,0,'Tinh phi QL'!$H$12/1000)</f>
        <v>0</v>
      </c>
      <c r="E17" s="370">
        <f t="shared" si="2"/>
        <v>2270</v>
      </c>
      <c r="F17" s="370">
        <f ca="1">VLOOKUP('Tinh phi QL'!$I$8+B16,TCYT!$A$2:$B$60,2,0)*'Tinh phi QL'!$G$15/100000</f>
        <v>0</v>
      </c>
      <c r="G17" s="370">
        <f ca="1">'Tinh phi QL'!$G$16/1000000*IF('Tinh phi QL'!$H$9="nam",VLOOKUP('Tinh phi QL'!$I$8+B16,BHN!$A$2:$C$87,2,0),VLOOKUP('Tinh phi QL'!$I$8+B16,BHN!$A$2:$C$87,3,0))</f>
        <v>1611</v>
      </c>
      <c r="H17" s="370">
        <f ca="1">IF($H$4=0,0,IF('Tinh phi QL'!$F$17="Việt Nam",INDEX(TTD!$B$3:$E$102,MATCH('Tinh phi QL'!$I$8+B16,TTD!$A$3:$A$102,0),MATCH('Tinh phi QL'!$G$17,TTD!$B$2:$E$2,0)),IF('Tinh phi QL'!$F$17="Toàn cầu",INDEX(TTD!$F$3:$I$102,MATCH('Tinh phi QL'!$I$8+B16,TTD!$A$3:$A$102,0),MATCH('Tinh phi QL'!$G$17,TTD!$F$2:$I$2,0)))))/1000</f>
        <v>4652</v>
      </c>
      <c r="I17" s="370">
        <f>IF($I$4=0,0,INDEX(TTD!$J$3:$M$102,MATCH('Tinh phi QL'!$I$8+B16,TTD!$A$3:$A$102,0),MATCH('Tinh phi QL'!$G$19,TTD!$J$2:$M$2,0)))/1000</f>
        <v>0</v>
      </c>
      <c r="J17" s="370">
        <f>IF($J$4=0,0,INDEX(TTD!$N$3:$Q$102,MATCH('Tinh phi QL'!$I$8+B16,TTD!$A$3:$A$102,0),MATCH('Tinh phi QL'!$G$21,TTD!$N$2:$Q$2,0)))/1000</f>
        <v>0</v>
      </c>
      <c r="K17" s="370">
        <f ca="1">'Tinh phi QL'!$G$25/1000000*IF('Tinh phi QL'!$H$9="nam",VLOOKUP('Tinh phi QL'!$I$8+B16,Tuky!$A$2:$C$87,2,0),VLOOKUP('Tinh phi QL'!$I$8+B16,Tuky!$A$2:$C$87,3,0))</f>
        <v>0</v>
      </c>
      <c r="L17" s="370">
        <f t="shared" si="3"/>
        <v>0</v>
      </c>
      <c r="M17" s="370">
        <f ca="1">VLOOKUP('Tinh phi QL'!$I$29+B16,TCYT!$A$2:$B$60,2,0)*'Tinh phi QL'!$G$34/100000</f>
        <v>0</v>
      </c>
      <c r="N17" s="370">
        <f ca="1">'Tinh phi QL'!$G$35/1000000*IF('Tinh phi QL'!$H$30="nam",VLOOKUP('Tinh phi QL'!$I$29+B16,BHN!$A$2:$C$87,2,0),VLOOKUP('Tinh phi QL'!$I$29+B16,BHN!$A$2:$C$87,3,0))</f>
        <v>0</v>
      </c>
      <c r="O17" s="370">
        <f>IF($O$4=0,0,IF('Tinh phi QL'!$F$36="Việt Nam",INDEX(TTD!$B$3:$E$102,MATCH('Tinh phi QL'!$I$29+B16,TTD!$A$3:$A$102,0),MATCH('Tinh phi QL'!$G$36,TTD!$B$2:$E$2,0)),IF('Tinh phi QL'!$F$36="Toàn cầu",INDEX(TTD!$F$3:$I$102,MATCH('Tinh phi QL'!$I$29+B16,TTD!$A$3:$A$102,0),MATCH('Tinh phi QL'!$G$36,TTD!$F$2:$I$2,0)))))/1000</f>
        <v>0</v>
      </c>
      <c r="P17" s="370">
        <f>IF($P$4=0,0,INDEX(TTD!$J$3:$M$102,MATCH('Tinh phi QL'!$I$29+B16,TTD!$A$3:$A$102,0),MATCH('Tinh phi QL'!$G$38,TTD!$J$2:$M$2,0)))/1000</f>
        <v>0</v>
      </c>
      <c r="Q17" s="370">
        <f>IF($Q$4=0,0,INDEX(TTD!$N$3:$Q$102,MATCH('Tinh phi QL'!$I$29+B16,TTD!$A$3:$A$102,0),MATCH('Tinh phi QL'!$G$40,TTD!$N$2:$Q$2,0)))/1000</f>
        <v>0</v>
      </c>
      <c r="R17" s="370">
        <f ca="1">'Tinh phi QL'!$G$44/1000000*IF('Tinh phi QL'!$H$30="nam",VLOOKUP('Tinh phi QL'!$I$29+B16,Tuky!$A$2:$C$87,2,0),VLOOKUP('Tinh phi QL'!$I$29+B16,Tuky!$A$2:$C$87,3,0))</f>
        <v>0</v>
      </c>
      <c r="S17" s="370">
        <f>IF('Tinh phi QL'!$G$45=0,0,((SUM(D17:R17)+SUM(T17:AG17))/1000*IF('Tinh phi QL'!$H$30="nam",INDEX(MTPNam!$B$2:$AR$44,MATCH('Tinh phi QL'!$I$29+B16,MTPNam!$A$2:$A$44,0),MATCH('Tinh phi QL'!$E$45-B16,MTPNam!$B$1:$AR$1,0)),IF('Tinh phi QL'!$H$30="nữ",INDEX(MTPNu!$B$2:$AR$44,MATCH('Tinh phi QL'!$I$29+B16,MTPNu!$A$2:$A$44,0),MATCH('Tinh phi QL'!$E$45-B16,MTPNu!$B$1:$AR$1,0))))))</f>
        <v>0</v>
      </c>
      <c r="T17" s="370">
        <f t="shared" si="4"/>
        <v>0</v>
      </c>
      <c r="U17" s="370">
        <f ca="1">VLOOKUP('Tinh phi QL'!$I$49+B16,TCYT!$A$2:$B$60,2,0)*'Tinh phi QL'!$G$54/100000</f>
        <v>0</v>
      </c>
      <c r="V17" s="370">
        <f ca="1">'Tinh phi QL'!$G$55/1000000*IF('Tinh phi QL'!$H$50="nam",VLOOKUP('Tinh phi QL'!$I$49+B16,BHN!$A$2:$C$87,2,0),VLOOKUP('Tinh phi QL'!$I$49+B16,BHN!$A$2:$C$87,3,0))</f>
        <v>0</v>
      </c>
      <c r="W17" s="370">
        <f>IF($W$4=0,0,IF('Tinh phi QL'!$F$56="Việt Nam",INDEX(TTD!$B$3:$E$102,MATCH('Tinh phi QL'!$I$49+B16,TTD!$A$3:$A$102,0),MATCH('Tinh phi QL'!$G$56,TTD!$B$2:$E$2,0)),IF('Tinh phi QL'!$F$56="Toàn cầu",INDEX(TTD!$F$3:$I$102,MATCH('Tinh phi QL'!$I$49+B16,TTD!$A$3:$A$102,0),MATCH('Tinh phi QL'!$G$56,TTD!$F$2:$I$2,0)))))/1000</f>
        <v>0</v>
      </c>
      <c r="X17" s="370">
        <f>IF($X$4=0,0,INDEX(TTD!$J$3:$M$102,MATCH('Tinh phi QL'!$I$49+B16,TTD!$A$3:$A$102,0),MATCH('Tinh phi QL'!$G$58,TTD!$J$2:$M$2,0)))/1000</f>
        <v>0</v>
      </c>
      <c r="Y17" s="370">
        <f>IF($Y$4=0,0,INDEX(TTD!$N$3:$Q$102,MATCH('Tinh phi QL'!$I$49+B16,TTD!$A$3:$A$102,0),MATCH('Tinh phi QL'!$G$60,TTD!$N$2:$Q$2,0)))/1000</f>
        <v>0</v>
      </c>
      <c r="Z17" s="370">
        <f ca="1">'Tinh phi QL'!$G$64/1000000*IF('Tinh phi QL'!$H$50="nam",VLOOKUP('Tinh phi QL'!$I$49+B16,Tuky!$A$2:$C$87,2,0),VLOOKUP('Tinh phi QL'!$I$49+B16,Tuky!$A$2:$C$87,3,0))</f>
        <v>0</v>
      </c>
      <c r="AA17" s="370">
        <f t="shared" si="5"/>
        <v>0</v>
      </c>
      <c r="AB17" s="370">
        <f ca="1">VLOOKUP('Tinh phi QL'!$I$68+B16,TCYT!$A$2:$B$60,2,0)*'Tinh phi QL'!$G$73/100000</f>
        <v>0</v>
      </c>
      <c r="AC17" s="370">
        <f ca="1">'Tinh phi QL'!$G$74/1000000*IF('Tinh phi QL'!$H$69="nam",VLOOKUP('Tinh phi QL'!$I$68+B16,BHN!$A$2:$C$87,2,0),VLOOKUP('Tinh phi QL'!$I$68+B16,BHN!$A$2:$C$87,3,0))</f>
        <v>0</v>
      </c>
      <c r="AD17" s="370">
        <f>IF($AD$4=0,0,IF('Tinh phi QL'!$F$75="Việt Nam",INDEX(TTD!$B$3:$E$102,MATCH('Tinh phi QL'!$I$68+B16,TTD!$A$3:$A$102,0),MATCH('Tinh phi QL'!$G$75,TTD!$B$2:$E$2,0)),IF('Tinh phi QL'!$F$75="Toàn cầu",INDEX(TTD!$F$3:$I$102,MATCH('Tinh phi QL'!$I$68+B16,TTD!$A$3:$A$102,0),MATCH('Tinh phi QL'!$G$75,TTD!$F$2:$I$2,0)))))/1000</f>
        <v>0</v>
      </c>
      <c r="AE17" s="370">
        <f>IF($AE$4=0,0,INDEX(TTD!$J$3:$M$102,MATCH('Tinh phi QL'!$I$68+B16,TTD!$A$3:$A$102,0),MATCH('Tinh phi QL'!$G$77,TTD!$J$2:$M$2,0)))/1000</f>
        <v>0</v>
      </c>
      <c r="AF17" s="370">
        <f>IF($AF$4=0,0,INDEX(TTD!$N$3:$Q$102,MATCH('Tinh phi QL'!$I$68+B16,TTD!$A$3:$A$102,0),MATCH('Tinh phi QL'!$G$79,TTD!$N$2:$Q$2,0)))/1000</f>
        <v>0</v>
      </c>
      <c r="AG17" s="370">
        <f ca="1">'Tinh phi QL'!$G$83/1000000*IF('Tinh phi QL'!$H$69="nam",VLOOKUP('Tinh phi QL'!$I$68+B16,Tuky!$A$2:$C$87,2,0),VLOOKUP('Tinh phi QL'!$I$68+B16,Tuky!$A$2:$C$87,3,0))</f>
        <v>0</v>
      </c>
      <c r="AH17" s="371">
        <f t="shared" ca="1" si="0"/>
        <v>8533</v>
      </c>
      <c r="AI17" s="609">
        <f t="shared" ca="1" si="1"/>
        <v>8533</v>
      </c>
      <c r="AJ17" s="609">
        <f t="shared" ca="1" si="6"/>
        <v>104462</v>
      </c>
    </row>
    <row r="18" spans="2:36">
      <c r="B18" s="368">
        <v>15</v>
      </c>
      <c r="C18" s="368">
        <f>IF(ROW(A15)&gt;'Tinh phi QL'!$D$12,"",ROW(A15))</f>
        <v>15</v>
      </c>
      <c r="D18" s="369">
        <f ca="1">IF(IFERROR(--TRIM(C18),0)=0,0,'Tinh phi QL'!$H$12/1000)</f>
        <v>0</v>
      </c>
      <c r="E18" s="370">
        <f t="shared" si="2"/>
        <v>2270</v>
      </c>
      <c r="F18" s="370">
        <f ca="1">VLOOKUP('Tinh phi QL'!$I$8+B17,TCYT!$A$2:$B$60,2,0)*'Tinh phi QL'!$G$15/100000</f>
        <v>0</v>
      </c>
      <c r="G18" s="370">
        <f ca="1">'Tinh phi QL'!$G$16/1000000*IF('Tinh phi QL'!$H$9="nam",VLOOKUP('Tinh phi QL'!$I$8+B17,BHN!$A$2:$C$87,2,0),VLOOKUP('Tinh phi QL'!$I$8+B17,BHN!$A$2:$C$87,3,0))</f>
        <v>1611</v>
      </c>
      <c r="H18" s="370">
        <f ca="1">IF($H$4=0,0,IF('Tinh phi QL'!$F$17="Việt Nam",INDEX(TTD!$B$3:$E$102,MATCH('Tinh phi QL'!$I$8+B17,TTD!$A$3:$A$102,0),MATCH('Tinh phi QL'!$G$17,TTD!$B$2:$E$2,0)),IF('Tinh phi QL'!$F$17="Toàn cầu",INDEX(TTD!$F$3:$I$102,MATCH('Tinh phi QL'!$I$8+B17,TTD!$A$3:$A$102,0),MATCH('Tinh phi QL'!$G$17,TTD!$F$2:$I$2,0)))))/1000</f>
        <v>4652</v>
      </c>
      <c r="I18" s="370">
        <f>IF($I$4=0,0,INDEX(TTD!$J$3:$M$102,MATCH('Tinh phi QL'!$I$8+B17,TTD!$A$3:$A$102,0),MATCH('Tinh phi QL'!$G$19,TTD!$J$2:$M$2,0)))/1000</f>
        <v>0</v>
      </c>
      <c r="J18" s="370">
        <f>IF($J$4=0,0,INDEX(TTD!$N$3:$Q$102,MATCH('Tinh phi QL'!$I$8+B17,TTD!$A$3:$A$102,0),MATCH('Tinh phi QL'!$G$21,TTD!$N$2:$Q$2,0)))/1000</f>
        <v>0</v>
      </c>
      <c r="K18" s="370">
        <f ca="1">'Tinh phi QL'!$G$25/1000000*IF('Tinh phi QL'!$H$9="nam",VLOOKUP('Tinh phi QL'!$I$8+B17,Tuky!$A$2:$C$87,2,0),VLOOKUP('Tinh phi QL'!$I$8+B17,Tuky!$A$2:$C$87,3,0))</f>
        <v>0</v>
      </c>
      <c r="L18" s="370">
        <f t="shared" si="3"/>
        <v>0</v>
      </c>
      <c r="M18" s="370">
        <f ca="1">VLOOKUP('Tinh phi QL'!$I$29+B17,TCYT!$A$2:$B$60,2,0)*'Tinh phi QL'!$G$34/100000</f>
        <v>0</v>
      </c>
      <c r="N18" s="370">
        <f ca="1">'Tinh phi QL'!$G$35/1000000*IF('Tinh phi QL'!$H$30="nam",VLOOKUP('Tinh phi QL'!$I$29+B17,BHN!$A$2:$C$87,2,0),VLOOKUP('Tinh phi QL'!$I$29+B17,BHN!$A$2:$C$87,3,0))</f>
        <v>0</v>
      </c>
      <c r="O18" s="370">
        <f>IF($O$4=0,0,IF('Tinh phi QL'!$F$36="Việt Nam",INDEX(TTD!$B$3:$E$102,MATCH('Tinh phi QL'!$I$29+B17,TTD!$A$3:$A$102,0),MATCH('Tinh phi QL'!$G$36,TTD!$B$2:$E$2,0)),IF('Tinh phi QL'!$F$36="Toàn cầu",INDEX(TTD!$F$3:$I$102,MATCH('Tinh phi QL'!$I$29+B17,TTD!$A$3:$A$102,0),MATCH('Tinh phi QL'!$G$36,TTD!$F$2:$I$2,0)))))/1000</f>
        <v>0</v>
      </c>
      <c r="P18" s="370">
        <f>IF($P$4=0,0,INDEX(TTD!$J$3:$M$102,MATCH('Tinh phi QL'!$I$29+B17,TTD!$A$3:$A$102,0),MATCH('Tinh phi QL'!$G$38,TTD!$J$2:$M$2,0)))/1000</f>
        <v>0</v>
      </c>
      <c r="Q18" s="370">
        <f>IF($Q$4=0,0,INDEX(TTD!$N$3:$Q$102,MATCH('Tinh phi QL'!$I$29+B17,TTD!$A$3:$A$102,0),MATCH('Tinh phi QL'!$G$40,TTD!$N$2:$Q$2,0)))/1000</f>
        <v>0</v>
      </c>
      <c r="R18" s="370">
        <f ca="1">'Tinh phi QL'!$G$44/1000000*IF('Tinh phi QL'!$H$30="nam",VLOOKUP('Tinh phi QL'!$I$29+B17,Tuky!$A$2:$C$87,2,0),VLOOKUP('Tinh phi QL'!$I$29+B17,Tuky!$A$2:$C$87,3,0))</f>
        <v>0</v>
      </c>
      <c r="S18" s="370">
        <f>IF('Tinh phi QL'!$G$45=0,0,((SUM(D18:R18)+SUM(T18:AG18))/1000*IF('Tinh phi QL'!$H$30="nam",INDEX(MTPNam!$B$2:$AR$44,MATCH('Tinh phi QL'!$I$29+B17,MTPNam!$A$2:$A$44,0),MATCH('Tinh phi QL'!$E$45-B17,MTPNam!$B$1:$AR$1,0)),IF('Tinh phi QL'!$H$30="nữ",INDEX(MTPNu!$B$2:$AR$44,MATCH('Tinh phi QL'!$I$29+B17,MTPNu!$A$2:$A$44,0),MATCH('Tinh phi QL'!$E$45-B17,MTPNu!$B$1:$AR$1,0))))))</f>
        <v>0</v>
      </c>
      <c r="T18" s="370">
        <f t="shared" si="4"/>
        <v>0</v>
      </c>
      <c r="U18" s="370">
        <f ca="1">VLOOKUP('Tinh phi QL'!$I$49+B17,TCYT!$A$2:$B$60,2,0)*'Tinh phi QL'!$G$54/100000</f>
        <v>0</v>
      </c>
      <c r="V18" s="370">
        <f ca="1">'Tinh phi QL'!$G$55/1000000*IF('Tinh phi QL'!$H$50="nam",VLOOKUP('Tinh phi QL'!$I$49+B17,BHN!$A$2:$C$87,2,0),VLOOKUP('Tinh phi QL'!$I$49+B17,BHN!$A$2:$C$87,3,0))</f>
        <v>0</v>
      </c>
      <c r="W18" s="370">
        <f>IF($W$4=0,0,IF('Tinh phi QL'!$F$56="Việt Nam",INDEX(TTD!$B$3:$E$102,MATCH('Tinh phi QL'!$I$49+B17,TTD!$A$3:$A$102,0),MATCH('Tinh phi QL'!$G$56,TTD!$B$2:$E$2,0)),IF('Tinh phi QL'!$F$56="Toàn cầu",INDEX(TTD!$F$3:$I$102,MATCH('Tinh phi QL'!$I$49+B17,TTD!$A$3:$A$102,0),MATCH('Tinh phi QL'!$G$56,TTD!$F$2:$I$2,0)))))/1000</f>
        <v>0</v>
      </c>
      <c r="X18" s="370">
        <f>IF($X$4=0,0,INDEX(TTD!$J$3:$M$102,MATCH('Tinh phi QL'!$I$49+B17,TTD!$A$3:$A$102,0),MATCH('Tinh phi QL'!$G$58,TTD!$J$2:$M$2,0)))/1000</f>
        <v>0</v>
      </c>
      <c r="Y18" s="370">
        <f>IF($Y$4=0,0,INDEX(TTD!$N$3:$Q$102,MATCH('Tinh phi QL'!$I$49+B17,TTD!$A$3:$A$102,0),MATCH('Tinh phi QL'!$G$60,TTD!$N$2:$Q$2,0)))/1000</f>
        <v>0</v>
      </c>
      <c r="Z18" s="370">
        <f ca="1">'Tinh phi QL'!$G$64/1000000*IF('Tinh phi QL'!$H$50="nam",VLOOKUP('Tinh phi QL'!$I$49+B17,Tuky!$A$2:$C$87,2,0),VLOOKUP('Tinh phi QL'!$I$49+B17,Tuky!$A$2:$C$87,3,0))</f>
        <v>0</v>
      </c>
      <c r="AA18" s="370">
        <f t="shared" si="5"/>
        <v>0</v>
      </c>
      <c r="AB18" s="370">
        <f ca="1">VLOOKUP('Tinh phi QL'!$I$68+B17,TCYT!$A$2:$B$60,2,0)*'Tinh phi QL'!$G$73/100000</f>
        <v>0</v>
      </c>
      <c r="AC18" s="370">
        <f ca="1">'Tinh phi QL'!$G$74/1000000*IF('Tinh phi QL'!$H$69="nam",VLOOKUP('Tinh phi QL'!$I$68+B17,BHN!$A$2:$C$87,2,0),VLOOKUP('Tinh phi QL'!$I$68+B17,BHN!$A$2:$C$87,3,0))</f>
        <v>0</v>
      </c>
      <c r="AD18" s="370">
        <f>IF($AD$4=0,0,IF('Tinh phi QL'!$F$75="Việt Nam",INDEX(TTD!$B$3:$E$102,MATCH('Tinh phi QL'!$I$68+B17,TTD!$A$3:$A$102,0),MATCH('Tinh phi QL'!$G$75,TTD!$B$2:$E$2,0)),IF('Tinh phi QL'!$F$75="Toàn cầu",INDEX(TTD!$F$3:$I$102,MATCH('Tinh phi QL'!$I$68+B17,TTD!$A$3:$A$102,0),MATCH('Tinh phi QL'!$G$75,TTD!$F$2:$I$2,0)))))/1000</f>
        <v>0</v>
      </c>
      <c r="AE18" s="370">
        <f>IF($AE$4=0,0,INDEX(TTD!$J$3:$M$102,MATCH('Tinh phi QL'!$I$68+B17,TTD!$A$3:$A$102,0),MATCH('Tinh phi QL'!$G$77,TTD!$J$2:$M$2,0)))/1000</f>
        <v>0</v>
      </c>
      <c r="AF18" s="370">
        <f>IF($AF$4=0,0,INDEX(TTD!$N$3:$Q$102,MATCH('Tinh phi QL'!$I$68+B17,TTD!$A$3:$A$102,0),MATCH('Tinh phi QL'!$G$79,TTD!$N$2:$Q$2,0)))/1000</f>
        <v>0</v>
      </c>
      <c r="AG18" s="370">
        <f ca="1">'Tinh phi QL'!$G$83/1000000*IF('Tinh phi QL'!$H$69="nam",VLOOKUP('Tinh phi QL'!$I$68+B17,Tuky!$A$2:$C$87,2,0),VLOOKUP('Tinh phi QL'!$I$68+B17,Tuky!$A$2:$C$87,3,0))</f>
        <v>0</v>
      </c>
      <c r="AH18" s="371">
        <f t="shared" ca="1" si="0"/>
        <v>8533</v>
      </c>
      <c r="AI18" s="609">
        <f t="shared" ca="1" si="1"/>
        <v>8533</v>
      </c>
      <c r="AJ18" s="609">
        <f t="shared" ca="1" si="6"/>
        <v>112995</v>
      </c>
    </row>
    <row r="19" spans="2:36">
      <c r="B19" s="368">
        <v>16</v>
      </c>
      <c r="C19" s="368" t="str">
        <f>IF(ROW(A16)&gt;'Tinh phi QL'!$D$12,"",ROW(A16))</f>
        <v/>
      </c>
      <c r="D19" s="369">
        <f>IF(IFERROR(--TRIM(C19),0)=0,0,'Tinh phi QL'!$H$12/1000)</f>
        <v>0</v>
      </c>
      <c r="E19" s="370">
        <f t="shared" si="2"/>
        <v>2270</v>
      </c>
      <c r="F19" s="370">
        <f ca="1">VLOOKUP('Tinh phi QL'!$I$8+B18,TCYT!$A$2:$B$60,2,0)*'Tinh phi QL'!$G$15/100000</f>
        <v>0</v>
      </c>
      <c r="G19" s="370">
        <f ca="1">'Tinh phi QL'!$G$16/1000000*IF('Tinh phi QL'!$H$9="nam",VLOOKUP('Tinh phi QL'!$I$8+B18,BHN!$A$2:$C$87,2,0),VLOOKUP('Tinh phi QL'!$I$8+B18,BHN!$A$2:$C$87,3,0))</f>
        <v>2601</v>
      </c>
      <c r="H19" s="370">
        <f ca="1">IF($H$4=0,0,IF('Tinh phi QL'!$F$17="Việt Nam",INDEX(TTD!$B$3:$E$102,MATCH('Tinh phi QL'!$I$8+B18,TTD!$A$3:$A$102,0),MATCH('Tinh phi QL'!$G$17,TTD!$B$2:$E$2,0)),IF('Tinh phi QL'!$F$17="Toàn cầu",INDEX(TTD!$F$3:$I$102,MATCH('Tinh phi QL'!$I$8+B18,TTD!$A$3:$A$102,0),MATCH('Tinh phi QL'!$G$17,TTD!$F$2:$I$2,0)))))/1000</f>
        <v>5598</v>
      </c>
      <c r="I19" s="370">
        <f>IF($I$4=0,0,INDEX(TTD!$J$3:$M$102,MATCH('Tinh phi QL'!$I$8+B18,TTD!$A$3:$A$102,0),MATCH('Tinh phi QL'!$G$19,TTD!$J$2:$M$2,0)))/1000</f>
        <v>0</v>
      </c>
      <c r="J19" s="370">
        <f>IF($J$4=0,0,INDEX(TTD!$N$3:$Q$102,MATCH('Tinh phi QL'!$I$8+B18,TTD!$A$3:$A$102,0),MATCH('Tinh phi QL'!$G$21,TTD!$N$2:$Q$2,0)))/1000</f>
        <v>0</v>
      </c>
      <c r="K19" s="370">
        <f ca="1">'Tinh phi QL'!$G$25/1000000*IF('Tinh phi QL'!$H$9="nam",VLOOKUP('Tinh phi QL'!$I$8+B18,Tuky!$A$2:$C$87,2,0),VLOOKUP('Tinh phi QL'!$I$8+B18,Tuky!$A$2:$C$87,3,0))</f>
        <v>0</v>
      </c>
      <c r="L19" s="370">
        <f t="shared" si="3"/>
        <v>0</v>
      </c>
      <c r="M19" s="370">
        <f ca="1">VLOOKUP('Tinh phi QL'!$I$29+B18,TCYT!$A$2:$B$60,2,0)*'Tinh phi QL'!$G$34/100000</f>
        <v>0</v>
      </c>
      <c r="N19" s="370">
        <f ca="1">'Tinh phi QL'!$G$35/1000000*IF('Tinh phi QL'!$H$30="nam",VLOOKUP('Tinh phi QL'!$I$29+B18,BHN!$A$2:$C$87,2,0),VLOOKUP('Tinh phi QL'!$I$29+B18,BHN!$A$2:$C$87,3,0))</f>
        <v>0</v>
      </c>
      <c r="O19" s="370">
        <f>IF($O$4=0,0,IF('Tinh phi QL'!$F$36="Việt Nam",INDEX(TTD!$B$3:$E$102,MATCH('Tinh phi QL'!$I$29+B18,TTD!$A$3:$A$102,0),MATCH('Tinh phi QL'!$G$36,TTD!$B$2:$E$2,0)),IF('Tinh phi QL'!$F$36="Toàn cầu",INDEX(TTD!$F$3:$I$102,MATCH('Tinh phi QL'!$I$29+B18,TTD!$A$3:$A$102,0),MATCH('Tinh phi QL'!$G$36,TTD!$F$2:$I$2,0)))))/1000</f>
        <v>0</v>
      </c>
      <c r="P19" s="370">
        <f>IF($P$4=0,0,INDEX(TTD!$J$3:$M$102,MATCH('Tinh phi QL'!$I$29+B18,TTD!$A$3:$A$102,0),MATCH('Tinh phi QL'!$G$38,TTD!$J$2:$M$2,0)))/1000</f>
        <v>0</v>
      </c>
      <c r="Q19" s="370">
        <f>IF($Q$4=0,0,INDEX(TTD!$N$3:$Q$102,MATCH('Tinh phi QL'!$I$29+B18,TTD!$A$3:$A$102,0),MATCH('Tinh phi QL'!$G$40,TTD!$N$2:$Q$2,0)))/1000</f>
        <v>0</v>
      </c>
      <c r="R19" s="370">
        <f ca="1">'Tinh phi QL'!$G$44/1000000*IF('Tinh phi QL'!$H$30="nam",VLOOKUP('Tinh phi QL'!$I$29+B18,Tuky!$A$2:$C$87,2,0),VLOOKUP('Tinh phi QL'!$I$29+B18,Tuky!$A$2:$C$87,3,0))</f>
        <v>0</v>
      </c>
      <c r="S19" s="370">
        <f>IF('Tinh phi QL'!$G$45=0,0,((SUM(D19:R19)+SUM(T19:AG19))/1000*IF('Tinh phi QL'!$H$30="nam",INDEX(MTPNam!$B$2:$AR$44,MATCH('Tinh phi QL'!$I$29+B18,MTPNam!$A$2:$A$44,0),MATCH('Tinh phi QL'!$E$45-B18,MTPNam!$B$1:$AR$1,0)),IF('Tinh phi QL'!$H$30="nữ",INDEX(MTPNu!$B$2:$AR$44,MATCH('Tinh phi QL'!$I$29+B18,MTPNu!$A$2:$A$44,0),MATCH('Tinh phi QL'!$E$45-B18,MTPNu!$B$1:$AR$1,0))))))</f>
        <v>0</v>
      </c>
      <c r="T19" s="370">
        <f t="shared" si="4"/>
        <v>0</v>
      </c>
      <c r="U19" s="370">
        <f ca="1">VLOOKUP('Tinh phi QL'!$I$49+B18,TCYT!$A$2:$B$60,2,0)*'Tinh phi QL'!$G$54/100000</f>
        <v>0</v>
      </c>
      <c r="V19" s="370">
        <f ca="1">'Tinh phi QL'!$G$55/1000000*IF('Tinh phi QL'!$H$50="nam",VLOOKUP('Tinh phi QL'!$I$49+B18,BHN!$A$2:$C$87,2,0),VLOOKUP('Tinh phi QL'!$I$49+B18,BHN!$A$2:$C$87,3,0))</f>
        <v>0</v>
      </c>
      <c r="W19" s="370">
        <f>IF($W$4=0,0,IF('Tinh phi QL'!$F$56="Việt Nam",INDEX(TTD!$B$3:$E$102,MATCH('Tinh phi QL'!$I$49+B18,TTD!$A$3:$A$102,0),MATCH('Tinh phi QL'!$G$56,TTD!$B$2:$E$2,0)),IF('Tinh phi QL'!$F$56="Toàn cầu",INDEX(TTD!$F$3:$I$102,MATCH('Tinh phi QL'!$I$49+B18,TTD!$A$3:$A$102,0),MATCH('Tinh phi QL'!$G$56,TTD!$F$2:$I$2,0)))))/1000</f>
        <v>0</v>
      </c>
      <c r="X19" s="370">
        <f>IF($X$4=0,0,INDEX(TTD!$J$3:$M$102,MATCH('Tinh phi QL'!$I$49+B18,TTD!$A$3:$A$102,0),MATCH('Tinh phi QL'!$G$58,TTD!$J$2:$M$2,0)))/1000</f>
        <v>0</v>
      </c>
      <c r="Y19" s="370">
        <f>IF($Y$4=0,0,INDEX(TTD!$N$3:$Q$102,MATCH('Tinh phi QL'!$I$49+B18,TTD!$A$3:$A$102,0),MATCH('Tinh phi QL'!$G$60,TTD!$N$2:$Q$2,0)))/1000</f>
        <v>0</v>
      </c>
      <c r="Z19" s="370">
        <f ca="1">'Tinh phi QL'!$G$64/1000000*IF('Tinh phi QL'!$H$50="nam",VLOOKUP('Tinh phi QL'!$I$49+B18,Tuky!$A$2:$C$87,2,0),VLOOKUP('Tinh phi QL'!$I$49+B18,Tuky!$A$2:$C$87,3,0))</f>
        <v>0</v>
      </c>
      <c r="AA19" s="370">
        <f t="shared" si="5"/>
        <v>0</v>
      </c>
      <c r="AB19" s="370">
        <f ca="1">VLOOKUP('Tinh phi QL'!$I$68+B18,TCYT!$A$2:$B$60,2,0)*'Tinh phi QL'!$G$73/100000</f>
        <v>0</v>
      </c>
      <c r="AC19" s="370">
        <f ca="1">'Tinh phi QL'!$G$74/1000000*IF('Tinh phi QL'!$H$69="nam",VLOOKUP('Tinh phi QL'!$I$68+B18,BHN!$A$2:$C$87,2,0),VLOOKUP('Tinh phi QL'!$I$68+B18,BHN!$A$2:$C$87,3,0))</f>
        <v>0</v>
      </c>
      <c r="AD19" s="370">
        <f>IF($AD$4=0,0,IF('Tinh phi QL'!$F$75="Việt Nam",INDEX(TTD!$B$3:$E$102,MATCH('Tinh phi QL'!$I$68+B18,TTD!$A$3:$A$102,0),MATCH('Tinh phi QL'!$G$75,TTD!$B$2:$E$2,0)),IF('Tinh phi QL'!$F$75="Toàn cầu",INDEX(TTD!$F$3:$I$102,MATCH('Tinh phi QL'!$I$68+B18,TTD!$A$3:$A$102,0),MATCH('Tinh phi QL'!$G$75,TTD!$F$2:$I$2,0)))))/1000</f>
        <v>0</v>
      </c>
      <c r="AE19" s="370">
        <f>IF($AE$4=0,0,INDEX(TTD!$J$3:$M$102,MATCH('Tinh phi QL'!$I$68+B18,TTD!$A$3:$A$102,0),MATCH('Tinh phi QL'!$G$77,TTD!$J$2:$M$2,0)))/1000</f>
        <v>0</v>
      </c>
      <c r="AF19" s="370">
        <f>IF($AF$4=0,0,INDEX(TTD!$N$3:$Q$102,MATCH('Tinh phi QL'!$I$68+B18,TTD!$A$3:$A$102,0),MATCH('Tinh phi QL'!$G$79,TTD!$N$2:$Q$2,0)))/1000</f>
        <v>0</v>
      </c>
      <c r="AG19" s="370">
        <f ca="1">'Tinh phi QL'!$G$83/1000000*IF('Tinh phi QL'!$H$69="nam",VLOOKUP('Tinh phi QL'!$I$68+B18,Tuky!$A$2:$C$87,2,0),VLOOKUP('Tinh phi QL'!$I$68+B18,Tuky!$A$2:$C$87,3,0))</f>
        <v>0</v>
      </c>
      <c r="AH19" s="371">
        <f t="shared" ca="1" si="0"/>
        <v>10469</v>
      </c>
      <c r="AI19" s="609">
        <f t="shared" ca="1" si="1"/>
        <v>10469</v>
      </c>
      <c r="AJ19" s="609">
        <f t="shared" ca="1" si="6"/>
        <v>123464</v>
      </c>
    </row>
    <row r="20" spans="2:36">
      <c r="B20" s="368">
        <v>17</v>
      </c>
      <c r="C20" s="368" t="str">
        <f>IF(ROW(A17)&gt;'Tinh phi QL'!$D$12,"",ROW(A17))</f>
        <v/>
      </c>
      <c r="D20" s="369">
        <f>IF(IFERROR(--TRIM(C20),0)=0,0,'Tinh phi QL'!$H$12/1000)</f>
        <v>0</v>
      </c>
      <c r="E20" s="370">
        <f t="shared" si="2"/>
        <v>2270</v>
      </c>
      <c r="F20" s="370">
        <f ca="1">VLOOKUP('Tinh phi QL'!$I$8+B19,TCYT!$A$2:$B$60,2,0)*'Tinh phi QL'!$G$15/100000</f>
        <v>0</v>
      </c>
      <c r="G20" s="370">
        <f ca="1">'Tinh phi QL'!$G$16/1000000*IF('Tinh phi QL'!$H$9="nam",VLOOKUP('Tinh phi QL'!$I$8+B19,BHN!$A$2:$C$87,2,0),VLOOKUP('Tinh phi QL'!$I$8+B19,BHN!$A$2:$C$87,3,0))</f>
        <v>2601</v>
      </c>
      <c r="H20" s="370">
        <f ca="1">IF($H$4=0,0,IF('Tinh phi QL'!$F$17="Việt Nam",INDEX(TTD!$B$3:$E$102,MATCH('Tinh phi QL'!$I$8+B19,TTD!$A$3:$A$102,0),MATCH('Tinh phi QL'!$G$17,TTD!$B$2:$E$2,0)),IF('Tinh phi QL'!$F$17="Toàn cầu",INDEX(TTD!$F$3:$I$102,MATCH('Tinh phi QL'!$I$8+B19,TTD!$A$3:$A$102,0),MATCH('Tinh phi QL'!$G$17,TTD!$F$2:$I$2,0)))))/1000</f>
        <v>5598</v>
      </c>
      <c r="I20" s="370">
        <f>IF($I$4=0,0,INDEX(TTD!$J$3:$M$102,MATCH('Tinh phi QL'!$I$8+B19,TTD!$A$3:$A$102,0),MATCH('Tinh phi QL'!$G$19,TTD!$J$2:$M$2,0)))/1000</f>
        <v>0</v>
      </c>
      <c r="J20" s="370">
        <f>IF($J$4=0,0,INDEX(TTD!$N$3:$Q$102,MATCH('Tinh phi QL'!$I$8+B19,TTD!$A$3:$A$102,0),MATCH('Tinh phi QL'!$G$21,TTD!$N$2:$Q$2,0)))/1000</f>
        <v>0</v>
      </c>
      <c r="K20" s="370">
        <f ca="1">'Tinh phi QL'!$G$25/1000000*IF('Tinh phi QL'!$H$9="nam",VLOOKUP('Tinh phi QL'!$I$8+B19,Tuky!$A$2:$C$87,2,0),VLOOKUP('Tinh phi QL'!$I$8+B19,Tuky!$A$2:$C$87,3,0))</f>
        <v>0</v>
      </c>
      <c r="L20" s="370">
        <f t="shared" si="3"/>
        <v>0</v>
      </c>
      <c r="M20" s="370">
        <f ca="1">VLOOKUP('Tinh phi QL'!$I$29+B19,TCYT!$A$2:$B$60,2,0)*'Tinh phi QL'!$G$34/100000</f>
        <v>0</v>
      </c>
      <c r="N20" s="370">
        <f ca="1">'Tinh phi QL'!$G$35/1000000*IF('Tinh phi QL'!$H$30="nam",VLOOKUP('Tinh phi QL'!$I$29+B19,BHN!$A$2:$C$87,2,0),VLOOKUP('Tinh phi QL'!$I$29+B19,BHN!$A$2:$C$87,3,0))</f>
        <v>0</v>
      </c>
      <c r="O20" s="370">
        <f>IF($O$4=0,0,IF('Tinh phi QL'!$F$36="Việt Nam",INDEX(TTD!$B$3:$E$102,MATCH('Tinh phi QL'!$I$29+B19,TTD!$A$3:$A$102,0),MATCH('Tinh phi QL'!$G$36,TTD!$B$2:$E$2,0)),IF('Tinh phi QL'!$F$36="Toàn cầu",INDEX(TTD!$F$3:$I$102,MATCH('Tinh phi QL'!$I$29+B19,TTD!$A$3:$A$102,0),MATCH('Tinh phi QL'!$G$36,TTD!$F$2:$I$2,0)))))/1000</f>
        <v>0</v>
      </c>
      <c r="P20" s="370">
        <f>IF($P$4=0,0,INDEX(TTD!$J$3:$M$102,MATCH('Tinh phi QL'!$I$29+B19,TTD!$A$3:$A$102,0),MATCH('Tinh phi QL'!$G$38,TTD!$J$2:$M$2,0)))/1000</f>
        <v>0</v>
      </c>
      <c r="Q20" s="370">
        <f>IF($Q$4=0,0,INDEX(TTD!$N$3:$Q$102,MATCH('Tinh phi QL'!$I$29+B19,TTD!$A$3:$A$102,0),MATCH('Tinh phi QL'!$G$40,TTD!$N$2:$Q$2,0)))/1000</f>
        <v>0</v>
      </c>
      <c r="R20" s="370">
        <f ca="1">'Tinh phi QL'!$G$44/1000000*IF('Tinh phi QL'!$H$30="nam",VLOOKUP('Tinh phi QL'!$I$29+B19,Tuky!$A$2:$C$87,2,0),VLOOKUP('Tinh phi QL'!$I$29+B19,Tuky!$A$2:$C$87,3,0))</f>
        <v>0</v>
      </c>
      <c r="S20" s="370">
        <f>IF('Tinh phi QL'!$G$45=0,0,((SUM(D20:R20)+SUM(T20:AG20))/1000*IF('Tinh phi QL'!$H$30="nam",INDEX(MTPNam!$B$2:$AR$44,MATCH('Tinh phi QL'!$I$29+B19,MTPNam!$A$2:$A$44,0),MATCH('Tinh phi QL'!$E$45-B19,MTPNam!$B$1:$AR$1,0)),IF('Tinh phi QL'!$H$30="nữ",INDEX(MTPNu!$B$2:$AR$44,MATCH('Tinh phi QL'!$I$29+B19,MTPNu!$A$2:$A$44,0),MATCH('Tinh phi QL'!$E$45-B19,MTPNu!$B$1:$AR$1,0))))))</f>
        <v>0</v>
      </c>
      <c r="T20" s="370">
        <f t="shared" si="4"/>
        <v>0</v>
      </c>
      <c r="U20" s="370">
        <f ca="1">VLOOKUP('Tinh phi QL'!$I$49+B19,TCYT!$A$2:$B$60,2,0)*'Tinh phi QL'!$G$54/100000</f>
        <v>0</v>
      </c>
      <c r="V20" s="370">
        <f ca="1">'Tinh phi QL'!$G$55/1000000*IF('Tinh phi QL'!$H$50="nam",VLOOKUP('Tinh phi QL'!$I$49+B19,BHN!$A$2:$C$87,2,0),VLOOKUP('Tinh phi QL'!$I$49+B19,BHN!$A$2:$C$87,3,0))</f>
        <v>0</v>
      </c>
      <c r="W20" s="370">
        <f>IF($W$4=0,0,IF('Tinh phi QL'!$F$56="Việt Nam",INDEX(TTD!$B$3:$E$102,MATCH('Tinh phi QL'!$I$49+B19,TTD!$A$3:$A$102,0),MATCH('Tinh phi QL'!$G$56,TTD!$B$2:$E$2,0)),IF('Tinh phi QL'!$F$56="Toàn cầu",INDEX(TTD!$F$3:$I$102,MATCH('Tinh phi QL'!$I$49+B19,TTD!$A$3:$A$102,0),MATCH('Tinh phi QL'!$G$56,TTD!$F$2:$I$2,0)))))/1000</f>
        <v>0</v>
      </c>
      <c r="X20" s="370">
        <f>IF($X$4=0,0,INDEX(TTD!$J$3:$M$102,MATCH('Tinh phi QL'!$I$49+B19,TTD!$A$3:$A$102,0),MATCH('Tinh phi QL'!$G$58,TTD!$J$2:$M$2,0)))/1000</f>
        <v>0</v>
      </c>
      <c r="Y20" s="370">
        <f>IF($Y$4=0,0,INDEX(TTD!$N$3:$Q$102,MATCH('Tinh phi QL'!$I$49+B19,TTD!$A$3:$A$102,0),MATCH('Tinh phi QL'!$G$60,TTD!$N$2:$Q$2,0)))/1000</f>
        <v>0</v>
      </c>
      <c r="Z20" s="370">
        <f ca="1">'Tinh phi QL'!$G$64/1000000*IF('Tinh phi QL'!$H$50="nam",VLOOKUP('Tinh phi QL'!$I$49+B19,Tuky!$A$2:$C$87,2,0),VLOOKUP('Tinh phi QL'!$I$49+B19,Tuky!$A$2:$C$87,3,0))</f>
        <v>0</v>
      </c>
      <c r="AA20" s="370">
        <f t="shared" si="5"/>
        <v>0</v>
      </c>
      <c r="AB20" s="370">
        <f ca="1">VLOOKUP('Tinh phi QL'!$I$68+B19,TCYT!$A$2:$B$60,2,0)*'Tinh phi QL'!$G$73/100000</f>
        <v>0</v>
      </c>
      <c r="AC20" s="370">
        <f ca="1">'Tinh phi QL'!$G$74/1000000*IF('Tinh phi QL'!$H$69="nam",VLOOKUP('Tinh phi QL'!$I$68+B19,BHN!$A$2:$C$87,2,0),VLOOKUP('Tinh phi QL'!$I$68+B19,BHN!$A$2:$C$87,3,0))</f>
        <v>0</v>
      </c>
      <c r="AD20" s="370">
        <f>IF($AD$4=0,0,IF('Tinh phi QL'!$F$75="Việt Nam",INDEX(TTD!$B$3:$E$102,MATCH('Tinh phi QL'!$I$68+B19,TTD!$A$3:$A$102,0),MATCH('Tinh phi QL'!$G$75,TTD!$B$2:$E$2,0)),IF('Tinh phi QL'!$F$75="Toàn cầu",INDEX(TTD!$F$3:$I$102,MATCH('Tinh phi QL'!$I$68+B19,TTD!$A$3:$A$102,0),MATCH('Tinh phi QL'!$G$75,TTD!$F$2:$I$2,0)))))/1000</f>
        <v>0</v>
      </c>
      <c r="AE20" s="370">
        <f>IF($AE$4=0,0,INDEX(TTD!$J$3:$M$102,MATCH('Tinh phi QL'!$I$68+B19,TTD!$A$3:$A$102,0),MATCH('Tinh phi QL'!$G$77,TTD!$J$2:$M$2,0)))/1000</f>
        <v>0</v>
      </c>
      <c r="AF20" s="370">
        <f>IF($AF$4=0,0,INDEX(TTD!$N$3:$Q$102,MATCH('Tinh phi QL'!$I$68+B19,TTD!$A$3:$A$102,0),MATCH('Tinh phi QL'!$G$79,TTD!$N$2:$Q$2,0)))/1000</f>
        <v>0</v>
      </c>
      <c r="AG20" s="370">
        <f ca="1">'Tinh phi QL'!$G$83/1000000*IF('Tinh phi QL'!$H$69="nam",VLOOKUP('Tinh phi QL'!$I$68+B19,Tuky!$A$2:$C$87,2,0),VLOOKUP('Tinh phi QL'!$I$68+B19,Tuky!$A$2:$C$87,3,0))</f>
        <v>0</v>
      </c>
      <c r="AH20" s="371">
        <f t="shared" ca="1" si="0"/>
        <v>10469</v>
      </c>
      <c r="AI20" s="609">
        <f t="shared" ca="1" si="1"/>
        <v>10469</v>
      </c>
      <c r="AJ20" s="609">
        <f t="shared" ca="1" si="6"/>
        <v>133933</v>
      </c>
    </row>
    <row r="21" spans="2:36">
      <c r="B21" s="368">
        <v>18</v>
      </c>
      <c r="C21" s="368" t="str">
        <f>IF(ROW(A18)&gt;'Tinh phi QL'!$D$12,"",ROW(A18))</f>
        <v/>
      </c>
      <c r="D21" s="369">
        <f>IF(IFERROR(--TRIM(C21),0)=0,0,'Tinh phi QL'!$H$12/1000)</f>
        <v>0</v>
      </c>
      <c r="E21" s="370">
        <f t="shared" si="2"/>
        <v>2270</v>
      </c>
      <c r="F21" s="370">
        <f ca="1">VLOOKUP('Tinh phi QL'!$I$8+B20,TCYT!$A$2:$B$60,2,0)*'Tinh phi QL'!$G$15/100000</f>
        <v>0</v>
      </c>
      <c r="G21" s="370">
        <f ca="1">'Tinh phi QL'!$G$16/1000000*IF('Tinh phi QL'!$H$9="nam",VLOOKUP('Tinh phi QL'!$I$8+B20,BHN!$A$2:$C$87,2,0),VLOOKUP('Tinh phi QL'!$I$8+B20,BHN!$A$2:$C$87,3,0))</f>
        <v>2601</v>
      </c>
      <c r="H21" s="370">
        <f ca="1">IF($H$4=0,0,IF('Tinh phi QL'!$F$17="Việt Nam",INDEX(TTD!$B$3:$E$102,MATCH('Tinh phi QL'!$I$8+B20,TTD!$A$3:$A$102,0),MATCH('Tinh phi QL'!$G$17,TTD!$B$2:$E$2,0)),IF('Tinh phi QL'!$F$17="Toàn cầu",INDEX(TTD!$F$3:$I$102,MATCH('Tinh phi QL'!$I$8+B20,TTD!$A$3:$A$102,0),MATCH('Tinh phi QL'!$G$17,TTD!$F$2:$I$2,0)))))/1000</f>
        <v>5598</v>
      </c>
      <c r="I21" s="370">
        <f>IF($I$4=0,0,INDEX(TTD!$J$3:$M$102,MATCH('Tinh phi QL'!$I$8+B20,TTD!$A$3:$A$102,0),MATCH('Tinh phi QL'!$G$19,TTD!$J$2:$M$2,0)))/1000</f>
        <v>0</v>
      </c>
      <c r="J21" s="370">
        <f>IF($J$4=0,0,INDEX(TTD!$N$3:$Q$102,MATCH('Tinh phi QL'!$I$8+B20,TTD!$A$3:$A$102,0),MATCH('Tinh phi QL'!$G$21,TTD!$N$2:$Q$2,0)))/1000</f>
        <v>0</v>
      </c>
      <c r="K21" s="370">
        <f ca="1">'Tinh phi QL'!$G$25/1000000*IF('Tinh phi QL'!$H$9="nam",VLOOKUP('Tinh phi QL'!$I$8+B20,Tuky!$A$2:$C$87,2,0),VLOOKUP('Tinh phi QL'!$I$8+B20,Tuky!$A$2:$C$87,3,0))</f>
        <v>0</v>
      </c>
      <c r="L21" s="370">
        <f t="shared" si="3"/>
        <v>0</v>
      </c>
      <c r="M21" s="370">
        <f ca="1">VLOOKUP('Tinh phi QL'!$I$29+B20,TCYT!$A$2:$B$60,2,0)*'Tinh phi QL'!$G$34/100000</f>
        <v>0</v>
      </c>
      <c r="N21" s="370">
        <f ca="1">'Tinh phi QL'!$G$35/1000000*IF('Tinh phi QL'!$H$30="nam",VLOOKUP('Tinh phi QL'!$I$29+B20,BHN!$A$2:$C$87,2,0),VLOOKUP('Tinh phi QL'!$I$29+B20,BHN!$A$2:$C$87,3,0))</f>
        <v>0</v>
      </c>
      <c r="O21" s="370">
        <f>IF($O$4=0,0,IF('Tinh phi QL'!$F$36="Việt Nam",INDEX(TTD!$B$3:$E$102,MATCH('Tinh phi QL'!$I$29+B20,TTD!$A$3:$A$102,0),MATCH('Tinh phi QL'!$G$36,TTD!$B$2:$E$2,0)),IF('Tinh phi QL'!$F$36="Toàn cầu",INDEX(TTD!$F$3:$I$102,MATCH('Tinh phi QL'!$I$29+B20,TTD!$A$3:$A$102,0),MATCH('Tinh phi QL'!$G$36,TTD!$F$2:$I$2,0)))))/1000</f>
        <v>0</v>
      </c>
      <c r="P21" s="370">
        <f>IF($P$4=0,0,INDEX(TTD!$J$3:$M$102,MATCH('Tinh phi QL'!$I$29+B20,TTD!$A$3:$A$102,0),MATCH('Tinh phi QL'!$G$38,TTD!$J$2:$M$2,0)))/1000</f>
        <v>0</v>
      </c>
      <c r="Q21" s="370">
        <f>IF($Q$4=0,0,INDEX(TTD!$N$3:$Q$102,MATCH('Tinh phi QL'!$I$29+B20,TTD!$A$3:$A$102,0),MATCH('Tinh phi QL'!$G$40,TTD!$N$2:$Q$2,0)))/1000</f>
        <v>0</v>
      </c>
      <c r="R21" s="370">
        <f ca="1">'Tinh phi QL'!$G$44/1000000*IF('Tinh phi QL'!$H$30="nam",VLOOKUP('Tinh phi QL'!$I$29+B20,Tuky!$A$2:$C$87,2,0),VLOOKUP('Tinh phi QL'!$I$29+B20,Tuky!$A$2:$C$87,3,0))</f>
        <v>0</v>
      </c>
      <c r="S21" s="370">
        <f>IF('Tinh phi QL'!$G$45=0,0,((SUM(D21:R21)+SUM(T21:AG21))/1000*IF('Tinh phi QL'!$H$30="nam",INDEX(MTPNam!$B$2:$AR$44,MATCH('Tinh phi QL'!$I$29+B20,MTPNam!$A$2:$A$44,0),MATCH('Tinh phi QL'!$E$45-B20,MTPNam!$B$1:$AR$1,0)),IF('Tinh phi QL'!$H$30="nữ",INDEX(MTPNu!$B$2:$AR$44,MATCH('Tinh phi QL'!$I$29+B20,MTPNu!$A$2:$A$44,0),MATCH('Tinh phi QL'!$E$45-B20,MTPNu!$B$1:$AR$1,0))))))</f>
        <v>0</v>
      </c>
      <c r="T21" s="370">
        <f t="shared" si="4"/>
        <v>0</v>
      </c>
      <c r="U21" s="370">
        <f ca="1">VLOOKUP('Tinh phi QL'!$I$49+B20,TCYT!$A$2:$B$60,2,0)*'Tinh phi QL'!$G$54/100000</f>
        <v>0</v>
      </c>
      <c r="V21" s="370">
        <f ca="1">'Tinh phi QL'!$G$55/1000000*IF('Tinh phi QL'!$H$50="nam",VLOOKUP('Tinh phi QL'!$I$49+B20,BHN!$A$2:$C$87,2,0),VLOOKUP('Tinh phi QL'!$I$49+B20,BHN!$A$2:$C$87,3,0))</f>
        <v>0</v>
      </c>
      <c r="W21" s="370">
        <f>IF($W$4=0,0,IF('Tinh phi QL'!$F$56="Việt Nam",INDEX(TTD!$B$3:$E$102,MATCH('Tinh phi QL'!$I$49+B20,TTD!$A$3:$A$102,0),MATCH('Tinh phi QL'!$G$56,TTD!$B$2:$E$2,0)),IF('Tinh phi QL'!$F$56="Toàn cầu",INDEX(TTD!$F$3:$I$102,MATCH('Tinh phi QL'!$I$49+B20,TTD!$A$3:$A$102,0),MATCH('Tinh phi QL'!$G$56,TTD!$F$2:$I$2,0)))))/1000</f>
        <v>0</v>
      </c>
      <c r="X21" s="370">
        <f>IF($X$4=0,0,INDEX(TTD!$J$3:$M$102,MATCH('Tinh phi QL'!$I$49+B20,TTD!$A$3:$A$102,0),MATCH('Tinh phi QL'!$G$58,TTD!$J$2:$M$2,0)))/1000</f>
        <v>0</v>
      </c>
      <c r="Y21" s="370">
        <f>IF($Y$4=0,0,INDEX(TTD!$N$3:$Q$102,MATCH('Tinh phi QL'!$I$49+B20,TTD!$A$3:$A$102,0),MATCH('Tinh phi QL'!$G$60,TTD!$N$2:$Q$2,0)))/1000</f>
        <v>0</v>
      </c>
      <c r="Z21" s="370">
        <f ca="1">'Tinh phi QL'!$G$64/1000000*IF('Tinh phi QL'!$H$50="nam",VLOOKUP('Tinh phi QL'!$I$49+B20,Tuky!$A$2:$C$87,2,0),VLOOKUP('Tinh phi QL'!$I$49+B20,Tuky!$A$2:$C$87,3,0))</f>
        <v>0</v>
      </c>
      <c r="AA21" s="370">
        <f t="shared" si="5"/>
        <v>0</v>
      </c>
      <c r="AB21" s="370">
        <f ca="1">VLOOKUP('Tinh phi QL'!$I$68+B20,TCYT!$A$2:$B$60,2,0)*'Tinh phi QL'!$G$73/100000</f>
        <v>0</v>
      </c>
      <c r="AC21" s="370">
        <f ca="1">'Tinh phi QL'!$G$74/1000000*IF('Tinh phi QL'!$H$69="nam",VLOOKUP('Tinh phi QL'!$I$68+B20,BHN!$A$2:$C$87,2,0),VLOOKUP('Tinh phi QL'!$I$68+B20,BHN!$A$2:$C$87,3,0))</f>
        <v>0</v>
      </c>
      <c r="AD21" s="370">
        <f>IF($AD$4=0,0,IF('Tinh phi QL'!$F$75="Việt Nam",INDEX(TTD!$B$3:$E$102,MATCH('Tinh phi QL'!$I$68+B20,TTD!$A$3:$A$102,0),MATCH('Tinh phi QL'!$G$75,TTD!$B$2:$E$2,0)),IF('Tinh phi QL'!$F$75="Toàn cầu",INDEX(TTD!$F$3:$I$102,MATCH('Tinh phi QL'!$I$68+B20,TTD!$A$3:$A$102,0),MATCH('Tinh phi QL'!$G$75,TTD!$F$2:$I$2,0)))))/1000</f>
        <v>0</v>
      </c>
      <c r="AE21" s="370">
        <f>IF($AE$4=0,0,INDEX(TTD!$J$3:$M$102,MATCH('Tinh phi QL'!$I$68+B20,TTD!$A$3:$A$102,0),MATCH('Tinh phi QL'!$G$77,TTD!$J$2:$M$2,0)))/1000</f>
        <v>0</v>
      </c>
      <c r="AF21" s="370">
        <f>IF($AF$4=0,0,INDEX(TTD!$N$3:$Q$102,MATCH('Tinh phi QL'!$I$68+B20,TTD!$A$3:$A$102,0),MATCH('Tinh phi QL'!$G$79,TTD!$N$2:$Q$2,0)))/1000</f>
        <v>0</v>
      </c>
      <c r="AG21" s="370">
        <f ca="1">'Tinh phi QL'!$G$83/1000000*IF('Tinh phi QL'!$H$69="nam",VLOOKUP('Tinh phi QL'!$I$68+B20,Tuky!$A$2:$C$87,2,0),VLOOKUP('Tinh phi QL'!$I$68+B20,Tuky!$A$2:$C$87,3,0))</f>
        <v>0</v>
      </c>
      <c r="AH21" s="371">
        <f t="shared" ca="1" si="0"/>
        <v>10469</v>
      </c>
      <c r="AI21" s="609">
        <f t="shared" ca="1" si="1"/>
        <v>10469</v>
      </c>
      <c r="AJ21" s="609">
        <f t="shared" ca="1" si="6"/>
        <v>144402</v>
      </c>
    </row>
    <row r="22" spans="2:36">
      <c r="B22" s="368">
        <v>19</v>
      </c>
      <c r="C22" s="368" t="str">
        <f>IF(ROW(A19)&gt;'Tinh phi QL'!$D$12,"",ROW(A19))</f>
        <v/>
      </c>
      <c r="D22" s="369">
        <f>IF(IFERROR(--TRIM(C22),0)=0,0,'Tinh phi QL'!$H$12/1000)</f>
        <v>0</v>
      </c>
      <c r="E22" s="370">
        <f t="shared" ref="E22:E23" si="7">E21</f>
        <v>2270</v>
      </c>
      <c r="F22" s="370">
        <f ca="1">VLOOKUP('Tinh phi QL'!$I$8+B21,TCYT!$A$2:$B$60,2,0)*'Tinh phi QL'!$G$15/100000</f>
        <v>0</v>
      </c>
      <c r="G22" s="370">
        <f ca="1">'Tinh phi QL'!$G$16/1000000*IF('Tinh phi QL'!$H$9="nam",VLOOKUP('Tinh phi QL'!$I$8+B21,BHN!$A$2:$C$87,2,0),VLOOKUP('Tinh phi QL'!$I$8+B21,BHN!$A$2:$C$87,3,0))</f>
        <v>2601</v>
      </c>
      <c r="H22" s="370">
        <f ca="1">IF($H$4=0,0,IF('Tinh phi QL'!$F$17="Việt Nam",INDEX(TTD!$B$3:$E$102,MATCH('Tinh phi QL'!$I$8+B21,TTD!$A$3:$A$102,0),MATCH('Tinh phi QL'!$G$17,TTD!$B$2:$E$2,0)),IF('Tinh phi QL'!$F$17="Toàn cầu",INDEX(TTD!$F$3:$I$102,MATCH('Tinh phi QL'!$I$8+B21,TTD!$A$3:$A$102,0),MATCH('Tinh phi QL'!$G$17,TTD!$F$2:$I$2,0)))))/1000</f>
        <v>5598</v>
      </c>
      <c r="I22" s="370">
        <f>IF($I$4=0,0,INDEX(TTD!$J$3:$M$102,MATCH('Tinh phi QL'!$I$8+B21,TTD!$A$3:$A$102,0),MATCH('Tinh phi QL'!$G$19,TTD!$J$2:$M$2,0)))/1000</f>
        <v>0</v>
      </c>
      <c r="J22" s="370">
        <f>IF($J$4=0,0,INDEX(TTD!$N$3:$Q$102,MATCH('Tinh phi QL'!$I$8+B21,TTD!$A$3:$A$102,0),MATCH('Tinh phi QL'!$G$21,TTD!$N$2:$Q$2,0)))/1000</f>
        <v>0</v>
      </c>
      <c r="K22" s="370">
        <f ca="1">'Tinh phi QL'!$G$25/1000000*IF('Tinh phi QL'!$H$9="nam",VLOOKUP('Tinh phi QL'!$I$8+B21,Tuky!$A$2:$C$87,2,0),VLOOKUP('Tinh phi QL'!$I$8+B21,Tuky!$A$2:$C$87,3,0))</f>
        <v>0</v>
      </c>
      <c r="L22" s="370">
        <f t="shared" si="3"/>
        <v>0</v>
      </c>
      <c r="M22" s="370">
        <f ca="1">VLOOKUP('Tinh phi QL'!$I$29+B21,TCYT!$A$2:$B$60,2,0)*'Tinh phi QL'!$G$34/100000</f>
        <v>0</v>
      </c>
      <c r="N22" s="370">
        <f ca="1">'Tinh phi QL'!$G$35/1000000*IF('Tinh phi QL'!$H$30="nam",VLOOKUP('Tinh phi QL'!$I$29+B21,BHN!$A$2:$C$87,2,0),VLOOKUP('Tinh phi QL'!$I$29+B21,BHN!$A$2:$C$87,3,0))</f>
        <v>0</v>
      </c>
      <c r="O22" s="370">
        <f>IF($O$4=0,0,IF('Tinh phi QL'!$F$36="Việt Nam",INDEX(TTD!$B$3:$E$102,MATCH('Tinh phi QL'!$I$29+B21,TTD!$A$3:$A$102,0),MATCH('Tinh phi QL'!$G$36,TTD!$B$2:$E$2,0)),IF('Tinh phi QL'!$F$36="Toàn cầu",INDEX(TTD!$F$3:$I$102,MATCH('Tinh phi QL'!$I$29+B21,TTD!$A$3:$A$102,0),MATCH('Tinh phi QL'!$G$36,TTD!$F$2:$I$2,0)))))/1000</f>
        <v>0</v>
      </c>
      <c r="P22" s="370">
        <f>IF($P$4=0,0,INDEX(TTD!$J$3:$M$102,MATCH('Tinh phi QL'!$I$29+B21,TTD!$A$3:$A$102,0),MATCH('Tinh phi QL'!$G$38,TTD!$J$2:$M$2,0)))/1000</f>
        <v>0</v>
      </c>
      <c r="Q22" s="370">
        <f>IF($Q$4=0,0,INDEX(TTD!$N$3:$Q$102,MATCH('Tinh phi QL'!$I$29+B21,TTD!$A$3:$A$102,0),MATCH('Tinh phi QL'!$G$40,TTD!$N$2:$Q$2,0)))/1000</f>
        <v>0</v>
      </c>
      <c r="R22" s="370">
        <f ca="1">'Tinh phi QL'!$G$44/1000000*IF('Tinh phi QL'!$H$30="nam",VLOOKUP('Tinh phi QL'!$I$29+B21,Tuky!$A$2:$C$87,2,0),VLOOKUP('Tinh phi QL'!$I$29+B21,Tuky!$A$2:$C$87,3,0))</f>
        <v>0</v>
      </c>
      <c r="S22" s="370">
        <f>IF('Tinh phi QL'!$G$45=0,0,((SUM(D22:R22)+SUM(T22:AG22))/1000*IF('Tinh phi QL'!$H$30="nam",INDEX(MTPNam!$B$2:$AR$44,MATCH('Tinh phi QL'!$I$29+B21,MTPNam!$A$2:$A$44,0),MATCH('Tinh phi QL'!$E$45-B21,MTPNam!$B$1:$AR$1,0)),IF('Tinh phi QL'!$H$30="nữ",INDEX(MTPNu!$B$2:$AR$44,MATCH('Tinh phi QL'!$I$29+B21,MTPNu!$A$2:$A$44,0),MATCH('Tinh phi QL'!$E$45-B21,MTPNu!$B$1:$AR$1,0))))))</f>
        <v>0</v>
      </c>
      <c r="T22" s="370">
        <f t="shared" si="4"/>
        <v>0</v>
      </c>
      <c r="U22" s="370">
        <f ca="1">VLOOKUP('Tinh phi QL'!$I$49+B21,TCYT!$A$2:$B$60,2,0)*'Tinh phi QL'!$G$54/100000</f>
        <v>0</v>
      </c>
      <c r="V22" s="370">
        <f ca="1">'Tinh phi QL'!$G$55/1000000*IF('Tinh phi QL'!$H$50="nam",VLOOKUP('Tinh phi QL'!$I$49+B21,BHN!$A$2:$C$87,2,0),VLOOKUP('Tinh phi QL'!$I$49+B21,BHN!$A$2:$C$87,3,0))</f>
        <v>0</v>
      </c>
      <c r="W22" s="370">
        <f>IF($W$4=0,0,IF('Tinh phi QL'!$F$56="Việt Nam",INDEX(TTD!$B$3:$E$102,MATCH('Tinh phi QL'!$I$49+B21,TTD!$A$3:$A$102,0),MATCH('Tinh phi QL'!$G$56,TTD!$B$2:$E$2,0)),IF('Tinh phi QL'!$F$56="Toàn cầu",INDEX(TTD!$F$3:$I$102,MATCH('Tinh phi QL'!$I$49+B21,TTD!$A$3:$A$102,0),MATCH('Tinh phi QL'!$G$56,TTD!$F$2:$I$2,0)))))/1000</f>
        <v>0</v>
      </c>
      <c r="X22" s="370">
        <f>IF($X$4=0,0,INDEX(TTD!$J$3:$M$102,MATCH('Tinh phi QL'!$I$49+B21,TTD!$A$3:$A$102,0),MATCH('Tinh phi QL'!$G$58,TTD!$J$2:$M$2,0)))/1000</f>
        <v>0</v>
      </c>
      <c r="Y22" s="370">
        <f>IF($Y$4=0,0,INDEX(TTD!$N$3:$Q$102,MATCH('Tinh phi QL'!$I$49+B21,TTD!$A$3:$A$102,0),MATCH('Tinh phi QL'!$G$60,TTD!$N$2:$Q$2,0)))/1000</f>
        <v>0</v>
      </c>
      <c r="Z22" s="370">
        <f ca="1">'Tinh phi QL'!$G$64/1000000*IF('Tinh phi QL'!$H$50="nam",VLOOKUP('Tinh phi QL'!$I$49+B21,Tuky!$A$2:$C$87,2,0),VLOOKUP('Tinh phi QL'!$I$49+B21,Tuky!$A$2:$C$87,3,0))</f>
        <v>0</v>
      </c>
      <c r="AA22" s="370">
        <f t="shared" si="5"/>
        <v>0</v>
      </c>
      <c r="AB22" s="370">
        <f ca="1">VLOOKUP('Tinh phi QL'!$I$68+B21,TCYT!$A$2:$B$60,2,0)*'Tinh phi QL'!$G$73/100000</f>
        <v>0</v>
      </c>
      <c r="AC22" s="370">
        <f ca="1">'Tinh phi QL'!$G$74/1000000*IF('Tinh phi QL'!$H$69="nam",VLOOKUP('Tinh phi QL'!$I$68+B21,BHN!$A$2:$C$87,2,0),VLOOKUP('Tinh phi QL'!$I$68+B21,BHN!$A$2:$C$87,3,0))</f>
        <v>0</v>
      </c>
      <c r="AD22" s="370">
        <f>IF($AD$4=0,0,IF('Tinh phi QL'!$F$75="Việt Nam",INDEX(TTD!$B$3:$E$102,MATCH('Tinh phi QL'!$I$68+B21,TTD!$A$3:$A$102,0),MATCH('Tinh phi QL'!$G$75,TTD!$B$2:$E$2,0)),IF('Tinh phi QL'!$F$75="Toàn cầu",INDEX(TTD!$F$3:$I$102,MATCH('Tinh phi QL'!$I$68+B21,TTD!$A$3:$A$102,0),MATCH('Tinh phi QL'!$G$75,TTD!$F$2:$I$2,0)))))/1000</f>
        <v>0</v>
      </c>
      <c r="AE22" s="370">
        <f>IF($AE$4=0,0,INDEX(TTD!$J$3:$M$102,MATCH('Tinh phi QL'!$I$68+B21,TTD!$A$3:$A$102,0),MATCH('Tinh phi QL'!$G$77,TTD!$J$2:$M$2,0)))/1000</f>
        <v>0</v>
      </c>
      <c r="AF22" s="370">
        <f>IF($AF$4=0,0,INDEX(TTD!$N$3:$Q$102,MATCH('Tinh phi QL'!$I$68+B21,TTD!$A$3:$A$102,0),MATCH('Tinh phi QL'!$G$79,TTD!$N$2:$Q$2,0)))/1000</f>
        <v>0</v>
      </c>
      <c r="AG22" s="370">
        <f ca="1">'Tinh phi QL'!$G$83/1000000*IF('Tinh phi QL'!$H$69="nam",VLOOKUP('Tinh phi QL'!$I$68+B21,Tuky!$A$2:$C$87,2,0),VLOOKUP('Tinh phi QL'!$I$68+B21,Tuky!$A$2:$C$87,3,0))</f>
        <v>0</v>
      </c>
      <c r="AH22" s="371">
        <f t="shared" ca="1" si="0"/>
        <v>10469</v>
      </c>
      <c r="AI22" s="609">
        <f t="shared" ca="1" si="1"/>
        <v>10469</v>
      </c>
      <c r="AJ22" s="609">
        <f t="shared" ca="1" si="6"/>
        <v>154871</v>
      </c>
    </row>
    <row r="23" spans="2:36">
      <c r="B23" s="368">
        <v>20</v>
      </c>
      <c r="C23" s="368" t="str">
        <f>IF(ROW(A20)&gt;'Tinh phi QL'!$D$12,"",ROW(A20))</f>
        <v/>
      </c>
      <c r="D23" s="369">
        <f>IF(IFERROR(--TRIM(C23),0)=0,0,'Tinh phi QL'!$H$12/1000)</f>
        <v>0</v>
      </c>
      <c r="E23" s="370">
        <f t="shared" si="7"/>
        <v>2270</v>
      </c>
      <c r="F23" s="370">
        <f ca="1">VLOOKUP('Tinh phi QL'!$I$8+B22,TCYT!$A$2:$B$60,2,0)*'Tinh phi QL'!$G$15/100000</f>
        <v>0</v>
      </c>
      <c r="G23" s="370">
        <f ca="1">'Tinh phi QL'!$G$16/1000000*IF('Tinh phi QL'!$H$9="nam",VLOOKUP('Tinh phi QL'!$I$8+B22,BHN!$A$2:$C$87,2,0),VLOOKUP('Tinh phi QL'!$I$8+B22,BHN!$A$2:$C$87,3,0))</f>
        <v>2601</v>
      </c>
      <c r="H23" s="370">
        <f ca="1">IF($H$4=0,0,IF('Tinh phi QL'!$F$17="Việt Nam",INDEX(TTD!$B$3:$E$102,MATCH('Tinh phi QL'!$I$8+B22,TTD!$A$3:$A$102,0),MATCH('Tinh phi QL'!$G$17,TTD!$B$2:$E$2,0)),IF('Tinh phi QL'!$F$17="Toàn cầu",INDEX(TTD!$F$3:$I$102,MATCH('Tinh phi QL'!$I$8+B22,TTD!$A$3:$A$102,0),MATCH('Tinh phi QL'!$G$17,TTD!$F$2:$I$2,0)))))/1000</f>
        <v>5598</v>
      </c>
      <c r="I23" s="370">
        <f>IF($I$4=0,0,INDEX(TTD!$J$3:$M$102,MATCH('Tinh phi QL'!$I$8+B22,TTD!$A$3:$A$102,0),MATCH('Tinh phi QL'!$G$19,TTD!$J$2:$M$2,0)))/1000</f>
        <v>0</v>
      </c>
      <c r="J23" s="370">
        <f>IF($J$4=0,0,INDEX(TTD!$N$3:$Q$102,MATCH('Tinh phi QL'!$I$8+B22,TTD!$A$3:$A$102,0),MATCH('Tinh phi QL'!$G$21,TTD!$N$2:$Q$2,0)))/1000</f>
        <v>0</v>
      </c>
      <c r="K23" s="370">
        <f ca="1">'Tinh phi QL'!$G$25/1000000*IF('Tinh phi QL'!$H$9="nam",VLOOKUP('Tinh phi QL'!$I$8+B22,Tuky!$A$2:$C$87,2,0),VLOOKUP('Tinh phi QL'!$I$8+B22,Tuky!$A$2:$C$87,3,0))</f>
        <v>0</v>
      </c>
      <c r="L23" s="370">
        <f t="shared" si="3"/>
        <v>0</v>
      </c>
      <c r="M23" s="370">
        <f ca="1">VLOOKUP('Tinh phi QL'!$I$29+B22,TCYT!$A$2:$B$60,2,0)*'Tinh phi QL'!$G$34/100000</f>
        <v>0</v>
      </c>
      <c r="N23" s="370">
        <f ca="1">'Tinh phi QL'!$G$35/1000000*IF('Tinh phi QL'!$H$30="nam",VLOOKUP('Tinh phi QL'!$I$29+B22,BHN!$A$2:$C$87,2,0),VLOOKUP('Tinh phi QL'!$I$29+B22,BHN!$A$2:$C$87,3,0))</f>
        <v>0</v>
      </c>
      <c r="O23" s="370">
        <f>IF($O$4=0,0,IF('Tinh phi QL'!$F$36="Việt Nam",INDEX(TTD!$B$3:$E$102,MATCH('Tinh phi QL'!$I$29+B22,TTD!$A$3:$A$102,0),MATCH('Tinh phi QL'!$G$36,TTD!$B$2:$E$2,0)),IF('Tinh phi QL'!$F$36="Toàn cầu",INDEX(TTD!$F$3:$I$102,MATCH('Tinh phi QL'!$I$29+B22,TTD!$A$3:$A$102,0),MATCH('Tinh phi QL'!$G$36,TTD!$F$2:$I$2,0)))))/1000</f>
        <v>0</v>
      </c>
      <c r="P23" s="370">
        <f>IF($P$4=0,0,INDEX(TTD!$J$3:$M$102,MATCH('Tinh phi QL'!$I$29+B22,TTD!$A$3:$A$102,0),MATCH('Tinh phi QL'!$G$38,TTD!$J$2:$M$2,0)))/1000</f>
        <v>0</v>
      </c>
      <c r="Q23" s="370">
        <f>IF($Q$4=0,0,INDEX(TTD!$N$3:$Q$102,MATCH('Tinh phi QL'!$I$29+B22,TTD!$A$3:$A$102,0),MATCH('Tinh phi QL'!$G$40,TTD!$N$2:$Q$2,0)))/1000</f>
        <v>0</v>
      </c>
      <c r="R23" s="370">
        <f ca="1">'Tinh phi QL'!$G$44/1000000*IF('Tinh phi QL'!$H$30="nam",VLOOKUP('Tinh phi QL'!$I$29+B22,Tuky!$A$2:$C$87,2,0),VLOOKUP('Tinh phi QL'!$I$29+B22,Tuky!$A$2:$C$87,3,0))</f>
        <v>0</v>
      </c>
      <c r="S23" s="370">
        <f>IF('Tinh phi QL'!$G$45=0,0,((SUM(D23:R23)+SUM(T23:AG23))/1000*IF('Tinh phi QL'!$H$30="nam",INDEX(MTPNam!$B$2:$AR$44,MATCH('Tinh phi QL'!$I$29+B22,MTPNam!$A$2:$A$44,0),MATCH('Tinh phi QL'!$E$45-B22,MTPNam!$B$1:$AR$1,0)),IF('Tinh phi QL'!$H$30="nữ",INDEX(MTPNu!$B$2:$AR$44,MATCH('Tinh phi QL'!$I$29+B22,MTPNu!$A$2:$A$44,0),MATCH('Tinh phi QL'!$E$45-B22,MTPNu!$B$1:$AR$1,0))))))</f>
        <v>0</v>
      </c>
      <c r="T23" s="370">
        <f t="shared" si="4"/>
        <v>0</v>
      </c>
      <c r="U23" s="370">
        <f ca="1">VLOOKUP('Tinh phi QL'!$I$49+B22,TCYT!$A$2:$B$60,2,0)*'Tinh phi QL'!$G$54/100000</f>
        <v>0</v>
      </c>
      <c r="V23" s="370">
        <f ca="1">'Tinh phi QL'!$G$55/1000000*IF('Tinh phi QL'!$H$50="nam",VLOOKUP('Tinh phi QL'!$I$49+B22,BHN!$A$2:$C$87,2,0),VLOOKUP('Tinh phi QL'!$I$49+B22,BHN!$A$2:$C$87,3,0))</f>
        <v>0</v>
      </c>
      <c r="W23" s="370">
        <f>IF($W$4=0,0,IF('Tinh phi QL'!$F$56="Việt Nam",INDEX(TTD!$B$3:$E$102,MATCH('Tinh phi QL'!$I$49+B22,TTD!$A$3:$A$102,0),MATCH('Tinh phi QL'!$G$56,TTD!$B$2:$E$2,0)),IF('Tinh phi QL'!$F$56="Toàn cầu",INDEX(TTD!$F$3:$I$102,MATCH('Tinh phi QL'!$I$49+B22,TTD!$A$3:$A$102,0),MATCH('Tinh phi QL'!$G$56,TTD!$F$2:$I$2,0)))))/1000</f>
        <v>0</v>
      </c>
      <c r="X23" s="370">
        <f>IF($X$4=0,0,INDEX(TTD!$J$3:$M$102,MATCH('Tinh phi QL'!$I$49+B22,TTD!$A$3:$A$102,0),MATCH('Tinh phi QL'!$G$58,TTD!$J$2:$M$2,0)))/1000</f>
        <v>0</v>
      </c>
      <c r="Y23" s="370">
        <f>IF($Y$4=0,0,INDEX(TTD!$N$3:$Q$102,MATCH('Tinh phi QL'!$I$49+B22,TTD!$A$3:$A$102,0),MATCH('Tinh phi QL'!$G$60,TTD!$N$2:$Q$2,0)))/1000</f>
        <v>0</v>
      </c>
      <c r="Z23" s="370">
        <f ca="1">'Tinh phi QL'!$G$64/1000000*IF('Tinh phi QL'!$H$50="nam",VLOOKUP('Tinh phi QL'!$I$49+B22,Tuky!$A$2:$C$87,2,0),VLOOKUP('Tinh phi QL'!$I$49+B22,Tuky!$A$2:$C$87,3,0))</f>
        <v>0</v>
      </c>
      <c r="AA23" s="370">
        <f t="shared" si="5"/>
        <v>0</v>
      </c>
      <c r="AB23" s="370">
        <f ca="1">VLOOKUP('Tinh phi QL'!$I$68+B22,TCYT!$A$2:$B$60,2,0)*'Tinh phi QL'!$G$73/100000</f>
        <v>0</v>
      </c>
      <c r="AC23" s="370">
        <f ca="1">'Tinh phi QL'!$G$74/1000000*IF('Tinh phi QL'!$H$69="nam",VLOOKUP('Tinh phi QL'!$I$68+B22,BHN!$A$2:$C$87,2,0),VLOOKUP('Tinh phi QL'!$I$68+B22,BHN!$A$2:$C$87,3,0))</f>
        <v>0</v>
      </c>
      <c r="AD23" s="370">
        <f>IF($AD$4=0,0,IF('Tinh phi QL'!$F$75="Việt Nam",INDEX(TTD!$B$3:$E$102,MATCH('Tinh phi QL'!$I$68+B22,TTD!$A$3:$A$102,0),MATCH('Tinh phi QL'!$G$75,TTD!$B$2:$E$2,0)),IF('Tinh phi QL'!$F$75="Toàn cầu",INDEX(TTD!$F$3:$I$102,MATCH('Tinh phi QL'!$I$68+B22,TTD!$A$3:$A$102,0),MATCH('Tinh phi QL'!$G$75,TTD!$F$2:$I$2,0)))))/1000</f>
        <v>0</v>
      </c>
      <c r="AE23" s="370">
        <f>IF($AE$4=0,0,INDEX(TTD!$J$3:$M$102,MATCH('Tinh phi QL'!$I$68+B22,TTD!$A$3:$A$102,0),MATCH('Tinh phi QL'!$G$77,TTD!$J$2:$M$2,0)))/1000</f>
        <v>0</v>
      </c>
      <c r="AF23" s="370">
        <f>IF($AF$4=0,0,INDEX(TTD!$N$3:$Q$102,MATCH('Tinh phi QL'!$I$68+B22,TTD!$A$3:$A$102,0),MATCH('Tinh phi QL'!$G$79,TTD!$N$2:$Q$2,0)))/1000</f>
        <v>0</v>
      </c>
      <c r="AG23" s="370">
        <f ca="1">'Tinh phi QL'!$G$83/1000000*IF('Tinh phi QL'!$H$69="nam",VLOOKUP('Tinh phi QL'!$I$68+B22,Tuky!$A$2:$C$87,2,0),VLOOKUP('Tinh phi QL'!$I$68+B22,Tuky!$A$2:$C$87,3,0))</f>
        <v>0</v>
      </c>
      <c r="AH23" s="371">
        <f t="shared" ca="1" si="0"/>
        <v>10469</v>
      </c>
      <c r="AI23" s="609">
        <f t="shared" ca="1" si="1"/>
        <v>10469</v>
      </c>
      <c r="AJ23" s="609">
        <f t="shared" ca="1" si="6"/>
        <v>165340</v>
      </c>
    </row>
    <row r="24" spans="2:36" s="365" customFormat="1" ht="12.75" customHeight="1">
      <c r="B24" s="963" t="s">
        <v>53</v>
      </c>
      <c r="C24" s="963"/>
      <c r="D24" s="963"/>
      <c r="E24" s="963"/>
      <c r="F24" s="963"/>
      <c r="G24" s="963"/>
      <c r="H24" s="963"/>
      <c r="I24" s="963"/>
      <c r="J24" s="963"/>
      <c r="K24" s="963"/>
      <c r="L24" s="963"/>
      <c r="M24" s="963"/>
      <c r="N24" s="963"/>
      <c r="O24" s="963"/>
      <c r="P24" s="963"/>
      <c r="Q24" s="963"/>
      <c r="R24" s="963"/>
      <c r="S24" s="963"/>
      <c r="T24" s="963"/>
      <c r="U24" s="963"/>
      <c r="V24" s="963"/>
      <c r="W24" s="963"/>
      <c r="X24" s="963"/>
      <c r="Y24" s="963"/>
      <c r="Z24" s="963"/>
      <c r="AA24" s="963"/>
      <c r="AB24" s="963"/>
      <c r="AC24" s="963"/>
      <c r="AD24" s="963"/>
      <c r="AE24" s="963"/>
      <c r="AF24" s="963"/>
      <c r="AG24" s="963"/>
      <c r="AH24" s="427">
        <f ca="1">SUM(AH4:AH23)</f>
        <v>165340</v>
      </c>
    </row>
  </sheetData>
  <mergeCells count="6">
    <mergeCell ref="B24:AG24"/>
    <mergeCell ref="B1:H1"/>
    <mergeCell ref="B2:K2"/>
    <mergeCell ref="L2:R2"/>
    <mergeCell ref="T2:Z2"/>
    <mergeCell ref="AA2:AG2"/>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3373A-47FA-46CF-9112-5A8C16306F48}">
  <dimension ref="B1:Y243"/>
  <sheetViews>
    <sheetView showGridLines="0" zoomScaleNormal="100" workbookViewId="0">
      <pane ySplit="3" topLeftCell="A4" activePane="bottomLeft" state="frozen"/>
      <selection pane="bottomLeft" activeCell="H125" sqref="H125"/>
    </sheetView>
  </sheetViews>
  <sheetFormatPr defaultColWidth="7.796875" defaultRowHeight="9.75" customHeight="1"/>
  <cols>
    <col min="1" max="1" width="2.19921875" style="277" customWidth="1"/>
    <col min="2" max="2" width="5.796875" style="270" customWidth="1"/>
    <col min="3" max="3" width="6.796875" style="270" customWidth="1"/>
    <col min="4" max="4" width="9.19921875" style="270" customWidth="1"/>
    <col min="5" max="5" width="14.296875" style="271" customWidth="1"/>
    <col min="6" max="6" width="11.5" style="299" customWidth="1"/>
    <col min="7" max="7" width="13.796875" style="272" customWidth="1"/>
    <col min="8" max="8" width="14.796875" style="271" customWidth="1"/>
    <col min="9" max="9" width="17.296875" style="273" customWidth="1"/>
    <col min="10" max="10" width="15.796875" style="300" customWidth="1"/>
    <col min="11" max="11" width="2.19921875" style="318" customWidth="1"/>
    <col min="12" max="12" width="2.69921875" style="318" customWidth="1"/>
    <col min="13" max="13" width="8.19921875" style="319" customWidth="1"/>
    <col min="14" max="15" width="7.796875" style="298" hidden="1" customWidth="1"/>
    <col min="16" max="23" width="8.19921875" style="277" hidden="1" customWidth="1"/>
    <col min="24" max="16384" width="7.796875" style="277"/>
  </cols>
  <sheetData>
    <row r="1" spans="2:25" ht="9.75" customHeight="1">
      <c r="F1" s="271"/>
      <c r="J1" s="274" t="s">
        <v>681</v>
      </c>
      <c r="N1" s="275" t="s">
        <v>682</v>
      </c>
      <c r="O1" s="275" t="s">
        <v>683</v>
      </c>
      <c r="P1" s="276">
        <v>1</v>
      </c>
      <c r="Q1" s="276">
        <v>2</v>
      </c>
      <c r="R1" s="314">
        <v>3</v>
      </c>
      <c r="S1" s="314">
        <v>4</v>
      </c>
      <c r="T1" s="314">
        <v>5</v>
      </c>
      <c r="U1" s="322" t="s">
        <v>682</v>
      </c>
      <c r="V1" s="322" t="s">
        <v>702</v>
      </c>
      <c r="W1" s="314" t="s">
        <v>703</v>
      </c>
    </row>
    <row r="2" spans="2:25" ht="12" customHeight="1">
      <c r="B2" s="956" t="s">
        <v>810</v>
      </c>
      <c r="C2" s="956"/>
      <c r="D2" s="956"/>
      <c r="E2" s="956"/>
      <c r="F2" s="956"/>
      <c r="G2" s="956"/>
      <c r="H2" s="956"/>
      <c r="I2" s="956"/>
      <c r="J2" s="597">
        <f>KTVTUGTTKMH!M2</f>
        <v>4.5999999999999999E-2</v>
      </c>
      <c r="N2" s="278">
        <v>0.02</v>
      </c>
      <c r="O2" s="279">
        <v>0.01</v>
      </c>
      <c r="P2" s="315">
        <v>3.5000000000000003E-2</v>
      </c>
      <c r="Q2" s="315">
        <v>0.03</v>
      </c>
      <c r="R2" s="315">
        <v>0.03</v>
      </c>
      <c r="S2" s="315">
        <v>0.02</v>
      </c>
      <c r="T2" s="315">
        <v>0.02</v>
      </c>
      <c r="U2" s="315">
        <v>1.4999999999999999E-2</v>
      </c>
      <c r="V2" s="315">
        <v>0.01</v>
      </c>
      <c r="W2" s="323">
        <v>5.0000000000000001E-3</v>
      </c>
    </row>
    <row r="3" spans="2:25" s="286" customFormat="1" ht="39" customHeight="1">
      <c r="B3" s="280" t="s">
        <v>670</v>
      </c>
      <c r="C3" s="280" t="s">
        <v>1</v>
      </c>
      <c r="D3" s="280" t="s">
        <v>671</v>
      </c>
      <c r="E3" s="281" t="s">
        <v>678</v>
      </c>
      <c r="F3" s="281" t="s">
        <v>684</v>
      </c>
      <c r="G3" s="282" t="s">
        <v>685</v>
      </c>
      <c r="H3" s="281" t="s">
        <v>686</v>
      </c>
      <c r="I3" s="283" t="s">
        <v>804</v>
      </c>
      <c r="J3" s="284" t="s">
        <v>688</v>
      </c>
      <c r="K3" s="320"/>
      <c r="L3" s="320"/>
      <c r="M3" s="321" t="s">
        <v>857</v>
      </c>
      <c r="N3" s="285">
        <f t="shared" ref="N3:W3" si="0">(1+N2)^(1/12)-1</f>
        <v>1.6515813019202241E-3</v>
      </c>
      <c r="O3" s="285">
        <f t="shared" si="0"/>
        <v>8.295381143461622E-4</v>
      </c>
      <c r="P3" s="316">
        <f t="shared" si="0"/>
        <v>2.8708987190766422E-3</v>
      </c>
      <c r="Q3" s="316">
        <f t="shared" si="0"/>
        <v>2.4662697723036864E-3</v>
      </c>
      <c r="R3" s="316">
        <f t="shared" si="0"/>
        <v>2.4662697723036864E-3</v>
      </c>
      <c r="S3" s="316">
        <f t="shared" si="0"/>
        <v>1.6515813019202241E-3</v>
      </c>
      <c r="T3" s="316">
        <f t="shared" si="0"/>
        <v>1.6515813019202241E-3</v>
      </c>
      <c r="U3" s="316">
        <f t="shared" si="0"/>
        <v>1.2414877164492744E-3</v>
      </c>
      <c r="V3" s="316">
        <f t="shared" si="0"/>
        <v>8.295381143461622E-4</v>
      </c>
      <c r="W3" s="316">
        <f t="shared" si="0"/>
        <v>4.1571484472902043E-4</v>
      </c>
      <c r="X3" s="286" t="s">
        <v>673</v>
      </c>
      <c r="Y3" s="286" t="s">
        <v>812</v>
      </c>
    </row>
    <row r="4" spans="2:25" ht="9.75" customHeight="1">
      <c r="B4" s="954">
        <v>1</v>
      </c>
      <c r="C4" s="952">
        <f ca="1">'Tinh phi QL'!I8</f>
        <v>30</v>
      </c>
      <c r="D4" s="287">
        <f ca="1">'Hoach dinh tai chinh'!J3</f>
        <v>46229</v>
      </c>
      <c r="E4" s="288">
        <f>'Tinh phi QL'!E12/1000</f>
        <v>0</v>
      </c>
      <c r="F4" s="289">
        <f ca="1">IF(YEAR(D4)=2025,40000,IF(YEAR(D4)=2026,40000,IF(YEAR(D4)=2027,40000,IF(YEAR(D4)=2028,40000,IF(YEAR(D4)=2029,40000,IF(YEAR(D4)=2030,50000,IF(YEAR(D4)=2031,50000,IF(YEAR(D4)=2032,50000,IF(YEAR(D4)=2033,50000,IF(YEAR(D4)=2034,50000,IF(YEAR(D4)&gt;=2035,60000,0)))))))))))/1000</f>
        <v>40</v>
      </c>
      <c r="G4" s="290">
        <f ca="1">KTVTUCOI!P3</f>
        <v>0</v>
      </c>
      <c r="H4" s="290">
        <f ca="1">(KTVTUGTTKMH!F7-KTVTU20namMH!F4-G4)*(1+LS!$F$3)</f>
        <v>-40.150192487245846</v>
      </c>
      <c r="I4" s="291"/>
      <c r="J4" s="292">
        <f ca="1">H4</f>
        <v>-40.150192487245846</v>
      </c>
      <c r="K4" s="949">
        <f ca="1">J15</f>
        <v>-492.15640186665183</v>
      </c>
      <c r="L4" s="949"/>
      <c r="M4" s="949"/>
      <c r="N4" s="950">
        <f ca="1">SUM(G4:G15)</f>
        <v>0.2740849208134159</v>
      </c>
      <c r="O4" s="950"/>
      <c r="X4" s="945">
        <f ca="1">SUM(F4:F15)</f>
        <v>480</v>
      </c>
      <c r="Y4" s="945">
        <f ca="1">SUM(G4:G15)</f>
        <v>0.2740849208134159</v>
      </c>
    </row>
    <row r="5" spans="2:25" ht="9.75" customHeight="1">
      <c r="B5" s="954"/>
      <c r="C5" s="952"/>
      <c r="D5" s="287">
        <f t="shared" ref="D5:D68" ca="1" si="1">EDATE(D4,1)</f>
        <v>46260</v>
      </c>
      <c r="E5" s="288">
        <f>E4</f>
        <v>0</v>
      </c>
      <c r="F5" s="289">
        <f t="shared" ref="F5:F68" ca="1" si="2">IF(YEAR(D5)=2025,40000,IF(YEAR(D5)=2026,40000,IF(YEAR(D5)=2027,40000,IF(YEAR(D5)=2028,40000,IF(YEAR(D5)=2029,40000,IF(YEAR(D5)=2030,50000,IF(YEAR(D5)=2031,50000,IF(YEAR(D5)=2032,50000,IF(YEAR(D5)=2033,50000,IF(YEAR(D5)=2034,50000,IF(YEAR(D5)&gt;=2035,60000,0)))))))))))/1000</f>
        <v>40</v>
      </c>
      <c r="G5" s="290">
        <f ca="1">KTVTUCOI!P4</f>
        <v>4.1117706847482146E-3</v>
      </c>
      <c r="H5" s="290">
        <f ca="1">(H4-F5-G5)*(1+LS!$F$3)</f>
        <v>-80.455268615929569</v>
      </c>
      <c r="I5" s="291"/>
      <c r="J5" s="292">
        <f t="shared" ref="J5:J68" ca="1" si="3">H5</f>
        <v>-80.455268615929569</v>
      </c>
      <c r="K5" s="949"/>
      <c r="L5" s="949"/>
      <c r="M5" s="949"/>
      <c r="N5" s="950"/>
      <c r="O5" s="950"/>
      <c r="X5" s="945"/>
      <c r="Y5" s="945"/>
    </row>
    <row r="6" spans="2:25" ht="9.75" customHeight="1">
      <c r="B6" s="954"/>
      <c r="C6" s="952"/>
      <c r="D6" s="287">
        <f t="shared" ca="1" si="1"/>
        <v>46291</v>
      </c>
      <c r="E6" s="288">
        <f t="shared" ref="E6:E69" si="4">E5</f>
        <v>0</v>
      </c>
      <c r="F6" s="289">
        <f t="shared" ca="1" si="2"/>
        <v>40</v>
      </c>
      <c r="G6" s="290">
        <f ca="1">KTVTUCOI!P5</f>
        <v>8.2357685131425086E-3</v>
      </c>
      <c r="H6" s="290">
        <f ca="1">(H5-F6-G6)*(1+LS!$F$3)</f>
        <v>-120.91582221808898</v>
      </c>
      <c r="I6" s="291"/>
      <c r="J6" s="292">
        <f t="shared" ca="1" si="3"/>
        <v>-120.91582221808898</v>
      </c>
      <c r="K6" s="949"/>
      <c r="L6" s="949"/>
      <c r="M6" s="949"/>
      <c r="N6" s="950"/>
      <c r="O6" s="950"/>
      <c r="X6" s="945"/>
      <c r="Y6" s="945"/>
    </row>
    <row r="7" spans="2:25" ht="9.75" customHeight="1">
      <c r="B7" s="954"/>
      <c r="C7" s="952"/>
      <c r="D7" s="287">
        <f t="shared" ca="1" si="1"/>
        <v>46321</v>
      </c>
      <c r="E7" s="288">
        <f t="shared" si="4"/>
        <v>0</v>
      </c>
      <c r="F7" s="289">
        <f t="shared" ca="1" si="2"/>
        <v>40</v>
      </c>
      <c r="G7" s="290">
        <f ca="1">KTVTUCOI!P6</f>
        <v>1.2372029844954183E-2</v>
      </c>
      <c r="H7" s="290">
        <f ca="1">(H6-F7-G7)*(1+LS!$F$3)</f>
        <v>-161.53244939198592</v>
      </c>
      <c r="I7" s="291"/>
      <c r="J7" s="292">
        <f t="shared" ca="1" si="3"/>
        <v>-161.53244939198592</v>
      </c>
      <c r="K7" s="949"/>
      <c r="L7" s="949"/>
      <c r="M7" s="949"/>
      <c r="N7" s="950"/>
      <c r="O7" s="950"/>
      <c r="X7" s="945"/>
      <c r="Y7" s="945"/>
    </row>
    <row r="8" spans="2:25" ht="9.75" customHeight="1">
      <c r="B8" s="954"/>
      <c r="C8" s="952"/>
      <c r="D8" s="287">
        <f t="shared" ca="1" si="1"/>
        <v>46352</v>
      </c>
      <c r="E8" s="288">
        <f t="shared" si="4"/>
        <v>0</v>
      </c>
      <c r="F8" s="289">
        <f t="shared" ca="1" si="2"/>
        <v>40</v>
      </c>
      <c r="G8" s="290">
        <f ca="1">KTVTUCOI!P7</f>
        <v>1.6520591148077336E-2</v>
      </c>
      <c r="H8" s="290">
        <f ca="1">(H7-F8-G8)*(1+LS!$F$3)</f>
        <v>-202.30574851072413</v>
      </c>
      <c r="I8" s="291"/>
      <c r="J8" s="292">
        <f t="shared" ca="1" si="3"/>
        <v>-202.30574851072413</v>
      </c>
      <c r="K8" s="949"/>
      <c r="L8" s="949"/>
      <c r="M8" s="949"/>
      <c r="N8" s="950"/>
      <c r="O8" s="950"/>
      <c r="X8" s="945"/>
      <c r="Y8" s="945"/>
    </row>
    <row r="9" spans="2:25" ht="9.75" customHeight="1">
      <c r="B9" s="954"/>
      <c r="C9" s="952"/>
      <c r="D9" s="287">
        <f t="shared" ca="1" si="1"/>
        <v>46382</v>
      </c>
      <c r="E9" s="288">
        <f t="shared" si="4"/>
        <v>0</v>
      </c>
      <c r="F9" s="289">
        <f t="shared" ca="1" si="2"/>
        <v>40</v>
      </c>
      <c r="G9" s="290">
        <f ca="1">KTVTUCOI!P8</f>
        <v>2.0681488998850389E-2</v>
      </c>
      <c r="H9" s="290">
        <f ca="1">(H8-F9-G9)*(1+LS!$F$3)</f>
        <v>-243.23632023089962</v>
      </c>
      <c r="I9" s="291"/>
      <c r="J9" s="292">
        <f t="shared" ca="1" si="3"/>
        <v>-243.23632023089962</v>
      </c>
      <c r="K9" s="949"/>
      <c r="L9" s="949"/>
      <c r="M9" s="949"/>
      <c r="N9" s="950"/>
      <c r="O9" s="950"/>
      <c r="X9" s="945"/>
      <c r="Y9" s="945"/>
    </row>
    <row r="10" spans="2:25" ht="9.75" customHeight="1">
      <c r="B10" s="954"/>
      <c r="C10" s="952"/>
      <c r="D10" s="287">
        <f t="shared" ca="1" si="1"/>
        <v>46413</v>
      </c>
      <c r="E10" s="288">
        <f t="shared" si="4"/>
        <v>0</v>
      </c>
      <c r="F10" s="289">
        <f t="shared" ca="1" si="2"/>
        <v>40</v>
      </c>
      <c r="G10" s="290">
        <f ca="1">KTVTUCOI!P9</f>
        <v>2.4854760082378562E-2</v>
      </c>
      <c r="H10" s="290">
        <f ca="1">(H9-F10-G10)*(1+LS!$F$3)</f>
        <v>-284.32476750128399</v>
      </c>
      <c r="I10" s="291"/>
      <c r="J10" s="292">
        <f t="shared" ca="1" si="3"/>
        <v>-284.32476750128399</v>
      </c>
      <c r="K10" s="949"/>
      <c r="L10" s="949"/>
      <c r="M10" s="949"/>
      <c r="N10" s="950"/>
      <c r="O10" s="950"/>
      <c r="X10" s="945"/>
      <c r="Y10" s="945"/>
    </row>
    <row r="11" spans="2:25" ht="9.75" customHeight="1">
      <c r="B11" s="954"/>
      <c r="C11" s="952"/>
      <c r="D11" s="287">
        <f t="shared" ca="1" si="1"/>
        <v>46444</v>
      </c>
      <c r="E11" s="288">
        <f t="shared" si="4"/>
        <v>0</v>
      </c>
      <c r="F11" s="289">
        <f t="shared" ca="1" si="2"/>
        <v>40</v>
      </c>
      <c r="G11" s="290">
        <f ca="1">KTVTUCOI!P10</f>
        <v>2.9040441192857317E-2</v>
      </c>
      <c r="H11" s="290">
        <f ca="1">(H10-F11-G11)*(1+LS!$F$3)</f>
        <v>-325.57169557154043</v>
      </c>
      <c r="I11" s="291"/>
      <c r="J11" s="292">
        <f t="shared" ca="1" si="3"/>
        <v>-325.57169557154043</v>
      </c>
      <c r="K11" s="949"/>
      <c r="L11" s="949"/>
      <c r="M11" s="949"/>
      <c r="N11" s="950"/>
      <c r="O11" s="950"/>
      <c r="X11" s="945"/>
      <c r="Y11" s="945"/>
    </row>
    <row r="12" spans="2:25" ht="9.75" customHeight="1">
      <c r="B12" s="954"/>
      <c r="C12" s="952"/>
      <c r="D12" s="287">
        <f t="shared" ca="1" si="1"/>
        <v>46472</v>
      </c>
      <c r="E12" s="288">
        <f t="shared" si="4"/>
        <v>0</v>
      </c>
      <c r="F12" s="289">
        <f t="shared" ca="1" si="2"/>
        <v>40</v>
      </c>
      <c r="G12" s="290">
        <f ca="1">KTVTUCOI!P11</f>
        <v>3.3238569233896752E-2</v>
      </c>
      <c r="H12" s="290">
        <f ca="1">(H11-F12-G12)*(1+LS!$F$3)</f>
        <v>-366.97771200097327</v>
      </c>
      <c r="I12" s="291"/>
      <c r="J12" s="292">
        <f t="shared" ca="1" si="3"/>
        <v>-366.97771200097327</v>
      </c>
      <c r="K12" s="949"/>
      <c r="L12" s="949"/>
      <c r="M12" s="949"/>
      <c r="N12" s="950"/>
      <c r="O12" s="950"/>
      <c r="X12" s="945"/>
      <c r="Y12" s="945"/>
    </row>
    <row r="13" spans="2:25" ht="9.75" customHeight="1">
      <c r="B13" s="954"/>
      <c r="C13" s="952"/>
      <c r="D13" s="287">
        <f t="shared" ca="1" si="1"/>
        <v>46503</v>
      </c>
      <c r="E13" s="288">
        <f t="shared" si="4"/>
        <v>0</v>
      </c>
      <c r="F13" s="289">
        <f t="shared" ca="1" si="2"/>
        <v>40</v>
      </c>
      <c r="G13" s="290">
        <f ca="1">KTVTUCOI!P12</f>
        <v>3.744918121884698E-2</v>
      </c>
      <c r="H13" s="290">
        <f ca="1">(H12-F13-G13)*(1+LS!$F$3)</f>
        <v>-408.5434266673102</v>
      </c>
      <c r="I13" s="291"/>
      <c r="J13" s="292">
        <f t="shared" ca="1" si="3"/>
        <v>-408.5434266673102</v>
      </c>
      <c r="K13" s="949"/>
      <c r="L13" s="949"/>
      <c r="M13" s="949"/>
      <c r="N13" s="950"/>
      <c r="O13" s="950"/>
      <c r="X13" s="945"/>
      <c r="Y13" s="945"/>
    </row>
    <row r="14" spans="2:25" ht="9.75" customHeight="1">
      <c r="B14" s="954"/>
      <c r="C14" s="952"/>
      <c r="D14" s="287">
        <f t="shared" ca="1" si="1"/>
        <v>46533</v>
      </c>
      <c r="E14" s="288">
        <f t="shared" si="4"/>
        <v>0</v>
      </c>
      <c r="F14" s="289">
        <f t="shared" ca="1" si="2"/>
        <v>40</v>
      </c>
      <c r="G14" s="290">
        <f ca="1">KTVTUCOI!P13</f>
        <v>4.1672314271124444E-2</v>
      </c>
      <c r="H14" s="290">
        <f ca="1">(H13-F14-G14)*(1+LS!$F$3)</f>
        <v>-450.26945177551801</v>
      </c>
      <c r="I14" s="291"/>
      <c r="J14" s="292">
        <f t="shared" ca="1" si="3"/>
        <v>-450.26945177551801</v>
      </c>
      <c r="K14" s="949"/>
      <c r="L14" s="949"/>
      <c r="M14" s="949"/>
      <c r="N14" s="950"/>
      <c r="O14" s="950"/>
      <c r="X14" s="945"/>
      <c r="Y14" s="945"/>
    </row>
    <row r="15" spans="2:25" ht="9.75" customHeight="1">
      <c r="B15" s="954"/>
      <c r="C15" s="952"/>
      <c r="D15" s="287">
        <f t="shared" ca="1" si="1"/>
        <v>46564</v>
      </c>
      <c r="E15" s="288">
        <f t="shared" si="4"/>
        <v>0</v>
      </c>
      <c r="F15" s="289">
        <f t="shared" ca="1" si="2"/>
        <v>40</v>
      </c>
      <c r="G15" s="290">
        <f ca="1">KTVTUCOI!P14</f>
        <v>4.5908005624539228E-2</v>
      </c>
      <c r="H15" s="290">
        <f ca="1">(H14-F15-G15)*(1+LS!$F$3)</f>
        <v>-492.15640186665183</v>
      </c>
      <c r="I15" s="291"/>
      <c r="J15" s="293">
        <f t="shared" ca="1" si="3"/>
        <v>-492.15640186665183</v>
      </c>
      <c r="K15" s="949"/>
      <c r="L15" s="949"/>
      <c r="M15" s="949"/>
      <c r="N15" s="950"/>
      <c r="O15" s="950"/>
      <c r="X15" s="945"/>
      <c r="Y15" s="945"/>
    </row>
    <row r="16" spans="2:25" ht="9.75" customHeight="1">
      <c r="B16" s="955">
        <v>2</v>
      </c>
      <c r="C16" s="947">
        <f ca="1">C4+1</f>
        <v>31</v>
      </c>
      <c r="D16" s="294">
        <f t="shared" ca="1" si="1"/>
        <v>46594</v>
      </c>
      <c r="E16" s="359">
        <f>E15</f>
        <v>0</v>
      </c>
      <c r="F16" s="360">
        <f t="shared" ca="1" si="2"/>
        <v>40</v>
      </c>
      <c r="G16" s="290">
        <f ca="1">KTVTUCOI!P15</f>
        <v>5.1379616833955623E-2</v>
      </c>
      <c r="H16" s="295">
        <f ca="1">(H15+KTVBVGTTKMH!F8-F16-G16)*(1+LS!$F$3)</f>
        <v>-534.20612174430073</v>
      </c>
      <c r="I16" s="324"/>
      <c r="J16" s="296">
        <f t="shared" ca="1" si="3"/>
        <v>-534.20612174430073</v>
      </c>
      <c r="K16" s="949">
        <f ca="1">J27</f>
        <v>-1007.5990476664132</v>
      </c>
      <c r="L16" s="949"/>
      <c r="M16" s="949"/>
      <c r="N16" s="950">
        <f ca="1">SUM(G16:G27)</f>
        <v>0.90563021965211399</v>
      </c>
      <c r="O16" s="950"/>
      <c r="X16" s="945">
        <f t="shared" ref="X16:Y16" ca="1" si="5">SUM(F16:F27)</f>
        <v>480</v>
      </c>
      <c r="Y16" s="945">
        <f t="shared" ca="1" si="5"/>
        <v>0.90563021965211399</v>
      </c>
    </row>
    <row r="17" spans="2:25" ht="9.75" customHeight="1">
      <c r="B17" s="955"/>
      <c r="C17" s="947"/>
      <c r="D17" s="294">
        <f t="shared" ca="1" si="1"/>
        <v>46625</v>
      </c>
      <c r="E17" s="359">
        <f t="shared" si="4"/>
        <v>0</v>
      </c>
      <c r="F17" s="360">
        <f t="shared" ca="1" si="2"/>
        <v>40</v>
      </c>
      <c r="G17" s="290">
        <f ca="1">KTVTUCOI!P16</f>
        <v>5.5722099327856565E-2</v>
      </c>
      <c r="H17" s="295">
        <f ca="1">(H16-F17-G17)*(1+LS!$F$3)</f>
        <v>-576.41808921006009</v>
      </c>
      <c r="I17" s="324"/>
      <c r="J17" s="296">
        <f t="shared" ca="1" si="3"/>
        <v>-576.41808921006009</v>
      </c>
      <c r="K17" s="949"/>
      <c r="L17" s="949"/>
      <c r="M17" s="949"/>
      <c r="N17" s="950"/>
      <c r="O17" s="950"/>
      <c r="X17" s="945"/>
      <c r="Y17" s="945"/>
    </row>
    <row r="18" spans="2:25" ht="9.75" customHeight="1">
      <c r="B18" s="955"/>
      <c r="C18" s="947"/>
      <c r="D18" s="294">
        <f t="shared" ca="1" si="1"/>
        <v>46656</v>
      </c>
      <c r="E18" s="359">
        <f t="shared" si="4"/>
        <v>0</v>
      </c>
      <c r="F18" s="360">
        <f t="shared" ca="1" si="2"/>
        <v>40</v>
      </c>
      <c r="G18" s="290">
        <f ca="1">KTVTUCOI!P17</f>
        <v>6.0075748640252835E-2</v>
      </c>
      <c r="H18" s="295">
        <f ca="1">(H17-F18-G18)*(1+LS!$F$3)</f>
        <v>-618.79292468189783</v>
      </c>
      <c r="I18" s="324"/>
      <c r="J18" s="296">
        <f t="shared" ca="1" si="3"/>
        <v>-618.79292468189783</v>
      </c>
      <c r="K18" s="949"/>
      <c r="L18" s="949"/>
      <c r="M18" s="949"/>
      <c r="N18" s="950"/>
      <c r="O18" s="950"/>
      <c r="X18" s="945"/>
      <c r="Y18" s="945"/>
    </row>
    <row r="19" spans="2:25" ht="9.75" customHeight="1">
      <c r="B19" s="955"/>
      <c r="C19" s="947"/>
      <c r="D19" s="294">
        <f t="shared" ca="1" si="1"/>
        <v>46686</v>
      </c>
      <c r="E19" s="359">
        <f t="shared" si="4"/>
        <v>0</v>
      </c>
      <c r="F19" s="360">
        <f t="shared" ca="1" si="2"/>
        <v>40</v>
      </c>
      <c r="G19" s="290">
        <f ca="1">KTVTUCOI!P18</f>
        <v>6.4440593486939007E-2</v>
      </c>
      <c r="H19" s="295">
        <f ca="1">(H18-F19-G19)*(1+LS!$F$3)</f>
        <v>-661.33125093615854</v>
      </c>
      <c r="I19" s="324"/>
      <c r="J19" s="296">
        <f t="shared" ca="1" si="3"/>
        <v>-661.33125093615854</v>
      </c>
      <c r="K19" s="949"/>
      <c r="L19" s="949"/>
      <c r="M19" s="949"/>
      <c r="N19" s="950"/>
      <c r="O19" s="950"/>
      <c r="X19" s="945"/>
      <c r="Y19" s="945"/>
    </row>
    <row r="20" spans="2:25" ht="9.75" customHeight="1">
      <c r="B20" s="955"/>
      <c r="C20" s="947"/>
      <c r="D20" s="294">
        <f t="shared" ca="1" si="1"/>
        <v>46717</v>
      </c>
      <c r="E20" s="359">
        <f t="shared" si="4"/>
        <v>0</v>
      </c>
      <c r="F20" s="360">
        <f t="shared" ca="1" si="2"/>
        <v>40</v>
      </c>
      <c r="G20" s="290">
        <f ca="1">KTVTUCOI!P19</f>
        <v>6.8816662657553193E-2</v>
      </c>
      <c r="H20" s="295">
        <f ca="1">(H19-F20-G20)*(1+LS!$F$3)</f>
        <v>-704.03369311649294</v>
      </c>
      <c r="I20" s="324"/>
      <c r="J20" s="296">
        <f t="shared" ca="1" si="3"/>
        <v>-704.03369311649294</v>
      </c>
      <c r="K20" s="949"/>
      <c r="L20" s="949"/>
      <c r="M20" s="949"/>
      <c r="N20" s="950"/>
      <c r="O20" s="950"/>
      <c r="X20" s="945"/>
      <c r="Y20" s="945"/>
    </row>
    <row r="21" spans="2:25" ht="9.75" customHeight="1">
      <c r="B21" s="955"/>
      <c r="C21" s="947"/>
      <c r="D21" s="294">
        <f t="shared" ca="1" si="1"/>
        <v>46747</v>
      </c>
      <c r="E21" s="359">
        <f t="shared" si="4"/>
        <v>0</v>
      </c>
      <c r="F21" s="360">
        <f t="shared" ca="1" si="2"/>
        <v>40</v>
      </c>
      <c r="G21" s="290">
        <f ca="1">KTVTUCOI!P20</f>
        <v>7.3203985015766818E-2</v>
      </c>
      <c r="H21" s="295">
        <f ca="1">(H20-F21-G21)*(1+LS!$F$3)</f>
        <v>-746.90087874282028</v>
      </c>
      <c r="I21" s="324"/>
      <c r="J21" s="296">
        <f t="shared" ca="1" si="3"/>
        <v>-746.90087874282028</v>
      </c>
      <c r="K21" s="949"/>
      <c r="L21" s="949"/>
      <c r="M21" s="949"/>
      <c r="N21" s="950"/>
      <c r="O21" s="950"/>
      <c r="X21" s="945"/>
      <c r="Y21" s="945"/>
    </row>
    <row r="22" spans="2:25" ht="9.75" customHeight="1">
      <c r="B22" s="955"/>
      <c r="C22" s="947"/>
      <c r="D22" s="294">
        <f t="shared" ca="1" si="1"/>
        <v>46778</v>
      </c>
      <c r="E22" s="359">
        <f t="shared" si="4"/>
        <v>0</v>
      </c>
      <c r="F22" s="360">
        <f t="shared" ca="1" si="2"/>
        <v>40</v>
      </c>
      <c r="G22" s="290">
        <f ca="1">KTVTUCOI!P21</f>
        <v>7.7602589499475114E-2</v>
      </c>
      <c r="H22" s="295">
        <f ca="1">(H21-F22-G22)*(1+LS!$F$3)</f>
        <v>-789.93343772032631</v>
      </c>
      <c r="I22" s="324"/>
      <c r="J22" s="296">
        <f t="shared" ca="1" si="3"/>
        <v>-789.93343772032631</v>
      </c>
      <c r="K22" s="949"/>
      <c r="L22" s="949"/>
      <c r="M22" s="949"/>
      <c r="N22" s="950"/>
      <c r="O22" s="950"/>
      <c r="X22" s="945"/>
      <c r="Y22" s="945"/>
    </row>
    <row r="23" spans="2:25" ht="9.75" customHeight="1">
      <c r="B23" s="955"/>
      <c r="C23" s="947"/>
      <c r="D23" s="294">
        <f t="shared" ca="1" si="1"/>
        <v>46809</v>
      </c>
      <c r="E23" s="359">
        <f t="shared" si="4"/>
        <v>0</v>
      </c>
      <c r="F23" s="360">
        <f t="shared" ca="1" si="2"/>
        <v>40</v>
      </c>
      <c r="G23" s="290">
        <f ca="1">KTVTUCOI!P22</f>
        <v>8.2012505120987969E-2</v>
      </c>
      <c r="H23" s="295">
        <f ca="1">(H22-F23-G23)*(1+LS!$F$3)</f>
        <v>-833.13200234849342</v>
      </c>
      <c r="I23" s="324"/>
      <c r="J23" s="296">
        <f t="shared" ca="1" si="3"/>
        <v>-833.13200234849342</v>
      </c>
      <c r="K23" s="949"/>
      <c r="L23" s="949"/>
      <c r="M23" s="949"/>
      <c r="N23" s="950"/>
      <c r="O23" s="950"/>
      <c r="X23" s="945"/>
      <c r="Y23" s="945"/>
    </row>
    <row r="24" spans="2:25" ht="9.75" customHeight="1">
      <c r="B24" s="955"/>
      <c r="C24" s="947"/>
      <c r="D24" s="294">
        <f t="shared" ca="1" si="1"/>
        <v>46838</v>
      </c>
      <c r="E24" s="359">
        <f t="shared" si="4"/>
        <v>0</v>
      </c>
      <c r="F24" s="360">
        <f t="shared" ca="1" si="2"/>
        <v>40</v>
      </c>
      <c r="G24" s="290">
        <f ca="1">KTVTUCOI!P23</f>
        <v>8.6433760967221177E-2</v>
      </c>
      <c r="H24" s="295">
        <f ca="1">(H23-F24-G24)*(1+LS!$F$3)</f>
        <v>-876.49720733016579</v>
      </c>
      <c r="I24" s="324"/>
      <c r="J24" s="296">
        <f t="shared" ca="1" si="3"/>
        <v>-876.49720733016579</v>
      </c>
      <c r="K24" s="949"/>
      <c r="L24" s="949"/>
      <c r="M24" s="949"/>
      <c r="N24" s="950"/>
      <c r="O24" s="950"/>
      <c r="X24" s="945"/>
      <c r="Y24" s="945"/>
    </row>
    <row r="25" spans="2:25" ht="9.75" customHeight="1">
      <c r="B25" s="955"/>
      <c r="C25" s="947"/>
      <c r="D25" s="294">
        <f t="shared" ca="1" si="1"/>
        <v>46869</v>
      </c>
      <c r="E25" s="359">
        <f t="shared" si="4"/>
        <v>0</v>
      </c>
      <c r="F25" s="360">
        <f t="shared" ca="1" si="2"/>
        <v>40</v>
      </c>
      <c r="G25" s="290">
        <f ca="1">KTVTUCOI!P24</f>
        <v>9.086638619988846E-2</v>
      </c>
      <c r="H25" s="295">
        <f ca="1">(H24-F25-G25)*(1+LS!$F$3)</f>
        <v>-920.02968978064916</v>
      </c>
      <c r="I25" s="324"/>
      <c r="J25" s="296">
        <f t="shared" ca="1" si="3"/>
        <v>-920.02968978064916</v>
      </c>
      <c r="K25" s="949"/>
      <c r="L25" s="949"/>
      <c r="M25" s="949"/>
      <c r="N25" s="950"/>
      <c r="O25" s="950"/>
      <c r="X25" s="945"/>
      <c r="Y25" s="945"/>
    </row>
    <row r="26" spans="2:25" ht="9.75" customHeight="1">
      <c r="B26" s="955"/>
      <c r="C26" s="947"/>
      <c r="D26" s="294">
        <f t="shared" ca="1" si="1"/>
        <v>46899</v>
      </c>
      <c r="E26" s="359">
        <f t="shared" si="4"/>
        <v>0</v>
      </c>
      <c r="F26" s="360">
        <f t="shared" ca="1" si="2"/>
        <v>40</v>
      </c>
      <c r="G26" s="290">
        <f ca="1">KTVTUCOI!P25</f>
        <v>9.531041005569367E-2</v>
      </c>
      <c r="H26" s="295">
        <f ca="1">(H25-F26-G26)*(1+LS!$F$3)</f>
        <v>-963.73008923684392</v>
      </c>
      <c r="I26" s="324"/>
      <c r="J26" s="296">
        <f t="shared" ca="1" si="3"/>
        <v>-963.73008923684392</v>
      </c>
      <c r="K26" s="949"/>
      <c r="L26" s="949"/>
      <c r="M26" s="949"/>
      <c r="N26" s="950"/>
      <c r="O26" s="950"/>
      <c r="X26" s="945"/>
      <c r="Y26" s="945"/>
    </row>
    <row r="27" spans="2:25" ht="9.75" customHeight="1">
      <c r="B27" s="955"/>
      <c r="C27" s="947"/>
      <c r="D27" s="294">
        <f t="shared" ca="1" si="1"/>
        <v>46930</v>
      </c>
      <c r="E27" s="359">
        <f t="shared" si="4"/>
        <v>0</v>
      </c>
      <c r="F27" s="360">
        <f t="shared" ca="1" si="2"/>
        <v>40</v>
      </c>
      <c r="G27" s="290">
        <f ca="1">KTVTUCOI!P26</f>
        <v>9.976586184652364E-2</v>
      </c>
      <c r="H27" s="295">
        <f ca="1">(H26-F27-G27)*(1+LS!$F$3)</f>
        <v>-1007.5990476664132</v>
      </c>
      <c r="I27" s="324"/>
      <c r="J27" s="297">
        <f t="shared" ca="1" si="3"/>
        <v>-1007.5990476664132</v>
      </c>
      <c r="K27" s="949"/>
      <c r="L27" s="949"/>
      <c r="M27" s="949"/>
      <c r="N27" s="950"/>
      <c r="O27" s="950"/>
      <c r="X27" s="945"/>
      <c r="Y27" s="945"/>
    </row>
    <row r="28" spans="2:25" ht="9.75" customHeight="1">
      <c r="B28" s="954">
        <v>3</v>
      </c>
      <c r="C28" s="952">
        <f ca="1">C16+1</f>
        <v>32</v>
      </c>
      <c r="D28" s="287">
        <f t="shared" ca="1" si="1"/>
        <v>46960</v>
      </c>
      <c r="E28" s="359">
        <f t="shared" si="4"/>
        <v>0</v>
      </c>
      <c r="F28" s="289">
        <f t="shared" ca="1" si="2"/>
        <v>40</v>
      </c>
      <c r="G28" s="290">
        <f ca="1">KTVTUCOI!P27</f>
        <v>0.10836899202946877</v>
      </c>
      <c r="H28" s="290">
        <f ca="1">(H27+KTVBVGTTKMH!F9-F28-G28)*(1+LS!$F$3)</f>
        <v>-1051.641361228789</v>
      </c>
      <c r="I28" s="291"/>
      <c r="J28" s="292">
        <f t="shared" ca="1" si="3"/>
        <v>-1051.641361228789</v>
      </c>
      <c r="K28" s="949">
        <f ca="1">J39</f>
        <v>-1547.474105479685</v>
      </c>
      <c r="L28" s="949"/>
      <c r="M28" s="949"/>
      <c r="N28" s="950">
        <f t="shared" ref="N28" ca="1" si="6">SUM(G28:G39)</f>
        <v>1.6104150615685178</v>
      </c>
      <c r="O28" s="950"/>
      <c r="X28" s="945">
        <f t="shared" ref="X28:Y28" ca="1" si="7">SUM(F28:F39)</f>
        <v>480</v>
      </c>
      <c r="Y28" s="945">
        <f t="shared" ca="1" si="7"/>
        <v>1.6104150615685178</v>
      </c>
    </row>
    <row r="29" spans="2:25" ht="9.75" customHeight="1">
      <c r="B29" s="954"/>
      <c r="C29" s="952"/>
      <c r="D29" s="287">
        <f t="shared" ca="1" si="1"/>
        <v>46991</v>
      </c>
      <c r="E29" s="359">
        <f t="shared" si="4"/>
        <v>0</v>
      </c>
      <c r="F29" s="289">
        <f t="shared" ca="1" si="2"/>
        <v>40</v>
      </c>
      <c r="G29" s="290">
        <f ca="1">KTVTUCOI!P28</f>
        <v>0.11302555470173431</v>
      </c>
      <c r="H29" s="290">
        <f ca="1">(H28-F29-G29)*(1+LS!$F$3)</f>
        <v>-1095.8537194538053</v>
      </c>
      <c r="I29" s="291"/>
      <c r="J29" s="292">
        <f t="shared" ca="1" si="3"/>
        <v>-1095.8537194538053</v>
      </c>
      <c r="K29" s="949"/>
      <c r="L29" s="949"/>
      <c r="M29" s="949"/>
      <c r="N29" s="950"/>
      <c r="O29" s="950"/>
      <c r="X29" s="945"/>
      <c r="Y29" s="945"/>
    </row>
    <row r="30" spans="2:25" ht="9.75" customHeight="1">
      <c r="B30" s="954"/>
      <c r="C30" s="952"/>
      <c r="D30" s="287">
        <f t="shared" ca="1" si="1"/>
        <v>47022</v>
      </c>
      <c r="E30" s="359">
        <f t="shared" si="4"/>
        <v>0</v>
      </c>
      <c r="F30" s="289">
        <f t="shared" ca="1" si="2"/>
        <v>40</v>
      </c>
      <c r="G30" s="290">
        <f ca="1">KTVTUCOI!P29</f>
        <v>0.1176941113088935</v>
      </c>
      <c r="H30" s="290">
        <f ca="1">(H29-F30-G30)*(1+LS!$F$3)</f>
        <v>-1140.2367728662025</v>
      </c>
      <c r="I30" s="291"/>
      <c r="J30" s="292">
        <f t="shared" ca="1" si="3"/>
        <v>-1140.2367728662025</v>
      </c>
      <c r="K30" s="949"/>
      <c r="L30" s="949"/>
      <c r="M30" s="949"/>
      <c r="N30" s="950"/>
      <c r="O30" s="950"/>
      <c r="X30" s="945"/>
      <c r="Y30" s="945"/>
    </row>
    <row r="31" spans="2:25" ht="9.75" customHeight="1">
      <c r="B31" s="954"/>
      <c r="C31" s="952"/>
      <c r="D31" s="287">
        <f t="shared" ca="1" si="1"/>
        <v>47052</v>
      </c>
      <c r="E31" s="359">
        <f t="shared" si="4"/>
        <v>0</v>
      </c>
      <c r="F31" s="289">
        <f t="shared" ca="1" si="2"/>
        <v>40</v>
      </c>
      <c r="G31" s="290">
        <f ca="1">KTVTUCOI!P30</f>
        <v>0.12237469274379241</v>
      </c>
      <c r="H31" s="290">
        <f ca="1">(H30-F31-G31)*(1+LS!$F$3)</f>
        <v>-1184.7911744643279</v>
      </c>
      <c r="I31" s="291"/>
      <c r="J31" s="292">
        <f t="shared" ca="1" si="3"/>
        <v>-1184.7911744643279</v>
      </c>
      <c r="K31" s="949"/>
      <c r="L31" s="949"/>
      <c r="M31" s="949"/>
      <c r="N31" s="950"/>
      <c r="O31" s="950"/>
      <c r="X31" s="945"/>
      <c r="Y31" s="945"/>
    </row>
    <row r="32" spans="2:25" ht="9.75" customHeight="1">
      <c r="B32" s="954"/>
      <c r="C32" s="952"/>
      <c r="D32" s="287">
        <f t="shared" ca="1" si="1"/>
        <v>47083</v>
      </c>
      <c r="E32" s="359">
        <f t="shared" si="4"/>
        <v>0</v>
      </c>
      <c r="F32" s="289">
        <f t="shared" ca="1" si="2"/>
        <v>40</v>
      </c>
      <c r="G32" s="290">
        <f ca="1">KTVTUCOI!P31</f>
        <v>0.12706732997884806</v>
      </c>
      <c r="H32" s="290">
        <f ca="1">(H31-F32-G32)*(1+LS!$F$3)</f>
        <v>-1229.5175797295042</v>
      </c>
      <c r="I32" s="291"/>
      <c r="J32" s="292">
        <f t="shared" ca="1" si="3"/>
        <v>-1229.5175797295042</v>
      </c>
      <c r="K32" s="949"/>
      <c r="L32" s="949"/>
      <c r="M32" s="949"/>
      <c r="N32" s="950"/>
      <c r="O32" s="950"/>
      <c r="X32" s="945"/>
      <c r="Y32" s="945"/>
    </row>
    <row r="33" spans="2:25" ht="9.75" customHeight="1">
      <c r="B33" s="954"/>
      <c r="C33" s="952"/>
      <c r="D33" s="287">
        <f t="shared" ca="1" si="1"/>
        <v>47113</v>
      </c>
      <c r="E33" s="359">
        <f t="shared" si="4"/>
        <v>0</v>
      </c>
      <c r="F33" s="289">
        <f t="shared" ca="1" si="2"/>
        <v>40</v>
      </c>
      <c r="G33" s="290">
        <f ca="1">KTVTUCOI!P32</f>
        <v>0.13177205406625336</v>
      </c>
      <c r="H33" s="290">
        <f ca="1">(H32-F33-G33)*(1+LS!$F$3)</f>
        <v>-1274.4166466354316</v>
      </c>
      <c r="I33" s="291"/>
      <c r="J33" s="292">
        <f t="shared" ca="1" si="3"/>
        <v>-1274.4166466354316</v>
      </c>
      <c r="K33" s="949"/>
      <c r="L33" s="949"/>
      <c r="M33" s="949"/>
      <c r="N33" s="950"/>
      <c r="O33" s="950"/>
      <c r="X33" s="945"/>
      <c r="Y33" s="945"/>
    </row>
    <row r="34" spans="2:25" ht="9.75" customHeight="1">
      <c r="B34" s="954"/>
      <c r="C34" s="952"/>
      <c r="D34" s="287">
        <f t="shared" ca="1" si="1"/>
        <v>47144</v>
      </c>
      <c r="E34" s="359">
        <f t="shared" si="4"/>
        <v>0</v>
      </c>
      <c r="F34" s="289">
        <f t="shared" ca="1" si="2"/>
        <v>40</v>
      </c>
      <c r="G34" s="290">
        <f ca="1">KTVTUCOI!P33</f>
        <v>0.13648889613818249</v>
      </c>
      <c r="H34" s="290">
        <f ca="1">(H33-F34-G34)*(1+LS!$F$3)</f>
        <v>-1319.4890356576275</v>
      </c>
      <c r="I34" s="291"/>
      <c r="J34" s="292">
        <f t="shared" ca="1" si="3"/>
        <v>-1319.4890356576275</v>
      </c>
      <c r="K34" s="949"/>
      <c r="L34" s="949"/>
      <c r="M34" s="949"/>
      <c r="N34" s="950"/>
      <c r="O34" s="950"/>
      <c r="X34" s="945"/>
      <c r="Y34" s="945"/>
    </row>
    <row r="35" spans="2:25" ht="9.75" customHeight="1">
      <c r="B35" s="954"/>
      <c r="C35" s="952"/>
      <c r="D35" s="287">
        <f t="shared" ca="1" si="1"/>
        <v>47175</v>
      </c>
      <c r="E35" s="359">
        <f t="shared" si="4"/>
        <v>0</v>
      </c>
      <c r="F35" s="289">
        <f t="shared" ca="1" si="2"/>
        <v>40</v>
      </c>
      <c r="G35" s="290">
        <f ca="1">KTVTUCOI!P34</f>
        <v>0.14121788740699689</v>
      </c>
      <c r="H35" s="290">
        <f ca="1">(H34-F35-G35)*(1+LS!$F$3)</f>
        <v>-1364.7354097829002</v>
      </c>
      <c r="I35" s="291"/>
      <c r="J35" s="292">
        <f t="shared" ca="1" si="3"/>
        <v>-1364.7354097829002</v>
      </c>
      <c r="K35" s="949"/>
      <c r="L35" s="949"/>
      <c r="M35" s="949"/>
      <c r="N35" s="950"/>
      <c r="O35" s="950"/>
      <c r="X35" s="945"/>
      <c r="Y35" s="945"/>
    </row>
    <row r="36" spans="2:25" ht="9.75" customHeight="1">
      <c r="B36" s="954"/>
      <c r="C36" s="952"/>
      <c r="D36" s="287">
        <f t="shared" ca="1" si="1"/>
        <v>47203</v>
      </c>
      <c r="E36" s="359">
        <f t="shared" si="4"/>
        <v>0</v>
      </c>
      <c r="F36" s="289">
        <f t="shared" ca="1" si="2"/>
        <v>40</v>
      </c>
      <c r="G36" s="290">
        <f ca="1">KTVTUCOI!P35</f>
        <v>0.14595905916545196</v>
      </c>
      <c r="H36" s="290">
        <f ca="1">(H35-F36-G36)*(1+LS!$F$3)</f>
        <v>-1410.1564345188592</v>
      </c>
      <c r="I36" s="291"/>
      <c r="J36" s="292">
        <f t="shared" ca="1" si="3"/>
        <v>-1410.1564345188592</v>
      </c>
      <c r="K36" s="949"/>
      <c r="L36" s="949"/>
      <c r="M36" s="949"/>
      <c r="N36" s="950"/>
      <c r="O36" s="950"/>
      <c r="X36" s="945"/>
      <c r="Y36" s="945"/>
    </row>
    <row r="37" spans="2:25" ht="9.75" customHeight="1">
      <c r="B37" s="954"/>
      <c r="C37" s="952"/>
      <c r="D37" s="287">
        <f t="shared" ca="1" si="1"/>
        <v>47234</v>
      </c>
      <c r="E37" s="359">
        <f t="shared" si="4"/>
        <v>0</v>
      </c>
      <c r="F37" s="289">
        <f t="shared" ca="1" si="2"/>
        <v>40</v>
      </c>
      <c r="G37" s="290">
        <f ca="1">KTVTUCOI!P36</f>
        <v>0.15071244278690393</v>
      </c>
      <c r="H37" s="290">
        <f ca="1">(H36-F37-G37)*(1+LS!$F$3)</f>
        <v>-1455.752777903461</v>
      </c>
      <c r="I37" s="291"/>
      <c r="J37" s="292">
        <f t="shared" ca="1" si="3"/>
        <v>-1455.752777903461</v>
      </c>
      <c r="K37" s="949"/>
      <c r="L37" s="949"/>
      <c r="M37" s="949"/>
      <c r="N37" s="950"/>
      <c r="O37" s="950"/>
      <c r="X37" s="945"/>
      <c r="Y37" s="945"/>
    </row>
    <row r="38" spans="2:25" ht="9.75" customHeight="1">
      <c r="B38" s="954"/>
      <c r="C38" s="952"/>
      <c r="D38" s="287">
        <f t="shared" ca="1" si="1"/>
        <v>47264</v>
      </c>
      <c r="E38" s="359">
        <f t="shared" si="4"/>
        <v>0</v>
      </c>
      <c r="F38" s="289">
        <f t="shared" ca="1" si="2"/>
        <v>40</v>
      </c>
      <c r="G38" s="290">
        <f ca="1">KTVTUCOI!P37</f>
        <v>0.15547806972551761</v>
      </c>
      <c r="H38" s="290">
        <f ca="1">(H37-F38-G38)*(1+LS!$F$3)</f>
        <v>-1501.5251105145917</v>
      </c>
      <c r="I38" s="291"/>
      <c r="J38" s="292">
        <f t="shared" ca="1" si="3"/>
        <v>-1501.5251105145917</v>
      </c>
      <c r="K38" s="949"/>
      <c r="L38" s="949"/>
      <c r="M38" s="949"/>
      <c r="N38" s="950"/>
      <c r="O38" s="950"/>
      <c r="X38" s="945"/>
      <c r="Y38" s="945"/>
    </row>
    <row r="39" spans="2:25" ht="9.75" customHeight="1">
      <c r="B39" s="954"/>
      <c r="C39" s="952"/>
      <c r="D39" s="287">
        <f t="shared" ca="1" si="1"/>
        <v>47295</v>
      </c>
      <c r="E39" s="359">
        <f t="shared" si="4"/>
        <v>0</v>
      </c>
      <c r="F39" s="289">
        <f t="shared" ca="1" si="2"/>
        <v>40</v>
      </c>
      <c r="G39" s="290">
        <f ca="1">KTVTUCOI!P38</f>
        <v>0.16025597151647447</v>
      </c>
      <c r="H39" s="290">
        <f ca="1">(H38-F39-G39)*(1+LS!$F$3)</f>
        <v>-1547.474105479685</v>
      </c>
      <c r="I39" s="291"/>
      <c r="J39" s="293">
        <f t="shared" ca="1" si="3"/>
        <v>-1547.474105479685</v>
      </c>
      <c r="K39" s="949"/>
      <c r="L39" s="949"/>
      <c r="M39" s="949"/>
      <c r="N39" s="950"/>
      <c r="O39" s="950"/>
      <c r="X39" s="945"/>
      <c r="Y39" s="945"/>
    </row>
    <row r="40" spans="2:25" ht="9.75" customHeight="1">
      <c r="B40" s="955">
        <v>4</v>
      </c>
      <c r="C40" s="947">
        <f ca="1">C28+1</f>
        <v>33</v>
      </c>
      <c r="D40" s="294">
        <f t="shared" ca="1" si="1"/>
        <v>47325</v>
      </c>
      <c r="E40" s="359">
        <f t="shared" si="4"/>
        <v>0</v>
      </c>
      <c r="F40" s="360">
        <f t="shared" ca="1" si="2"/>
        <v>40</v>
      </c>
      <c r="G40" s="290">
        <f ca="1">KTVTUCOI!P39</f>
        <v>0.17260554678883092</v>
      </c>
      <c r="H40" s="295">
        <f ca="1">(H39+KTVBVGTTKMH!F32-F40-G40)*(1+LS!$F$3)</f>
        <v>-1593.6080262363928</v>
      </c>
      <c r="I40" s="948"/>
      <c r="J40" s="296">
        <f t="shared" ca="1" si="3"/>
        <v>-1593.6080262363928</v>
      </c>
      <c r="K40" s="949">
        <f ca="1">J51</f>
        <v>-2173.798301001872</v>
      </c>
      <c r="L40" s="949"/>
      <c r="M40" s="949"/>
      <c r="N40" s="950">
        <f t="shared" ref="N40" ca="1" si="8">SUM(G40:G51)</f>
        <v>2.4123786441312647</v>
      </c>
      <c r="O40" s="950"/>
      <c r="X40" s="945">
        <f t="shared" ref="X40:Y40" ca="1" si="9">SUM(F40:F51)</f>
        <v>540</v>
      </c>
      <c r="Y40" s="945">
        <f t="shared" ca="1" si="9"/>
        <v>2.4123786441312647</v>
      </c>
    </row>
    <row r="41" spans="2:25" ht="9.75" customHeight="1">
      <c r="B41" s="955"/>
      <c r="C41" s="946"/>
      <c r="D41" s="294">
        <f t="shared" ca="1" si="1"/>
        <v>47356</v>
      </c>
      <c r="E41" s="359">
        <f t="shared" si="4"/>
        <v>0</v>
      </c>
      <c r="F41" s="360">
        <f t="shared" ca="1" si="2"/>
        <v>40</v>
      </c>
      <c r="G41" s="290">
        <f ca="1">KTVTUCOI!P40</f>
        <v>0.17748456611611627</v>
      </c>
      <c r="H41" s="295">
        <f ca="1">(H40-F41-G41)*(1+LS!$F$3)</f>
        <v>-1639.9200685398503</v>
      </c>
      <c r="I41" s="948"/>
      <c r="J41" s="296">
        <f t="shared" ca="1" si="3"/>
        <v>-1639.9200685398503</v>
      </c>
      <c r="K41" s="949"/>
      <c r="L41" s="949"/>
      <c r="M41" s="949"/>
      <c r="N41" s="950"/>
      <c r="O41" s="950"/>
      <c r="X41" s="945"/>
      <c r="Y41" s="945"/>
    </row>
    <row r="42" spans="2:25" ht="9.75" customHeight="1">
      <c r="B42" s="955"/>
      <c r="C42" s="946"/>
      <c r="D42" s="294">
        <f t="shared" ca="1" si="1"/>
        <v>47387</v>
      </c>
      <c r="E42" s="359">
        <f t="shared" si="4"/>
        <v>0</v>
      </c>
      <c r="F42" s="360">
        <f t="shared" ca="1" si="2"/>
        <v>40</v>
      </c>
      <c r="G42" s="290">
        <f ca="1">KTVTUCOI!P41</f>
        <v>0.18237220148183353</v>
      </c>
      <c r="H42" s="295">
        <f ca="1">(H41-F42-G42)*(1+LS!$F$3)</f>
        <v>-1686.4109098514011</v>
      </c>
      <c r="I42" s="948"/>
      <c r="J42" s="296">
        <f t="shared" ca="1" si="3"/>
        <v>-1686.4109098514011</v>
      </c>
      <c r="K42" s="949"/>
      <c r="L42" s="949"/>
      <c r="M42" s="949"/>
      <c r="N42" s="950"/>
      <c r="O42" s="950"/>
      <c r="X42" s="945"/>
      <c r="Y42" s="945"/>
    </row>
    <row r="43" spans="2:25" ht="9.75" customHeight="1">
      <c r="B43" s="955"/>
      <c r="C43" s="946"/>
      <c r="D43" s="294">
        <f t="shared" ca="1" si="1"/>
        <v>47417</v>
      </c>
      <c r="E43" s="359">
        <f t="shared" si="4"/>
        <v>0</v>
      </c>
      <c r="F43" s="360">
        <f t="shared" ca="1" si="2"/>
        <v>40</v>
      </c>
      <c r="G43" s="290">
        <f ca="1">KTVTUCOI!P42</f>
        <v>0.18726846810135975</v>
      </c>
      <c r="H43" s="295">
        <f ca="1">(H42-F43-G43)*(1+LS!$F$3)</f>
        <v>-1733.0812301914013</v>
      </c>
      <c r="I43" s="948"/>
      <c r="J43" s="296">
        <f t="shared" ca="1" si="3"/>
        <v>-1733.0812301914013</v>
      </c>
      <c r="K43" s="949"/>
      <c r="L43" s="949"/>
      <c r="M43" s="949"/>
      <c r="N43" s="950"/>
      <c r="O43" s="950"/>
      <c r="X43" s="945"/>
      <c r="Y43" s="945"/>
    </row>
    <row r="44" spans="2:25" ht="9.75" customHeight="1">
      <c r="B44" s="955"/>
      <c r="C44" s="946"/>
      <c r="D44" s="294">
        <f t="shared" ca="1" si="1"/>
        <v>47448</v>
      </c>
      <c r="E44" s="359">
        <f t="shared" si="4"/>
        <v>0</v>
      </c>
      <c r="F44" s="360">
        <f t="shared" ca="1" si="2"/>
        <v>40</v>
      </c>
      <c r="G44" s="290">
        <f ca="1">KTVTUCOI!P43</f>
        <v>0.19217338121694116</v>
      </c>
      <c r="H44" s="295">
        <f ca="1">(H43-F44-G44)*(1+LS!$F$3)</f>
        <v>-1779.9317121488552</v>
      </c>
      <c r="I44" s="948"/>
      <c r="J44" s="296">
        <f t="shared" ca="1" si="3"/>
        <v>-1779.9317121488552</v>
      </c>
      <c r="K44" s="949"/>
      <c r="L44" s="949"/>
      <c r="M44" s="949"/>
      <c r="N44" s="950"/>
      <c r="O44" s="950"/>
      <c r="X44" s="945"/>
      <c r="Y44" s="945"/>
    </row>
    <row r="45" spans="2:25" ht="9.75" customHeight="1">
      <c r="B45" s="955"/>
      <c r="C45" s="946"/>
      <c r="D45" s="294">
        <f t="shared" ca="1" si="1"/>
        <v>47478</v>
      </c>
      <c r="E45" s="359">
        <f t="shared" si="4"/>
        <v>0</v>
      </c>
      <c r="F45" s="360">
        <f t="shared" ca="1" si="2"/>
        <v>40</v>
      </c>
      <c r="G45" s="290">
        <f ca="1">KTVTUCOI!P44</f>
        <v>0.19708695609774096</v>
      </c>
      <c r="H45" s="295">
        <f ca="1">(H44-F45-G45)*(1+LS!$F$3)</f>
        <v>-1826.9630408910873</v>
      </c>
      <c r="I45" s="948"/>
      <c r="J45" s="296">
        <f t="shared" ca="1" si="3"/>
        <v>-1826.9630408910873</v>
      </c>
      <c r="K45" s="949"/>
      <c r="L45" s="949"/>
      <c r="M45" s="949"/>
      <c r="N45" s="950"/>
      <c r="O45" s="950"/>
      <c r="X45" s="945"/>
      <c r="Y45" s="945"/>
    </row>
    <row r="46" spans="2:25" ht="9.75" customHeight="1">
      <c r="B46" s="955"/>
      <c r="C46" s="946"/>
      <c r="D46" s="294">
        <f t="shared" ca="1" si="1"/>
        <v>47509</v>
      </c>
      <c r="E46" s="359">
        <f t="shared" si="4"/>
        <v>0</v>
      </c>
      <c r="F46" s="360">
        <f t="shared" ca="1" si="2"/>
        <v>50</v>
      </c>
      <c r="G46" s="290">
        <f ca="1">KTVTUCOI!P45</f>
        <v>0.20200920803988684</v>
      </c>
      <c r="H46" s="295">
        <f ca="1">(H45-F46-G46)*(1+LS!$F$3)</f>
        <v>-1884.2134522952613</v>
      </c>
      <c r="I46" s="948"/>
      <c r="J46" s="296">
        <f t="shared" ca="1" si="3"/>
        <v>-1884.2134522952613</v>
      </c>
      <c r="K46" s="949"/>
      <c r="L46" s="949"/>
      <c r="M46" s="949"/>
      <c r="N46" s="950"/>
      <c r="O46" s="950"/>
      <c r="X46" s="945"/>
      <c r="Y46" s="945"/>
    </row>
    <row r="47" spans="2:25" ht="9.75" customHeight="1">
      <c r="B47" s="955"/>
      <c r="C47" s="946"/>
      <c r="D47" s="294">
        <f t="shared" ca="1" si="1"/>
        <v>47540</v>
      </c>
      <c r="E47" s="359">
        <f t="shared" si="4"/>
        <v>0</v>
      </c>
      <c r="F47" s="360">
        <f t="shared" ca="1" si="2"/>
        <v>50</v>
      </c>
      <c r="G47" s="290">
        <f ca="1">KTVTUCOI!P46</f>
        <v>0.20808370458850459</v>
      </c>
      <c r="H47" s="295">
        <f ca="1">(H46-F47-G47)*(1+LS!$F$3)</f>
        <v>-1941.6849255466934</v>
      </c>
      <c r="I47" s="948"/>
      <c r="J47" s="296">
        <f t="shared" ca="1" si="3"/>
        <v>-1941.6849255466934</v>
      </c>
      <c r="K47" s="949"/>
      <c r="L47" s="949"/>
      <c r="M47" s="949"/>
      <c r="N47" s="950"/>
      <c r="O47" s="950"/>
      <c r="X47" s="945"/>
      <c r="Y47" s="945"/>
    </row>
    <row r="48" spans="2:25" ht="9.75" customHeight="1">
      <c r="B48" s="955"/>
      <c r="C48" s="946"/>
      <c r="D48" s="294">
        <f t="shared" ca="1" si="1"/>
        <v>47568</v>
      </c>
      <c r="E48" s="359">
        <f t="shared" si="4"/>
        <v>0</v>
      </c>
      <c r="F48" s="360">
        <f t="shared" ca="1" si="2"/>
        <v>50</v>
      </c>
      <c r="G48" s="290">
        <f ca="1">KTVTUCOI!P47</f>
        <v>0.21416892831244319</v>
      </c>
      <c r="H48" s="295">
        <f ca="1">(H47-F48-G48)*(1+LS!$F$3)</f>
        <v>-1999.3783014585545</v>
      </c>
      <c r="I48" s="948"/>
      <c r="J48" s="296">
        <f t="shared" ca="1" si="3"/>
        <v>-1999.3783014585545</v>
      </c>
      <c r="K48" s="949"/>
      <c r="L48" s="949"/>
      <c r="M48" s="949"/>
      <c r="N48" s="950"/>
      <c r="O48" s="950"/>
      <c r="X48" s="945"/>
      <c r="Y48" s="945"/>
    </row>
    <row r="49" spans="2:25" ht="9.75" customHeight="1">
      <c r="B49" s="955"/>
      <c r="C49" s="946"/>
      <c r="D49" s="294">
        <f t="shared" ca="1" si="1"/>
        <v>47599</v>
      </c>
      <c r="E49" s="359">
        <f t="shared" si="4"/>
        <v>0</v>
      </c>
      <c r="F49" s="360">
        <f t="shared" ca="1" si="2"/>
        <v>50</v>
      </c>
      <c r="G49" s="290">
        <f ca="1">KTVTUCOI!P48</f>
        <v>0.22026489815521333</v>
      </c>
      <c r="H49" s="295">
        <f ca="1">(H48-F49-G49)*(1+LS!$F$3)</f>
        <v>-2057.2944240201255</v>
      </c>
      <c r="I49" s="948"/>
      <c r="J49" s="296">
        <f t="shared" ca="1" si="3"/>
        <v>-2057.2944240201255</v>
      </c>
      <c r="K49" s="949"/>
      <c r="L49" s="949"/>
      <c r="M49" s="949"/>
      <c r="N49" s="950"/>
      <c r="O49" s="950"/>
      <c r="X49" s="945"/>
      <c r="Y49" s="945"/>
    </row>
    <row r="50" spans="2:25" ht="9.75" customHeight="1">
      <c r="B50" s="955"/>
      <c r="C50" s="946"/>
      <c r="D50" s="294">
        <f t="shared" ca="1" si="1"/>
        <v>47629</v>
      </c>
      <c r="E50" s="359">
        <f t="shared" si="4"/>
        <v>0</v>
      </c>
      <c r="F50" s="360">
        <f t="shared" ca="1" si="2"/>
        <v>50</v>
      </c>
      <c r="G50" s="290">
        <f ca="1">KTVTUCOI!P49</f>
        <v>0.22637163309377872</v>
      </c>
      <c r="H50" s="295">
        <f ca="1">(H49-F50-G50)*(1+LS!$F$3)</f>
        <v>-2115.4341404087568</v>
      </c>
      <c r="I50" s="948"/>
      <c r="J50" s="296">
        <f t="shared" ca="1" si="3"/>
        <v>-2115.4341404087568</v>
      </c>
      <c r="K50" s="949"/>
      <c r="L50" s="949"/>
      <c r="M50" s="949"/>
      <c r="N50" s="950"/>
      <c r="O50" s="950"/>
      <c r="X50" s="945"/>
      <c r="Y50" s="945"/>
    </row>
    <row r="51" spans="2:25" ht="9.75" customHeight="1">
      <c r="B51" s="955"/>
      <c r="C51" s="946"/>
      <c r="D51" s="294">
        <f t="shared" ca="1" si="1"/>
        <v>47660</v>
      </c>
      <c r="E51" s="359">
        <f t="shared" si="4"/>
        <v>0</v>
      </c>
      <c r="F51" s="360">
        <f t="shared" ca="1" si="2"/>
        <v>50</v>
      </c>
      <c r="G51" s="290">
        <f ca="1">KTVTUCOI!P50</f>
        <v>0.23248915213861523</v>
      </c>
      <c r="H51" s="295">
        <f ca="1">(H50-F51-G51)*(1+LS!$F$3)</f>
        <v>-2173.798301001872</v>
      </c>
      <c r="I51" s="948"/>
      <c r="J51" s="297">
        <f ca="1">H51+I40</f>
        <v>-2173.798301001872</v>
      </c>
      <c r="K51" s="949"/>
      <c r="L51" s="949"/>
      <c r="M51" s="949"/>
      <c r="N51" s="950"/>
      <c r="O51" s="950"/>
      <c r="X51" s="945"/>
      <c r="Y51" s="945"/>
    </row>
    <row r="52" spans="2:25" ht="9.75" customHeight="1">
      <c r="B52" s="954">
        <v>5</v>
      </c>
      <c r="C52" s="952">
        <f ca="1">C40+1</f>
        <v>34</v>
      </c>
      <c r="D52" s="287">
        <f t="shared" ca="1" si="1"/>
        <v>47690</v>
      </c>
      <c r="E52" s="359">
        <f t="shared" si="4"/>
        <v>0</v>
      </c>
      <c r="F52" s="289">
        <f t="shared" ca="1" si="2"/>
        <v>50</v>
      </c>
      <c r="G52" s="290">
        <f ca="1">KTVTUCOI!P51</f>
        <v>0.25080960805885305</v>
      </c>
      <c r="H52" s="290">
        <f ca="1">(H51+KTVBVGTTKMH!F33-F52-G52)*(1+LS!$F$3)</f>
        <v>-2232.3999973019163</v>
      </c>
      <c r="I52" s="953"/>
      <c r="J52" s="292">
        <f t="shared" ca="1" si="3"/>
        <v>-2232.3999973019163</v>
      </c>
      <c r="K52" s="949">
        <f ca="1">J63</f>
        <v>-2892.1600346061136</v>
      </c>
      <c r="L52" s="949"/>
      <c r="M52" s="949"/>
      <c r="N52" s="950">
        <f t="shared" ref="N52" ca="1" si="10">SUM(G52:G63)</f>
        <v>3.4382242426968466</v>
      </c>
      <c r="O52" s="950"/>
      <c r="X52" s="945">
        <f t="shared" ref="X52:Y52" ca="1" si="11">SUM(F52:F63)</f>
        <v>600</v>
      </c>
      <c r="Y52" s="945">
        <f t="shared" ca="1" si="11"/>
        <v>3.4382242426968466</v>
      </c>
    </row>
    <row r="53" spans="2:25" ht="9.75" customHeight="1">
      <c r="B53" s="954"/>
      <c r="C53" s="951"/>
      <c r="D53" s="287">
        <f t="shared" ca="1" si="1"/>
        <v>47721</v>
      </c>
      <c r="E53" s="359">
        <f t="shared" si="4"/>
        <v>0</v>
      </c>
      <c r="F53" s="289">
        <f t="shared" ca="1" si="2"/>
        <v>50</v>
      </c>
      <c r="G53" s="290">
        <f ca="1">KTVTUCOI!P52</f>
        <v>0.25726389686653867</v>
      </c>
      <c r="H53" s="290">
        <f ca="1">(H52-F53-G53)*(1+LS!$F$3)</f>
        <v>-2291.2282104885135</v>
      </c>
      <c r="I53" s="953"/>
      <c r="J53" s="292">
        <f t="shared" ca="1" si="3"/>
        <v>-2291.2282104885135</v>
      </c>
      <c r="K53" s="949"/>
      <c r="L53" s="949"/>
      <c r="M53" s="949"/>
      <c r="N53" s="950"/>
      <c r="O53" s="950"/>
      <c r="X53" s="945"/>
      <c r="Y53" s="945"/>
    </row>
    <row r="54" spans="2:25" ht="9.75" customHeight="1">
      <c r="B54" s="954"/>
      <c r="C54" s="951"/>
      <c r="D54" s="287">
        <f t="shared" ca="1" si="1"/>
        <v>47752</v>
      </c>
      <c r="E54" s="359">
        <f t="shared" si="4"/>
        <v>0</v>
      </c>
      <c r="F54" s="289">
        <f t="shared" ca="1" si="2"/>
        <v>50</v>
      </c>
      <c r="G54" s="290">
        <f ca="1">KTVTUCOI!P53</f>
        <v>0.26372962125076704</v>
      </c>
      <c r="H54" s="290">
        <f ca="1">(H53-F54-G54)*(1+LS!$F$3)</f>
        <v>-2350.2838025685437</v>
      </c>
      <c r="I54" s="953"/>
      <c r="J54" s="292">
        <f t="shared" ca="1" si="3"/>
        <v>-2350.2838025685437</v>
      </c>
      <c r="K54" s="949"/>
      <c r="L54" s="949"/>
      <c r="M54" s="949"/>
      <c r="N54" s="950"/>
      <c r="O54" s="950"/>
      <c r="X54" s="945"/>
      <c r="Y54" s="945"/>
    </row>
    <row r="55" spans="2:25" ht="9.75" customHeight="1">
      <c r="B55" s="954"/>
      <c r="C55" s="951"/>
      <c r="D55" s="287">
        <f t="shared" ca="1" si="1"/>
        <v>47782</v>
      </c>
      <c r="E55" s="359">
        <f t="shared" si="4"/>
        <v>0</v>
      </c>
      <c r="F55" s="289">
        <f t="shared" ca="1" si="2"/>
        <v>50</v>
      </c>
      <c r="G55" s="290">
        <f ca="1">KTVTUCOI!P54</f>
        <v>0.27020680147285825</v>
      </c>
      <c r="H55" s="290">
        <f ca="1">(H54-F55-G55)*(1+LS!$F$3)</f>
        <v>-2409.5676388058982</v>
      </c>
      <c r="I55" s="953"/>
      <c r="J55" s="292">
        <f t="shared" ca="1" si="3"/>
        <v>-2409.5676388058982</v>
      </c>
      <c r="K55" s="949"/>
      <c r="L55" s="949"/>
      <c r="M55" s="949"/>
      <c r="N55" s="950"/>
      <c r="O55" s="950"/>
      <c r="X55" s="945"/>
      <c r="Y55" s="945"/>
    </row>
    <row r="56" spans="2:25" ht="9.75" customHeight="1">
      <c r="B56" s="954"/>
      <c r="C56" s="951"/>
      <c r="D56" s="287">
        <f t="shared" ca="1" si="1"/>
        <v>47813</v>
      </c>
      <c r="E56" s="359">
        <f t="shared" si="4"/>
        <v>0</v>
      </c>
      <c r="F56" s="289">
        <f t="shared" ca="1" si="2"/>
        <v>50</v>
      </c>
      <c r="G56" s="290">
        <f ca="1">KTVTUCOI!P55</f>
        <v>0.27669545783003086</v>
      </c>
      <c r="H56" s="290">
        <f ca="1">(H55-F56-G56)*(1+LS!$F$3)</f>
        <v>-2469.0805877337452</v>
      </c>
      <c r="I56" s="953"/>
      <c r="J56" s="292">
        <f t="shared" ca="1" si="3"/>
        <v>-2469.0805877337452</v>
      </c>
      <c r="K56" s="949"/>
      <c r="L56" s="949"/>
      <c r="M56" s="949"/>
      <c r="N56" s="950"/>
      <c r="O56" s="950"/>
      <c r="X56" s="945"/>
      <c r="Y56" s="945"/>
    </row>
    <row r="57" spans="2:25" ht="9.75" customHeight="1">
      <c r="B57" s="954"/>
      <c r="C57" s="951"/>
      <c r="D57" s="287">
        <f t="shared" ca="1" si="1"/>
        <v>47843</v>
      </c>
      <c r="E57" s="359">
        <f t="shared" si="4"/>
        <v>0</v>
      </c>
      <c r="F57" s="289">
        <f t="shared" ca="1" si="2"/>
        <v>50</v>
      </c>
      <c r="G57" s="290">
        <f ca="1">KTVTUCOI!P56</f>
        <v>0.28319561065546567</v>
      </c>
      <c r="H57" s="290">
        <f ca="1">(H56-F57-G57)*(1+LS!$F$3)</f>
        <v>-2528.8235211668407</v>
      </c>
      <c r="I57" s="953"/>
      <c r="J57" s="292">
        <f t="shared" ca="1" si="3"/>
        <v>-2528.8235211668407</v>
      </c>
      <c r="K57" s="949"/>
      <c r="L57" s="949"/>
      <c r="M57" s="949"/>
      <c r="N57" s="950"/>
      <c r="O57" s="950"/>
      <c r="X57" s="945"/>
      <c r="Y57" s="945"/>
    </row>
    <row r="58" spans="2:25" ht="9.75" customHeight="1">
      <c r="B58" s="954"/>
      <c r="C58" s="951"/>
      <c r="D58" s="287">
        <f t="shared" ca="1" si="1"/>
        <v>47874</v>
      </c>
      <c r="E58" s="359">
        <f t="shared" si="4"/>
        <v>0</v>
      </c>
      <c r="F58" s="289">
        <f t="shared" ca="1" si="2"/>
        <v>50</v>
      </c>
      <c r="G58" s="290">
        <f ca="1">KTVTUCOI!P57</f>
        <v>0.28970728031836934</v>
      </c>
      <c r="H58" s="290">
        <f ca="1">(H57-F58-G58)*(1+LS!$F$3)</f>
        <v>-2588.7973142138876</v>
      </c>
      <c r="I58" s="953"/>
      <c r="J58" s="292">
        <f t="shared" ca="1" si="3"/>
        <v>-2588.7973142138876</v>
      </c>
      <c r="K58" s="949"/>
      <c r="L58" s="949"/>
      <c r="M58" s="949"/>
      <c r="N58" s="950"/>
      <c r="O58" s="950"/>
      <c r="X58" s="945"/>
      <c r="Y58" s="945"/>
    </row>
    <row r="59" spans="2:25" ht="9.75" customHeight="1">
      <c r="B59" s="954"/>
      <c r="C59" s="951"/>
      <c r="D59" s="287">
        <f t="shared" ca="1" si="1"/>
        <v>47905</v>
      </c>
      <c r="E59" s="359">
        <f t="shared" si="4"/>
        <v>0</v>
      </c>
      <c r="F59" s="289">
        <f t="shared" ca="1" si="2"/>
        <v>50</v>
      </c>
      <c r="G59" s="290">
        <f ca="1">KTVTUCOI!P58</f>
        <v>0.29623048722403827</v>
      </c>
      <c r="H59" s="290">
        <f ca="1">(H58-F59-G59)*(1+LS!$F$3)</f>
        <v>-2649.0028452899396</v>
      </c>
      <c r="I59" s="953"/>
      <c r="J59" s="292">
        <f t="shared" ca="1" si="3"/>
        <v>-2649.0028452899396</v>
      </c>
      <c r="K59" s="949"/>
      <c r="L59" s="949"/>
      <c r="M59" s="949"/>
      <c r="N59" s="950"/>
      <c r="O59" s="950"/>
      <c r="X59" s="945"/>
      <c r="Y59" s="945"/>
    </row>
    <row r="60" spans="2:25" ht="9.75" customHeight="1">
      <c r="B60" s="954"/>
      <c r="C60" s="951"/>
      <c r="D60" s="287">
        <f t="shared" ca="1" si="1"/>
        <v>47933</v>
      </c>
      <c r="E60" s="359">
        <f t="shared" si="4"/>
        <v>0</v>
      </c>
      <c r="F60" s="289">
        <f t="shared" ca="1" si="2"/>
        <v>50</v>
      </c>
      <c r="G60" s="290">
        <f ca="1">KTVTUCOI!P59</f>
        <v>0.30276525181392272</v>
      </c>
      <c r="H60" s="290">
        <f ca="1">(H59-F60-G60)*(1+LS!$F$3)</f>
        <v>-2709.440996128852</v>
      </c>
      <c r="I60" s="953"/>
      <c r="J60" s="292">
        <f t="shared" ca="1" si="3"/>
        <v>-2709.440996128852</v>
      </c>
      <c r="K60" s="949"/>
      <c r="L60" s="949"/>
      <c r="M60" s="949"/>
      <c r="N60" s="950"/>
      <c r="O60" s="950"/>
      <c r="X60" s="945"/>
      <c r="Y60" s="945"/>
    </row>
    <row r="61" spans="2:25" ht="9.75" customHeight="1">
      <c r="B61" s="954"/>
      <c r="C61" s="951"/>
      <c r="D61" s="287">
        <f t="shared" ca="1" si="1"/>
        <v>47964</v>
      </c>
      <c r="E61" s="359">
        <f t="shared" si="4"/>
        <v>0</v>
      </c>
      <c r="F61" s="289">
        <f t="shared" ca="1" si="2"/>
        <v>50</v>
      </c>
      <c r="G61" s="290">
        <f ca="1">KTVTUCOI!P60</f>
        <v>0.30931159456569041</v>
      </c>
      <c r="H61" s="290">
        <f ca="1">(H60-F61-G61)*(1+LS!$F$3)</f>
        <v>-2770.1126517957796</v>
      </c>
      <c r="I61" s="953"/>
      <c r="J61" s="292">
        <f t="shared" ca="1" si="3"/>
        <v>-2770.1126517957796</v>
      </c>
      <c r="K61" s="949"/>
      <c r="L61" s="949"/>
      <c r="M61" s="949"/>
      <c r="N61" s="950"/>
      <c r="O61" s="950"/>
      <c r="X61" s="945"/>
      <c r="Y61" s="945"/>
    </row>
    <row r="62" spans="2:25" ht="9.75" customHeight="1">
      <c r="B62" s="954"/>
      <c r="C62" s="951"/>
      <c r="D62" s="287">
        <f t="shared" ca="1" si="1"/>
        <v>47994</v>
      </c>
      <c r="E62" s="359">
        <f t="shared" si="4"/>
        <v>0</v>
      </c>
      <c r="F62" s="289">
        <f t="shared" ca="1" si="2"/>
        <v>50</v>
      </c>
      <c r="G62" s="290">
        <f ca="1">KTVTUCOI!P61</f>
        <v>0.31586953599329115</v>
      </c>
      <c r="H62" s="290">
        <f ca="1">(H61-F62-G62)*(1+LS!$F$3)</f>
        <v>-2831.0187006997216</v>
      </c>
      <c r="I62" s="953"/>
      <c r="J62" s="292">
        <f t="shared" ca="1" si="3"/>
        <v>-2831.0187006997216</v>
      </c>
      <c r="K62" s="949"/>
      <c r="L62" s="949"/>
      <c r="M62" s="949"/>
      <c r="N62" s="950"/>
      <c r="O62" s="950"/>
      <c r="X62" s="945"/>
      <c r="Y62" s="945"/>
    </row>
    <row r="63" spans="2:25" ht="9.75" customHeight="1">
      <c r="B63" s="954"/>
      <c r="C63" s="951"/>
      <c r="D63" s="287">
        <f t="shared" ca="1" si="1"/>
        <v>48025</v>
      </c>
      <c r="E63" s="359">
        <f t="shared" si="4"/>
        <v>0</v>
      </c>
      <c r="F63" s="289">
        <f t="shared" ca="1" si="2"/>
        <v>50</v>
      </c>
      <c r="G63" s="290">
        <f ca="1">KTVTUCOI!P62</f>
        <v>0.32243909664702097</v>
      </c>
      <c r="H63" s="290">
        <f ca="1">(H62-F63-G63)*(1+LS!$F$3)</f>
        <v>-2892.1600346061136</v>
      </c>
      <c r="I63" s="953"/>
      <c r="J63" s="293">
        <f ca="1">H63+I52</f>
        <v>-2892.1600346061136</v>
      </c>
      <c r="K63" s="949"/>
      <c r="L63" s="949"/>
      <c r="M63" s="949"/>
      <c r="N63" s="950"/>
      <c r="O63" s="950"/>
      <c r="X63" s="945"/>
      <c r="Y63" s="945"/>
    </row>
    <row r="64" spans="2:25" ht="9.75" customHeight="1">
      <c r="B64" s="946">
        <f>B52+1</f>
        <v>6</v>
      </c>
      <c r="C64" s="947">
        <f ca="1">C52+1</f>
        <v>35</v>
      </c>
      <c r="D64" s="294">
        <f t="shared" ca="1" si="1"/>
        <v>48055</v>
      </c>
      <c r="E64" s="359">
        <f t="shared" si="4"/>
        <v>0</v>
      </c>
      <c r="F64" s="360">
        <f t="shared" ca="1" si="2"/>
        <v>50</v>
      </c>
      <c r="G64" s="290">
        <f ca="1">KTVTUCOI!P63</f>
        <v>0.3472992025087856</v>
      </c>
      <c r="H64" s="295">
        <f ca="1">(H63+KTVBVGTTKMH!F56-F64-G64)*(1+LS!$F$3)</f>
        <v>-2953.5558961887186</v>
      </c>
      <c r="I64" s="948"/>
      <c r="J64" s="296">
        <f t="shared" ca="1" si="3"/>
        <v>-2953.5558961887186</v>
      </c>
      <c r="K64" s="949">
        <f ca="1">J75</f>
        <v>-3644.776754422855</v>
      </c>
      <c r="L64" s="949"/>
      <c r="M64" s="949"/>
      <c r="N64" s="950">
        <f t="shared" ref="N64" ca="1" si="12">SUM(G64:G75)</f>
        <v>4.6195317307817962</v>
      </c>
      <c r="O64" s="950"/>
      <c r="X64" s="945">
        <f t="shared" ref="X64:Y64" ca="1" si="13">SUM(F64:F75)</f>
        <v>600</v>
      </c>
      <c r="Y64" s="945">
        <f t="shared" ca="1" si="13"/>
        <v>4.6195317307817962</v>
      </c>
    </row>
    <row r="65" spans="2:25" ht="9.75" customHeight="1">
      <c r="B65" s="946"/>
      <c r="C65" s="946"/>
      <c r="D65" s="294">
        <f t="shared" ca="1" si="1"/>
        <v>48086</v>
      </c>
      <c r="E65" s="359">
        <f t="shared" si="4"/>
        <v>0</v>
      </c>
      <c r="F65" s="360">
        <f t="shared" ca="1" si="2"/>
        <v>50</v>
      </c>
      <c r="G65" s="290">
        <f ca="1">KTVTUCOI!P64</f>
        <v>0.3541156121383961</v>
      </c>
      <c r="H65" s="295">
        <f ca="1">(H64-F65-G65)*(1+LS!$F$3)</f>
        <v>-3015.1891297042334</v>
      </c>
      <c r="I65" s="948"/>
      <c r="J65" s="296">
        <f t="shared" ca="1" si="3"/>
        <v>-3015.1891297042334</v>
      </c>
      <c r="K65" s="949"/>
      <c r="L65" s="949"/>
      <c r="M65" s="949"/>
      <c r="N65" s="950"/>
      <c r="O65" s="950"/>
      <c r="X65" s="945"/>
      <c r="Y65" s="945"/>
    </row>
    <row r="66" spans="2:25" ht="9.75" customHeight="1">
      <c r="B66" s="946"/>
      <c r="C66" s="946"/>
      <c r="D66" s="294">
        <f t="shared" ca="1" si="1"/>
        <v>48117</v>
      </c>
      <c r="E66" s="359">
        <f t="shared" si="4"/>
        <v>0</v>
      </c>
      <c r="F66" s="360">
        <f t="shared" ca="1" si="2"/>
        <v>50</v>
      </c>
      <c r="G66" s="290">
        <f ca="1">KTVTUCOI!P65</f>
        <v>0.36094134874063361</v>
      </c>
      <c r="H66" s="295">
        <f ca="1">(H65-F66-G66)*(1+LS!$F$3)</f>
        <v>-3077.0606358016771</v>
      </c>
      <c r="I66" s="948"/>
      <c r="J66" s="296">
        <f t="shared" ca="1" si="3"/>
        <v>-3077.0606358016771</v>
      </c>
      <c r="K66" s="949"/>
      <c r="L66" s="949"/>
      <c r="M66" s="949"/>
      <c r="N66" s="950"/>
      <c r="O66" s="950"/>
      <c r="X66" s="945"/>
      <c r="Y66" s="945"/>
    </row>
    <row r="67" spans="2:25" ht="9.75" customHeight="1">
      <c r="B67" s="946"/>
      <c r="C67" s="946"/>
      <c r="D67" s="294">
        <f t="shared" ca="1" si="1"/>
        <v>48147</v>
      </c>
      <c r="E67" s="359">
        <f t="shared" si="4"/>
        <v>0</v>
      </c>
      <c r="F67" s="360">
        <f t="shared" ca="1" si="2"/>
        <v>50</v>
      </c>
      <c r="G67" s="290">
        <f ca="1">KTVTUCOI!P66</f>
        <v>0.36777642507770342</v>
      </c>
      <c r="H67" s="295">
        <f ca="1">(H66-F67-G67)*(1+LS!$F$3)</f>
        <v>-3139.1713185246467</v>
      </c>
      <c r="I67" s="948"/>
      <c r="J67" s="296">
        <f t="shared" ca="1" si="3"/>
        <v>-3139.1713185246467</v>
      </c>
      <c r="K67" s="949"/>
      <c r="L67" s="949"/>
      <c r="M67" s="949"/>
      <c r="N67" s="950"/>
      <c r="O67" s="950"/>
      <c r="X67" s="945"/>
      <c r="Y67" s="945"/>
    </row>
    <row r="68" spans="2:25" ht="9.75" customHeight="1">
      <c r="B68" s="946"/>
      <c r="C68" s="946"/>
      <c r="D68" s="294">
        <f t="shared" ca="1" si="1"/>
        <v>48178</v>
      </c>
      <c r="E68" s="359">
        <f t="shared" si="4"/>
        <v>0</v>
      </c>
      <c r="F68" s="360">
        <f t="shared" ca="1" si="2"/>
        <v>50</v>
      </c>
      <c r="G68" s="290">
        <f ca="1">KTVTUCOI!P67</f>
        <v>0.37462085392927363</v>
      </c>
      <c r="H68" s="295">
        <f ca="1">(H67-F68-G68)*(1+LS!$F$3)</f>
        <v>-3201.5220853240799</v>
      </c>
      <c r="I68" s="948"/>
      <c r="J68" s="296">
        <f t="shared" ca="1" si="3"/>
        <v>-3201.5220853240799</v>
      </c>
      <c r="K68" s="949"/>
      <c r="L68" s="949"/>
      <c r="M68" s="949"/>
      <c r="N68" s="950"/>
      <c r="O68" s="950"/>
      <c r="X68" s="945"/>
      <c r="Y68" s="945"/>
    </row>
    <row r="69" spans="2:25" ht="9.75" customHeight="1">
      <c r="B69" s="946"/>
      <c r="C69" s="946"/>
      <c r="D69" s="294">
        <f t="shared" ref="D69:D132" ca="1" si="14">EDATE(D68,1)</f>
        <v>48208</v>
      </c>
      <c r="E69" s="359">
        <f t="shared" si="4"/>
        <v>0</v>
      </c>
      <c r="F69" s="360">
        <f t="shared" ref="F69:F132" ca="1" si="15">IF(YEAR(D69)=2025,40000,IF(YEAR(D69)=2026,40000,IF(YEAR(D69)=2027,40000,IF(YEAR(D69)=2028,40000,IF(YEAR(D69)=2029,40000,IF(YEAR(D69)=2030,50000,IF(YEAR(D69)=2031,50000,IF(YEAR(D69)=2032,50000,IF(YEAR(D69)=2033,50000,IF(YEAR(D69)=2034,50000,IF(YEAR(D69)&gt;=2035,60000,0)))))))))))/1000</f>
        <v>50</v>
      </c>
      <c r="G69" s="290">
        <f ca="1">KTVTUCOI!P68</f>
        <v>0.3814746480924982</v>
      </c>
      <c r="H69" s="295">
        <f ca="1">(H68-F69-G69)*(1+LS!$F$3)</f>
        <v>-3264.1138470710684</v>
      </c>
      <c r="I69" s="948"/>
      <c r="J69" s="296">
        <f t="shared" ref="J69:J132" ca="1" si="16">H69</f>
        <v>-3264.1138470710684</v>
      </c>
      <c r="K69" s="949"/>
      <c r="L69" s="949"/>
      <c r="M69" s="949"/>
      <c r="N69" s="950"/>
      <c r="O69" s="950"/>
      <c r="X69" s="945"/>
      <c r="Y69" s="945"/>
    </row>
    <row r="70" spans="2:25" ht="9.75" customHeight="1">
      <c r="B70" s="946"/>
      <c r="C70" s="946"/>
      <c r="D70" s="294">
        <f t="shared" ca="1" si="14"/>
        <v>48239</v>
      </c>
      <c r="E70" s="359">
        <f t="shared" ref="E70:E133" si="17">E69</f>
        <v>0</v>
      </c>
      <c r="F70" s="360">
        <f t="shared" ca="1" si="15"/>
        <v>50</v>
      </c>
      <c r="G70" s="290">
        <f ca="1">KTVTUCOI!P69</f>
        <v>0.38833782038204245</v>
      </c>
      <c r="H70" s="295">
        <f ca="1">(H69-F70-G70)*(1+LS!$F$3)</f>
        <v>-3326.9475180697164</v>
      </c>
      <c r="I70" s="948"/>
      <c r="J70" s="296">
        <f t="shared" ca="1" si="16"/>
        <v>-3326.9475180697164</v>
      </c>
      <c r="K70" s="949"/>
      <c r="L70" s="949"/>
      <c r="M70" s="949"/>
      <c r="N70" s="950"/>
      <c r="O70" s="950"/>
      <c r="X70" s="945"/>
      <c r="Y70" s="945"/>
    </row>
    <row r="71" spans="2:25" ht="9.75" customHeight="1">
      <c r="B71" s="946"/>
      <c r="C71" s="946"/>
      <c r="D71" s="294">
        <f t="shared" ca="1" si="14"/>
        <v>48270</v>
      </c>
      <c r="E71" s="359">
        <f t="shared" si="17"/>
        <v>0</v>
      </c>
      <c r="F71" s="360">
        <f t="shared" ca="1" si="15"/>
        <v>50</v>
      </c>
      <c r="G71" s="290">
        <f ca="1">KTVTUCOI!P70</f>
        <v>0.39521038363010558</v>
      </c>
      <c r="H71" s="295">
        <f ca="1">(H70-F71-G71)*(1+LS!$F$3)</f>
        <v>-3390.0240160700482</v>
      </c>
      <c r="I71" s="948"/>
      <c r="J71" s="296">
        <f t="shared" ca="1" si="16"/>
        <v>-3390.0240160700482</v>
      </c>
      <c r="K71" s="949"/>
      <c r="L71" s="949"/>
      <c r="M71" s="949"/>
      <c r="N71" s="950"/>
      <c r="O71" s="950"/>
      <c r="X71" s="945"/>
      <c r="Y71" s="945"/>
    </row>
    <row r="72" spans="2:25" ht="9.75" customHeight="1">
      <c r="B72" s="946"/>
      <c r="C72" s="946"/>
      <c r="D72" s="294">
        <f t="shared" ca="1" si="14"/>
        <v>48299</v>
      </c>
      <c r="E72" s="359">
        <f t="shared" si="17"/>
        <v>0</v>
      </c>
      <c r="F72" s="360">
        <f t="shared" ca="1" si="15"/>
        <v>50</v>
      </c>
      <c r="G72" s="290">
        <f ca="1">KTVTUCOI!P71</f>
        <v>0.40209235068644555</v>
      </c>
      <c r="H72" s="295">
        <f ca="1">(H71-F72-G72)*(1+LS!$F$3)</f>
        <v>-3453.3442622809662</v>
      </c>
      <c r="I72" s="948"/>
      <c r="J72" s="296">
        <f t="shared" ca="1" si="16"/>
        <v>-3453.3442622809662</v>
      </c>
      <c r="K72" s="949"/>
      <c r="L72" s="949"/>
      <c r="M72" s="949"/>
      <c r="N72" s="950"/>
      <c r="O72" s="950"/>
      <c r="X72" s="945"/>
      <c r="Y72" s="945"/>
    </row>
    <row r="73" spans="2:25" ht="9.75" customHeight="1">
      <c r="B73" s="946"/>
      <c r="C73" s="946"/>
      <c r="D73" s="294">
        <f t="shared" ca="1" si="14"/>
        <v>48330</v>
      </c>
      <c r="E73" s="359">
        <f t="shared" si="17"/>
        <v>0</v>
      </c>
      <c r="F73" s="360">
        <f t="shared" ca="1" si="15"/>
        <v>50</v>
      </c>
      <c r="G73" s="290">
        <f ca="1">KTVTUCOI!P72</f>
        <v>0.40898373441840263</v>
      </c>
      <c r="H73" s="295">
        <f ca="1">(H72-F73-G73)*(1+LS!$F$3)</f>
        <v>-3516.9091813832538</v>
      </c>
      <c r="I73" s="948"/>
      <c r="J73" s="296">
        <f t="shared" ca="1" si="16"/>
        <v>-3516.9091813832538</v>
      </c>
      <c r="K73" s="949"/>
      <c r="L73" s="949"/>
      <c r="M73" s="949"/>
      <c r="N73" s="950"/>
      <c r="O73" s="950"/>
      <c r="X73" s="945"/>
      <c r="Y73" s="945"/>
    </row>
    <row r="74" spans="2:25" ht="9.75" customHeight="1">
      <c r="B74" s="946"/>
      <c r="C74" s="946"/>
      <c r="D74" s="294">
        <f t="shared" ca="1" si="14"/>
        <v>48360</v>
      </c>
      <c r="E74" s="359">
        <f t="shared" si="17"/>
        <v>0</v>
      </c>
      <c r="F74" s="360">
        <f t="shared" ca="1" si="15"/>
        <v>50</v>
      </c>
      <c r="G74" s="290">
        <f ca="1">KTVTUCOI!P73</f>
        <v>0.41588454771092365</v>
      </c>
      <c r="H74" s="295">
        <f ca="1">(H73-F74-G74)*(1+LS!$F$3)</f>
        <v>-3580.7197015426304</v>
      </c>
      <c r="I74" s="948"/>
      <c r="J74" s="296">
        <f t="shared" ca="1" si="16"/>
        <v>-3580.7197015426304</v>
      </c>
      <c r="K74" s="949"/>
      <c r="L74" s="949"/>
      <c r="M74" s="949"/>
      <c r="N74" s="950"/>
      <c r="O74" s="950"/>
      <c r="X74" s="945"/>
      <c r="Y74" s="945"/>
    </row>
    <row r="75" spans="2:25" ht="9.75" customHeight="1">
      <c r="B75" s="946"/>
      <c r="C75" s="946"/>
      <c r="D75" s="294">
        <f t="shared" ca="1" si="14"/>
        <v>48391</v>
      </c>
      <c r="E75" s="359">
        <f t="shared" si="17"/>
        <v>0</v>
      </c>
      <c r="F75" s="360">
        <f t="shared" ca="1" si="15"/>
        <v>50</v>
      </c>
      <c r="G75" s="290">
        <f ca="1">KTVTUCOI!P74</f>
        <v>0.42279480346658599</v>
      </c>
      <c r="H75" s="295">
        <f ca="1">(H74-F75-G75)*(1+LS!$F$3)</f>
        <v>-3644.776754422855</v>
      </c>
      <c r="I75" s="948"/>
      <c r="J75" s="297">
        <f ca="1">H75+I64</f>
        <v>-3644.776754422855</v>
      </c>
      <c r="K75" s="949"/>
      <c r="L75" s="949"/>
      <c r="M75" s="949"/>
      <c r="N75" s="950"/>
      <c r="O75" s="950"/>
      <c r="X75" s="945"/>
      <c r="Y75" s="945"/>
    </row>
    <row r="76" spans="2:25" ht="9.75" customHeight="1">
      <c r="B76" s="951">
        <f>B64+1</f>
        <v>7</v>
      </c>
      <c r="C76" s="952">
        <f ca="1">C64+1</f>
        <v>36</v>
      </c>
      <c r="D76" s="287">
        <f t="shared" ca="1" si="14"/>
        <v>48421</v>
      </c>
      <c r="E76" s="359">
        <f t="shared" si="17"/>
        <v>0</v>
      </c>
      <c r="F76" s="289">
        <f t="shared" ca="1" si="15"/>
        <v>50</v>
      </c>
      <c r="G76" s="290">
        <f ca="1">KTVTUCOI!P75</f>
        <v>0.45798520635599188</v>
      </c>
      <c r="H76" s="290">
        <f ca="1">(H75+KTVBVGTTKMH!F57-F76-G76)*(1+LS!$F$3)</f>
        <v>-3709.1096520417655</v>
      </c>
      <c r="I76" s="953"/>
      <c r="J76" s="292">
        <f t="shared" ca="1" si="16"/>
        <v>-3709.1096520417655</v>
      </c>
      <c r="K76" s="949">
        <f ca="1">J87</f>
        <v>-4433.4135347200699</v>
      </c>
      <c r="L76" s="949"/>
      <c r="M76" s="949"/>
      <c r="N76" s="950">
        <f t="shared" ref="N76" ca="1" si="18">SUM(G76:G87)</f>
        <v>5.9857325220498145</v>
      </c>
      <c r="O76" s="950"/>
      <c r="X76" s="945">
        <f t="shared" ref="X76:Y76" ca="1" si="19">SUM(F76:F87)</f>
        <v>600</v>
      </c>
      <c r="Y76" s="945">
        <f t="shared" ca="1" si="19"/>
        <v>5.9857325220498145</v>
      </c>
    </row>
    <row r="77" spans="2:25" ht="9.75" customHeight="1">
      <c r="B77" s="951"/>
      <c r="C77" s="951"/>
      <c r="D77" s="287">
        <f t="shared" ca="1" si="14"/>
        <v>48452</v>
      </c>
      <c r="E77" s="359">
        <f t="shared" si="17"/>
        <v>0</v>
      </c>
      <c r="F77" s="289">
        <f t="shared" ca="1" si="15"/>
        <v>50</v>
      </c>
      <c r="G77" s="290">
        <f ca="1">KTVTUCOI!P76</f>
        <v>0.46537407416764848</v>
      </c>
      <c r="H77" s="290">
        <f ca="1">(H76-F77-G77)*(1+LS!$F$3)</f>
        <v>-3773.6915242199261</v>
      </c>
      <c r="I77" s="953"/>
      <c r="J77" s="292">
        <f t="shared" ca="1" si="16"/>
        <v>-3773.6915242199261</v>
      </c>
      <c r="K77" s="949"/>
      <c r="L77" s="949"/>
      <c r="M77" s="949"/>
      <c r="N77" s="950"/>
      <c r="O77" s="950"/>
      <c r="X77" s="945"/>
      <c r="Y77" s="945"/>
    </row>
    <row r="78" spans="2:25" ht="9.75" customHeight="1">
      <c r="B78" s="951"/>
      <c r="C78" s="951"/>
      <c r="D78" s="287">
        <f t="shared" ca="1" si="14"/>
        <v>48483</v>
      </c>
      <c r="E78" s="359">
        <f t="shared" si="17"/>
        <v>0</v>
      </c>
      <c r="F78" s="289">
        <f t="shared" ca="1" si="15"/>
        <v>50</v>
      </c>
      <c r="G78" s="290">
        <f ca="1">KTVTUCOI!P77</f>
        <v>0.47277311390346677</v>
      </c>
      <c r="H78" s="290">
        <f ca="1">(H77-F78-G78)*(1+LS!$F$3)</f>
        <v>-3838.5233160201628</v>
      </c>
      <c r="I78" s="953"/>
      <c r="J78" s="292">
        <f t="shared" ca="1" si="16"/>
        <v>-3838.5233160201628</v>
      </c>
      <c r="K78" s="949"/>
      <c r="L78" s="949"/>
      <c r="M78" s="949"/>
      <c r="N78" s="950"/>
      <c r="O78" s="950"/>
      <c r="X78" s="945"/>
      <c r="Y78" s="945"/>
    </row>
    <row r="79" spans="2:25" ht="9.75" customHeight="1">
      <c r="B79" s="951"/>
      <c r="C79" s="951"/>
      <c r="D79" s="287">
        <f t="shared" ca="1" si="14"/>
        <v>48513</v>
      </c>
      <c r="E79" s="359">
        <f t="shared" si="17"/>
        <v>0</v>
      </c>
      <c r="F79" s="289">
        <f t="shared" ca="1" si="15"/>
        <v>50</v>
      </c>
      <c r="G79" s="290">
        <f ca="1">KTVTUCOI!P78</f>
        <v>0.48018233956668027</v>
      </c>
      <c r="H79" s="290">
        <f ca="1">(H78-F79-G79)*(1+LS!$F$3)</f>
        <v>-3903.6059760678904</v>
      </c>
      <c r="I79" s="953"/>
      <c r="J79" s="292">
        <f t="shared" ca="1" si="16"/>
        <v>-3903.6059760678904</v>
      </c>
      <c r="K79" s="949"/>
      <c r="L79" s="949"/>
      <c r="M79" s="949"/>
      <c r="N79" s="950"/>
      <c r="O79" s="950"/>
      <c r="X79" s="945"/>
      <c r="Y79" s="945"/>
    </row>
    <row r="80" spans="2:25" ht="9.75" customHeight="1">
      <c r="B80" s="951"/>
      <c r="C80" s="951"/>
      <c r="D80" s="287">
        <f t="shared" ca="1" si="14"/>
        <v>48544</v>
      </c>
      <c r="E80" s="359">
        <f t="shared" si="17"/>
        <v>0</v>
      </c>
      <c r="F80" s="289">
        <f t="shared" ca="1" si="15"/>
        <v>50</v>
      </c>
      <c r="G80" s="290">
        <f ca="1">KTVTUCOI!P79</f>
        <v>0.48760176517979992</v>
      </c>
      <c r="H80" s="290">
        <f ca="1">(H79-F80-G80)*(1+LS!$F$3)</f>
        <v>-3968.94045656451</v>
      </c>
      <c r="I80" s="953"/>
      <c r="J80" s="292">
        <f t="shared" ca="1" si="16"/>
        <v>-3968.94045656451</v>
      </c>
      <c r="K80" s="949"/>
      <c r="L80" s="949"/>
      <c r="M80" s="949"/>
      <c r="N80" s="950"/>
      <c r="O80" s="950"/>
      <c r="X80" s="945"/>
      <c r="Y80" s="945"/>
    </row>
    <row r="81" spans="2:25" ht="9.75" customHeight="1">
      <c r="B81" s="951"/>
      <c r="C81" s="951"/>
      <c r="D81" s="287">
        <f t="shared" ca="1" si="14"/>
        <v>48574</v>
      </c>
      <c r="E81" s="359">
        <f t="shared" si="17"/>
        <v>0</v>
      </c>
      <c r="F81" s="289">
        <f t="shared" ca="1" si="15"/>
        <v>50</v>
      </c>
      <c r="G81" s="290">
        <f ca="1">KTVTUCOI!P80</f>
        <v>0.49503140478464119</v>
      </c>
      <c r="H81" s="290">
        <f ca="1">(H80-F81-G81)*(1+LS!$F$3)</f>
        <v>-4034.5277133008531</v>
      </c>
      <c r="I81" s="953"/>
      <c r="J81" s="292">
        <f t="shared" ca="1" si="16"/>
        <v>-4034.5277133008531</v>
      </c>
      <c r="K81" s="949"/>
      <c r="L81" s="949"/>
      <c r="M81" s="949"/>
      <c r="N81" s="950"/>
      <c r="O81" s="950"/>
      <c r="X81" s="945"/>
      <c r="Y81" s="945"/>
    </row>
    <row r="82" spans="2:25" ht="9.75" customHeight="1">
      <c r="B82" s="951"/>
      <c r="C82" s="951"/>
      <c r="D82" s="287">
        <f t="shared" ca="1" si="14"/>
        <v>48605</v>
      </c>
      <c r="E82" s="359">
        <f t="shared" si="17"/>
        <v>0</v>
      </c>
      <c r="F82" s="289">
        <f t="shared" ca="1" si="15"/>
        <v>50</v>
      </c>
      <c r="G82" s="290">
        <f ca="1">KTVTUCOI!P81</f>
        <v>0.50247127244235013</v>
      </c>
      <c r="H82" s="290">
        <f ca="1">(H81-F82-G82)*(1+LS!$F$3)</f>
        <v>-4100.3687056706813</v>
      </c>
      <c r="I82" s="953"/>
      <c r="J82" s="292">
        <f t="shared" ca="1" si="16"/>
        <v>-4100.3687056706813</v>
      </c>
      <c r="K82" s="949"/>
      <c r="L82" s="949"/>
      <c r="M82" s="949"/>
      <c r="N82" s="950"/>
      <c r="O82" s="950"/>
      <c r="X82" s="945"/>
      <c r="Y82" s="945"/>
    </row>
    <row r="83" spans="2:25" ht="9.75" customHeight="1">
      <c r="B83" s="951"/>
      <c r="C83" s="951"/>
      <c r="D83" s="287">
        <f t="shared" ca="1" si="14"/>
        <v>48636</v>
      </c>
      <c r="E83" s="359">
        <f t="shared" si="17"/>
        <v>0</v>
      </c>
      <c r="F83" s="289">
        <f t="shared" ca="1" si="15"/>
        <v>50</v>
      </c>
      <c r="G83" s="290">
        <f ca="1">KTVTUCOI!P82</f>
        <v>0.50992138223342998</v>
      </c>
      <c r="H83" s="290">
        <f ca="1">(H82-F83-G83)*(1+LS!$F$3)</f>
        <v>-4166.4643966842323</v>
      </c>
      <c r="I83" s="953"/>
      <c r="J83" s="292">
        <f t="shared" ca="1" si="16"/>
        <v>-4166.4643966842323</v>
      </c>
      <c r="K83" s="949"/>
      <c r="L83" s="949"/>
      <c r="M83" s="949"/>
      <c r="N83" s="950"/>
      <c r="O83" s="950"/>
      <c r="X83" s="945"/>
      <c r="Y83" s="945"/>
    </row>
    <row r="84" spans="2:25" ht="9.75" customHeight="1">
      <c r="B84" s="951"/>
      <c r="C84" s="951"/>
      <c r="D84" s="287">
        <f t="shared" ca="1" si="14"/>
        <v>48664</v>
      </c>
      <c r="E84" s="359">
        <f t="shared" si="17"/>
        <v>0</v>
      </c>
      <c r="F84" s="289">
        <f t="shared" ca="1" si="15"/>
        <v>50</v>
      </c>
      <c r="G84" s="290">
        <f ca="1">KTVTUCOI!P83</f>
        <v>0.51738174825776795</v>
      </c>
      <c r="H84" s="290">
        <f ca="1">(H83-F84-G84)*(1+LS!$F$3)</f>
        <v>-4232.8157529818191</v>
      </c>
      <c r="I84" s="953"/>
      <c r="J84" s="292">
        <f t="shared" ca="1" si="16"/>
        <v>-4232.8157529818191</v>
      </c>
      <c r="K84" s="949"/>
      <c r="L84" s="949"/>
      <c r="M84" s="949"/>
      <c r="N84" s="950"/>
      <c r="O84" s="950"/>
      <c r="X84" s="945"/>
      <c r="Y84" s="945"/>
    </row>
    <row r="85" spans="2:25" ht="9.75" customHeight="1">
      <c r="B85" s="951"/>
      <c r="C85" s="951"/>
      <c r="D85" s="287">
        <f t="shared" ca="1" si="14"/>
        <v>48695</v>
      </c>
      <c r="E85" s="359">
        <f t="shared" si="17"/>
        <v>0</v>
      </c>
      <c r="F85" s="289">
        <f t="shared" ca="1" si="15"/>
        <v>50</v>
      </c>
      <c r="G85" s="290">
        <f ca="1">KTVTUCOI!P84</f>
        <v>0.52485238463466244</v>
      </c>
      <c r="H85" s="290">
        <f ca="1">(H84-F85-G85)*(1+LS!$F$3)</f>
        <v>-4299.4237448474814</v>
      </c>
      <c r="I85" s="953"/>
      <c r="J85" s="292">
        <f t="shared" ca="1" si="16"/>
        <v>-4299.4237448474814</v>
      </c>
      <c r="K85" s="949"/>
      <c r="L85" s="949"/>
      <c r="M85" s="949"/>
      <c r="N85" s="950"/>
      <c r="O85" s="950"/>
      <c r="X85" s="945"/>
      <c r="Y85" s="945"/>
    </row>
    <row r="86" spans="2:25" ht="9.75" customHeight="1">
      <c r="B86" s="951"/>
      <c r="C86" s="951"/>
      <c r="D86" s="287">
        <f t="shared" ca="1" si="14"/>
        <v>48725</v>
      </c>
      <c r="E86" s="359">
        <f t="shared" si="17"/>
        <v>0</v>
      </c>
      <c r="F86" s="289">
        <f t="shared" ca="1" si="15"/>
        <v>50</v>
      </c>
      <c r="G86" s="290">
        <f ca="1">KTVTUCOI!P85</f>
        <v>0.53233330550284863</v>
      </c>
      <c r="H86" s="290">
        <f ca="1">(H85-F86-G86)*(1+LS!$F$3)</f>
        <v>-4366.2893462226839</v>
      </c>
      <c r="I86" s="953"/>
      <c r="J86" s="292">
        <f t="shared" ca="1" si="16"/>
        <v>-4366.2893462226839</v>
      </c>
      <c r="K86" s="949"/>
      <c r="L86" s="949"/>
      <c r="M86" s="949"/>
      <c r="N86" s="950"/>
      <c r="O86" s="950"/>
      <c r="X86" s="945"/>
      <c r="Y86" s="945"/>
    </row>
    <row r="87" spans="2:25" ht="9.75" customHeight="1">
      <c r="B87" s="951"/>
      <c r="C87" s="951"/>
      <c r="D87" s="287">
        <f t="shared" ca="1" si="14"/>
        <v>48756</v>
      </c>
      <c r="E87" s="359">
        <f t="shared" si="17"/>
        <v>0</v>
      </c>
      <c r="F87" s="289">
        <f t="shared" ca="1" si="15"/>
        <v>50</v>
      </c>
      <c r="G87" s="290">
        <f ca="1">KTVTUCOI!P86</f>
        <v>0.53982452502052636</v>
      </c>
      <c r="H87" s="290">
        <f ca="1">(H86-F87-G87)*(1+LS!$F$3)</f>
        <v>-4433.4135347200699</v>
      </c>
      <c r="I87" s="953"/>
      <c r="J87" s="293">
        <f ca="1">H87+I76</f>
        <v>-4433.4135347200699</v>
      </c>
      <c r="K87" s="949"/>
      <c r="L87" s="949"/>
      <c r="M87" s="949"/>
      <c r="N87" s="950"/>
      <c r="O87" s="950"/>
      <c r="X87" s="945"/>
      <c r="Y87" s="945"/>
    </row>
    <row r="88" spans="2:25" ht="9.75" customHeight="1">
      <c r="B88" s="946">
        <f>B76+1</f>
        <v>8</v>
      </c>
      <c r="C88" s="947">
        <f ca="1">C76+1</f>
        <v>37</v>
      </c>
      <c r="D88" s="294">
        <f t="shared" ca="1" si="14"/>
        <v>48786</v>
      </c>
      <c r="E88" s="359">
        <f t="shared" si="17"/>
        <v>0</v>
      </c>
      <c r="F88" s="360">
        <f t="shared" ca="1" si="15"/>
        <v>50</v>
      </c>
      <c r="G88" s="290">
        <f ca="1">KTVTUCOI!P87</f>
        <v>0.58786872828134029</v>
      </c>
      <c r="H88" s="295">
        <f ca="1">(H87+KTVBVGTTKMH!F80-F88-G88)*(1+LS!$F$3)</f>
        <v>-4500.8379865382958</v>
      </c>
      <c r="I88" s="948"/>
      <c r="J88" s="296">
        <f t="shared" ca="1" si="16"/>
        <v>-4500.8379865382958</v>
      </c>
      <c r="K88" s="949">
        <f ca="1">J99</f>
        <v>-5259.9709798538915</v>
      </c>
      <c r="L88" s="949"/>
      <c r="M88" s="949"/>
      <c r="N88" s="950">
        <f t="shared" ref="N88" ca="1" si="20">SUM(G88:G99)</f>
        <v>7.5897914456429341</v>
      </c>
      <c r="O88" s="950"/>
      <c r="X88" s="945">
        <f t="shared" ref="X88:Y88" ca="1" si="21">SUM(F88:F99)</f>
        <v>600</v>
      </c>
      <c r="Y88" s="945">
        <f t="shared" ca="1" si="21"/>
        <v>7.5897914456429341</v>
      </c>
    </row>
    <row r="89" spans="2:25" ht="9.75" customHeight="1">
      <c r="B89" s="946"/>
      <c r="C89" s="946"/>
      <c r="D89" s="294">
        <f t="shared" ca="1" si="14"/>
        <v>48817</v>
      </c>
      <c r="E89" s="359">
        <f t="shared" si="17"/>
        <v>0</v>
      </c>
      <c r="F89" s="360">
        <f t="shared" ca="1" si="15"/>
        <v>50</v>
      </c>
      <c r="G89" s="290">
        <f ca="1">KTVTUCOI!P88</f>
        <v>0.59594290766354308</v>
      </c>
      <c r="H89" s="295">
        <f ca="1">(H88-F89-G89)*(1+LS!$F$3)</f>
        <v>-4568.5237090059254</v>
      </c>
      <c r="I89" s="948"/>
      <c r="J89" s="296">
        <f t="shared" ca="1" si="16"/>
        <v>-4568.5237090059254</v>
      </c>
      <c r="K89" s="949"/>
      <c r="L89" s="949"/>
      <c r="M89" s="949"/>
      <c r="N89" s="950"/>
      <c r="O89" s="950"/>
      <c r="X89" s="945"/>
      <c r="Y89" s="945"/>
    </row>
    <row r="90" spans="2:25" ht="9.75" customHeight="1">
      <c r="B90" s="946"/>
      <c r="C90" s="946"/>
      <c r="D90" s="294">
        <f t="shared" ca="1" si="14"/>
        <v>48848</v>
      </c>
      <c r="E90" s="359">
        <f t="shared" si="17"/>
        <v>0</v>
      </c>
      <c r="F90" s="360">
        <f t="shared" ca="1" si="15"/>
        <v>50</v>
      </c>
      <c r="G90" s="290">
        <f ca="1">KTVTUCOI!P89</f>
        <v>0.60402828324975888</v>
      </c>
      <c r="H90" s="295">
        <f ca="1">(H89-F90-G90)*(1+LS!$F$3)</f>
        <v>-4636.4716943834192</v>
      </c>
      <c r="I90" s="948"/>
      <c r="J90" s="296">
        <f t="shared" ca="1" si="16"/>
        <v>-4636.4716943834192</v>
      </c>
      <c r="K90" s="949"/>
      <c r="L90" s="949"/>
      <c r="M90" s="949"/>
      <c r="N90" s="950"/>
      <c r="O90" s="950"/>
      <c r="X90" s="945"/>
      <c r="Y90" s="945"/>
    </row>
    <row r="91" spans="2:25" ht="9.75" customHeight="1">
      <c r="B91" s="946"/>
      <c r="C91" s="946"/>
      <c r="D91" s="294">
        <f t="shared" ca="1" si="14"/>
        <v>48878</v>
      </c>
      <c r="E91" s="359">
        <f t="shared" si="17"/>
        <v>0</v>
      </c>
      <c r="F91" s="360">
        <f t="shared" ca="1" si="15"/>
        <v>50</v>
      </c>
      <c r="G91" s="290">
        <f ca="1">KTVTUCOI!P90</f>
        <v>0.61212487056540255</v>
      </c>
      <c r="H91" s="295">
        <f ca="1">(H90-F91-G91)*(1+LS!$F$3)</f>
        <v>-4704.6829386725731</v>
      </c>
      <c r="I91" s="948"/>
      <c r="J91" s="296">
        <f t="shared" ca="1" si="16"/>
        <v>-4704.6829386725731</v>
      </c>
      <c r="K91" s="949"/>
      <c r="L91" s="949"/>
      <c r="M91" s="949"/>
      <c r="N91" s="950"/>
      <c r="O91" s="950"/>
      <c r="X91" s="945"/>
      <c r="Y91" s="945"/>
    </row>
    <row r="92" spans="2:25" ht="9.75" customHeight="1">
      <c r="B92" s="946"/>
      <c r="C92" s="946"/>
      <c r="D92" s="294">
        <f t="shared" ca="1" si="14"/>
        <v>48909</v>
      </c>
      <c r="E92" s="359">
        <f t="shared" si="17"/>
        <v>0</v>
      </c>
      <c r="F92" s="360">
        <f t="shared" ca="1" si="15"/>
        <v>50</v>
      </c>
      <c r="G92" s="290">
        <f ca="1">KTVTUCOI!P91</f>
        <v>0.62023268515741758</v>
      </c>
      <c r="H92" s="295">
        <f ca="1">(H91-F92-G92)*(1+LS!$F$3)</f>
        <v>-4773.1584416305868</v>
      </c>
      <c r="I92" s="948"/>
      <c r="J92" s="296">
        <f t="shared" ca="1" si="16"/>
        <v>-4773.1584416305868</v>
      </c>
      <c r="K92" s="949"/>
      <c r="L92" s="949"/>
      <c r="M92" s="949"/>
      <c r="N92" s="950"/>
      <c r="O92" s="950"/>
      <c r="X92" s="945"/>
      <c r="Y92" s="945"/>
    </row>
    <row r="93" spans="2:25" ht="9.75" customHeight="1">
      <c r="B93" s="946"/>
      <c r="C93" s="946"/>
      <c r="D93" s="294">
        <f t="shared" ca="1" si="14"/>
        <v>48939</v>
      </c>
      <c r="E93" s="359">
        <f t="shared" si="17"/>
        <v>0</v>
      </c>
      <c r="F93" s="360">
        <f t="shared" ca="1" si="15"/>
        <v>50</v>
      </c>
      <c r="G93" s="290">
        <f ca="1">KTVTUCOI!P92</f>
        <v>0.62835174259430548</v>
      </c>
      <c r="H93" s="295">
        <f ca="1">(H92-F93-G93)*(1+LS!$F$3)</f>
        <v>-4841.8992067841909</v>
      </c>
      <c r="I93" s="948"/>
      <c r="J93" s="296">
        <f t="shared" ca="1" si="16"/>
        <v>-4841.8992067841909</v>
      </c>
      <c r="K93" s="949"/>
      <c r="L93" s="949"/>
      <c r="M93" s="949"/>
      <c r="N93" s="950"/>
      <c r="O93" s="950"/>
      <c r="X93" s="945"/>
      <c r="Y93" s="945"/>
    </row>
    <row r="94" spans="2:25" ht="9.75" customHeight="1">
      <c r="B94" s="946"/>
      <c r="C94" s="946"/>
      <c r="D94" s="294">
        <f t="shared" ca="1" si="14"/>
        <v>48970</v>
      </c>
      <c r="E94" s="359">
        <f t="shared" si="17"/>
        <v>0</v>
      </c>
      <c r="F94" s="360">
        <f t="shared" ca="1" si="15"/>
        <v>50</v>
      </c>
      <c r="G94" s="290">
        <f ca="1">KTVTUCOI!P93</f>
        <v>0.63648205846615691</v>
      </c>
      <c r="H94" s="295">
        <f ca="1">(H93-F94-G94)*(1+LS!$F$3)</f>
        <v>-4910.9062414438158</v>
      </c>
      <c r="I94" s="948"/>
      <c r="J94" s="296">
        <f t="shared" ca="1" si="16"/>
        <v>-4910.9062414438158</v>
      </c>
      <c r="K94" s="949"/>
      <c r="L94" s="949"/>
      <c r="M94" s="949"/>
      <c r="N94" s="950"/>
      <c r="O94" s="950"/>
      <c r="X94" s="945"/>
      <c r="Y94" s="945"/>
    </row>
    <row r="95" spans="2:25" ht="9.75" customHeight="1">
      <c r="B95" s="946"/>
      <c r="C95" s="946"/>
      <c r="D95" s="294">
        <f t="shared" ca="1" si="14"/>
        <v>49001</v>
      </c>
      <c r="E95" s="359">
        <f t="shared" si="17"/>
        <v>0</v>
      </c>
      <c r="F95" s="360">
        <f t="shared" ca="1" si="15"/>
        <v>50</v>
      </c>
      <c r="G95" s="290">
        <f ca="1">KTVTUCOI!P94</f>
        <v>0.64462364838468011</v>
      </c>
      <c r="H95" s="295">
        <f ca="1">(H94-F95-G95)*(1+LS!$F$3)</f>
        <v>-4980.1805567178244</v>
      </c>
      <c r="I95" s="948"/>
      <c r="J95" s="296">
        <f t="shared" ca="1" si="16"/>
        <v>-4980.1805567178244</v>
      </c>
      <c r="K95" s="949"/>
      <c r="L95" s="949"/>
      <c r="M95" s="949"/>
      <c r="N95" s="950"/>
      <c r="O95" s="950"/>
      <c r="X95" s="945"/>
      <c r="Y95" s="945"/>
    </row>
    <row r="96" spans="2:25" ht="9.75" customHeight="1">
      <c r="B96" s="946"/>
      <c r="C96" s="946"/>
      <c r="D96" s="294">
        <f t="shared" ca="1" si="14"/>
        <v>49029</v>
      </c>
      <c r="E96" s="359">
        <f t="shared" si="17"/>
        <v>0</v>
      </c>
      <c r="F96" s="360">
        <f t="shared" ca="1" si="15"/>
        <v>50</v>
      </c>
      <c r="G96" s="290">
        <f ca="1">KTVTUCOI!P95</f>
        <v>0.65277652798323182</v>
      </c>
      <c r="H96" s="295">
        <f ca="1">(H95-F96-G96)*(1+LS!$F$3)</f>
        <v>-5049.7231675267949</v>
      </c>
      <c r="I96" s="948"/>
      <c r="J96" s="296">
        <f t="shared" ca="1" si="16"/>
        <v>-5049.7231675267949</v>
      </c>
      <c r="K96" s="949"/>
      <c r="L96" s="949"/>
      <c r="M96" s="949"/>
      <c r="N96" s="950"/>
      <c r="O96" s="950"/>
      <c r="X96" s="945"/>
      <c r="Y96" s="945"/>
    </row>
    <row r="97" spans="2:25" ht="9.75" customHeight="1">
      <c r="B97" s="946"/>
      <c r="C97" s="946"/>
      <c r="D97" s="294">
        <f t="shared" ca="1" si="14"/>
        <v>49060</v>
      </c>
      <c r="E97" s="359">
        <f t="shared" si="17"/>
        <v>0</v>
      </c>
      <c r="F97" s="360">
        <f t="shared" ca="1" si="15"/>
        <v>50</v>
      </c>
      <c r="G97" s="290">
        <f ca="1">KTVTUCOI!P96</f>
        <v>0.66094071291684708</v>
      </c>
      <c r="H97" s="295">
        <f ca="1">(H96-F97-G97)*(1+LS!$F$3)</f>
        <v>-5119.5350926178544</v>
      </c>
      <c r="I97" s="948"/>
      <c r="J97" s="296">
        <f t="shared" ca="1" si="16"/>
        <v>-5119.5350926178544</v>
      </c>
      <c r="K97" s="949"/>
      <c r="L97" s="949"/>
      <c r="M97" s="949"/>
      <c r="N97" s="950"/>
      <c r="O97" s="950"/>
      <c r="X97" s="945"/>
      <c r="Y97" s="945"/>
    </row>
    <row r="98" spans="2:25" ht="9.75" customHeight="1">
      <c r="B98" s="946"/>
      <c r="C98" s="946"/>
      <c r="D98" s="294">
        <f t="shared" ca="1" si="14"/>
        <v>49090</v>
      </c>
      <c r="E98" s="359">
        <f t="shared" si="17"/>
        <v>0</v>
      </c>
      <c r="F98" s="360">
        <f t="shared" ca="1" si="15"/>
        <v>50</v>
      </c>
      <c r="G98" s="290">
        <f ca="1">KTVTUCOI!P97</f>
        <v>0.66911621886226946</v>
      </c>
      <c r="H98" s="295">
        <f ca="1">(H97-F98-G98)*(1+LS!$F$3)</f>
        <v>-5189.6173545790698</v>
      </c>
      <c r="I98" s="948"/>
      <c r="J98" s="296">
        <f t="shared" ca="1" si="16"/>
        <v>-5189.6173545790698</v>
      </c>
      <c r="K98" s="949"/>
      <c r="L98" s="949"/>
      <c r="M98" s="949"/>
      <c r="N98" s="950"/>
      <c r="O98" s="950"/>
      <c r="X98" s="945"/>
      <c r="Y98" s="945"/>
    </row>
    <row r="99" spans="2:25" ht="9.75" customHeight="1">
      <c r="B99" s="946"/>
      <c r="C99" s="946"/>
      <c r="D99" s="294">
        <f t="shared" ca="1" si="14"/>
        <v>49121</v>
      </c>
      <c r="E99" s="359">
        <f t="shared" si="17"/>
        <v>0</v>
      </c>
      <c r="F99" s="360">
        <f t="shared" ca="1" si="15"/>
        <v>50</v>
      </c>
      <c r="G99" s="290">
        <f ca="1">KTVTUCOI!P98</f>
        <v>0.67730306151798059</v>
      </c>
      <c r="H99" s="295">
        <f ca="1">(H98-F99-G99)*(1+LS!$F$3)</f>
        <v>-5259.9709798538915</v>
      </c>
      <c r="I99" s="948"/>
      <c r="J99" s="297">
        <f ca="1">H99+I88</f>
        <v>-5259.9709798538915</v>
      </c>
      <c r="K99" s="949"/>
      <c r="L99" s="949"/>
      <c r="M99" s="949"/>
      <c r="N99" s="950"/>
      <c r="O99" s="950"/>
      <c r="X99" s="945"/>
      <c r="Y99" s="945"/>
    </row>
    <row r="100" spans="2:25" ht="9.75" customHeight="1">
      <c r="B100" s="951">
        <f>B88+1</f>
        <v>9</v>
      </c>
      <c r="C100" s="952">
        <f ca="1">C88+1</f>
        <v>38</v>
      </c>
      <c r="D100" s="287">
        <f t="shared" ca="1" si="14"/>
        <v>49151</v>
      </c>
      <c r="E100" s="359">
        <f t="shared" si="17"/>
        <v>0</v>
      </c>
      <c r="F100" s="289">
        <f t="shared" ca="1" si="15"/>
        <v>50</v>
      </c>
      <c r="G100" s="290">
        <f ca="1">KTVTUCOI!P99</f>
        <v>0.74065653012411092</v>
      </c>
      <c r="H100" s="290">
        <f ca="1">(H99+KTVBVGTTKMH!F81-F100-G100)*(1+LS!$F$3)</f>
        <v>-5330.6523611268649</v>
      </c>
      <c r="I100" s="953"/>
      <c r="J100" s="292">
        <f t="shared" ca="1" si="16"/>
        <v>-5330.6523611268649</v>
      </c>
      <c r="K100" s="949">
        <f ca="1">J111</f>
        <v>-6187.300381326867</v>
      </c>
      <c r="L100" s="949"/>
      <c r="M100" s="949"/>
      <c r="N100" s="950">
        <f t="shared" ref="N100" ca="1" si="22">SUM(G100:G111)</f>
        <v>9.5001892965913441</v>
      </c>
      <c r="O100" s="950"/>
      <c r="X100" s="945">
        <f t="shared" ref="X100:Y100" ca="1" si="23">SUM(F100:F111)</f>
        <v>660</v>
      </c>
      <c r="Y100" s="945">
        <f t="shared" ca="1" si="23"/>
        <v>9.5001892965913441</v>
      </c>
    </row>
    <row r="101" spans="2:25" ht="9.75" customHeight="1">
      <c r="B101" s="951"/>
      <c r="C101" s="951"/>
      <c r="D101" s="287">
        <f t="shared" ca="1" si="14"/>
        <v>49182</v>
      </c>
      <c r="E101" s="359">
        <f t="shared" si="17"/>
        <v>0</v>
      </c>
      <c r="F101" s="289">
        <f t="shared" ca="1" si="15"/>
        <v>50</v>
      </c>
      <c r="G101" s="290">
        <f ca="1">KTVTUCOI!P100</f>
        <v>0.74953528467603714</v>
      </c>
      <c r="H101" s="290">
        <f ca="1">(H100-F101-G101)*(1+LS!$F$3)</f>
        <v>-5401.60804980383</v>
      </c>
      <c r="I101" s="953"/>
      <c r="J101" s="292">
        <f t="shared" ca="1" si="16"/>
        <v>-5401.60804980383</v>
      </c>
      <c r="K101" s="949"/>
      <c r="L101" s="949"/>
      <c r="M101" s="949"/>
      <c r="N101" s="950"/>
      <c r="O101" s="950"/>
      <c r="X101" s="945"/>
      <c r="Y101" s="945"/>
    </row>
    <row r="102" spans="2:25" ht="9.75" customHeight="1">
      <c r="B102" s="951"/>
      <c r="C102" s="951"/>
      <c r="D102" s="287">
        <f t="shared" ca="1" si="14"/>
        <v>49213</v>
      </c>
      <c r="E102" s="359">
        <f t="shared" si="17"/>
        <v>0</v>
      </c>
      <c r="F102" s="289">
        <f t="shared" ca="1" si="15"/>
        <v>50</v>
      </c>
      <c r="G102" s="290">
        <f ca="1">KTVTUCOI!P101</f>
        <v>0.75842645482447235</v>
      </c>
      <c r="H102" s="290">
        <f ca="1">(H101-F102-G102)*(1+LS!$F$3)</f>
        <v>-5472.8390883197826</v>
      </c>
      <c r="I102" s="953"/>
      <c r="J102" s="292">
        <f t="shared" ca="1" si="16"/>
        <v>-5472.8390883197826</v>
      </c>
      <c r="K102" s="949"/>
      <c r="L102" s="949"/>
      <c r="M102" s="949"/>
      <c r="N102" s="950"/>
      <c r="O102" s="950"/>
      <c r="X102" s="945"/>
      <c r="Y102" s="945"/>
    </row>
    <row r="103" spans="2:25" ht="9.75" customHeight="1">
      <c r="B103" s="951"/>
      <c r="C103" s="951"/>
      <c r="D103" s="287">
        <f t="shared" ca="1" si="14"/>
        <v>49243</v>
      </c>
      <c r="E103" s="359">
        <f t="shared" si="17"/>
        <v>0</v>
      </c>
      <c r="F103" s="289">
        <f t="shared" ca="1" si="15"/>
        <v>50</v>
      </c>
      <c r="G103" s="290">
        <f ca="1">KTVTUCOI!P102</f>
        <v>0.76733005793075171</v>
      </c>
      <c r="H103" s="290">
        <f ca="1">(H102-F103-G103)*(1+LS!$F$3)</f>
        <v>-5544.3465230412949</v>
      </c>
      <c r="I103" s="953"/>
      <c r="J103" s="292">
        <f t="shared" ca="1" si="16"/>
        <v>-5544.3465230412949</v>
      </c>
      <c r="K103" s="949"/>
      <c r="L103" s="949"/>
      <c r="M103" s="949"/>
      <c r="N103" s="950"/>
      <c r="O103" s="950"/>
      <c r="X103" s="945"/>
      <c r="Y103" s="945"/>
    </row>
    <row r="104" spans="2:25" ht="9.75" customHeight="1">
      <c r="B104" s="951"/>
      <c r="C104" s="951"/>
      <c r="D104" s="287">
        <f t="shared" ca="1" si="14"/>
        <v>49274</v>
      </c>
      <c r="E104" s="359">
        <f t="shared" si="17"/>
        <v>0</v>
      </c>
      <c r="F104" s="289">
        <f t="shared" ca="1" si="15"/>
        <v>50</v>
      </c>
      <c r="G104" s="290">
        <f ca="1">KTVTUCOI!P103</f>
        <v>0.77624611138048827</v>
      </c>
      <c r="H104" s="290">
        <f ca="1">(H103-F104-G104)*(1+LS!$F$3)</f>
        <v>-5616.1314042812983</v>
      </c>
      <c r="I104" s="953"/>
      <c r="J104" s="292">
        <f t="shared" ca="1" si="16"/>
        <v>-5616.1314042812983</v>
      </c>
      <c r="K104" s="949"/>
      <c r="L104" s="949"/>
      <c r="M104" s="949"/>
      <c r="N104" s="950"/>
      <c r="O104" s="950"/>
      <c r="X104" s="945"/>
      <c r="Y104" s="945"/>
    </row>
    <row r="105" spans="2:25" ht="9.75" customHeight="1">
      <c r="B105" s="951"/>
      <c r="C105" s="951"/>
      <c r="D105" s="287">
        <f t="shared" ca="1" si="14"/>
        <v>49304</v>
      </c>
      <c r="E105" s="359">
        <f t="shared" si="17"/>
        <v>0</v>
      </c>
      <c r="F105" s="289">
        <f t="shared" ca="1" si="15"/>
        <v>50</v>
      </c>
      <c r="G105" s="290">
        <f ca="1">KTVTUCOI!P104</f>
        <v>0.78517463258360565</v>
      </c>
      <c r="H105" s="290">
        <f ca="1">(H104-F105-G105)*(1+LS!$F$3)</f>
        <v>-5688.1947863139267</v>
      </c>
      <c r="I105" s="953"/>
      <c r="J105" s="292">
        <f t="shared" ca="1" si="16"/>
        <v>-5688.1947863139267</v>
      </c>
      <c r="K105" s="949"/>
      <c r="L105" s="949"/>
      <c r="M105" s="949"/>
      <c r="N105" s="950"/>
      <c r="O105" s="950"/>
      <c r="X105" s="945"/>
      <c r="Y105" s="945"/>
    </row>
    <row r="106" spans="2:25" ht="9.75" customHeight="1">
      <c r="B106" s="951"/>
      <c r="C106" s="951"/>
      <c r="D106" s="287">
        <f t="shared" ca="1" si="14"/>
        <v>49335</v>
      </c>
      <c r="E106" s="359">
        <f t="shared" si="17"/>
        <v>0</v>
      </c>
      <c r="F106" s="289">
        <f t="shared" ca="1" si="15"/>
        <v>60</v>
      </c>
      <c r="G106" s="290">
        <f ca="1">KTVTUCOI!P105</f>
        <v>0.79411563897437298</v>
      </c>
      <c r="H106" s="290">
        <f ca="1">(H105-F106-G106)*(1+LS!$F$3)</f>
        <v>-5770.575275511228</v>
      </c>
      <c r="I106" s="953"/>
      <c r="J106" s="292">
        <f t="shared" ca="1" si="16"/>
        <v>-5770.575275511228</v>
      </c>
      <c r="K106" s="949"/>
      <c r="L106" s="949"/>
      <c r="M106" s="949"/>
      <c r="N106" s="950"/>
      <c r="O106" s="950"/>
      <c r="X106" s="945"/>
      <c r="Y106" s="945"/>
    </row>
    <row r="107" spans="2:25" ht="9.75" customHeight="1">
      <c r="B107" s="951"/>
      <c r="C107" s="951"/>
      <c r="D107" s="287">
        <f t="shared" ca="1" si="14"/>
        <v>49366</v>
      </c>
      <c r="E107" s="359">
        <f t="shared" si="17"/>
        <v>0</v>
      </c>
      <c r="F107" s="289">
        <f t="shared" ca="1" si="15"/>
        <v>60</v>
      </c>
      <c r="G107" s="290">
        <f ca="1">KTVTUCOI!P106</f>
        <v>0.80463775967552775</v>
      </c>
      <c r="H107" s="290">
        <f ca="1">(H106-F107-G107)*(1+LS!$F$3)</f>
        <v>-5853.2756496021439</v>
      </c>
      <c r="I107" s="953"/>
      <c r="J107" s="292">
        <f t="shared" ca="1" si="16"/>
        <v>-5853.2756496021439</v>
      </c>
      <c r="K107" s="949"/>
      <c r="L107" s="949"/>
      <c r="M107" s="949"/>
      <c r="N107" s="950"/>
      <c r="O107" s="950"/>
      <c r="X107" s="945"/>
      <c r="Y107" s="945"/>
    </row>
    <row r="108" spans="2:25" ht="9.75" customHeight="1">
      <c r="B108" s="951"/>
      <c r="C108" s="951"/>
      <c r="D108" s="287">
        <f t="shared" ca="1" si="14"/>
        <v>49394</v>
      </c>
      <c r="E108" s="359">
        <f t="shared" si="17"/>
        <v>0</v>
      </c>
      <c r="F108" s="289">
        <f t="shared" ca="1" si="15"/>
        <v>60</v>
      </c>
      <c r="G108" s="290">
        <f ca="1">KTVTUCOI!P107</f>
        <v>0.8151745939724101</v>
      </c>
      <c r="H108" s="290">
        <f ca="1">(H107-F108-G108)*(1+LS!$F$3)</f>
        <v>-5936.2971244632126</v>
      </c>
      <c r="I108" s="953"/>
      <c r="J108" s="292">
        <f t="shared" ca="1" si="16"/>
        <v>-5936.2971244632126</v>
      </c>
      <c r="K108" s="949"/>
      <c r="L108" s="949"/>
      <c r="M108" s="949"/>
      <c r="N108" s="950"/>
      <c r="O108" s="950"/>
      <c r="X108" s="945"/>
      <c r="Y108" s="945"/>
    </row>
    <row r="109" spans="2:25" ht="9.75" customHeight="1">
      <c r="B109" s="951"/>
      <c r="C109" s="951"/>
      <c r="D109" s="287">
        <f t="shared" ca="1" si="14"/>
        <v>49425</v>
      </c>
      <c r="E109" s="359">
        <f t="shared" si="17"/>
        <v>0</v>
      </c>
      <c r="F109" s="289">
        <f t="shared" ca="1" si="15"/>
        <v>60</v>
      </c>
      <c r="G109" s="290">
        <f ca="1">KTVTUCOI!P108</f>
        <v>0.82572616243976027</v>
      </c>
      <c r="H109" s="290">
        <f ca="1">(H108-F109-G109)*(1+LS!$F$3)</f>
        <v>-6019.6409205570108</v>
      </c>
      <c r="I109" s="953"/>
      <c r="J109" s="292">
        <f t="shared" ca="1" si="16"/>
        <v>-6019.6409205570108</v>
      </c>
      <c r="K109" s="949"/>
      <c r="L109" s="949"/>
      <c r="M109" s="949"/>
      <c r="N109" s="950"/>
      <c r="O109" s="950"/>
      <c r="X109" s="945"/>
      <c r="Y109" s="945"/>
    </row>
    <row r="110" spans="2:25" ht="9.75" customHeight="1">
      <c r="B110" s="951"/>
      <c r="C110" s="951"/>
      <c r="D110" s="287">
        <f t="shared" ca="1" si="14"/>
        <v>49455</v>
      </c>
      <c r="E110" s="359">
        <f t="shared" si="17"/>
        <v>0</v>
      </c>
      <c r="F110" s="289">
        <f t="shared" ca="1" si="15"/>
        <v>60</v>
      </c>
      <c r="G110" s="290">
        <f ca="1">KTVTUCOI!P109</f>
        <v>0.83629248568108938</v>
      </c>
      <c r="H110" s="290">
        <f ca="1">(H109-F110-G110)*(1+LS!$F$3)</f>
        <v>-6103.3082629494065</v>
      </c>
      <c r="I110" s="953"/>
      <c r="J110" s="292">
        <f t="shared" ca="1" si="16"/>
        <v>-6103.3082629494065</v>
      </c>
      <c r="K110" s="949"/>
      <c r="L110" s="949"/>
      <c r="M110" s="949"/>
      <c r="N110" s="950"/>
      <c r="O110" s="950"/>
      <c r="X110" s="945"/>
      <c r="Y110" s="945"/>
    </row>
    <row r="111" spans="2:25" ht="9.75" customHeight="1">
      <c r="B111" s="951"/>
      <c r="C111" s="951"/>
      <c r="D111" s="287">
        <f t="shared" ca="1" si="14"/>
        <v>49486</v>
      </c>
      <c r="E111" s="359">
        <f t="shared" si="17"/>
        <v>0</v>
      </c>
      <c r="F111" s="289">
        <f t="shared" ca="1" si="15"/>
        <v>60</v>
      </c>
      <c r="G111" s="290">
        <f ca="1">KTVTUCOI!P110</f>
        <v>0.84687358432871884</v>
      </c>
      <c r="H111" s="290">
        <f ca="1">(H110-F111-G111)*(1+LS!$F$3)</f>
        <v>-6187.300381326867</v>
      </c>
      <c r="I111" s="953"/>
      <c r="J111" s="293">
        <f ca="1">H111+I100</f>
        <v>-6187.300381326867</v>
      </c>
      <c r="K111" s="949"/>
      <c r="L111" s="949"/>
      <c r="M111" s="949"/>
      <c r="N111" s="950"/>
      <c r="O111" s="950"/>
      <c r="X111" s="945"/>
      <c r="Y111" s="945"/>
    </row>
    <row r="112" spans="2:25" ht="9.75" customHeight="1">
      <c r="B112" s="946">
        <f>B100+1</f>
        <v>10</v>
      </c>
      <c r="C112" s="947">
        <f ca="1">C100+1</f>
        <v>39</v>
      </c>
      <c r="D112" s="294">
        <f t="shared" ca="1" si="14"/>
        <v>49516</v>
      </c>
      <c r="E112" s="359">
        <f t="shared" si="17"/>
        <v>0</v>
      </c>
      <c r="F112" s="360">
        <f t="shared" ca="1" si="15"/>
        <v>60</v>
      </c>
      <c r="G112" s="290">
        <f ca="1">KTVTUCOI!P111</f>
        <v>0.92588459705263715</v>
      </c>
      <c r="H112" s="295">
        <f ca="1">(H111+KTVBVGTTKMH!F104-F112-G112)*(1+LS!$F$3)</f>
        <v>-6271.6871820177676</v>
      </c>
      <c r="I112" s="948">
        <f ca="1">5%*'Tinh phi QL'!H12/1000</f>
        <v>0</v>
      </c>
      <c r="J112" s="296">
        <f t="shared" ca="1" si="16"/>
        <v>-6271.6871820177676</v>
      </c>
      <c r="K112" s="949">
        <f ca="1">J123</f>
        <v>-7221.8914860289715</v>
      </c>
      <c r="L112" s="949"/>
      <c r="M112" s="949"/>
      <c r="N112" s="950">
        <f t="shared" ref="N112" ca="1" si="24">SUM(G112:G123)</f>
        <v>11.871133639480286</v>
      </c>
      <c r="O112" s="950"/>
      <c r="X112" s="945">
        <f t="shared" ref="X112:Y112" ca="1" si="25">SUM(F112:F123)</f>
        <v>720</v>
      </c>
      <c r="Y112" s="945">
        <f t="shared" ca="1" si="25"/>
        <v>11.871133639480286</v>
      </c>
    </row>
    <row r="113" spans="2:25" ht="9.75" customHeight="1">
      <c r="B113" s="946"/>
      <c r="C113" s="946"/>
      <c r="D113" s="294">
        <f t="shared" ca="1" si="14"/>
        <v>49547</v>
      </c>
      <c r="E113" s="359">
        <f t="shared" si="17"/>
        <v>0</v>
      </c>
      <c r="F113" s="360">
        <f t="shared" ca="1" si="15"/>
        <v>60</v>
      </c>
      <c r="G113" s="290">
        <f ca="1">KTVTUCOI!P112</f>
        <v>0.93735349577079596</v>
      </c>
      <c r="H113" s="295">
        <f ca="1">(H112-F113-G113)*(1+LS!$F$3)</f>
        <v>-6356.4023512581089</v>
      </c>
      <c r="I113" s="948"/>
      <c r="J113" s="296">
        <f t="shared" ca="1" si="16"/>
        <v>-6356.4023512581089</v>
      </c>
      <c r="K113" s="949"/>
      <c r="L113" s="949"/>
      <c r="M113" s="949"/>
      <c r="N113" s="950"/>
      <c r="O113" s="950"/>
      <c r="X113" s="945"/>
      <c r="Y113" s="945"/>
    </row>
    <row r="114" spans="2:25" ht="9.75" customHeight="1">
      <c r="B114" s="946"/>
      <c r="C114" s="946"/>
      <c r="D114" s="294">
        <f t="shared" ca="1" si="14"/>
        <v>49578</v>
      </c>
      <c r="E114" s="359">
        <f t="shared" si="17"/>
        <v>0</v>
      </c>
      <c r="F114" s="360">
        <f t="shared" ca="1" si="15"/>
        <v>60</v>
      </c>
      <c r="G114" s="290">
        <f ca="1">KTVTUCOI!P113</f>
        <v>0.94883857554987994</v>
      </c>
      <c r="H114" s="295">
        <f ca="1">(H113-F114-G114)*(1+LS!$F$3)</f>
        <v>-6441.4471382519396</v>
      </c>
      <c r="I114" s="948"/>
      <c r="J114" s="296">
        <f t="shared" ca="1" si="16"/>
        <v>-6441.4471382519396</v>
      </c>
      <c r="K114" s="949"/>
      <c r="L114" s="949"/>
      <c r="M114" s="949"/>
      <c r="N114" s="950"/>
      <c r="O114" s="950"/>
      <c r="X114" s="945"/>
      <c r="Y114" s="945"/>
    </row>
    <row r="115" spans="2:25" ht="9.75" customHeight="1">
      <c r="B115" s="946"/>
      <c r="C115" s="946"/>
      <c r="D115" s="294">
        <f t="shared" ca="1" si="14"/>
        <v>49608</v>
      </c>
      <c r="E115" s="359">
        <f t="shared" si="17"/>
        <v>0</v>
      </c>
      <c r="F115" s="360">
        <f t="shared" ca="1" si="15"/>
        <v>60</v>
      </c>
      <c r="G115" s="290">
        <f ca="1">KTVTUCOI!P114</f>
        <v>0.9603398592191722</v>
      </c>
      <c r="H115" s="295">
        <f ca="1">(H114-F115-G115)*(1+LS!$F$3)</f>
        <v>-6526.8227969167465</v>
      </c>
      <c r="I115" s="948"/>
      <c r="J115" s="296">
        <f t="shared" ca="1" si="16"/>
        <v>-6526.8227969167465</v>
      </c>
      <c r="K115" s="949"/>
      <c r="L115" s="949"/>
      <c r="M115" s="949"/>
      <c r="N115" s="950"/>
      <c r="O115" s="950"/>
      <c r="X115" s="945"/>
      <c r="Y115" s="945"/>
    </row>
    <row r="116" spans="2:25" ht="9.75" customHeight="1">
      <c r="B116" s="946"/>
      <c r="C116" s="946"/>
      <c r="D116" s="294">
        <f t="shared" ca="1" si="14"/>
        <v>49639</v>
      </c>
      <c r="E116" s="359">
        <f t="shared" si="17"/>
        <v>0</v>
      </c>
      <c r="F116" s="360">
        <f t="shared" ca="1" si="15"/>
        <v>60</v>
      </c>
      <c r="G116" s="290">
        <f ca="1">KTVTUCOI!P115</f>
        <v>0.97185736964016456</v>
      </c>
      <c r="H116" s="295">
        <f ca="1">(H115-F116-G116)*(1+LS!$F$3)</f>
        <v>-6612.5305859011905</v>
      </c>
      <c r="I116" s="948"/>
      <c r="J116" s="296">
        <f t="shared" ca="1" si="16"/>
        <v>-6612.5305859011905</v>
      </c>
      <c r="K116" s="949"/>
      <c r="L116" s="949"/>
      <c r="M116" s="949"/>
      <c r="N116" s="950"/>
      <c r="O116" s="950"/>
      <c r="X116" s="945"/>
      <c r="Y116" s="945"/>
    </row>
    <row r="117" spans="2:25" ht="9.75" customHeight="1">
      <c r="B117" s="946"/>
      <c r="C117" s="946"/>
      <c r="D117" s="294">
        <f t="shared" ca="1" si="14"/>
        <v>49669</v>
      </c>
      <c r="E117" s="359">
        <f t="shared" si="17"/>
        <v>0</v>
      </c>
      <c r="F117" s="360">
        <f t="shared" ca="1" si="15"/>
        <v>60</v>
      </c>
      <c r="G117" s="290">
        <f ca="1">KTVTUCOI!P116</f>
        <v>0.98339112970660303</v>
      </c>
      <c r="H117" s="295">
        <f ca="1">(H116-F117-G117)*(1+LS!$F$3)</f>
        <v>-6698.571768602902</v>
      </c>
      <c r="I117" s="948"/>
      <c r="J117" s="296">
        <f t="shared" ca="1" si="16"/>
        <v>-6698.571768602902</v>
      </c>
      <c r="K117" s="949"/>
      <c r="L117" s="949"/>
      <c r="M117" s="949"/>
      <c r="N117" s="950"/>
      <c r="O117" s="950"/>
      <c r="X117" s="945"/>
      <c r="Y117" s="945"/>
    </row>
    <row r="118" spans="2:25" ht="9.75" customHeight="1">
      <c r="B118" s="946"/>
      <c r="C118" s="946"/>
      <c r="D118" s="294">
        <f t="shared" ca="1" si="14"/>
        <v>49700</v>
      </c>
      <c r="E118" s="359">
        <f t="shared" si="17"/>
        <v>0</v>
      </c>
      <c r="F118" s="360">
        <f t="shared" ca="1" si="15"/>
        <v>60</v>
      </c>
      <c r="G118" s="290">
        <f ca="1">KTVTUCOI!P117</f>
        <v>0.99494116234453445</v>
      </c>
      <c r="H118" s="295">
        <f ca="1">(H117-F118-G118)*(1+LS!$F$3)</f>
        <v>-6784.947613186343</v>
      </c>
      <c r="I118" s="948"/>
      <c r="J118" s="296">
        <f t="shared" ca="1" si="16"/>
        <v>-6784.947613186343</v>
      </c>
      <c r="K118" s="949"/>
      <c r="L118" s="949"/>
      <c r="M118" s="949"/>
      <c r="N118" s="950"/>
      <c r="O118" s="950"/>
      <c r="X118" s="945"/>
      <c r="Y118" s="945"/>
    </row>
    <row r="119" spans="2:25" ht="9.75" customHeight="1">
      <c r="B119" s="946"/>
      <c r="C119" s="946"/>
      <c r="D119" s="294">
        <f t="shared" ca="1" si="14"/>
        <v>49731</v>
      </c>
      <c r="E119" s="359">
        <f t="shared" si="17"/>
        <v>0</v>
      </c>
      <c r="F119" s="360">
        <f t="shared" ca="1" si="15"/>
        <v>60</v>
      </c>
      <c r="G119" s="290">
        <f ca="1">KTVTUCOI!P118</f>
        <v>1.0065074905123501</v>
      </c>
      <c r="H119" s="295">
        <f ca="1">(H118-F119-G119)*(1+LS!$F$3)</f>
        <v>-6871.6593926007408</v>
      </c>
      <c r="I119" s="948"/>
      <c r="J119" s="296">
        <f t="shared" ca="1" si="16"/>
        <v>-6871.6593926007408</v>
      </c>
      <c r="K119" s="949"/>
      <c r="L119" s="949"/>
      <c r="M119" s="949"/>
      <c r="N119" s="950"/>
      <c r="O119" s="950"/>
      <c r="X119" s="945"/>
      <c r="Y119" s="945"/>
    </row>
    <row r="120" spans="2:25" ht="9.75" customHeight="1">
      <c r="B120" s="946"/>
      <c r="C120" s="946"/>
      <c r="D120" s="294">
        <f t="shared" ca="1" si="14"/>
        <v>49760</v>
      </c>
      <c r="E120" s="359">
        <f t="shared" si="17"/>
        <v>0</v>
      </c>
      <c r="F120" s="360">
        <f t="shared" ca="1" si="15"/>
        <v>60</v>
      </c>
      <c r="G120" s="290">
        <f ca="1">KTVTUCOI!P119</f>
        <v>1.0180901372008335</v>
      </c>
      <c r="H120" s="295">
        <f ca="1">(H119-F120-G120)*(1+LS!$F$3)</f>
        <v>-6958.7083845980833</v>
      </c>
      <c r="I120" s="948"/>
      <c r="J120" s="296">
        <f t="shared" ca="1" si="16"/>
        <v>-6958.7083845980833</v>
      </c>
      <c r="K120" s="949"/>
      <c r="L120" s="949"/>
      <c r="M120" s="949"/>
      <c r="N120" s="950"/>
      <c r="O120" s="950"/>
      <c r="X120" s="945"/>
      <c r="Y120" s="945"/>
    </row>
    <row r="121" spans="2:25" ht="9.75" customHeight="1">
      <c r="B121" s="946"/>
      <c r="C121" s="946"/>
      <c r="D121" s="294">
        <f t="shared" ca="1" si="14"/>
        <v>49791</v>
      </c>
      <c r="E121" s="359">
        <f t="shared" si="17"/>
        <v>0</v>
      </c>
      <c r="F121" s="360">
        <f t="shared" ca="1" si="15"/>
        <v>60</v>
      </c>
      <c r="G121" s="290">
        <f ca="1">KTVTUCOI!P120</f>
        <v>1.0296891254332039</v>
      </c>
      <c r="H121" s="295">
        <f ca="1">(H120-F121-G121)*(1+LS!$F$3)</f>
        <v>-7046.0958717511885</v>
      </c>
      <c r="I121" s="948"/>
      <c r="J121" s="296">
        <f t="shared" ca="1" si="16"/>
        <v>-7046.0958717511885</v>
      </c>
      <c r="K121" s="949"/>
      <c r="L121" s="949"/>
      <c r="M121" s="949"/>
      <c r="N121" s="950"/>
      <c r="O121" s="950"/>
      <c r="X121" s="945"/>
      <c r="Y121" s="945"/>
    </row>
    <row r="122" spans="2:25" ht="9.75" customHeight="1">
      <c r="B122" s="946"/>
      <c r="C122" s="946"/>
      <c r="D122" s="294">
        <f t="shared" ca="1" si="14"/>
        <v>49821</v>
      </c>
      <c r="E122" s="359">
        <f t="shared" si="17"/>
        <v>0</v>
      </c>
      <c r="F122" s="360">
        <f t="shared" ca="1" si="15"/>
        <v>60</v>
      </c>
      <c r="G122" s="290">
        <f ca="1">KTVTUCOI!P121</f>
        <v>1.0413044782651646</v>
      </c>
      <c r="H122" s="295">
        <f ca="1">(H121-F122-G122)*(1+LS!$F$3)</f>
        <v>-7133.8231414718366</v>
      </c>
      <c r="I122" s="948"/>
      <c r="J122" s="296">
        <f t="shared" ca="1" si="16"/>
        <v>-7133.8231414718366</v>
      </c>
      <c r="K122" s="949"/>
      <c r="L122" s="949"/>
      <c r="M122" s="949"/>
      <c r="N122" s="950"/>
      <c r="O122" s="950"/>
      <c r="X122" s="945"/>
      <c r="Y122" s="945"/>
    </row>
    <row r="123" spans="2:25" ht="9.75" customHeight="1">
      <c r="B123" s="946"/>
      <c r="C123" s="946"/>
      <c r="D123" s="294">
        <f t="shared" ca="1" si="14"/>
        <v>49852</v>
      </c>
      <c r="E123" s="359">
        <f t="shared" si="17"/>
        <v>0</v>
      </c>
      <c r="F123" s="360">
        <f t="shared" ca="1" si="15"/>
        <v>60</v>
      </c>
      <c r="G123" s="290">
        <f ca="1">KTVTUCOI!P122</f>
        <v>1.0529362187849463</v>
      </c>
      <c r="H123" s="295">
        <f ca="1">(H122-F123-G123)*(1+LS!$F$3)</f>
        <v>-7221.8914860289715</v>
      </c>
      <c r="I123" s="948"/>
      <c r="J123" s="297">
        <f ca="1">H123+I112</f>
        <v>-7221.8914860289715</v>
      </c>
      <c r="K123" s="949"/>
      <c r="L123" s="949"/>
      <c r="M123" s="949"/>
      <c r="N123" s="950"/>
      <c r="O123" s="950"/>
      <c r="X123" s="945"/>
      <c r="Y123" s="945"/>
    </row>
    <row r="124" spans="2:25" ht="9.75" customHeight="1">
      <c r="B124" s="951">
        <f>B112+1</f>
        <v>11</v>
      </c>
      <c r="C124" s="952">
        <f ca="1">C112+1</f>
        <v>40</v>
      </c>
      <c r="D124" s="287">
        <f t="shared" ca="1" si="14"/>
        <v>49882</v>
      </c>
      <c r="E124" s="359">
        <f t="shared" si="17"/>
        <v>0</v>
      </c>
      <c r="F124" s="289">
        <f t="shared" ca="1" si="15"/>
        <v>60</v>
      </c>
      <c r="G124" s="290">
        <f ca="1">KTVTUCOI!P123</f>
        <v>1.1589810137687255</v>
      </c>
      <c r="H124" s="290">
        <f ca="1">(J123+KTVBVGTTKMH!F105-F124-G124)*(1+LS!$F$3)</f>
        <v>-7310.3969536522945</v>
      </c>
      <c r="I124" s="953"/>
      <c r="J124" s="292">
        <f t="shared" ca="1" si="16"/>
        <v>-7310.3969536522945</v>
      </c>
      <c r="K124" s="949">
        <f ca="1">J135</f>
        <v>-8306.9906491878992</v>
      </c>
      <c r="L124" s="949"/>
      <c r="M124" s="949"/>
      <c r="N124" s="950">
        <f t="shared" ref="N124" ca="1" si="26">SUM(G124:G135)</f>
        <v>14.717964955455326</v>
      </c>
      <c r="O124" s="950"/>
      <c r="X124" s="945">
        <f t="shared" ref="X124:Y124" ca="1" si="27">SUM(F124:F135)</f>
        <v>720</v>
      </c>
      <c r="Y124" s="945">
        <f t="shared" ca="1" si="27"/>
        <v>14.717964955455326</v>
      </c>
    </row>
    <row r="125" spans="2:25" ht="9.75" customHeight="1">
      <c r="B125" s="951"/>
      <c r="C125" s="951"/>
      <c r="D125" s="287">
        <f t="shared" ca="1" si="14"/>
        <v>49913</v>
      </c>
      <c r="E125" s="359">
        <f t="shared" si="17"/>
        <v>0</v>
      </c>
      <c r="F125" s="289">
        <f t="shared" ca="1" si="15"/>
        <v>60</v>
      </c>
      <c r="G125" s="290">
        <f ca="1">KTVTUCOI!P124</f>
        <v>1.1712152218209682</v>
      </c>
      <c r="H125" s="290">
        <f ca="1">(H124-F125-G125)*(1+LS!$F$3)</f>
        <v>-7399.247022828753</v>
      </c>
      <c r="I125" s="953"/>
      <c r="J125" s="292">
        <f t="shared" ca="1" si="16"/>
        <v>-7399.247022828753</v>
      </c>
      <c r="K125" s="949"/>
      <c r="L125" s="949"/>
      <c r="M125" s="949"/>
      <c r="N125" s="950"/>
      <c r="O125" s="950"/>
      <c r="X125" s="945"/>
      <c r="Y125" s="945"/>
    </row>
    <row r="126" spans="2:25" ht="9.75" customHeight="1">
      <c r="B126" s="951"/>
      <c r="C126" s="951"/>
      <c r="D126" s="287">
        <f t="shared" ca="1" si="14"/>
        <v>49944</v>
      </c>
      <c r="E126" s="359">
        <f t="shared" si="17"/>
        <v>0</v>
      </c>
      <c r="F126" s="289">
        <f t="shared" ca="1" si="15"/>
        <v>60</v>
      </c>
      <c r="G126" s="290">
        <f ca="1">KTVTUCOI!P125</f>
        <v>1.1834618336174649</v>
      </c>
      <c r="H126" s="290">
        <f ca="1">(H125-F126-G126)*(1+LS!$F$3)</f>
        <v>-7488.442999922775</v>
      </c>
      <c r="I126" s="953"/>
      <c r="J126" s="292">
        <f t="shared" ca="1" si="16"/>
        <v>-7488.442999922775</v>
      </c>
      <c r="K126" s="949"/>
      <c r="L126" s="949"/>
      <c r="M126" s="949"/>
      <c r="N126" s="950"/>
      <c r="O126" s="950"/>
      <c r="X126" s="945"/>
      <c r="Y126" s="945"/>
    </row>
    <row r="127" spans="2:25" ht="9.75" customHeight="1">
      <c r="B127" s="951"/>
      <c r="C127" s="951"/>
      <c r="D127" s="287">
        <f t="shared" ca="1" si="14"/>
        <v>49974</v>
      </c>
      <c r="E127" s="359">
        <f t="shared" si="17"/>
        <v>0</v>
      </c>
      <c r="F127" s="289">
        <f t="shared" ca="1" si="15"/>
        <v>60</v>
      </c>
      <c r="G127" s="290">
        <f ca="1">KTVTUCOI!P126</f>
        <v>1.1957208617338464</v>
      </c>
      <c r="H127" s="290">
        <f ca="1">(H126-F127-G127)*(1+LS!$F$3)</f>
        <v>-7577.9861962165633</v>
      </c>
      <c r="I127" s="953"/>
      <c r="J127" s="292">
        <f t="shared" ca="1" si="16"/>
        <v>-7577.9861962165633</v>
      </c>
      <c r="K127" s="949"/>
      <c r="L127" s="949"/>
      <c r="M127" s="949"/>
      <c r="N127" s="950"/>
      <c r="O127" s="950"/>
      <c r="X127" s="945"/>
      <c r="Y127" s="945"/>
    </row>
    <row r="128" spans="2:25" ht="9.75" customHeight="1">
      <c r="B128" s="951"/>
      <c r="C128" s="951"/>
      <c r="D128" s="287">
        <f t="shared" ca="1" si="14"/>
        <v>50005</v>
      </c>
      <c r="E128" s="359">
        <f t="shared" si="17"/>
        <v>0</v>
      </c>
      <c r="F128" s="289">
        <f t="shared" ca="1" si="15"/>
        <v>60</v>
      </c>
      <c r="G128" s="290">
        <f ca="1">KTVTUCOI!P127</f>
        <v>1.2079923187584918</v>
      </c>
      <c r="H128" s="290">
        <f ca="1">(H127-F128-G128)*(1+LS!$F$3)</f>
        <v>-7667.8779279285754</v>
      </c>
      <c r="I128" s="953"/>
      <c r="J128" s="292">
        <f t="shared" ca="1" si="16"/>
        <v>-7667.8779279285754</v>
      </c>
      <c r="K128" s="949"/>
      <c r="L128" s="949"/>
      <c r="M128" s="949"/>
      <c r="N128" s="950"/>
      <c r="O128" s="950"/>
      <c r="X128" s="945"/>
      <c r="Y128" s="945"/>
    </row>
    <row r="129" spans="2:25" ht="9.75" customHeight="1">
      <c r="B129" s="951"/>
      <c r="C129" s="951"/>
      <c r="D129" s="287">
        <f t="shared" ca="1" si="14"/>
        <v>50035</v>
      </c>
      <c r="E129" s="359">
        <f t="shared" si="17"/>
        <v>0</v>
      </c>
      <c r="F129" s="289">
        <f t="shared" ca="1" si="15"/>
        <v>60</v>
      </c>
      <c r="G129" s="290">
        <f ca="1">KTVTUCOI!P128</f>
        <v>1.2202762172925434</v>
      </c>
      <c r="H129" s="290">
        <f ca="1">(H128-F129-G129)*(1+LS!$F$3)</f>
        <v>-7758.1195162320701</v>
      </c>
      <c r="I129" s="953"/>
      <c r="J129" s="292">
        <f t="shared" ca="1" si="16"/>
        <v>-7758.1195162320701</v>
      </c>
      <c r="K129" s="949"/>
      <c r="L129" s="949"/>
      <c r="M129" s="949"/>
      <c r="N129" s="950"/>
      <c r="O129" s="950"/>
      <c r="X129" s="945"/>
      <c r="Y129" s="945"/>
    </row>
    <row r="130" spans="2:25" ht="9.75" customHeight="1">
      <c r="B130" s="951"/>
      <c r="C130" s="951"/>
      <c r="D130" s="287">
        <f t="shared" ca="1" si="14"/>
        <v>50066</v>
      </c>
      <c r="E130" s="359">
        <f t="shared" si="17"/>
        <v>0</v>
      </c>
      <c r="F130" s="289">
        <f t="shared" ca="1" si="15"/>
        <v>60</v>
      </c>
      <c r="G130" s="290">
        <f ca="1">KTVTUCOI!P129</f>
        <v>1.2325725699499201</v>
      </c>
      <c r="H130" s="290">
        <f ca="1">(H129-F130-G130)*(1+LS!$F$3)</f>
        <v>-7848.7122872737245</v>
      </c>
      <c r="I130" s="953"/>
      <c r="J130" s="292">
        <f t="shared" ca="1" si="16"/>
        <v>-7848.7122872737245</v>
      </c>
      <c r="K130" s="949"/>
      <c r="L130" s="949"/>
      <c r="M130" s="949"/>
      <c r="N130" s="950"/>
      <c r="O130" s="950"/>
      <c r="X130" s="945"/>
      <c r="Y130" s="945"/>
    </row>
    <row r="131" spans="2:25" ht="9.75" customHeight="1">
      <c r="B131" s="951"/>
      <c r="C131" s="951"/>
      <c r="D131" s="287">
        <f t="shared" ca="1" si="14"/>
        <v>50097</v>
      </c>
      <c r="E131" s="359">
        <f t="shared" si="17"/>
        <v>0</v>
      </c>
      <c r="F131" s="289">
        <f t="shared" ca="1" si="15"/>
        <v>60</v>
      </c>
      <c r="G131" s="290">
        <f ca="1">KTVTUCOI!P130</f>
        <v>1.2448813893573285</v>
      </c>
      <c r="H131" s="290">
        <f ca="1">(H130-F131-G131)*(1+LS!$F$3)</f>
        <v>-7939.6575721923218</v>
      </c>
      <c r="I131" s="953"/>
      <c r="J131" s="292">
        <f t="shared" ca="1" si="16"/>
        <v>-7939.6575721923218</v>
      </c>
      <c r="K131" s="949"/>
      <c r="L131" s="949"/>
      <c r="M131" s="949"/>
      <c r="N131" s="950"/>
      <c r="O131" s="950"/>
      <c r="X131" s="945"/>
      <c r="Y131" s="945"/>
    </row>
    <row r="132" spans="2:25" ht="9.75" customHeight="1">
      <c r="B132" s="951"/>
      <c r="C132" s="951"/>
      <c r="D132" s="287">
        <f t="shared" ca="1" si="14"/>
        <v>50125</v>
      </c>
      <c r="E132" s="359">
        <f t="shared" si="17"/>
        <v>0</v>
      </c>
      <c r="F132" s="289">
        <f t="shared" ca="1" si="15"/>
        <v>60</v>
      </c>
      <c r="G132" s="290">
        <f ca="1">KTVTUCOI!P131</f>
        <v>1.2572026881542773</v>
      </c>
      <c r="H132" s="290">
        <f ca="1">(H131-F132-G132)*(1+LS!$F$3)</f>
        <v>-8030.9567071375095</v>
      </c>
      <c r="I132" s="953"/>
      <c r="J132" s="292">
        <f t="shared" ca="1" si="16"/>
        <v>-8030.9567071375095</v>
      </c>
      <c r="K132" s="949"/>
      <c r="L132" s="949"/>
      <c r="M132" s="949"/>
      <c r="N132" s="950"/>
      <c r="O132" s="950"/>
      <c r="X132" s="945"/>
      <c r="Y132" s="945"/>
    </row>
    <row r="133" spans="2:25" ht="9.75" customHeight="1">
      <c r="B133" s="951"/>
      <c r="C133" s="951"/>
      <c r="D133" s="287">
        <f t="shared" ref="D133:D196" ca="1" si="28">EDATE(D132,1)</f>
        <v>50156</v>
      </c>
      <c r="E133" s="359">
        <f t="shared" si="17"/>
        <v>0</v>
      </c>
      <c r="F133" s="289">
        <f t="shared" ref="F133:F196" ca="1" si="29">IF(YEAR(D133)=2025,40000,IF(YEAR(D133)=2026,40000,IF(YEAR(D133)=2027,40000,IF(YEAR(D133)=2028,40000,IF(YEAR(D133)=2029,40000,IF(YEAR(D133)=2030,50000,IF(YEAR(D133)=2031,50000,IF(YEAR(D133)=2032,50000,IF(YEAR(D133)=2033,50000,IF(YEAR(D133)=2034,50000,IF(YEAR(D133)&gt;=2035,60000,0)))))))))))/1000</f>
        <v>60</v>
      </c>
      <c r="G133" s="290">
        <f ca="1">KTVTUCOI!P132</f>
        <v>1.2695364789930896</v>
      </c>
      <c r="H133" s="290">
        <f ca="1">(H132-F133-G133)*(1+LS!$F$3)</f>
        <v>-8122.6110332886246</v>
      </c>
      <c r="I133" s="953"/>
      <c r="J133" s="292">
        <f t="shared" ref="J133:J196" ca="1" si="30">H133</f>
        <v>-8122.6110332886246</v>
      </c>
      <c r="K133" s="949"/>
      <c r="L133" s="949"/>
      <c r="M133" s="949"/>
      <c r="N133" s="950"/>
      <c r="O133" s="950"/>
      <c r="X133" s="945"/>
      <c r="Y133" s="945"/>
    </row>
    <row r="134" spans="2:25" ht="9.75" customHeight="1">
      <c r="B134" s="951"/>
      <c r="C134" s="951"/>
      <c r="D134" s="287">
        <f t="shared" ca="1" si="28"/>
        <v>50186</v>
      </c>
      <c r="E134" s="359">
        <f t="shared" ref="E134:E197" si="31">E133</f>
        <v>0</v>
      </c>
      <c r="F134" s="289">
        <f t="shared" ca="1" si="29"/>
        <v>60</v>
      </c>
      <c r="G134" s="290">
        <f ca="1">KTVTUCOI!P133</f>
        <v>1.2818827745389174</v>
      </c>
      <c r="H134" s="290">
        <f ca="1">(H133-F134-G134)*(1+LS!$F$3)</f>
        <v>-8214.621896873592</v>
      </c>
      <c r="I134" s="953"/>
      <c r="J134" s="292">
        <f t="shared" ca="1" si="30"/>
        <v>-8214.621896873592</v>
      </c>
      <c r="K134" s="949"/>
      <c r="L134" s="949"/>
      <c r="M134" s="949"/>
      <c r="N134" s="950"/>
      <c r="O134" s="950"/>
      <c r="X134" s="945"/>
      <c r="Y134" s="945"/>
    </row>
    <row r="135" spans="2:25" ht="9.75" customHeight="1">
      <c r="B135" s="951"/>
      <c r="C135" s="951"/>
      <c r="D135" s="287">
        <f t="shared" ca="1" si="28"/>
        <v>50217</v>
      </c>
      <c r="E135" s="359">
        <f t="shared" si="31"/>
        <v>0</v>
      </c>
      <c r="F135" s="289">
        <f t="shared" ca="1" si="29"/>
        <v>60</v>
      </c>
      <c r="G135" s="290">
        <f ca="1">KTVTUCOI!P134</f>
        <v>1.2942415874697515</v>
      </c>
      <c r="H135" s="290">
        <f ca="1">(H134-F135-G135)*(1+LS!$F$3)</f>
        <v>-8306.9906491878992</v>
      </c>
      <c r="I135" s="953"/>
      <c r="J135" s="293">
        <f ca="1">H135+I124</f>
        <v>-8306.9906491878992</v>
      </c>
      <c r="K135" s="949"/>
      <c r="L135" s="949"/>
      <c r="M135" s="949"/>
      <c r="N135" s="950"/>
      <c r="O135" s="950"/>
      <c r="X135" s="945"/>
      <c r="Y135" s="945"/>
    </row>
    <row r="136" spans="2:25" ht="9.75" customHeight="1">
      <c r="B136" s="946">
        <f>B124+1</f>
        <v>12</v>
      </c>
      <c r="C136" s="947">
        <f ca="1">C124+1</f>
        <v>41</v>
      </c>
      <c r="D136" s="294">
        <f t="shared" ca="1" si="28"/>
        <v>50247</v>
      </c>
      <c r="E136" s="359">
        <f t="shared" si="31"/>
        <v>0</v>
      </c>
      <c r="F136" s="360">
        <f t="shared" ca="1" si="29"/>
        <v>60</v>
      </c>
      <c r="G136" s="290">
        <f ca="1">KTVTUCOI!P135</f>
        <v>1.4130338931396766</v>
      </c>
      <c r="H136" s="295">
        <f ca="1">(H135+KTVBVGTTKMH!F128-F136-G136)*(1+LS!$F$3)</f>
        <v>-8399.8254671670184</v>
      </c>
      <c r="I136" s="948"/>
      <c r="J136" s="296">
        <f t="shared" ca="1" si="30"/>
        <v>-8399.8254671670184</v>
      </c>
      <c r="K136" s="949">
        <f ca="1">J147</f>
        <v>-9445.2078881187463</v>
      </c>
      <c r="L136" s="949"/>
      <c r="M136" s="949"/>
      <c r="N136" s="950">
        <f t="shared" ref="N136" ca="1" si="32">SUM(G136:G147)</f>
        <v>17.844756893513281</v>
      </c>
      <c r="O136" s="950"/>
      <c r="X136" s="945">
        <f t="shared" ref="X136:Y136" ca="1" si="33">SUM(F136:F147)</f>
        <v>720</v>
      </c>
      <c r="Y136" s="945">
        <f t="shared" ca="1" si="33"/>
        <v>17.844756893513281</v>
      </c>
    </row>
    <row r="137" spans="2:25" ht="9.75" customHeight="1">
      <c r="B137" s="946"/>
      <c r="C137" s="946"/>
      <c r="D137" s="294">
        <f t="shared" ca="1" si="28"/>
        <v>50278</v>
      </c>
      <c r="E137" s="359">
        <f t="shared" si="31"/>
        <v>0</v>
      </c>
      <c r="F137" s="360">
        <f t="shared" ca="1" si="29"/>
        <v>60</v>
      </c>
      <c r="G137" s="290">
        <f ca="1">KTVTUCOI!P136</f>
        <v>1.4264476342980388</v>
      </c>
      <c r="H137" s="295">
        <f ca="1">(H136-F137-G137)*(1+LS!$F$3)</f>
        <v>-8493.0223265587592</v>
      </c>
      <c r="I137" s="948"/>
      <c r="J137" s="296">
        <f t="shared" ca="1" si="30"/>
        <v>-8493.0223265587592</v>
      </c>
      <c r="K137" s="949"/>
      <c r="L137" s="949"/>
      <c r="M137" s="949"/>
      <c r="N137" s="950"/>
      <c r="O137" s="950"/>
      <c r="X137" s="945"/>
      <c r="Y137" s="945"/>
    </row>
    <row r="138" spans="2:25" ht="9.75" customHeight="1">
      <c r="B138" s="946"/>
      <c r="C138" s="946"/>
      <c r="D138" s="294">
        <f t="shared" ca="1" si="28"/>
        <v>50309</v>
      </c>
      <c r="E138" s="359">
        <f t="shared" si="31"/>
        <v>0</v>
      </c>
      <c r="F138" s="360">
        <f t="shared" ca="1" si="29"/>
        <v>60</v>
      </c>
      <c r="G138" s="290">
        <f ca="1">KTVTUCOI!P137</f>
        <v>1.4398751764522311</v>
      </c>
      <c r="H138" s="295">
        <f ca="1">(H137-F138-G138)*(1+LS!$F$3)</f>
        <v>-8586.5826006134412</v>
      </c>
      <c r="I138" s="948"/>
      <c r="J138" s="296">
        <f t="shared" ca="1" si="30"/>
        <v>-8586.5826006134412</v>
      </c>
      <c r="K138" s="949"/>
      <c r="L138" s="949"/>
      <c r="M138" s="949"/>
      <c r="N138" s="950"/>
      <c r="O138" s="950"/>
      <c r="X138" s="945"/>
      <c r="Y138" s="945"/>
    </row>
    <row r="139" spans="2:25" ht="9.75" customHeight="1">
      <c r="B139" s="946"/>
      <c r="C139" s="946"/>
      <c r="D139" s="294">
        <f t="shared" ca="1" si="28"/>
        <v>50339</v>
      </c>
      <c r="E139" s="359">
        <f t="shared" si="31"/>
        <v>0</v>
      </c>
      <c r="F139" s="360">
        <f t="shared" ca="1" si="29"/>
        <v>60</v>
      </c>
      <c r="G139" s="290">
        <f ca="1">KTVTUCOI!P138</f>
        <v>1.4533165338016838</v>
      </c>
      <c r="H139" s="295">
        <f ca="1">(H138-F139-G139)*(1+LS!$F$3)</f>
        <v>-8680.5076677519373</v>
      </c>
      <c r="I139" s="948"/>
      <c r="J139" s="296">
        <f t="shared" ca="1" si="30"/>
        <v>-8680.5076677519373</v>
      </c>
      <c r="K139" s="949"/>
      <c r="L139" s="949"/>
      <c r="M139" s="949"/>
      <c r="N139" s="950"/>
      <c r="O139" s="950"/>
      <c r="X139" s="945"/>
      <c r="Y139" s="945"/>
    </row>
    <row r="140" spans="2:25" ht="9.75" customHeight="1">
      <c r="B140" s="946"/>
      <c r="C140" s="946"/>
      <c r="D140" s="294">
        <f t="shared" ca="1" si="28"/>
        <v>50370</v>
      </c>
      <c r="E140" s="359">
        <f t="shared" si="31"/>
        <v>0</v>
      </c>
      <c r="F140" s="360">
        <f t="shared" ca="1" si="29"/>
        <v>60</v>
      </c>
      <c r="G140" s="290">
        <f ca="1">KTVTUCOI!P139</f>
        <v>1.4667717205604369</v>
      </c>
      <c r="H140" s="295">
        <f ca="1">(H139-F140-G140)*(1+LS!$F$3)</f>
        <v>-8774.7989115850978</v>
      </c>
      <c r="I140" s="948"/>
      <c r="J140" s="296">
        <f t="shared" ca="1" si="30"/>
        <v>-8774.7989115850978</v>
      </c>
      <c r="K140" s="949"/>
      <c r="L140" s="949"/>
      <c r="M140" s="949"/>
      <c r="N140" s="950"/>
      <c r="O140" s="950"/>
      <c r="X140" s="945"/>
      <c r="Y140" s="945"/>
    </row>
    <row r="141" spans="2:25" ht="9.75" customHeight="1">
      <c r="B141" s="946"/>
      <c r="C141" s="946"/>
      <c r="D141" s="294">
        <f t="shared" ca="1" si="28"/>
        <v>50400</v>
      </c>
      <c r="E141" s="359">
        <f t="shared" si="31"/>
        <v>0</v>
      </c>
      <c r="F141" s="360">
        <f t="shared" ca="1" si="29"/>
        <v>60</v>
      </c>
      <c r="G141" s="290">
        <f ca="1">KTVTUCOI!P140</f>
        <v>1.4802407509571553</v>
      </c>
      <c r="H141" s="295">
        <f ca="1">(H140-F141-G141)*(1+LS!$F$3)</f>
        <v>-8869.4577209332547</v>
      </c>
      <c r="I141" s="948"/>
      <c r="J141" s="296">
        <f t="shared" ca="1" si="30"/>
        <v>-8869.4577209332547</v>
      </c>
      <c r="K141" s="949"/>
      <c r="L141" s="949"/>
      <c r="M141" s="949"/>
      <c r="N141" s="950"/>
      <c r="O141" s="950"/>
      <c r="X141" s="945"/>
      <c r="Y141" s="945"/>
    </row>
    <row r="142" spans="2:25" ht="9.75" customHeight="1">
      <c r="B142" s="946"/>
      <c r="C142" s="946"/>
      <c r="D142" s="294">
        <f t="shared" ca="1" si="28"/>
        <v>50431</v>
      </c>
      <c r="E142" s="359">
        <f t="shared" si="31"/>
        <v>0</v>
      </c>
      <c r="F142" s="360">
        <f t="shared" ca="1" si="29"/>
        <v>60</v>
      </c>
      <c r="G142" s="290">
        <f ca="1">KTVTUCOI!P141</f>
        <v>1.4937236392351423</v>
      </c>
      <c r="H142" s="295">
        <f ca="1">(H141-F142-G142)*(1+LS!$F$3)</f>
        <v>-8964.4854898457943</v>
      </c>
      <c r="I142" s="948"/>
      <c r="J142" s="296">
        <f t="shared" ca="1" si="30"/>
        <v>-8964.4854898457943</v>
      </c>
      <c r="K142" s="949"/>
      <c r="L142" s="949"/>
      <c r="M142" s="949"/>
      <c r="N142" s="950"/>
      <c r="O142" s="950"/>
      <c r="X142" s="945"/>
      <c r="Y142" s="945"/>
    </row>
    <row r="143" spans="2:25" ht="9.75" customHeight="1">
      <c r="B143" s="946"/>
      <c r="C143" s="946"/>
      <c r="D143" s="294">
        <f t="shared" ca="1" si="28"/>
        <v>50462</v>
      </c>
      <c r="E143" s="359">
        <f t="shared" si="31"/>
        <v>0</v>
      </c>
      <c r="F143" s="360">
        <f t="shared" ca="1" si="29"/>
        <v>60</v>
      </c>
      <c r="G143" s="290">
        <f ca="1">KTVTUCOI!P142</f>
        <v>1.5072203996523561</v>
      </c>
      <c r="H143" s="295">
        <f ca="1">(H142-F143-G143)*(1+LS!$F$3)</f>
        <v>-9059.8836176208115</v>
      </c>
      <c r="I143" s="948"/>
      <c r="J143" s="296">
        <f t="shared" ca="1" si="30"/>
        <v>-9059.8836176208115</v>
      </c>
      <c r="K143" s="949"/>
      <c r="L143" s="949"/>
      <c r="M143" s="949"/>
      <c r="N143" s="950"/>
      <c r="O143" s="950"/>
      <c r="X143" s="945"/>
      <c r="Y143" s="945"/>
    </row>
    <row r="144" spans="2:25" ht="9.75" customHeight="1">
      <c r="B144" s="946"/>
      <c r="C144" s="946"/>
      <c r="D144" s="294">
        <f t="shared" ca="1" si="28"/>
        <v>50490</v>
      </c>
      <c r="E144" s="359">
        <f t="shared" si="31"/>
        <v>0</v>
      </c>
      <c r="F144" s="360">
        <f t="shared" ca="1" si="29"/>
        <v>60</v>
      </c>
      <c r="G144" s="290">
        <f ca="1">KTVTUCOI!P143</f>
        <v>1.5207310464814245</v>
      </c>
      <c r="H144" s="295">
        <f ca="1">(H143-F144-G144)*(1+LS!$F$3)</f>
        <v>-9155.6535088248274</v>
      </c>
      <c r="I144" s="948"/>
      <c r="J144" s="296">
        <f t="shared" ca="1" si="30"/>
        <v>-9155.6535088248274</v>
      </c>
      <c r="K144" s="949"/>
      <c r="L144" s="949"/>
      <c r="M144" s="949"/>
      <c r="N144" s="950"/>
      <c r="O144" s="950"/>
      <c r="X144" s="945"/>
      <c r="Y144" s="945"/>
    </row>
    <row r="145" spans="2:25" ht="9.75" customHeight="1">
      <c r="B145" s="946"/>
      <c r="C145" s="946"/>
      <c r="D145" s="294">
        <f t="shared" ca="1" si="28"/>
        <v>50521</v>
      </c>
      <c r="E145" s="359">
        <f t="shared" si="31"/>
        <v>0</v>
      </c>
      <c r="F145" s="360">
        <f t="shared" ca="1" si="29"/>
        <v>60</v>
      </c>
      <c r="G145" s="290">
        <f ca="1">KTVTUCOI!P144</f>
        <v>1.5342555940096607</v>
      </c>
      <c r="H145" s="295">
        <f ca="1">(H144-F145-G145)*(1+LS!$F$3)</f>
        <v>-9251.7965733125875</v>
      </c>
      <c r="I145" s="948"/>
      <c r="J145" s="296">
        <f t="shared" ca="1" si="30"/>
        <v>-9251.7965733125875</v>
      </c>
      <c r="K145" s="949"/>
      <c r="L145" s="949"/>
      <c r="M145" s="949"/>
      <c r="N145" s="950"/>
      <c r="O145" s="950"/>
      <c r="X145" s="945"/>
      <c r="Y145" s="945"/>
    </row>
    <row r="146" spans="2:25" ht="9.75" customHeight="1">
      <c r="B146" s="946"/>
      <c r="C146" s="946"/>
      <c r="D146" s="294">
        <f t="shared" ca="1" si="28"/>
        <v>50551</v>
      </c>
      <c r="E146" s="359">
        <f t="shared" si="31"/>
        <v>0</v>
      </c>
      <c r="F146" s="360">
        <f t="shared" ca="1" si="29"/>
        <v>60</v>
      </c>
      <c r="G146" s="290">
        <f ca="1">KTVTUCOI!P145</f>
        <v>1.547794056539076</v>
      </c>
      <c r="H146" s="295">
        <f ca="1">(H145-F146-G146)*(1+LS!$F$3)</f>
        <v>-9348.3142262469337</v>
      </c>
      <c r="I146" s="948"/>
      <c r="J146" s="296">
        <f t="shared" ca="1" si="30"/>
        <v>-9348.3142262469337</v>
      </c>
      <c r="K146" s="949"/>
      <c r="L146" s="949"/>
      <c r="M146" s="949"/>
      <c r="N146" s="950"/>
      <c r="O146" s="950"/>
      <c r="X146" s="945"/>
      <c r="Y146" s="945"/>
    </row>
    <row r="147" spans="2:25" ht="9.75" customHeight="1">
      <c r="B147" s="946"/>
      <c r="C147" s="946"/>
      <c r="D147" s="294">
        <f t="shared" ca="1" si="28"/>
        <v>50582</v>
      </c>
      <c r="E147" s="359">
        <f t="shared" si="31"/>
        <v>0</v>
      </c>
      <c r="F147" s="360">
        <f t="shared" ca="1" si="29"/>
        <v>60</v>
      </c>
      <c r="G147" s="290">
        <f ca="1">KTVTUCOI!P146</f>
        <v>1.5613464483863984</v>
      </c>
      <c r="H147" s="295">
        <f ca="1">(H146-F147-G147)*(1+LS!$F$3)</f>
        <v>-9445.2078881187463</v>
      </c>
      <c r="I147" s="948"/>
      <c r="J147" s="297">
        <f ca="1">H147+I136</f>
        <v>-9445.2078881187463</v>
      </c>
      <c r="K147" s="949"/>
      <c r="L147" s="949"/>
      <c r="M147" s="949"/>
      <c r="N147" s="950"/>
      <c r="O147" s="950"/>
      <c r="X147" s="945"/>
      <c r="Y147" s="945"/>
    </row>
    <row r="148" spans="2:25" ht="9.75" customHeight="1">
      <c r="B148" s="951">
        <f>B136+1</f>
        <v>13</v>
      </c>
      <c r="C148" s="952">
        <f ca="1">C136+1</f>
        <v>42</v>
      </c>
      <c r="D148" s="287">
        <f t="shared" ca="1" si="28"/>
        <v>50612</v>
      </c>
      <c r="E148" s="359">
        <f t="shared" si="31"/>
        <v>0</v>
      </c>
      <c r="F148" s="289">
        <f t="shared" ca="1" si="29"/>
        <v>60</v>
      </c>
      <c r="G148" s="290">
        <f ca="1">KTVTUCOI!P147</f>
        <v>1.7132942418811801</v>
      </c>
      <c r="H148" s="290">
        <f ca="1">(H147+KTVBVGTTKMH!F129-F148-G148)*(1+LS!$F$3)</f>
        <v>-9542.6178858213516</v>
      </c>
      <c r="I148" s="953"/>
      <c r="J148" s="292">
        <f t="shared" ca="1" si="30"/>
        <v>-9542.6178858213516</v>
      </c>
      <c r="K148" s="949">
        <f ca="1">J159</f>
        <v>-10639.569016305742</v>
      </c>
      <c r="L148" s="949"/>
      <c r="M148" s="949"/>
      <c r="N148" s="950">
        <f t="shared" ref="N148" ca="1" si="34">SUM(G148:G159)</f>
        <v>21.539980989073818</v>
      </c>
      <c r="O148" s="950"/>
      <c r="X148" s="945">
        <f t="shared" ref="X148:Y148" ca="1" si="35">SUM(F148:F159)</f>
        <v>720</v>
      </c>
      <c r="Y148" s="945">
        <f t="shared" ca="1" si="35"/>
        <v>21.539980989073818</v>
      </c>
    </row>
    <row r="149" spans="2:25" ht="9.75" customHeight="1">
      <c r="B149" s="951"/>
      <c r="C149" s="951"/>
      <c r="D149" s="287">
        <f t="shared" ca="1" si="28"/>
        <v>50643</v>
      </c>
      <c r="E149" s="359">
        <f t="shared" si="31"/>
        <v>0</v>
      </c>
      <c r="F149" s="289">
        <f t="shared" ca="1" si="29"/>
        <v>60</v>
      </c>
      <c r="G149" s="290">
        <f ca="1">KTVTUCOI!P148</f>
        <v>1.7280977904397601</v>
      </c>
      <c r="H149" s="290">
        <f ca="1">(H148-F149-G149)*(1+LS!$F$3)</f>
        <v>-9640.408498902998</v>
      </c>
      <c r="I149" s="953"/>
      <c r="J149" s="292">
        <f t="shared" ca="1" si="30"/>
        <v>-9640.408498902998</v>
      </c>
      <c r="K149" s="949"/>
      <c r="L149" s="949"/>
      <c r="M149" s="949"/>
      <c r="N149" s="950"/>
      <c r="O149" s="950"/>
      <c r="X149" s="945"/>
      <c r="Y149" s="945"/>
    </row>
    <row r="150" spans="2:25" ht="9.75" customHeight="1">
      <c r="B150" s="951"/>
      <c r="C150" s="951"/>
      <c r="D150" s="287">
        <f t="shared" ca="1" si="28"/>
        <v>50674</v>
      </c>
      <c r="E150" s="359">
        <f t="shared" si="31"/>
        <v>0</v>
      </c>
      <c r="F150" s="289">
        <f t="shared" ca="1" si="29"/>
        <v>60</v>
      </c>
      <c r="G150" s="290">
        <f ca="1">KTVTUCOI!P149</f>
        <v>1.7429168292023089</v>
      </c>
      <c r="H150" s="290">
        <f ca="1">(H149-F150-G150)*(1+LS!$F$3)</f>
        <v>-9738.5811720513157</v>
      </c>
      <c r="I150" s="953"/>
      <c r="J150" s="292">
        <f t="shared" ca="1" si="30"/>
        <v>-9738.5811720513157</v>
      </c>
      <c r="K150" s="949"/>
      <c r="L150" s="949"/>
      <c r="M150" s="949"/>
      <c r="N150" s="950"/>
      <c r="O150" s="950"/>
      <c r="X150" s="945"/>
      <c r="Y150" s="945"/>
    </row>
    <row r="151" spans="2:25" ht="9.75" customHeight="1">
      <c r="B151" s="951"/>
      <c r="C151" s="951"/>
      <c r="D151" s="287">
        <f t="shared" ca="1" si="28"/>
        <v>50704</v>
      </c>
      <c r="E151" s="359">
        <f t="shared" si="31"/>
        <v>0</v>
      </c>
      <c r="F151" s="289">
        <f t="shared" ca="1" si="29"/>
        <v>60</v>
      </c>
      <c r="G151" s="290">
        <f ca="1">KTVTUCOI!P150</f>
        <v>1.757751374377535</v>
      </c>
      <c r="H151" s="290">
        <f ca="1">(H150-F151-G151)*(1+LS!$F$3)</f>
        <v>-9837.1373553947342</v>
      </c>
      <c r="I151" s="953"/>
      <c r="J151" s="292">
        <f t="shared" ca="1" si="30"/>
        <v>-9837.1373553947342</v>
      </c>
      <c r="K151" s="949"/>
      <c r="L151" s="949"/>
      <c r="M151" s="949"/>
      <c r="N151" s="950"/>
      <c r="O151" s="950"/>
      <c r="X151" s="945"/>
      <c r="Y151" s="945"/>
    </row>
    <row r="152" spans="2:25" ht="9.75" customHeight="1">
      <c r="B152" s="951"/>
      <c r="C152" s="951"/>
      <c r="D152" s="287">
        <f t="shared" ca="1" si="28"/>
        <v>50735</v>
      </c>
      <c r="E152" s="359">
        <f t="shared" si="31"/>
        <v>0</v>
      </c>
      <c r="F152" s="289">
        <f t="shared" ca="1" si="29"/>
        <v>60</v>
      </c>
      <c r="G152" s="290">
        <f ca="1">KTVTUCOI!P151</f>
        <v>1.7726014421911085</v>
      </c>
      <c r="H152" s="290">
        <f ca="1">(H151-F152-G152)*(1+LS!$F$3)</f>
        <v>-9936.0785045229259</v>
      </c>
      <c r="I152" s="953"/>
      <c r="J152" s="292">
        <f t="shared" ca="1" si="30"/>
        <v>-9936.0785045229259</v>
      </c>
      <c r="K152" s="949"/>
      <c r="L152" s="949"/>
      <c r="M152" s="949"/>
      <c r="N152" s="950"/>
      <c r="O152" s="950"/>
      <c r="X152" s="945"/>
      <c r="Y152" s="945"/>
    </row>
    <row r="153" spans="2:25" ht="9.75" customHeight="1">
      <c r="B153" s="951"/>
      <c r="C153" s="951"/>
      <c r="D153" s="287">
        <f t="shared" ca="1" si="28"/>
        <v>50765</v>
      </c>
      <c r="E153" s="359">
        <f t="shared" si="31"/>
        <v>0</v>
      </c>
      <c r="F153" s="289">
        <f t="shared" ca="1" si="29"/>
        <v>60</v>
      </c>
      <c r="G153" s="290">
        <f ca="1">KTVTUCOI!P152</f>
        <v>1.7874670488856781</v>
      </c>
      <c r="H153" s="290">
        <f ca="1">(H152-F153-G153)*(1+LS!$F$3)</f>
        <v>-10035.406080507335</v>
      </c>
      <c r="I153" s="953"/>
      <c r="J153" s="292">
        <f t="shared" ca="1" si="30"/>
        <v>-10035.406080507335</v>
      </c>
      <c r="K153" s="949"/>
      <c r="L153" s="949"/>
      <c r="M153" s="949"/>
      <c r="N153" s="950"/>
      <c r="O153" s="950"/>
      <c r="X153" s="945"/>
      <c r="Y153" s="945"/>
    </row>
    <row r="154" spans="2:25" ht="9.75" customHeight="1">
      <c r="B154" s="951"/>
      <c r="C154" s="951"/>
      <c r="D154" s="287">
        <f t="shared" ca="1" si="28"/>
        <v>50796</v>
      </c>
      <c r="E154" s="359">
        <f t="shared" si="31"/>
        <v>0</v>
      </c>
      <c r="F154" s="289">
        <f t="shared" ca="1" si="29"/>
        <v>60</v>
      </c>
      <c r="G154" s="290">
        <f ca="1">KTVTUCOI!P153</f>
        <v>1.8023482107208884</v>
      </c>
      <c r="H154" s="290">
        <f ca="1">(H153-F154-G154)*(1+LS!$F$3)</f>
        <v>-10135.121549921778</v>
      </c>
      <c r="I154" s="953"/>
      <c r="J154" s="292">
        <f t="shared" ca="1" si="30"/>
        <v>-10135.121549921778</v>
      </c>
      <c r="K154" s="949"/>
      <c r="L154" s="949"/>
      <c r="M154" s="949"/>
      <c r="N154" s="950"/>
      <c r="O154" s="950"/>
      <c r="X154" s="945"/>
      <c r="Y154" s="945"/>
    </row>
    <row r="155" spans="2:25" ht="9.75" customHeight="1">
      <c r="B155" s="951"/>
      <c r="C155" s="951"/>
      <c r="D155" s="287">
        <f t="shared" ca="1" si="28"/>
        <v>50827</v>
      </c>
      <c r="E155" s="359">
        <f t="shared" si="31"/>
        <v>0</v>
      </c>
      <c r="F155" s="289">
        <f t="shared" ca="1" si="29"/>
        <v>60</v>
      </c>
      <c r="G155" s="290">
        <f ca="1">KTVTUCOI!P154</f>
        <v>1.8172449439733969</v>
      </c>
      <c r="H155" s="290">
        <f ca="1">(H154-F155-G155)*(1+LS!$F$3)</f>
        <v>-10235.226384863116</v>
      </c>
      <c r="I155" s="953"/>
      <c r="J155" s="292">
        <f t="shared" ca="1" si="30"/>
        <v>-10235.226384863116</v>
      </c>
      <c r="K155" s="949"/>
      <c r="L155" s="949"/>
      <c r="M155" s="949"/>
      <c r="N155" s="950"/>
      <c r="O155" s="950"/>
      <c r="X155" s="945"/>
      <c r="Y155" s="945"/>
    </row>
    <row r="156" spans="2:25" ht="9.75" customHeight="1">
      <c r="B156" s="951"/>
      <c r="C156" s="951"/>
      <c r="D156" s="287">
        <f t="shared" ca="1" si="28"/>
        <v>50855</v>
      </c>
      <c r="E156" s="359">
        <f t="shared" si="31"/>
        <v>0</v>
      </c>
      <c r="F156" s="289">
        <f t="shared" ca="1" si="29"/>
        <v>60</v>
      </c>
      <c r="G156" s="290">
        <f ca="1">KTVTUCOI!P155</f>
        <v>1.8321572649368942</v>
      </c>
      <c r="H156" s="290">
        <f ca="1">(H155-F156-G156)*(1+LS!$F$3)</f>
        <v>-10335.722062972009</v>
      </c>
      <c r="I156" s="953"/>
      <c r="J156" s="292">
        <f t="shared" ca="1" si="30"/>
        <v>-10335.722062972009</v>
      </c>
      <c r="K156" s="949"/>
      <c r="L156" s="949"/>
      <c r="M156" s="949"/>
      <c r="N156" s="950"/>
      <c r="O156" s="950"/>
      <c r="X156" s="945"/>
      <c r="Y156" s="945"/>
    </row>
    <row r="157" spans="2:25" ht="9.75" customHeight="1">
      <c r="B157" s="951"/>
      <c r="C157" s="951"/>
      <c r="D157" s="287">
        <f t="shared" ca="1" si="28"/>
        <v>50886</v>
      </c>
      <c r="E157" s="359">
        <f t="shared" si="31"/>
        <v>0</v>
      </c>
      <c r="F157" s="289">
        <f t="shared" ca="1" si="29"/>
        <v>60</v>
      </c>
      <c r="G157" s="290">
        <f ca="1">KTVTUCOI!P156</f>
        <v>1.8470851899221195</v>
      </c>
      <c r="H157" s="290">
        <f ca="1">(H156-F157-G157)*(1+LS!$F$3)</f>
        <v>-10436.610067453759</v>
      </c>
      <c r="I157" s="953"/>
      <c r="J157" s="292">
        <f t="shared" ca="1" si="30"/>
        <v>-10436.610067453759</v>
      </c>
      <c r="K157" s="949"/>
      <c r="L157" s="949"/>
      <c r="M157" s="949"/>
      <c r="N157" s="950"/>
      <c r="O157" s="950"/>
      <c r="X157" s="945"/>
      <c r="Y157" s="945"/>
    </row>
    <row r="158" spans="2:25" ht="9.75" customHeight="1">
      <c r="B158" s="951"/>
      <c r="C158" s="951"/>
      <c r="D158" s="287">
        <f t="shared" ca="1" si="28"/>
        <v>50916</v>
      </c>
      <c r="E158" s="359">
        <f t="shared" si="31"/>
        <v>0</v>
      </c>
      <c r="F158" s="289">
        <f t="shared" ca="1" si="29"/>
        <v>60</v>
      </c>
      <c r="G158" s="290">
        <f ca="1">KTVTUCOI!P157</f>
        <v>1.8620287352568798</v>
      </c>
      <c r="H158" s="290">
        <f ca="1">(H157-F158-G158)*(1+LS!$F$3)</f>
        <v>-10537.891887099209</v>
      </c>
      <c r="I158" s="953"/>
      <c r="J158" s="292">
        <f t="shared" ca="1" si="30"/>
        <v>-10537.891887099209</v>
      </c>
      <c r="K158" s="949"/>
      <c r="L158" s="949"/>
      <c r="M158" s="949"/>
      <c r="N158" s="950"/>
      <c r="O158" s="950"/>
      <c r="X158" s="945"/>
      <c r="Y158" s="945"/>
    </row>
    <row r="159" spans="2:25" ht="9.75" customHeight="1">
      <c r="B159" s="951"/>
      <c r="C159" s="951"/>
      <c r="D159" s="287">
        <f t="shared" ca="1" si="28"/>
        <v>50947</v>
      </c>
      <c r="E159" s="359">
        <f t="shared" si="31"/>
        <v>0</v>
      </c>
      <c r="F159" s="289">
        <f t="shared" ca="1" si="29"/>
        <v>60</v>
      </c>
      <c r="G159" s="290">
        <f ca="1">KTVTUCOI!P158</f>
        <v>1.8769879172860666</v>
      </c>
      <c r="H159" s="290">
        <f ca="1">(H158-F159-G159)*(1+LS!$F$3)</f>
        <v>-10639.569016305742</v>
      </c>
      <c r="I159" s="953"/>
      <c r="J159" s="293">
        <f ca="1">H159+I148</f>
        <v>-10639.569016305742</v>
      </c>
      <c r="K159" s="949"/>
      <c r="L159" s="949"/>
      <c r="M159" s="949"/>
      <c r="N159" s="950"/>
      <c r="O159" s="950"/>
      <c r="X159" s="945"/>
      <c r="Y159" s="945"/>
    </row>
    <row r="160" spans="2:25" ht="9.75" customHeight="1">
      <c r="B160" s="946">
        <f>B148+1</f>
        <v>14</v>
      </c>
      <c r="C160" s="947">
        <f ca="1">C148+1</f>
        <v>43</v>
      </c>
      <c r="D160" s="294">
        <f t="shared" ca="1" si="28"/>
        <v>50977</v>
      </c>
      <c r="E160" s="359">
        <f t="shared" si="31"/>
        <v>0</v>
      </c>
      <c r="F160" s="360">
        <f t="shared" ca="1" si="29"/>
        <v>60</v>
      </c>
      <c r="G160" s="290">
        <f ca="1">KTVTUCOI!P159</f>
        <v>2.052051908341586</v>
      </c>
      <c r="H160" s="295">
        <f ca="1">(H159+KTVBVGTTKMH!F152-F160-G160)*(1+LS!$F$3)</f>
        <v>-10741.803645359025</v>
      </c>
      <c r="I160" s="948"/>
      <c r="J160" s="296">
        <f t="shared" ca="1" si="30"/>
        <v>-10741.803645359025</v>
      </c>
      <c r="K160" s="949">
        <f ca="1">J171</f>
        <v>-11893.137015486078</v>
      </c>
      <c r="L160" s="949"/>
      <c r="M160" s="949"/>
      <c r="N160" s="950">
        <f t="shared" ref="N160" ca="1" si="36">SUM(G160:G171)</f>
        <v>25.704023936360215</v>
      </c>
      <c r="O160" s="950"/>
      <c r="X160" s="945">
        <f t="shared" ref="X160:Y160" ca="1" si="37">SUM(F160:F171)</f>
        <v>720</v>
      </c>
      <c r="Y160" s="945">
        <f t="shared" ca="1" si="37"/>
        <v>25.704023936360215</v>
      </c>
    </row>
    <row r="161" spans="2:25" ht="9.75" customHeight="1">
      <c r="B161" s="946"/>
      <c r="C161" s="946"/>
      <c r="D161" s="294">
        <f t="shared" ca="1" si="28"/>
        <v>51008</v>
      </c>
      <c r="E161" s="359">
        <f t="shared" si="31"/>
        <v>0</v>
      </c>
      <c r="F161" s="360">
        <f t="shared" ca="1" si="29"/>
        <v>60</v>
      </c>
      <c r="G161" s="290">
        <f ca="1">KTVTUCOI!P160</f>
        <v>2.0683484923280333</v>
      </c>
      <c r="H161" s="295">
        <f ca="1">(H160-F161-G161)*(1+LS!$F$3)</f>
        <v>-10844.438504017409</v>
      </c>
      <c r="I161" s="948"/>
      <c r="J161" s="296">
        <f t="shared" ca="1" si="30"/>
        <v>-10844.438504017409</v>
      </c>
      <c r="K161" s="949"/>
      <c r="L161" s="949"/>
      <c r="M161" s="949"/>
      <c r="N161" s="950"/>
      <c r="O161" s="950"/>
      <c r="X161" s="945"/>
      <c r="Y161" s="945"/>
    </row>
    <row r="162" spans="2:25" ht="9.75" customHeight="1">
      <c r="B162" s="946"/>
      <c r="C162" s="946"/>
      <c r="D162" s="294">
        <f t="shared" ca="1" si="28"/>
        <v>51039</v>
      </c>
      <c r="E162" s="359">
        <f t="shared" si="31"/>
        <v>0</v>
      </c>
      <c r="F162" s="360">
        <f t="shared" ca="1" si="29"/>
        <v>60</v>
      </c>
      <c r="G162" s="290">
        <f ca="1">KTVTUCOI!P161</f>
        <v>2.0846624278261481</v>
      </c>
      <c r="H162" s="295">
        <f ca="1">(H161-F162-G162)*(1+LS!$F$3)</f>
        <v>-10947.475112484557</v>
      </c>
      <c r="I162" s="948"/>
      <c r="J162" s="296">
        <f t="shared" ca="1" si="30"/>
        <v>-10947.475112484557</v>
      </c>
      <c r="K162" s="949"/>
      <c r="L162" s="949"/>
      <c r="M162" s="949"/>
      <c r="N162" s="950"/>
      <c r="O162" s="950"/>
      <c r="X162" s="945"/>
      <c r="Y162" s="945"/>
    </row>
    <row r="163" spans="2:25" ht="9.75" customHeight="1">
      <c r="B163" s="946"/>
      <c r="C163" s="946"/>
      <c r="D163" s="294">
        <f t="shared" ca="1" si="28"/>
        <v>51069</v>
      </c>
      <c r="E163" s="359">
        <f t="shared" si="31"/>
        <v>0</v>
      </c>
      <c r="F163" s="360">
        <f t="shared" ca="1" si="29"/>
        <v>60</v>
      </c>
      <c r="G163" s="290">
        <f ca="1">KTVTUCOI!P162</f>
        <v>2.100993733310657</v>
      </c>
      <c r="H163" s="295">
        <f ca="1">(H162-F163-G163)*(1+LS!$F$3)</f>
        <v>-11050.91499669075</v>
      </c>
      <c r="I163" s="948"/>
      <c r="J163" s="296">
        <f t="shared" ca="1" si="30"/>
        <v>-11050.91499669075</v>
      </c>
      <c r="K163" s="949"/>
      <c r="L163" s="949"/>
      <c r="M163" s="949"/>
      <c r="N163" s="950"/>
      <c r="O163" s="950"/>
      <c r="X163" s="945"/>
      <c r="Y163" s="945"/>
    </row>
    <row r="164" spans="2:25" ht="9.75" customHeight="1">
      <c r="B164" s="946"/>
      <c r="C164" s="946"/>
      <c r="D164" s="294">
        <f t="shared" ca="1" si="28"/>
        <v>51100</v>
      </c>
      <c r="E164" s="359">
        <f t="shared" si="31"/>
        <v>0</v>
      </c>
      <c r="F164" s="360">
        <f t="shared" ca="1" si="29"/>
        <v>60</v>
      </c>
      <c r="G164" s="290">
        <f ca="1">KTVTUCOI!P163</f>
        <v>2.1173424272759607</v>
      </c>
      <c r="H164" s="295">
        <f ca="1">(H163-F164-G164)*(1+LS!$F$3)</f>
        <v>-11154.759688314418</v>
      </c>
      <c r="I164" s="948"/>
      <c r="J164" s="296">
        <f t="shared" ca="1" si="30"/>
        <v>-11154.759688314418</v>
      </c>
      <c r="K164" s="949"/>
      <c r="L164" s="949"/>
      <c r="M164" s="949"/>
      <c r="N164" s="950"/>
      <c r="O164" s="950"/>
      <c r="X164" s="945"/>
      <c r="Y164" s="945"/>
    </row>
    <row r="165" spans="2:25" ht="9.75" customHeight="1">
      <c r="B165" s="946"/>
      <c r="C165" s="946"/>
      <c r="D165" s="294">
        <f t="shared" ca="1" si="28"/>
        <v>51130</v>
      </c>
      <c r="E165" s="359">
        <f t="shared" si="31"/>
        <v>0</v>
      </c>
      <c r="F165" s="360">
        <f t="shared" ca="1" si="29"/>
        <v>60</v>
      </c>
      <c r="G165" s="290">
        <f ca="1">KTVTUCOI!P164</f>
        <v>2.1337085282361481</v>
      </c>
      <c r="H165" s="295">
        <f ca="1">(H164-F165-G165)*(1+LS!$F$3)</f>
        <v>-11259.010724803737</v>
      </c>
      <c r="I165" s="948"/>
      <c r="J165" s="296">
        <f t="shared" ca="1" si="30"/>
        <v>-11259.010724803737</v>
      </c>
      <c r="K165" s="949"/>
      <c r="L165" s="949"/>
      <c r="M165" s="949"/>
      <c r="N165" s="950"/>
      <c r="O165" s="950"/>
      <c r="X165" s="945"/>
      <c r="Y165" s="945"/>
    </row>
    <row r="166" spans="2:25" ht="9.75" customHeight="1">
      <c r="B166" s="946"/>
      <c r="C166" s="946"/>
      <c r="D166" s="294">
        <f t="shared" ca="1" si="28"/>
        <v>51161</v>
      </c>
      <c r="E166" s="359">
        <f t="shared" si="31"/>
        <v>0</v>
      </c>
      <c r="F166" s="360">
        <f t="shared" ca="1" si="29"/>
        <v>60</v>
      </c>
      <c r="G166" s="290">
        <f ca="1">KTVTUCOI!P165</f>
        <v>2.1500920547250222</v>
      </c>
      <c r="H166" s="295">
        <f ca="1">(H165-F166-G166)*(1+LS!$F$3)</f>
        <v>-11363.669649398315</v>
      </c>
      <c r="I166" s="948"/>
      <c r="J166" s="296">
        <f t="shared" ca="1" si="30"/>
        <v>-11363.669649398315</v>
      </c>
      <c r="K166" s="949"/>
      <c r="L166" s="949"/>
      <c r="M166" s="949"/>
      <c r="N166" s="950"/>
      <c r="O166" s="950"/>
      <c r="X166" s="945"/>
      <c r="Y166" s="945"/>
    </row>
    <row r="167" spans="2:25" ht="9.75" customHeight="1">
      <c r="B167" s="946"/>
      <c r="C167" s="946"/>
      <c r="D167" s="294">
        <f t="shared" ca="1" si="28"/>
        <v>51192</v>
      </c>
      <c r="E167" s="359">
        <f t="shared" si="31"/>
        <v>0</v>
      </c>
      <c r="F167" s="360">
        <f t="shared" ca="1" si="29"/>
        <v>60</v>
      </c>
      <c r="G167" s="290">
        <f ca="1">KTVTUCOI!P166</f>
        <v>2.1664930252961194</v>
      </c>
      <c r="H167" s="295">
        <f ca="1">(H166-F167-G167)*(1+LS!$F$3)</f>
        <v>-11468.738011150963</v>
      </c>
      <c r="I167" s="948"/>
      <c r="J167" s="296">
        <f t="shared" ca="1" si="30"/>
        <v>-11468.738011150963</v>
      </c>
      <c r="K167" s="949"/>
      <c r="L167" s="949"/>
      <c r="M167" s="949"/>
      <c r="N167" s="950"/>
      <c r="O167" s="950"/>
      <c r="X167" s="945"/>
      <c r="Y167" s="945"/>
    </row>
    <row r="168" spans="2:25" ht="9.75" customHeight="1">
      <c r="B168" s="946"/>
      <c r="C168" s="946"/>
      <c r="D168" s="294">
        <f t="shared" ca="1" si="28"/>
        <v>51221</v>
      </c>
      <c r="E168" s="359">
        <f t="shared" si="31"/>
        <v>0</v>
      </c>
      <c r="F168" s="360">
        <f t="shared" ca="1" si="29"/>
        <v>60</v>
      </c>
      <c r="G168" s="290">
        <f ca="1">KTVTUCOI!P167</f>
        <v>2.1829114585227307</v>
      </c>
      <c r="H168" s="295">
        <f ca="1">(H167-F168-G168)*(1+LS!$F$3)</f>
        <v>-11574.217364949533</v>
      </c>
      <c r="I168" s="948"/>
      <c r="J168" s="296">
        <f t="shared" ca="1" si="30"/>
        <v>-11574.217364949533</v>
      </c>
      <c r="K168" s="949"/>
      <c r="L168" s="949"/>
      <c r="M168" s="949"/>
      <c r="N168" s="950"/>
      <c r="O168" s="950"/>
      <c r="X168" s="945"/>
      <c r="Y168" s="945"/>
    </row>
    <row r="169" spans="2:25" ht="9.75" customHeight="1">
      <c r="B169" s="946"/>
      <c r="C169" s="946"/>
      <c r="D169" s="294">
        <f t="shared" ca="1" si="28"/>
        <v>51252</v>
      </c>
      <c r="E169" s="359">
        <f t="shared" si="31"/>
        <v>0</v>
      </c>
      <c r="F169" s="360">
        <f t="shared" ca="1" si="29"/>
        <v>60</v>
      </c>
      <c r="G169" s="290">
        <f ca="1">KTVTUCOI!P168</f>
        <v>2.199347372997924</v>
      </c>
      <c r="H169" s="295">
        <f ca="1">(H168-F169-G169)*(1+LS!$F$3)</f>
        <v>-11680.109271538851</v>
      </c>
      <c r="I169" s="948"/>
      <c r="J169" s="296">
        <f t="shared" ca="1" si="30"/>
        <v>-11680.109271538851</v>
      </c>
      <c r="K169" s="949"/>
      <c r="L169" s="949"/>
      <c r="M169" s="949"/>
      <c r="N169" s="950"/>
      <c r="O169" s="950"/>
      <c r="X169" s="945"/>
      <c r="Y169" s="945"/>
    </row>
    <row r="170" spans="2:25" ht="9.75" customHeight="1">
      <c r="B170" s="946"/>
      <c r="C170" s="946"/>
      <c r="D170" s="294">
        <f t="shared" ca="1" si="28"/>
        <v>51282</v>
      </c>
      <c r="E170" s="359">
        <f t="shared" si="31"/>
        <v>0</v>
      </c>
      <c r="F170" s="360">
        <f t="shared" ca="1" si="29"/>
        <v>60</v>
      </c>
      <c r="G170" s="290">
        <f ca="1">KTVTUCOI!P169</f>
        <v>2.2158007873345609</v>
      </c>
      <c r="H170" s="295">
        <f ca="1">(H169-F170-G170)*(1+LS!$F$3)</f>
        <v>-11786.415297542735</v>
      </c>
      <c r="I170" s="948"/>
      <c r="J170" s="296">
        <f t="shared" ca="1" si="30"/>
        <v>-11786.415297542735</v>
      </c>
      <c r="K170" s="949"/>
      <c r="L170" s="949"/>
      <c r="M170" s="949"/>
      <c r="N170" s="950"/>
      <c r="O170" s="950"/>
      <c r="X170" s="945"/>
      <c r="Y170" s="945"/>
    </row>
    <row r="171" spans="2:25" ht="9.75" customHeight="1">
      <c r="B171" s="946"/>
      <c r="C171" s="946"/>
      <c r="D171" s="294">
        <f t="shared" ca="1" si="28"/>
        <v>51313</v>
      </c>
      <c r="E171" s="359">
        <f t="shared" si="31"/>
        <v>0</v>
      </c>
      <c r="F171" s="360">
        <f t="shared" ca="1" si="29"/>
        <v>60</v>
      </c>
      <c r="G171" s="290">
        <f ca="1">KTVTUCOI!P170</f>
        <v>2.2322717201653228</v>
      </c>
      <c r="H171" s="295">
        <f ca="1">(H170-F171-G171)*(1+LS!$F$3)</f>
        <v>-11893.137015486078</v>
      </c>
      <c r="I171" s="948"/>
      <c r="J171" s="297">
        <f ca="1">H171+I160</f>
        <v>-11893.137015486078</v>
      </c>
      <c r="K171" s="949"/>
      <c r="L171" s="949"/>
      <c r="M171" s="949"/>
      <c r="N171" s="950"/>
      <c r="O171" s="950"/>
      <c r="X171" s="945"/>
      <c r="Y171" s="945"/>
    </row>
    <row r="172" spans="2:25" ht="9.75" customHeight="1">
      <c r="B172" s="951">
        <f>B160+1</f>
        <v>15</v>
      </c>
      <c r="C172" s="952">
        <f ca="1">C160+1</f>
        <v>44</v>
      </c>
      <c r="D172" s="287">
        <f t="shared" ca="1" si="28"/>
        <v>51343</v>
      </c>
      <c r="E172" s="359">
        <f t="shared" si="31"/>
        <v>0</v>
      </c>
      <c r="F172" s="289">
        <f t="shared" ca="1" si="29"/>
        <v>60</v>
      </c>
      <c r="G172" s="290">
        <f ca="1">KTVTUCOI!P171</f>
        <v>2.4401440361123234</v>
      </c>
      <c r="H172" s="290">
        <f ca="1">(H171+KTVBVGTTKMH!F153-F172-G172)*(1+LS!$F$3)</f>
        <v>-12000.468106273396</v>
      </c>
      <c r="I172" s="953"/>
      <c r="J172" s="292">
        <f t="shared" ca="1" si="30"/>
        <v>-12000.468106273396</v>
      </c>
      <c r="K172" s="949">
        <f ca="1">J183</f>
        <v>-13209.25353047966</v>
      </c>
      <c r="L172" s="949"/>
      <c r="M172" s="949"/>
      <c r="N172" s="950">
        <f t="shared" ref="N172" ca="1" si="38">SUM(G172:G183)</f>
        <v>30.47136095121887</v>
      </c>
      <c r="O172" s="950"/>
      <c r="X172" s="945">
        <f t="shared" ref="X172:Y172" ca="1" si="39">SUM(F172:F183)</f>
        <v>720</v>
      </c>
      <c r="Y172" s="945">
        <f t="shared" ca="1" si="39"/>
        <v>30.47136095121887</v>
      </c>
    </row>
    <row r="173" spans="2:25" ht="9.75" customHeight="1">
      <c r="B173" s="951"/>
      <c r="C173" s="951"/>
      <c r="D173" s="287">
        <f t="shared" ca="1" si="28"/>
        <v>51374</v>
      </c>
      <c r="E173" s="359">
        <f t="shared" si="31"/>
        <v>0</v>
      </c>
      <c r="F173" s="289">
        <f t="shared" ca="1" si="29"/>
        <v>60</v>
      </c>
      <c r="G173" s="290">
        <f ca="1">KTVTUCOI!P172</f>
        <v>2.4581036734262147</v>
      </c>
      <c r="H173" s="290">
        <f ca="1">(H172-F173-G173)*(1+LS!$F$3)</f>
        <v>-12108.220232220199</v>
      </c>
      <c r="I173" s="953"/>
      <c r="J173" s="292">
        <f t="shared" ca="1" si="30"/>
        <v>-12108.220232220199</v>
      </c>
      <c r="K173" s="949"/>
      <c r="L173" s="949"/>
      <c r="M173" s="949"/>
      <c r="N173" s="950"/>
      <c r="O173" s="950"/>
      <c r="X173" s="945"/>
      <c r="Y173" s="945"/>
    </row>
    <row r="174" spans="2:25" ht="9.75" customHeight="1">
      <c r="B174" s="951"/>
      <c r="C174" s="951"/>
      <c r="D174" s="287">
        <f t="shared" ca="1" si="28"/>
        <v>51405</v>
      </c>
      <c r="E174" s="359">
        <f t="shared" si="31"/>
        <v>0</v>
      </c>
      <c r="F174" s="289">
        <f t="shared" ca="1" si="29"/>
        <v>60</v>
      </c>
      <c r="G174" s="290">
        <f ca="1">KTVTUCOI!P173</f>
        <v>2.4760827924503341</v>
      </c>
      <c r="H174" s="290">
        <f ca="1">(H173-F174-G174)*(1+LS!$F$3)</f>
        <v>-12216.39499378929</v>
      </c>
      <c r="I174" s="953"/>
      <c r="J174" s="292">
        <f t="shared" ca="1" si="30"/>
        <v>-12216.39499378929</v>
      </c>
      <c r="K174" s="949"/>
      <c r="L174" s="949"/>
      <c r="M174" s="949"/>
      <c r="N174" s="950"/>
      <c r="O174" s="950"/>
      <c r="X174" s="945"/>
      <c r="Y174" s="945"/>
    </row>
    <row r="175" spans="2:25" ht="9.75" customHeight="1">
      <c r="B175" s="951"/>
      <c r="C175" s="951"/>
      <c r="D175" s="287">
        <f t="shared" ca="1" si="28"/>
        <v>51435</v>
      </c>
      <c r="E175" s="359">
        <f t="shared" si="31"/>
        <v>0</v>
      </c>
      <c r="F175" s="289">
        <f t="shared" ca="1" si="29"/>
        <v>60</v>
      </c>
      <c r="G175" s="290">
        <f ca="1">KTVTUCOI!P174</f>
        <v>2.4940814143174612</v>
      </c>
      <c r="H175" s="290">
        <f ca="1">(H174-F175-G175)*(1+LS!$F$3)</f>
        <v>-12324.993997474125</v>
      </c>
      <c r="I175" s="953"/>
      <c r="J175" s="292">
        <f t="shared" ca="1" si="30"/>
        <v>-12324.993997474125</v>
      </c>
      <c r="K175" s="949"/>
      <c r="L175" s="949"/>
      <c r="M175" s="949"/>
      <c r="N175" s="950"/>
      <c r="O175" s="950"/>
      <c r="X175" s="945"/>
      <c r="Y175" s="945"/>
    </row>
    <row r="176" spans="2:25" ht="9.75" customHeight="1">
      <c r="B176" s="951"/>
      <c r="C176" s="951"/>
      <c r="D176" s="287">
        <f t="shared" ca="1" si="28"/>
        <v>51466</v>
      </c>
      <c r="E176" s="359">
        <f t="shared" si="31"/>
        <v>0</v>
      </c>
      <c r="F176" s="289">
        <f t="shared" ca="1" si="29"/>
        <v>60</v>
      </c>
      <c r="G176" s="290">
        <f ca="1">KTVTUCOI!P175</f>
        <v>2.5120995601832967</v>
      </c>
      <c r="H176" s="290">
        <f ca="1">(H175-F176-G176)*(1+LS!$F$3)</f>
        <v>-12434.018855821474</v>
      </c>
      <c r="I176" s="953"/>
      <c r="J176" s="292">
        <f t="shared" ca="1" si="30"/>
        <v>-12434.018855821474</v>
      </c>
      <c r="K176" s="949"/>
      <c r="L176" s="949"/>
      <c r="M176" s="949"/>
      <c r="N176" s="950"/>
      <c r="O176" s="950"/>
      <c r="X176" s="945"/>
      <c r="Y176" s="945"/>
    </row>
    <row r="177" spans="2:25" ht="9.75" customHeight="1">
      <c r="B177" s="951"/>
      <c r="C177" s="951"/>
      <c r="D177" s="287">
        <f t="shared" ca="1" si="28"/>
        <v>51496</v>
      </c>
      <c r="E177" s="359">
        <f t="shared" si="31"/>
        <v>0</v>
      </c>
      <c r="F177" s="289">
        <f t="shared" ca="1" si="29"/>
        <v>60</v>
      </c>
      <c r="G177" s="290">
        <f ca="1">KTVTUCOI!P176</f>
        <v>2.5301372512264919</v>
      </c>
      <c r="H177" s="290">
        <f ca="1">(H176-F177-G177)*(1+LS!$F$3)</f>
        <v>-12543.471187454179</v>
      </c>
      <c r="I177" s="953"/>
      <c r="J177" s="292">
        <f t="shared" ca="1" si="30"/>
        <v>-12543.471187454179</v>
      </c>
      <c r="K177" s="949"/>
      <c r="L177" s="949"/>
      <c r="M177" s="949"/>
      <c r="N177" s="950"/>
      <c r="O177" s="950"/>
      <c r="X177" s="945"/>
      <c r="Y177" s="945"/>
    </row>
    <row r="178" spans="2:25" ht="9.75" customHeight="1">
      <c r="B178" s="951"/>
      <c r="C178" s="951"/>
      <c r="D178" s="287">
        <f t="shared" ca="1" si="28"/>
        <v>51527</v>
      </c>
      <c r="E178" s="359">
        <f t="shared" si="31"/>
        <v>0</v>
      </c>
      <c r="F178" s="289">
        <f t="shared" ca="1" si="29"/>
        <v>60</v>
      </c>
      <c r="G178" s="290">
        <f ca="1">KTVTUCOI!P177</f>
        <v>2.5481945086486708</v>
      </c>
      <c r="H178" s="290">
        <f ca="1">(H177-F178-G178)*(1+LS!$F$3)</f>
        <v>-12653.352617093986</v>
      </c>
      <c r="I178" s="953"/>
      <c r="J178" s="292">
        <f t="shared" ca="1" si="30"/>
        <v>-12653.352617093986</v>
      </c>
      <c r="K178" s="949"/>
      <c r="L178" s="949"/>
      <c r="M178" s="949"/>
      <c r="N178" s="950"/>
      <c r="O178" s="950"/>
      <c r="X178" s="945"/>
      <c r="Y178" s="945"/>
    </row>
    <row r="179" spans="2:25" ht="9.75" customHeight="1">
      <c r="B179" s="951"/>
      <c r="C179" s="951"/>
      <c r="D179" s="287">
        <f t="shared" ca="1" si="28"/>
        <v>51558</v>
      </c>
      <c r="E179" s="359">
        <f t="shared" si="31"/>
        <v>0</v>
      </c>
      <c r="F179" s="289">
        <f t="shared" ca="1" si="29"/>
        <v>60</v>
      </c>
      <c r="G179" s="290">
        <f ca="1">KTVTUCOI!P178</f>
        <v>2.5662713536744568</v>
      </c>
      <c r="H179" s="290">
        <f ca="1">(H178-F179-G179)*(1+LS!$F$3)</f>
        <v>-12763.66477558447</v>
      </c>
      <c r="I179" s="953"/>
      <c r="J179" s="292">
        <f t="shared" ca="1" si="30"/>
        <v>-12763.66477558447</v>
      </c>
      <c r="K179" s="949"/>
      <c r="L179" s="949"/>
      <c r="M179" s="949"/>
      <c r="N179" s="950"/>
      <c r="O179" s="950"/>
      <c r="X179" s="945"/>
      <c r="Y179" s="945"/>
    </row>
    <row r="180" spans="2:25" ht="9.75" customHeight="1">
      <c r="B180" s="951"/>
      <c r="C180" s="951"/>
      <c r="D180" s="287">
        <f t="shared" ca="1" si="28"/>
        <v>51586</v>
      </c>
      <c r="E180" s="359">
        <f t="shared" si="31"/>
        <v>0</v>
      </c>
      <c r="F180" s="289">
        <f t="shared" ca="1" si="29"/>
        <v>60</v>
      </c>
      <c r="G180" s="290">
        <f ca="1">KTVTUCOI!P179</f>
        <v>2.5843678075514958</v>
      </c>
      <c r="H180" s="290">
        <f ca="1">(H179-F180-G180)*(1+LS!$F$3)</f>
        <v>-12874.409299914045</v>
      </c>
      <c r="I180" s="953"/>
      <c r="J180" s="292">
        <f t="shared" ca="1" si="30"/>
        <v>-12874.409299914045</v>
      </c>
      <c r="K180" s="949"/>
      <c r="L180" s="949"/>
      <c r="M180" s="949"/>
      <c r="N180" s="950"/>
      <c r="O180" s="950"/>
      <c r="X180" s="945"/>
      <c r="Y180" s="945"/>
    </row>
    <row r="181" spans="2:25" ht="9.75" customHeight="1">
      <c r="B181" s="951"/>
      <c r="C181" s="951"/>
      <c r="D181" s="287">
        <f t="shared" ca="1" si="28"/>
        <v>51617</v>
      </c>
      <c r="E181" s="359">
        <f t="shared" si="31"/>
        <v>0</v>
      </c>
      <c r="F181" s="289">
        <f t="shared" ca="1" si="29"/>
        <v>60</v>
      </c>
      <c r="G181" s="290">
        <f ca="1">KTVTUCOI!P180</f>
        <v>2.6024838915504809</v>
      </c>
      <c r="H181" s="290">
        <f ca="1">(H180-F181-G181)*(1+LS!$F$3)</f>
        <v>-12985.58783323906</v>
      </c>
      <c r="I181" s="953"/>
      <c r="J181" s="292">
        <f t="shared" ca="1" si="30"/>
        <v>-12985.58783323906</v>
      </c>
      <c r="K181" s="949"/>
      <c r="L181" s="949"/>
      <c r="M181" s="949"/>
      <c r="N181" s="950"/>
      <c r="O181" s="950"/>
      <c r="X181" s="945"/>
      <c r="Y181" s="945"/>
    </row>
    <row r="182" spans="2:25" ht="9.75" customHeight="1">
      <c r="B182" s="951"/>
      <c r="C182" s="951"/>
      <c r="D182" s="287">
        <f t="shared" ca="1" si="28"/>
        <v>51647</v>
      </c>
      <c r="E182" s="359">
        <f t="shared" si="31"/>
        <v>0</v>
      </c>
      <c r="F182" s="289">
        <f t="shared" ca="1" si="29"/>
        <v>60</v>
      </c>
      <c r="G182" s="290">
        <f ca="1">KTVTUCOI!P181</f>
        <v>2.620619626965182</v>
      </c>
      <c r="H182" s="290">
        <f ca="1">(H181-F182-G182)*(1+LS!$F$3)</f>
        <v>-13097.202024906981</v>
      </c>
      <c r="I182" s="953"/>
      <c r="J182" s="292">
        <f t="shared" ca="1" si="30"/>
        <v>-13097.202024906981</v>
      </c>
      <c r="K182" s="949"/>
      <c r="L182" s="949"/>
      <c r="M182" s="949"/>
      <c r="N182" s="950"/>
      <c r="O182" s="950"/>
      <c r="X182" s="945"/>
      <c r="Y182" s="945"/>
    </row>
    <row r="183" spans="2:25" ht="9.75" customHeight="1">
      <c r="B183" s="951"/>
      <c r="C183" s="951"/>
      <c r="D183" s="287">
        <f t="shared" ca="1" si="28"/>
        <v>51678</v>
      </c>
      <c r="E183" s="359">
        <f t="shared" si="31"/>
        <v>0</v>
      </c>
      <c r="F183" s="289">
        <f t="shared" ca="1" si="29"/>
        <v>60</v>
      </c>
      <c r="G183" s="290">
        <f ca="1">KTVTUCOI!P182</f>
        <v>2.6387750351124639</v>
      </c>
      <c r="H183" s="290">
        <f ca="1">(H182-F183-G183)*(1+LS!$F$3)</f>
        <v>-13209.25353047966</v>
      </c>
      <c r="I183" s="953"/>
      <c r="J183" s="293">
        <f ca="1">H183+I172</f>
        <v>-13209.25353047966</v>
      </c>
      <c r="K183" s="949"/>
      <c r="L183" s="949"/>
      <c r="M183" s="949"/>
      <c r="N183" s="950"/>
      <c r="O183" s="950"/>
      <c r="X183" s="945"/>
      <c r="Y183" s="945"/>
    </row>
    <row r="184" spans="2:25" ht="9.75" customHeight="1">
      <c r="B184" s="946">
        <f>B172+1</f>
        <v>16</v>
      </c>
      <c r="C184" s="947">
        <f ca="1">C172+1</f>
        <v>45</v>
      </c>
      <c r="D184" s="294">
        <f t="shared" ca="1" si="28"/>
        <v>51708</v>
      </c>
      <c r="E184" s="359">
        <f t="shared" si="31"/>
        <v>0</v>
      </c>
      <c r="F184" s="360">
        <f t="shared" ca="1" si="29"/>
        <v>60</v>
      </c>
      <c r="G184" s="290">
        <f ca="1">KTVTUCOI!P183</f>
        <v>2.8740212269836505</v>
      </c>
      <c r="H184" s="295">
        <f ca="1">(H183+KTVBVGTTKMH!F176-F184-G184)*(1+LS!$F$3)</f>
        <v>-13321.961897907519</v>
      </c>
      <c r="I184" s="948"/>
      <c r="J184" s="296">
        <f t="shared" ca="1" si="30"/>
        <v>-13321.961897907519</v>
      </c>
      <c r="K184" s="949">
        <f ca="1">J195</f>
        <v>-14591.284531797393</v>
      </c>
      <c r="L184" s="949"/>
      <c r="M184" s="949"/>
      <c r="N184" s="950">
        <f t="shared" ref="N184" ca="1" si="40">SUM(G184:G195)</f>
        <v>35.715033424548388</v>
      </c>
      <c r="O184" s="950"/>
      <c r="X184" s="945">
        <f t="shared" ref="X184:Y184" ca="1" si="41">SUM(F184:F195)</f>
        <v>720</v>
      </c>
      <c r="Y184" s="945">
        <f t="shared" ca="1" si="41"/>
        <v>35.715033424548388</v>
      </c>
    </row>
    <row r="185" spans="2:25" ht="9.75" customHeight="1">
      <c r="B185" s="946"/>
      <c r="C185" s="946"/>
      <c r="D185" s="294">
        <f t="shared" ca="1" si="28"/>
        <v>51739</v>
      </c>
      <c r="E185" s="359">
        <f t="shared" si="31"/>
        <v>0</v>
      </c>
      <c r="F185" s="360">
        <f t="shared" ca="1" si="29"/>
        <v>60</v>
      </c>
      <c r="G185" s="290">
        <f ca="1">KTVTUCOI!P184</f>
        <v>2.8925659607658623</v>
      </c>
      <c r="H185" s="295">
        <f ca="1">(H184-F185-G185)*(1+LS!$F$3)</f>
        <v>-13435.112078452086</v>
      </c>
      <c r="I185" s="948"/>
      <c r="J185" s="296">
        <f t="shared" ca="1" si="30"/>
        <v>-13435.112078452086</v>
      </c>
      <c r="K185" s="949"/>
      <c r="L185" s="949"/>
      <c r="M185" s="949"/>
      <c r="N185" s="950"/>
      <c r="O185" s="950"/>
      <c r="X185" s="945"/>
      <c r="Y185" s="945"/>
    </row>
    <row r="186" spans="2:25" ht="9.75" customHeight="1">
      <c r="B186" s="946"/>
      <c r="C186" s="946"/>
      <c r="D186" s="294">
        <f t="shared" ca="1" si="28"/>
        <v>51770</v>
      </c>
      <c r="E186" s="359">
        <f t="shared" si="31"/>
        <v>0</v>
      </c>
      <c r="F186" s="360">
        <f t="shared" ca="1" si="29"/>
        <v>60</v>
      </c>
      <c r="G186" s="290">
        <f ca="1">KTVTUCOI!P185</f>
        <v>2.9111235212514219</v>
      </c>
      <c r="H186" s="295">
        <f ca="1">(H185-F186-G186)*(1+LS!$F$3)</f>
        <v>-13548.705743913501</v>
      </c>
      <c r="I186" s="948"/>
      <c r="J186" s="296">
        <f t="shared" ca="1" si="30"/>
        <v>-13548.705743913501</v>
      </c>
      <c r="K186" s="949"/>
      <c r="L186" s="949"/>
      <c r="M186" s="949"/>
      <c r="N186" s="950"/>
      <c r="O186" s="950"/>
      <c r="X186" s="945"/>
      <c r="Y186" s="945"/>
    </row>
    <row r="187" spans="2:25" ht="9.75" customHeight="1">
      <c r="B187" s="946"/>
      <c r="C187" s="946"/>
      <c r="D187" s="294">
        <f t="shared" ca="1" si="28"/>
        <v>51800</v>
      </c>
      <c r="E187" s="359">
        <f t="shared" si="31"/>
        <v>0</v>
      </c>
      <c r="F187" s="360">
        <f t="shared" ca="1" si="29"/>
        <v>60</v>
      </c>
      <c r="G187" s="290">
        <f ca="1">KTVTUCOI!P186</f>
        <v>2.9296939173120831</v>
      </c>
      <c r="H187" s="295">
        <f ca="1">(H186-F187-G187)*(1+LS!$F$3)</f>
        <v>-13662.7445723781</v>
      </c>
      <c r="I187" s="948"/>
      <c r="J187" s="296">
        <f t="shared" ca="1" si="30"/>
        <v>-13662.7445723781</v>
      </c>
      <c r="K187" s="949"/>
      <c r="L187" s="949"/>
      <c r="M187" s="949"/>
      <c r="N187" s="950"/>
      <c r="O187" s="950"/>
      <c r="X187" s="945"/>
      <c r="Y187" s="945"/>
    </row>
    <row r="188" spans="2:25" ht="9.75" customHeight="1">
      <c r="B188" s="946"/>
      <c r="C188" s="946"/>
      <c r="D188" s="294">
        <f t="shared" ca="1" si="28"/>
        <v>51831</v>
      </c>
      <c r="E188" s="359">
        <f t="shared" si="31"/>
        <v>0</v>
      </c>
      <c r="F188" s="360">
        <f t="shared" ca="1" si="29"/>
        <v>60</v>
      </c>
      <c r="G188" s="290">
        <f ca="1">KTVTUCOI!P187</f>
        <v>2.9482771578257361</v>
      </c>
      <c r="H188" s="295">
        <f ca="1">(H187-F188-G188)*(1+LS!$F$3)</f>
        <v>-13777.230248242035</v>
      </c>
      <c r="I188" s="948"/>
      <c r="J188" s="296">
        <f t="shared" ca="1" si="30"/>
        <v>-13777.230248242035</v>
      </c>
      <c r="K188" s="949"/>
      <c r="L188" s="949"/>
      <c r="M188" s="949"/>
      <c r="N188" s="950"/>
      <c r="O188" s="950"/>
      <c r="X188" s="945"/>
      <c r="Y188" s="945"/>
    </row>
    <row r="189" spans="2:25" ht="9.75" customHeight="1">
      <c r="B189" s="946"/>
      <c r="C189" s="946"/>
      <c r="D189" s="294">
        <f t="shared" ca="1" si="28"/>
        <v>51861</v>
      </c>
      <c r="E189" s="359">
        <f t="shared" si="31"/>
        <v>0</v>
      </c>
      <c r="F189" s="360">
        <f t="shared" ca="1" si="29"/>
        <v>60</v>
      </c>
      <c r="G189" s="290">
        <f ca="1">KTVTUCOI!P188</f>
        <v>2.9668732516764122</v>
      </c>
      <c r="H189" s="295">
        <f ca="1">(H188-F189-G189)*(1+LS!$F$3)</f>
        <v>-13892.16446223496</v>
      </c>
      <c r="I189" s="948"/>
      <c r="J189" s="296">
        <f t="shared" ca="1" si="30"/>
        <v>-13892.16446223496</v>
      </c>
      <c r="K189" s="949"/>
      <c r="L189" s="949"/>
      <c r="M189" s="949"/>
      <c r="N189" s="950"/>
      <c r="O189" s="950"/>
      <c r="X189" s="945"/>
      <c r="Y189" s="945"/>
    </row>
    <row r="190" spans="2:25" ht="9.75" customHeight="1">
      <c r="B190" s="946"/>
      <c r="C190" s="946"/>
      <c r="D190" s="294">
        <f t="shared" ca="1" si="28"/>
        <v>51892</v>
      </c>
      <c r="E190" s="359">
        <f t="shared" si="31"/>
        <v>0</v>
      </c>
      <c r="F190" s="360">
        <f t="shared" ca="1" si="29"/>
        <v>60</v>
      </c>
      <c r="G190" s="290">
        <f ca="1">KTVTUCOI!P189</f>
        <v>2.9854822077542864</v>
      </c>
      <c r="H190" s="295">
        <f ca="1">(H189-F190-G190)*(1+LS!$F$3)</f>
        <v>-14007.548911443828</v>
      </c>
      <c r="I190" s="948"/>
      <c r="J190" s="296">
        <f t="shared" ca="1" si="30"/>
        <v>-14007.548911443828</v>
      </c>
      <c r="K190" s="949"/>
      <c r="L190" s="949"/>
      <c r="M190" s="949"/>
      <c r="N190" s="950"/>
      <c r="O190" s="950"/>
      <c r="X190" s="945"/>
      <c r="Y190" s="945"/>
    </row>
    <row r="191" spans="2:25" ht="9.75" customHeight="1">
      <c r="B191" s="946"/>
      <c r="C191" s="946"/>
      <c r="D191" s="294">
        <f t="shared" ca="1" si="28"/>
        <v>51923</v>
      </c>
      <c r="E191" s="359">
        <f t="shared" si="31"/>
        <v>0</v>
      </c>
      <c r="F191" s="360">
        <f t="shared" ca="1" si="29"/>
        <v>60</v>
      </c>
      <c r="G191" s="290">
        <f ca="1">KTVTUCOI!P190</f>
        <v>3.0041040349556849</v>
      </c>
      <c r="H191" s="295">
        <f ca="1">(H190-F191-G191)*(1+LS!$F$3)</f>
        <v>-14123.385299336765</v>
      </c>
      <c r="I191" s="948"/>
      <c r="J191" s="296">
        <f t="shared" ca="1" si="30"/>
        <v>-14123.385299336765</v>
      </c>
      <c r="K191" s="949"/>
      <c r="L191" s="949"/>
      <c r="M191" s="949"/>
      <c r="N191" s="950"/>
      <c r="O191" s="950"/>
      <c r="X191" s="945"/>
      <c r="Y191" s="945"/>
    </row>
    <row r="192" spans="2:25" ht="9.75" customHeight="1">
      <c r="B192" s="946"/>
      <c r="C192" s="946"/>
      <c r="D192" s="294">
        <f t="shared" ca="1" si="28"/>
        <v>51951</v>
      </c>
      <c r="E192" s="359">
        <f t="shared" si="31"/>
        <v>0</v>
      </c>
      <c r="F192" s="360">
        <f t="shared" ca="1" si="29"/>
        <v>60</v>
      </c>
      <c r="G192" s="290">
        <f ca="1">KTVTUCOI!P191</f>
        <v>3.0227387421830838</v>
      </c>
      <c r="H192" s="295">
        <f ca="1">(H191-F192-G192)*(1+LS!$F$3)</f>
        <v>-14239.675335787038</v>
      </c>
      <c r="I192" s="948"/>
      <c r="J192" s="296">
        <f t="shared" ca="1" si="30"/>
        <v>-14239.675335787038</v>
      </c>
      <c r="K192" s="949"/>
      <c r="L192" s="949"/>
      <c r="M192" s="949"/>
      <c r="N192" s="950"/>
      <c r="O192" s="950"/>
      <c r="X192" s="945"/>
      <c r="Y192" s="945"/>
    </row>
    <row r="193" spans="2:25" ht="9.75" customHeight="1">
      <c r="B193" s="946"/>
      <c r="C193" s="946"/>
      <c r="D193" s="294">
        <f t="shared" ca="1" si="28"/>
        <v>51982</v>
      </c>
      <c r="E193" s="359">
        <f t="shared" si="31"/>
        <v>0</v>
      </c>
      <c r="F193" s="360">
        <f t="shared" ca="1" si="29"/>
        <v>60</v>
      </c>
      <c r="G193" s="290">
        <f ca="1">KTVTUCOI!P192</f>
        <v>3.0413863383451196</v>
      </c>
      <c r="H193" s="295">
        <f ca="1">(H192-F193-G193)*(1+LS!$F$3)</f>
        <v>-14356.420737097103</v>
      </c>
      <c r="I193" s="948"/>
      <c r="J193" s="296">
        <f t="shared" ca="1" si="30"/>
        <v>-14356.420737097103</v>
      </c>
      <c r="K193" s="949"/>
      <c r="L193" s="949"/>
      <c r="M193" s="949"/>
      <c r="N193" s="950"/>
      <c r="O193" s="950"/>
      <c r="X193" s="945"/>
      <c r="Y193" s="945"/>
    </row>
    <row r="194" spans="2:25" ht="9.75" customHeight="1">
      <c r="B194" s="946"/>
      <c r="C194" s="946"/>
      <c r="D194" s="294">
        <f t="shared" ca="1" si="28"/>
        <v>52012</v>
      </c>
      <c r="E194" s="359">
        <f t="shared" si="31"/>
        <v>0</v>
      </c>
      <c r="F194" s="360">
        <f t="shared" ca="1" si="29"/>
        <v>60</v>
      </c>
      <c r="G194" s="290">
        <f ca="1">KTVTUCOI!P193</f>
        <v>3.0600468323565901</v>
      </c>
      <c r="H194" s="295">
        <f ca="1">(H193-F194-G194)*(1+LS!$F$3)</f>
        <v>-14473.623226022763</v>
      </c>
      <c r="I194" s="948"/>
      <c r="J194" s="296">
        <f t="shared" ca="1" si="30"/>
        <v>-14473.623226022763</v>
      </c>
      <c r="K194" s="949"/>
      <c r="L194" s="949"/>
      <c r="M194" s="949"/>
      <c r="N194" s="950"/>
      <c r="O194" s="950"/>
      <c r="X194" s="945"/>
      <c r="Y194" s="945"/>
    </row>
    <row r="195" spans="2:25" ht="9.75" customHeight="1">
      <c r="B195" s="946"/>
      <c r="C195" s="946"/>
      <c r="D195" s="294">
        <f t="shared" ca="1" si="28"/>
        <v>52043</v>
      </c>
      <c r="E195" s="359">
        <f t="shared" si="31"/>
        <v>0</v>
      </c>
      <c r="F195" s="360">
        <f t="shared" ca="1" si="29"/>
        <v>60</v>
      </c>
      <c r="G195" s="290">
        <f ca="1">KTVTUCOI!P194</f>
        <v>3.0787202331384567</v>
      </c>
      <c r="H195" s="295">
        <f ca="1">(H194-F195-G195)*(1+LS!$F$3)</f>
        <v>-14591.284531797393</v>
      </c>
      <c r="I195" s="948"/>
      <c r="J195" s="297">
        <f ca="1">H195+I184</f>
        <v>-14591.284531797393</v>
      </c>
      <c r="K195" s="949"/>
      <c r="L195" s="949"/>
      <c r="M195" s="949"/>
      <c r="N195" s="950"/>
      <c r="O195" s="950"/>
      <c r="X195" s="945"/>
      <c r="Y195" s="945"/>
    </row>
    <row r="196" spans="2:25" ht="9.75" customHeight="1">
      <c r="B196" s="951">
        <f>B184+1</f>
        <v>17</v>
      </c>
      <c r="C196" s="952">
        <f ca="1">C184+1</f>
        <v>46</v>
      </c>
      <c r="D196" s="287">
        <f t="shared" ca="1" si="28"/>
        <v>52073</v>
      </c>
      <c r="E196" s="359">
        <f t="shared" si="31"/>
        <v>0</v>
      </c>
      <c r="F196" s="289">
        <f t="shared" ca="1" si="29"/>
        <v>60</v>
      </c>
      <c r="G196" s="290">
        <f ca="1">KTVTUCOI!P195</f>
        <v>3.3500650899190085</v>
      </c>
      <c r="H196" s="290">
        <f ca="1">(H195+KTVBVGTTKMH!F177-F196-G196)*(1+LS!$F$3)</f>
        <v>-14709.65999738195</v>
      </c>
      <c r="I196" s="953"/>
      <c r="J196" s="292">
        <f t="shared" ca="1" si="30"/>
        <v>-14709.65999738195</v>
      </c>
      <c r="K196" s="949">
        <f ca="1">J207</f>
        <v>-16042.860965513664</v>
      </c>
      <c r="L196" s="949"/>
      <c r="M196" s="949"/>
      <c r="N196" s="950">
        <f t="shared" ref="N196" ca="1" si="42">SUM(G196:G207)</f>
        <v>41.543773364425306</v>
      </c>
      <c r="O196" s="950"/>
      <c r="X196" s="945">
        <f t="shared" ref="X196:Y196" ca="1" si="43">SUM(F196:F207)</f>
        <v>720</v>
      </c>
      <c r="Y196" s="945">
        <f t="shared" ca="1" si="43"/>
        <v>41.543773364425306</v>
      </c>
    </row>
    <row r="197" spans="2:25" ht="9.75" customHeight="1">
      <c r="B197" s="951"/>
      <c r="C197" s="951"/>
      <c r="D197" s="287">
        <f t="shared" ref="D197:D243" ca="1" si="44">EDATE(D196,1)</f>
        <v>52104</v>
      </c>
      <c r="E197" s="359">
        <f t="shared" si="31"/>
        <v>0</v>
      </c>
      <c r="F197" s="289">
        <f t="shared" ref="F197:F243" ca="1" si="45">IF(YEAR(D197)=2025,40000,IF(YEAR(D197)=2026,40000,IF(YEAR(D197)=2027,40000,IF(YEAR(D197)=2028,40000,IF(YEAR(D197)=2029,40000,IF(YEAR(D197)=2030,50000,IF(YEAR(D197)=2031,50000,IF(YEAR(D197)=2032,50000,IF(YEAR(D197)=2033,50000,IF(YEAR(D197)=2034,50000,IF(YEAR(D197)&gt;=2035,60000,0)))))))))))/1000</f>
        <v>60</v>
      </c>
      <c r="G197" s="290">
        <f ca="1">KTVTUCOI!P196</f>
        <v>3.3703650545689929</v>
      </c>
      <c r="H197" s="290">
        <f ca="1">(H196-F197-G197)*(1+LS!$F$3)</f>
        <v>-14828.500316793838</v>
      </c>
      <c r="I197" s="953"/>
      <c r="J197" s="292">
        <f t="shared" ref="J197:J242" ca="1" si="46">H197</f>
        <v>-14828.500316793838</v>
      </c>
      <c r="K197" s="949"/>
      <c r="L197" s="949"/>
      <c r="M197" s="949"/>
      <c r="N197" s="950"/>
      <c r="O197" s="950"/>
      <c r="X197" s="945"/>
      <c r="Y197" s="945"/>
    </row>
    <row r="198" spans="2:25" ht="9.75" customHeight="1">
      <c r="B198" s="951"/>
      <c r="C198" s="951"/>
      <c r="D198" s="287">
        <f t="shared" ca="1" si="44"/>
        <v>52135</v>
      </c>
      <c r="E198" s="359">
        <f t="shared" ref="E198:E243" si="47">E197</f>
        <v>0</v>
      </c>
      <c r="F198" s="289">
        <f t="shared" ca="1" si="45"/>
        <v>60</v>
      </c>
      <c r="G198" s="290">
        <f ca="1">KTVTUCOI!P197</f>
        <v>3.3906795168893837</v>
      </c>
      <c r="H198" s="290">
        <f ca="1">(H197-F198-G198)*(1+LS!$F$3)</f>
        <v>-14947.807250023976</v>
      </c>
      <c r="I198" s="953"/>
      <c r="J198" s="292">
        <f t="shared" ca="1" si="46"/>
        <v>-14947.807250023976</v>
      </c>
      <c r="K198" s="949"/>
      <c r="L198" s="949"/>
      <c r="M198" s="949"/>
      <c r="N198" s="950"/>
      <c r="O198" s="950"/>
      <c r="X198" s="945"/>
      <c r="Y198" s="945"/>
    </row>
    <row r="199" spans="2:25" ht="9.75" customHeight="1">
      <c r="B199" s="951"/>
      <c r="C199" s="951"/>
      <c r="D199" s="287">
        <f t="shared" ca="1" si="44"/>
        <v>52165</v>
      </c>
      <c r="E199" s="359">
        <f t="shared" si="47"/>
        <v>0</v>
      </c>
      <c r="F199" s="289">
        <f t="shared" ca="1" si="45"/>
        <v>60</v>
      </c>
      <c r="G199" s="290">
        <f ca="1">KTVTUCOI!P198</f>
        <v>3.4110084872340161</v>
      </c>
      <c r="H199" s="290">
        <f ca="1">(H198-F199-G199)*(1+LS!$F$3)</f>
        <v>-15067.58256368211</v>
      </c>
      <c r="I199" s="953"/>
      <c r="J199" s="292">
        <f t="shared" ca="1" si="46"/>
        <v>-15067.58256368211</v>
      </c>
      <c r="K199" s="949"/>
      <c r="L199" s="949"/>
      <c r="M199" s="949"/>
      <c r="N199" s="950"/>
      <c r="O199" s="950"/>
      <c r="X199" s="945"/>
      <c r="Y199" s="945"/>
    </row>
    <row r="200" spans="2:25" ht="9.75" customHeight="1">
      <c r="B200" s="951"/>
      <c r="C200" s="951"/>
      <c r="D200" s="287">
        <f t="shared" ca="1" si="44"/>
        <v>52196</v>
      </c>
      <c r="E200" s="359">
        <f t="shared" si="47"/>
        <v>0</v>
      </c>
      <c r="F200" s="289">
        <f t="shared" ca="1" si="45"/>
        <v>60</v>
      </c>
      <c r="G200" s="290">
        <f ca="1">KTVTUCOI!P199</f>
        <v>3.4313519759641156</v>
      </c>
      <c r="H200" s="290">
        <f ca="1">(H199-F200-G200)*(1+LS!$F$3)</f>
        <v>-15187.828031021678</v>
      </c>
      <c r="I200" s="953"/>
      <c r="J200" s="292">
        <f t="shared" ca="1" si="46"/>
        <v>-15187.828031021678</v>
      </c>
      <c r="K200" s="949"/>
      <c r="L200" s="949"/>
      <c r="M200" s="949"/>
      <c r="N200" s="950"/>
      <c r="O200" s="950"/>
      <c r="X200" s="945"/>
      <c r="Y200" s="945"/>
    </row>
    <row r="201" spans="2:25" ht="9.75" customHeight="1">
      <c r="B201" s="951"/>
      <c r="C201" s="951"/>
      <c r="D201" s="287">
        <f t="shared" ca="1" si="44"/>
        <v>52226</v>
      </c>
      <c r="E201" s="359">
        <f t="shared" si="47"/>
        <v>0</v>
      </c>
      <c r="F201" s="289">
        <f t="shared" ca="1" si="45"/>
        <v>60</v>
      </c>
      <c r="G201" s="290">
        <f ca="1">KTVTUCOI!P200</f>
        <v>3.45170999344831</v>
      </c>
      <c r="H201" s="290">
        <f ca="1">(H200-F201-G201)*(1+LS!$F$3)</f>
        <v>-15308.545431964758</v>
      </c>
      <c r="I201" s="953"/>
      <c r="J201" s="292">
        <f t="shared" ca="1" si="46"/>
        <v>-15308.545431964758</v>
      </c>
      <c r="K201" s="949"/>
      <c r="L201" s="949"/>
      <c r="M201" s="949"/>
      <c r="N201" s="950"/>
      <c r="O201" s="950"/>
      <c r="X201" s="945"/>
      <c r="Y201" s="945"/>
    </row>
    <row r="202" spans="2:25" ht="9.75" customHeight="1">
      <c r="B202" s="951"/>
      <c r="C202" s="951"/>
      <c r="D202" s="287">
        <f t="shared" ca="1" si="44"/>
        <v>52257</v>
      </c>
      <c r="E202" s="359">
        <f t="shared" si="47"/>
        <v>0</v>
      </c>
      <c r="F202" s="289">
        <f t="shared" ca="1" si="45"/>
        <v>60</v>
      </c>
      <c r="G202" s="290">
        <f ca="1">KTVTUCOI!P201</f>
        <v>3.4720825500626322</v>
      </c>
      <c r="H202" s="290">
        <f ca="1">(H201-F202-G202)*(1+LS!$F$3)</f>
        <v>-15429.736553127113</v>
      </c>
      <c r="I202" s="953"/>
      <c r="J202" s="292">
        <f t="shared" ca="1" si="46"/>
        <v>-15429.736553127113</v>
      </c>
      <c r="K202" s="949"/>
      <c r="L202" s="949"/>
      <c r="M202" s="949"/>
      <c r="N202" s="950"/>
      <c r="O202" s="950"/>
      <c r="X202" s="945"/>
      <c r="Y202" s="945"/>
    </row>
    <row r="203" spans="2:25" ht="9.75" customHeight="1">
      <c r="B203" s="951"/>
      <c r="C203" s="951"/>
      <c r="D203" s="287">
        <f t="shared" ca="1" si="44"/>
        <v>52288</v>
      </c>
      <c r="E203" s="359">
        <f t="shared" si="47"/>
        <v>0</v>
      </c>
      <c r="F203" s="289">
        <f t="shared" ca="1" si="45"/>
        <v>60</v>
      </c>
      <c r="G203" s="290">
        <f ca="1">KTVTUCOI!P202</f>
        <v>3.4924696561905244</v>
      </c>
      <c r="H203" s="290">
        <f ca="1">(H202-F203-G203)*(1+LS!$F$3)</f>
        <v>-15551.403187843338</v>
      </c>
      <c r="I203" s="953"/>
      <c r="J203" s="292">
        <f t="shared" ca="1" si="46"/>
        <v>-15551.403187843338</v>
      </c>
      <c r="K203" s="949"/>
      <c r="L203" s="949"/>
      <c r="M203" s="949"/>
      <c r="N203" s="950"/>
      <c r="O203" s="950"/>
      <c r="X203" s="945"/>
      <c r="Y203" s="945"/>
    </row>
    <row r="204" spans="2:25" ht="9.75" customHeight="1">
      <c r="B204" s="951"/>
      <c r="C204" s="951"/>
      <c r="D204" s="287">
        <f t="shared" ca="1" si="44"/>
        <v>52316</v>
      </c>
      <c r="E204" s="359">
        <f t="shared" si="47"/>
        <v>0</v>
      </c>
      <c r="F204" s="289">
        <f t="shared" ca="1" si="45"/>
        <v>60</v>
      </c>
      <c r="G204" s="290">
        <f ca="1">KTVTUCOI!P203</f>
        <v>3.512871322222844</v>
      </c>
      <c r="H204" s="290">
        <f ca="1">(H203-F204-G204)*(1+LS!$F$3)</f>
        <v>-15673.54713619209</v>
      </c>
      <c r="I204" s="953"/>
      <c r="J204" s="292">
        <f t="shared" ca="1" si="46"/>
        <v>-15673.54713619209</v>
      </c>
      <c r="K204" s="949"/>
      <c r="L204" s="949"/>
      <c r="M204" s="949"/>
      <c r="N204" s="950"/>
      <c r="O204" s="950"/>
      <c r="X204" s="945"/>
      <c r="Y204" s="945"/>
    </row>
    <row r="205" spans="2:25" ht="9.75" customHeight="1">
      <c r="B205" s="951"/>
      <c r="C205" s="951"/>
      <c r="D205" s="287">
        <f t="shared" ca="1" si="44"/>
        <v>52347</v>
      </c>
      <c r="E205" s="359">
        <f t="shared" si="47"/>
        <v>0</v>
      </c>
      <c r="F205" s="289">
        <f t="shared" ca="1" si="45"/>
        <v>60</v>
      </c>
      <c r="G205" s="290">
        <f ca="1">KTVTUCOI!P204</f>
        <v>3.5332875585578711</v>
      </c>
      <c r="H205" s="290">
        <f ca="1">(H204-F205-G205)*(1+LS!$F$3)</f>
        <v>-15796.170205021423</v>
      </c>
      <c r="I205" s="953"/>
      <c r="J205" s="292">
        <f t="shared" ca="1" si="46"/>
        <v>-15796.170205021423</v>
      </c>
      <c r="K205" s="949"/>
      <c r="L205" s="949"/>
      <c r="M205" s="949"/>
      <c r="N205" s="950"/>
      <c r="O205" s="950"/>
      <c r="X205" s="945"/>
      <c r="Y205" s="945"/>
    </row>
    <row r="206" spans="2:25" ht="9.75" customHeight="1">
      <c r="B206" s="951"/>
      <c r="C206" s="951"/>
      <c r="D206" s="287">
        <f t="shared" ca="1" si="44"/>
        <v>52377</v>
      </c>
      <c r="E206" s="359">
        <f t="shared" si="47"/>
        <v>0</v>
      </c>
      <c r="F206" s="289">
        <f t="shared" ca="1" si="45"/>
        <v>60</v>
      </c>
      <c r="G206" s="290">
        <f ca="1">KTVTUCOI!P205</f>
        <v>3.55371837560131</v>
      </c>
      <c r="H206" s="290">
        <f ca="1">(H205-F206-G206)*(1+LS!$F$3)</f>
        <v>-15919.274207974209</v>
      </c>
      <c r="I206" s="953"/>
      <c r="J206" s="292">
        <f t="shared" ca="1" si="46"/>
        <v>-15919.274207974209</v>
      </c>
      <c r="K206" s="949"/>
      <c r="L206" s="949"/>
      <c r="M206" s="949"/>
      <c r="N206" s="950"/>
      <c r="O206" s="950"/>
      <c r="X206" s="945"/>
      <c r="Y206" s="945"/>
    </row>
    <row r="207" spans="2:25" ht="9.75" customHeight="1">
      <c r="B207" s="951"/>
      <c r="C207" s="951"/>
      <c r="D207" s="287">
        <f t="shared" ca="1" si="44"/>
        <v>52408</v>
      </c>
      <c r="E207" s="359">
        <f t="shared" si="47"/>
        <v>0</v>
      </c>
      <c r="F207" s="289">
        <f t="shared" ca="1" si="45"/>
        <v>60</v>
      </c>
      <c r="G207" s="290">
        <f ca="1">KTVTUCOI!P206</f>
        <v>3.5741637837662972</v>
      </c>
      <c r="H207" s="290">
        <f ca="1">(H206-F207-G207)*(1+LS!$F$3)</f>
        <v>-16042.860965513664</v>
      </c>
      <c r="I207" s="953"/>
      <c r="J207" s="293">
        <f ca="1">H207+I196</f>
        <v>-16042.860965513664</v>
      </c>
      <c r="K207" s="949"/>
      <c r="L207" s="949"/>
      <c r="M207" s="949"/>
      <c r="N207" s="950"/>
      <c r="O207" s="950"/>
      <c r="X207" s="945"/>
      <c r="Y207" s="945"/>
    </row>
    <row r="208" spans="2:25" ht="9.75" customHeight="1">
      <c r="B208" s="946">
        <f>B196+1</f>
        <v>18</v>
      </c>
      <c r="C208" s="947">
        <f ca="1">C196+1</f>
        <v>47</v>
      </c>
      <c r="D208" s="294">
        <f t="shared" ca="1" si="44"/>
        <v>52438</v>
      </c>
      <c r="E208" s="359">
        <f t="shared" si="47"/>
        <v>0</v>
      </c>
      <c r="F208" s="360">
        <f t="shared" ca="1" si="45"/>
        <v>60</v>
      </c>
      <c r="G208" s="290">
        <f ca="1">KTVTUCOI!P207</f>
        <v>3.8858084024419228</v>
      </c>
      <c r="H208" s="295">
        <f ca="1">(H207+KTVBVGTTKMH!F200-F208-G208)*(1+LS!$F$3)</f>
        <v>-16167.224582901443</v>
      </c>
      <c r="I208" s="948"/>
      <c r="J208" s="296">
        <f t="shared" ca="1" si="46"/>
        <v>-16167.224582901443</v>
      </c>
      <c r="K208" s="949">
        <f ca="1">J219</f>
        <v>-17567.927630427366</v>
      </c>
      <c r="L208" s="949"/>
      <c r="M208" s="949"/>
      <c r="N208" s="950">
        <f t="shared" ref="N208" ca="1" si="48">SUM(G208:G219)</f>
        <v>48.100307685331003</v>
      </c>
      <c r="O208" s="950"/>
      <c r="X208" s="945">
        <f t="shared" ref="X208:Y208" ca="1" si="49">SUM(F208:F219)</f>
        <v>720</v>
      </c>
      <c r="Y208" s="945">
        <f t="shared" ca="1" si="49"/>
        <v>48.100307685331003</v>
      </c>
    </row>
    <row r="209" spans="2:25" ht="9.75" customHeight="1">
      <c r="B209" s="946"/>
      <c r="C209" s="946"/>
      <c r="D209" s="294">
        <f t="shared" ca="1" si="44"/>
        <v>52469</v>
      </c>
      <c r="E209" s="359">
        <f t="shared" si="47"/>
        <v>0</v>
      </c>
      <c r="F209" s="360">
        <f t="shared" ca="1" si="45"/>
        <v>60</v>
      </c>
      <c r="G209" s="290">
        <f ca="1">KTVTUCOI!P208</f>
        <v>3.9080355289333304</v>
      </c>
      <c r="H209" s="295">
        <f ca="1">(H208-F209-G209)*(1+LS!$F$3)</f>
        <v>-16292.077472899857</v>
      </c>
      <c r="I209" s="948"/>
      <c r="J209" s="296">
        <f t="shared" ca="1" si="46"/>
        <v>-16292.077472899857</v>
      </c>
      <c r="K209" s="949"/>
      <c r="L209" s="949"/>
      <c r="M209" s="949"/>
      <c r="N209" s="950"/>
      <c r="O209" s="950"/>
      <c r="X209" s="945"/>
      <c r="Y209" s="945"/>
    </row>
    <row r="210" spans="2:25" ht="9.75" customHeight="1">
      <c r="B210" s="946"/>
      <c r="C210" s="946"/>
      <c r="D210" s="294">
        <f t="shared" ca="1" si="44"/>
        <v>52500</v>
      </c>
      <c r="E210" s="359">
        <f t="shared" si="47"/>
        <v>0</v>
      </c>
      <c r="F210" s="360">
        <f t="shared" ca="1" si="45"/>
        <v>60</v>
      </c>
      <c r="G210" s="290">
        <f ca="1">KTVTUCOI!P209</f>
        <v>3.9302790667994163</v>
      </c>
      <c r="H210" s="295">
        <f ca="1">(H209-F210-G210)*(1+LS!$F$3)</f>
        <v>-16417.421489108659</v>
      </c>
      <c r="I210" s="948"/>
      <c r="J210" s="296">
        <f t="shared" ca="1" si="46"/>
        <v>-16417.421489108659</v>
      </c>
      <c r="K210" s="949"/>
      <c r="L210" s="949"/>
      <c r="M210" s="949"/>
      <c r="N210" s="950"/>
      <c r="O210" s="950"/>
      <c r="X210" s="945"/>
      <c r="Y210" s="945"/>
    </row>
    <row r="211" spans="2:25" ht="9.75" customHeight="1">
      <c r="B211" s="946"/>
      <c r="C211" s="946"/>
      <c r="D211" s="294">
        <f t="shared" ca="1" si="44"/>
        <v>52530</v>
      </c>
      <c r="E211" s="359">
        <f t="shared" si="47"/>
        <v>0</v>
      </c>
      <c r="F211" s="360">
        <f t="shared" ca="1" si="45"/>
        <v>60</v>
      </c>
      <c r="G211" s="290">
        <f ca="1">KTVTUCOI!P210</f>
        <v>3.9525390281575015</v>
      </c>
      <c r="H211" s="295">
        <f ca="1">(H210-F211-G211)*(1+LS!$F$3)</f>
        <v>-16543.258492099689</v>
      </c>
      <c r="I211" s="948"/>
      <c r="J211" s="296">
        <f t="shared" ca="1" si="46"/>
        <v>-16543.258492099689</v>
      </c>
      <c r="K211" s="949"/>
      <c r="L211" s="949"/>
      <c r="M211" s="949"/>
      <c r="N211" s="950"/>
      <c r="O211" s="950"/>
      <c r="X211" s="945"/>
      <c r="Y211" s="945"/>
    </row>
    <row r="212" spans="2:25" ht="9.75" customHeight="1">
      <c r="B212" s="946"/>
      <c r="C212" s="946"/>
      <c r="D212" s="294">
        <f t="shared" ca="1" si="44"/>
        <v>52561</v>
      </c>
      <c r="E212" s="359">
        <f t="shared" si="47"/>
        <v>0</v>
      </c>
      <c r="F212" s="360">
        <f t="shared" ca="1" si="45"/>
        <v>60</v>
      </c>
      <c r="G212" s="290">
        <f ca="1">KTVTUCOI!P211</f>
        <v>3.9748154251338548</v>
      </c>
      <c r="H212" s="295">
        <f ca="1">(H211-F212-G212)*(1+LS!$F$3)</f>
        <v>-16669.590349443053</v>
      </c>
      <c r="I212" s="948"/>
      <c r="J212" s="296">
        <f t="shared" ca="1" si="46"/>
        <v>-16669.590349443053</v>
      </c>
      <c r="K212" s="949"/>
      <c r="L212" s="949"/>
      <c r="M212" s="949"/>
      <c r="N212" s="950"/>
      <c r="O212" s="950"/>
      <c r="X212" s="945"/>
      <c r="Y212" s="945"/>
    </row>
    <row r="213" spans="2:25" ht="9.75" customHeight="1">
      <c r="B213" s="946"/>
      <c r="C213" s="946"/>
      <c r="D213" s="294">
        <f t="shared" ca="1" si="44"/>
        <v>52591</v>
      </c>
      <c r="E213" s="359">
        <f t="shared" si="47"/>
        <v>0</v>
      </c>
      <c r="F213" s="360">
        <f t="shared" ca="1" si="45"/>
        <v>60</v>
      </c>
      <c r="G213" s="290">
        <f ca="1">KTVTUCOI!P212</f>
        <v>3.9971082698636948</v>
      </c>
      <c r="H213" s="295">
        <f ca="1">(H212-F213-G213)*(1+LS!$F$3)</f>
        <v>-16796.418935733414</v>
      </c>
      <c r="I213" s="948"/>
      <c r="J213" s="296">
        <f t="shared" ca="1" si="46"/>
        <v>-16796.418935733414</v>
      </c>
      <c r="K213" s="949"/>
      <c r="L213" s="949"/>
      <c r="M213" s="949"/>
      <c r="N213" s="950"/>
      <c r="O213" s="950"/>
      <c r="X213" s="945"/>
      <c r="Y213" s="945"/>
    </row>
    <row r="214" spans="2:25" ht="9.75" customHeight="1">
      <c r="B214" s="946"/>
      <c r="C214" s="946"/>
      <c r="D214" s="294">
        <f t="shared" ca="1" si="44"/>
        <v>52622</v>
      </c>
      <c r="E214" s="359">
        <f t="shared" si="47"/>
        <v>0</v>
      </c>
      <c r="F214" s="360">
        <f t="shared" ca="1" si="45"/>
        <v>60</v>
      </c>
      <c r="G214" s="290">
        <f ca="1">KTVTUCOI!P213</f>
        <v>4.0194175744912037</v>
      </c>
      <c r="H214" s="295">
        <f ca="1">(H213-F214-G214)*(1+LS!$F$3)</f>
        <v>-16923.746132616368</v>
      </c>
      <c r="I214" s="948"/>
      <c r="J214" s="296">
        <f t="shared" ca="1" si="46"/>
        <v>-16923.746132616368</v>
      </c>
      <c r="K214" s="949"/>
      <c r="L214" s="949"/>
      <c r="M214" s="949"/>
      <c r="N214" s="950"/>
      <c r="O214" s="950"/>
      <c r="X214" s="945"/>
      <c r="Y214" s="945"/>
    </row>
    <row r="215" spans="2:25" ht="9.75" customHeight="1">
      <c r="B215" s="946"/>
      <c r="C215" s="946"/>
      <c r="D215" s="294">
        <f t="shared" ca="1" si="44"/>
        <v>52653</v>
      </c>
      <c r="E215" s="359">
        <f t="shared" si="47"/>
        <v>0</v>
      </c>
      <c r="F215" s="360">
        <f t="shared" ca="1" si="45"/>
        <v>60</v>
      </c>
      <c r="G215" s="290">
        <f ca="1">KTVTUCOI!P214</f>
        <v>4.0417433511695284</v>
      </c>
      <c r="H215" s="295">
        <f ca="1">(H214-F215-G215)*(1+LS!$F$3)</f>
        <v>-17051.573828814948</v>
      </c>
      <c r="I215" s="948"/>
      <c r="J215" s="296">
        <f t="shared" ca="1" si="46"/>
        <v>-17051.573828814948</v>
      </c>
      <c r="K215" s="949"/>
      <c r="L215" s="949"/>
      <c r="M215" s="949"/>
      <c r="N215" s="950"/>
      <c r="O215" s="950"/>
      <c r="X215" s="945"/>
      <c r="Y215" s="945"/>
    </row>
    <row r="216" spans="2:25" ht="9.75" customHeight="1">
      <c r="B216" s="946"/>
      <c r="C216" s="946"/>
      <c r="D216" s="294">
        <f t="shared" ca="1" si="44"/>
        <v>52682</v>
      </c>
      <c r="E216" s="359">
        <f t="shared" si="47"/>
        <v>0</v>
      </c>
      <c r="F216" s="360">
        <f t="shared" ca="1" si="45"/>
        <v>60</v>
      </c>
      <c r="G216" s="290">
        <f ca="1">KTVTUCOI!P215</f>
        <v>4.0640856120607909</v>
      </c>
      <c r="H216" s="295">
        <f ca="1">(H215-F216-G216)*(1+LS!$F$3)</f>
        <v>-17179.903920156183</v>
      </c>
      <c r="I216" s="948"/>
      <c r="J216" s="296">
        <f t="shared" ca="1" si="46"/>
        <v>-17179.903920156183</v>
      </c>
      <c r="K216" s="949"/>
      <c r="L216" s="949"/>
      <c r="M216" s="949"/>
      <c r="N216" s="950"/>
      <c r="O216" s="950"/>
      <c r="X216" s="945"/>
      <c r="Y216" s="945"/>
    </row>
    <row r="217" spans="2:25" ht="9.75" customHeight="1">
      <c r="B217" s="946"/>
      <c r="C217" s="946"/>
      <c r="D217" s="294">
        <f t="shared" ca="1" si="44"/>
        <v>52713</v>
      </c>
      <c r="E217" s="359">
        <f t="shared" si="47"/>
        <v>0</v>
      </c>
      <c r="F217" s="360">
        <f t="shared" ca="1" si="45"/>
        <v>60</v>
      </c>
      <c r="G217" s="290">
        <f ca="1">KTVTUCOI!P216</f>
        <v>4.0864443693360917</v>
      </c>
      <c r="H217" s="295">
        <f ca="1">(H216-F217-G217)*(1+LS!$F$3)</f>
        <v>-17308.738309597804</v>
      </c>
      <c r="I217" s="948"/>
      <c r="J217" s="296">
        <f t="shared" ca="1" si="46"/>
        <v>-17308.738309597804</v>
      </c>
      <c r="K217" s="949"/>
      <c r="L217" s="949"/>
      <c r="M217" s="949"/>
      <c r="N217" s="950"/>
      <c r="O217" s="950"/>
      <c r="X217" s="945"/>
      <c r="Y217" s="945"/>
    </row>
    <row r="218" spans="2:25" ht="9.75" customHeight="1">
      <c r="B218" s="946"/>
      <c r="C218" s="946"/>
      <c r="D218" s="294">
        <f t="shared" ca="1" si="44"/>
        <v>52743</v>
      </c>
      <c r="E218" s="359">
        <f t="shared" si="47"/>
        <v>0</v>
      </c>
      <c r="F218" s="360">
        <f t="shared" ca="1" si="45"/>
        <v>60</v>
      </c>
      <c r="G218" s="290">
        <f ca="1">KTVTUCOI!P217</f>
        <v>4.1088196351755171</v>
      </c>
      <c r="H218" s="295">
        <f ca="1">(H217-F218-G218)*(1+LS!$F$3)</f>
        <v>-17438.078907255011</v>
      </c>
      <c r="I218" s="948"/>
      <c r="J218" s="296">
        <f t="shared" ca="1" si="46"/>
        <v>-17438.078907255011</v>
      </c>
      <c r="K218" s="949"/>
      <c r="L218" s="949"/>
      <c r="M218" s="949"/>
      <c r="N218" s="950"/>
      <c r="O218" s="950"/>
      <c r="X218" s="945"/>
      <c r="Y218" s="945"/>
    </row>
    <row r="219" spans="2:25" ht="9.75" customHeight="1">
      <c r="B219" s="946"/>
      <c r="C219" s="946"/>
      <c r="D219" s="294">
        <f t="shared" ca="1" si="44"/>
        <v>52774</v>
      </c>
      <c r="E219" s="359">
        <f t="shared" si="47"/>
        <v>0</v>
      </c>
      <c r="F219" s="360">
        <f t="shared" ca="1" si="45"/>
        <v>60</v>
      </c>
      <c r="G219" s="290">
        <f ca="1">KTVTUCOI!P218</f>
        <v>4.1312114217681488</v>
      </c>
      <c r="H219" s="295">
        <f ca="1">(H218-F219-G219)*(1+LS!$F$3)</f>
        <v>-17567.927630427366</v>
      </c>
      <c r="I219" s="948"/>
      <c r="J219" s="297">
        <f ca="1">H219+I208</f>
        <v>-17567.927630427366</v>
      </c>
      <c r="K219" s="949"/>
      <c r="L219" s="949"/>
      <c r="M219" s="949"/>
      <c r="N219" s="950"/>
      <c r="O219" s="950"/>
      <c r="X219" s="945"/>
      <c r="Y219" s="945"/>
    </row>
    <row r="220" spans="2:25" ht="9.75" customHeight="1">
      <c r="B220" s="951">
        <f>B208+1</f>
        <v>19</v>
      </c>
      <c r="C220" s="952">
        <f ca="1">C208+1</f>
        <v>48</v>
      </c>
      <c r="D220" s="287">
        <f t="shared" ca="1" si="44"/>
        <v>52804</v>
      </c>
      <c r="E220" s="359">
        <f t="shared" si="47"/>
        <v>0</v>
      </c>
      <c r="F220" s="289">
        <f t="shared" ca="1" si="45"/>
        <v>60</v>
      </c>
      <c r="G220" s="290">
        <f ca="1">KTVTUCOI!P219</f>
        <v>4.4863386353189743</v>
      </c>
      <c r="H220" s="290">
        <f ca="1">(H219+KTVBVGTTKMH!F201-F220-G220)*(1+LS!$F$3)</f>
        <v>-17698.620371816731</v>
      </c>
      <c r="I220" s="953"/>
      <c r="J220" s="292">
        <f t="shared" ca="1" si="46"/>
        <v>-17698.620371816731</v>
      </c>
      <c r="K220" s="949">
        <f ca="1">J231</f>
        <v>-19170.674084295762</v>
      </c>
      <c r="L220" s="949"/>
      <c r="M220" s="949"/>
      <c r="N220" s="950">
        <f t="shared" ref="N220" ca="1" si="50">SUM(G220:G231)</f>
        <v>55.446412002658143</v>
      </c>
      <c r="O220" s="950"/>
      <c r="X220" s="945">
        <f t="shared" ref="X220:Y220" ca="1" si="51">SUM(F220:F231)</f>
        <v>720</v>
      </c>
      <c r="Y220" s="945">
        <f t="shared" ca="1" si="51"/>
        <v>55.446412002658143</v>
      </c>
    </row>
    <row r="221" spans="2:25" ht="9.75" customHeight="1">
      <c r="B221" s="951"/>
      <c r="C221" s="951"/>
      <c r="D221" s="287">
        <f t="shared" ca="1" si="44"/>
        <v>52835</v>
      </c>
      <c r="E221" s="359">
        <f t="shared" si="47"/>
        <v>0</v>
      </c>
      <c r="F221" s="289">
        <f t="shared" ca="1" si="45"/>
        <v>60</v>
      </c>
      <c r="G221" s="290">
        <f ca="1">KTVTUCOI!P220</f>
        <v>4.5106757522744685</v>
      </c>
      <c r="H221" s="290">
        <f ca="1">(H220-F221-G221)*(1+LS!$F$3)</f>
        <v>-17829.82826840171</v>
      </c>
      <c r="I221" s="953"/>
      <c r="J221" s="292">
        <f t="shared" ca="1" si="46"/>
        <v>-17829.82826840171</v>
      </c>
      <c r="K221" s="949"/>
      <c r="L221" s="949"/>
      <c r="M221" s="949"/>
      <c r="N221" s="950"/>
      <c r="O221" s="950"/>
      <c r="X221" s="945"/>
      <c r="Y221" s="945"/>
    </row>
    <row r="222" spans="2:25" ht="9.75" customHeight="1">
      <c r="B222" s="951"/>
      <c r="C222" s="951"/>
      <c r="D222" s="287">
        <f t="shared" ca="1" si="44"/>
        <v>52866</v>
      </c>
      <c r="E222" s="359">
        <f t="shared" si="47"/>
        <v>0</v>
      </c>
      <c r="F222" s="289">
        <f t="shared" ca="1" si="45"/>
        <v>60</v>
      </c>
      <c r="G222" s="290">
        <f ca="1">KTVTUCOI!P221</f>
        <v>4.5350314674840257</v>
      </c>
      <c r="H222" s="290">
        <f ca="1">(H221-F222-G222)*(1+LS!$F$3)</f>
        <v>-17961.553273161397</v>
      </c>
      <c r="I222" s="953"/>
      <c r="J222" s="292">
        <f t="shared" ca="1" si="46"/>
        <v>-17961.553273161397</v>
      </c>
      <c r="K222" s="949"/>
      <c r="L222" s="949"/>
      <c r="M222" s="949"/>
      <c r="N222" s="950"/>
      <c r="O222" s="950"/>
      <c r="X222" s="945"/>
      <c r="Y222" s="945"/>
    </row>
    <row r="223" spans="2:25" ht="9.75" customHeight="1">
      <c r="B223" s="951"/>
      <c r="C223" s="951"/>
      <c r="D223" s="287">
        <f t="shared" ca="1" si="44"/>
        <v>52896</v>
      </c>
      <c r="E223" s="359">
        <f t="shared" si="47"/>
        <v>0</v>
      </c>
      <c r="F223" s="289">
        <f t="shared" ca="1" si="45"/>
        <v>60</v>
      </c>
      <c r="G223" s="290">
        <f ca="1">KTVTUCOI!P222</f>
        <v>4.5594057951602993</v>
      </c>
      <c r="H223" s="290">
        <f ca="1">(H222-F223-G223)*(1+LS!$F$3)</f>
        <v>-18093.797346422216</v>
      </c>
      <c r="I223" s="953"/>
      <c r="J223" s="292">
        <f t="shared" ca="1" si="46"/>
        <v>-18093.797346422216</v>
      </c>
      <c r="K223" s="949"/>
      <c r="L223" s="949"/>
      <c r="M223" s="949"/>
      <c r="N223" s="950"/>
      <c r="O223" s="950"/>
      <c r="X223" s="945"/>
      <c r="Y223" s="945"/>
    </row>
    <row r="224" spans="2:25" ht="9.75" customHeight="1">
      <c r="B224" s="951"/>
      <c r="C224" s="951"/>
      <c r="D224" s="287">
        <f t="shared" ca="1" si="44"/>
        <v>52927</v>
      </c>
      <c r="E224" s="359">
        <f t="shared" si="47"/>
        <v>0</v>
      </c>
      <c r="F224" s="289">
        <f t="shared" ca="1" si="45"/>
        <v>60</v>
      </c>
      <c r="G224" s="290">
        <f ca="1">KTVTUCOI!P223</f>
        <v>4.5837987495268075</v>
      </c>
      <c r="H224" s="290">
        <f ca="1">(H223-F224-G224)*(1+LS!$F$3)</f>
        <v>-18226.562455885527</v>
      </c>
      <c r="I224" s="953"/>
      <c r="J224" s="292">
        <f t="shared" ca="1" si="46"/>
        <v>-18226.562455885527</v>
      </c>
      <c r="K224" s="949"/>
      <c r="L224" s="949"/>
      <c r="M224" s="949"/>
      <c r="N224" s="950"/>
      <c r="O224" s="950"/>
      <c r="X224" s="945"/>
      <c r="Y224" s="945"/>
    </row>
    <row r="225" spans="2:25" ht="9.75" customHeight="1">
      <c r="B225" s="951"/>
      <c r="C225" s="951"/>
      <c r="D225" s="287">
        <f t="shared" ca="1" si="44"/>
        <v>52957</v>
      </c>
      <c r="E225" s="359">
        <f t="shared" si="47"/>
        <v>0</v>
      </c>
      <c r="F225" s="289">
        <f t="shared" ca="1" si="45"/>
        <v>60</v>
      </c>
      <c r="G225" s="290">
        <f ca="1">KTVTUCOI!P224</f>
        <v>4.6082103448179366</v>
      </c>
      <c r="H225" s="290">
        <f ca="1">(H224-F225-G225)*(1+LS!$F$3)</f>
        <v>-18359.850576655328</v>
      </c>
      <c r="I225" s="953"/>
      <c r="J225" s="292">
        <f t="shared" ca="1" si="46"/>
        <v>-18359.850576655328</v>
      </c>
      <c r="K225" s="949"/>
      <c r="L225" s="949"/>
      <c r="M225" s="949"/>
      <c r="N225" s="950"/>
      <c r="O225" s="950"/>
      <c r="X225" s="945"/>
      <c r="Y225" s="945"/>
    </row>
    <row r="226" spans="2:25" ht="9.75" customHeight="1">
      <c r="B226" s="951"/>
      <c r="C226" s="951"/>
      <c r="D226" s="287">
        <f t="shared" ca="1" si="44"/>
        <v>52988</v>
      </c>
      <c r="E226" s="359">
        <f t="shared" si="47"/>
        <v>0</v>
      </c>
      <c r="F226" s="289">
        <f t="shared" ca="1" si="45"/>
        <v>60</v>
      </c>
      <c r="G226" s="290">
        <f ca="1">KTVTUCOI!P225</f>
        <v>4.6326405952789491</v>
      </c>
      <c r="H226" s="290">
        <f ca="1">(H225-F226-G226)*(1+LS!$F$3)</f>
        <v>-18493.663691266062</v>
      </c>
      <c r="I226" s="953"/>
      <c r="J226" s="292">
        <f t="shared" ca="1" si="46"/>
        <v>-18493.663691266062</v>
      </c>
      <c r="K226" s="949"/>
      <c r="L226" s="949"/>
      <c r="M226" s="949"/>
      <c r="N226" s="950"/>
      <c r="O226" s="950"/>
      <c r="X226" s="945"/>
      <c r="Y226" s="945"/>
    </row>
    <row r="227" spans="2:25" ht="9.75" customHeight="1">
      <c r="B227" s="951"/>
      <c r="C227" s="951"/>
      <c r="D227" s="287">
        <f t="shared" ca="1" si="44"/>
        <v>53019</v>
      </c>
      <c r="E227" s="359">
        <f t="shared" si="47"/>
        <v>0</v>
      </c>
      <c r="F227" s="289">
        <f t="shared" ca="1" si="45"/>
        <v>60</v>
      </c>
      <c r="G227" s="290">
        <f ca="1">KTVTUCOI!P226</f>
        <v>4.6570895151659943</v>
      </c>
      <c r="H227" s="290">
        <f ca="1">(H226-F227-G227)*(1+LS!$F$3)</f>
        <v>-18628.003789710525</v>
      </c>
      <c r="I227" s="953"/>
      <c r="J227" s="292">
        <f t="shared" ca="1" si="46"/>
        <v>-18628.003789710525</v>
      </c>
      <c r="K227" s="949"/>
      <c r="L227" s="949"/>
      <c r="M227" s="949"/>
      <c r="N227" s="950"/>
      <c r="O227" s="950"/>
      <c r="X227" s="945"/>
      <c r="Y227" s="945"/>
    </row>
    <row r="228" spans="2:25" ht="9.75" customHeight="1">
      <c r="B228" s="951"/>
      <c r="C228" s="951"/>
      <c r="D228" s="287">
        <f t="shared" ca="1" si="44"/>
        <v>53047</v>
      </c>
      <c r="E228" s="359">
        <f t="shared" si="47"/>
        <v>0</v>
      </c>
      <c r="F228" s="289">
        <f t="shared" ca="1" si="45"/>
        <v>60</v>
      </c>
      <c r="G228" s="290">
        <f ca="1">KTVTUCOI!P227</f>
        <v>4.6815571187461185</v>
      </c>
      <c r="H228" s="290">
        <f ca="1">(H227-F228-G228)*(1+LS!$F$3)</f>
        <v>-18762.872869467879</v>
      </c>
      <c r="I228" s="953"/>
      <c r="J228" s="292">
        <f t="shared" ca="1" si="46"/>
        <v>-18762.872869467879</v>
      </c>
      <c r="K228" s="949"/>
      <c r="L228" s="949"/>
      <c r="M228" s="949"/>
      <c r="N228" s="950"/>
      <c r="O228" s="950"/>
      <c r="X228" s="945"/>
      <c r="Y228" s="945"/>
    </row>
    <row r="229" spans="2:25" ht="9.75" customHeight="1">
      <c r="B229" s="951"/>
      <c r="C229" s="951"/>
      <c r="D229" s="287">
        <f t="shared" ca="1" si="44"/>
        <v>53078</v>
      </c>
      <c r="E229" s="359">
        <f t="shared" si="47"/>
        <v>0</v>
      </c>
      <c r="F229" s="289">
        <f t="shared" ca="1" si="45"/>
        <v>60</v>
      </c>
      <c r="G229" s="290">
        <f ca="1">KTVTUCOI!P228</f>
        <v>4.7060434202972674</v>
      </c>
      <c r="H229" s="290">
        <f ca="1">(H228-F229-G229)*(1+LS!$F$3)</f>
        <v>-18898.272935531779</v>
      </c>
      <c r="I229" s="953"/>
      <c r="J229" s="292">
        <f t="shared" ca="1" si="46"/>
        <v>-18898.272935531779</v>
      </c>
      <c r="K229" s="949"/>
      <c r="L229" s="949"/>
      <c r="M229" s="949"/>
      <c r="N229" s="950"/>
      <c r="O229" s="950"/>
      <c r="X229" s="945"/>
      <c r="Y229" s="945"/>
    </row>
    <row r="230" spans="2:25" ht="9.75" customHeight="1">
      <c r="B230" s="951"/>
      <c r="C230" s="951"/>
      <c r="D230" s="287">
        <f t="shared" ca="1" si="44"/>
        <v>53108</v>
      </c>
      <c r="E230" s="359">
        <f t="shared" si="47"/>
        <v>0</v>
      </c>
      <c r="F230" s="289">
        <f t="shared" ca="1" si="45"/>
        <v>60</v>
      </c>
      <c r="G230" s="290">
        <f ca="1">KTVTUCOI!P229</f>
        <v>4.7305484341083011</v>
      </c>
      <c r="H230" s="290">
        <f ca="1">(H229-F230-G230)*(1+LS!$F$3)</f>
        <v>-19034.2060004386</v>
      </c>
      <c r="I230" s="953"/>
      <c r="J230" s="292">
        <f t="shared" ca="1" si="46"/>
        <v>-19034.2060004386</v>
      </c>
      <c r="K230" s="949"/>
      <c r="L230" s="949"/>
      <c r="M230" s="949"/>
      <c r="N230" s="950"/>
      <c r="O230" s="950"/>
      <c r="X230" s="945"/>
      <c r="Y230" s="945"/>
    </row>
    <row r="231" spans="2:25" ht="9.75" customHeight="1">
      <c r="B231" s="951"/>
      <c r="C231" s="951"/>
      <c r="D231" s="287">
        <f t="shared" ca="1" si="44"/>
        <v>53139</v>
      </c>
      <c r="E231" s="359">
        <f t="shared" si="47"/>
        <v>0</v>
      </c>
      <c r="F231" s="289">
        <f t="shared" ca="1" si="45"/>
        <v>60</v>
      </c>
      <c r="G231" s="290">
        <f ca="1">KTVTUCOI!P230</f>
        <v>4.7550721744789968</v>
      </c>
      <c r="H231" s="290">
        <f ca="1">(H230-F231-G231)*(1+LS!$F$3)</f>
        <v>-19170.674084295762</v>
      </c>
      <c r="I231" s="953"/>
      <c r="J231" s="293">
        <f ca="1">H231+I220</f>
        <v>-19170.674084295762</v>
      </c>
      <c r="K231" s="949"/>
      <c r="L231" s="949"/>
      <c r="M231" s="949"/>
      <c r="N231" s="950"/>
      <c r="O231" s="950"/>
      <c r="X231" s="945"/>
      <c r="Y231" s="945"/>
    </row>
    <row r="232" spans="2:25" ht="9.75" customHeight="1">
      <c r="B232" s="946">
        <f>B220+1</f>
        <v>20</v>
      </c>
      <c r="C232" s="947">
        <f ca="1">C220+1</f>
        <v>49</v>
      </c>
      <c r="D232" s="294">
        <f t="shared" ca="1" si="44"/>
        <v>53169</v>
      </c>
      <c r="E232" s="359">
        <f t="shared" si="47"/>
        <v>0</v>
      </c>
      <c r="F232" s="360">
        <f t="shared" ca="1" si="45"/>
        <v>60</v>
      </c>
      <c r="G232" s="290">
        <f ca="1">KTVTUCOI!P231</f>
        <v>5.1683871396781491</v>
      </c>
      <c r="H232" s="295">
        <f ca="1">(H231+KTVBVGTTKMH!F224-F232-G232)*(1+LS!$F$3)</f>
        <v>-19308.069447061796</v>
      </c>
      <c r="I232" s="948">
        <f ca="1">IF(COUNTIF(KTVBVGTTKMH!$E$7:E26,0)&gt;0,0,'Tinh phi QL'!H12/1000)</f>
        <v>0</v>
      </c>
      <c r="J232" s="296">
        <f t="shared" ca="1" si="46"/>
        <v>-19308.069447061796</v>
      </c>
      <c r="K232" s="949">
        <f ca="1">J243</f>
        <v>-20855.693444653032</v>
      </c>
      <c r="L232" s="949"/>
      <c r="M232" s="949"/>
      <c r="N232" s="950">
        <f t="shared" ref="N232" ca="1" si="52">SUM(G232:G243)</f>
        <v>63.787875889549007</v>
      </c>
      <c r="O232" s="950"/>
      <c r="X232" s="945">
        <f t="shared" ref="X232:Y232" ca="1" si="53">SUM(F232:F243)</f>
        <v>720</v>
      </c>
      <c r="Y232" s="945">
        <f t="shared" ca="1" si="53"/>
        <v>63.787875889549007</v>
      </c>
    </row>
    <row r="233" spans="2:25" ht="9.75" customHeight="1">
      <c r="B233" s="946"/>
      <c r="C233" s="946"/>
      <c r="D233" s="294">
        <f t="shared" ca="1" si="44"/>
        <v>53200</v>
      </c>
      <c r="E233" s="359">
        <f t="shared" si="47"/>
        <v>0</v>
      </c>
      <c r="F233" s="360">
        <f t="shared" ca="1" si="45"/>
        <v>60</v>
      </c>
      <c r="G233" s="290">
        <f ca="1">KTVTUCOI!P232</f>
        <v>5.1950926785435367</v>
      </c>
      <c r="H233" s="295">
        <f ca="1">(H232-F233-G233)*(1+LS!$F$3)</f>
        <v>-19446.007509422725</v>
      </c>
      <c r="I233" s="948"/>
      <c r="J233" s="296">
        <f t="shared" ca="1" si="46"/>
        <v>-19446.007509422725</v>
      </c>
      <c r="K233" s="949"/>
      <c r="L233" s="949"/>
      <c r="M233" s="949"/>
      <c r="N233" s="950"/>
      <c r="O233" s="950"/>
      <c r="X233" s="945"/>
      <c r="Y233" s="945"/>
    </row>
    <row r="234" spans="2:25" ht="9.75" customHeight="1">
      <c r="B234" s="946"/>
      <c r="C234" s="946"/>
      <c r="D234" s="294">
        <f t="shared" ca="1" si="44"/>
        <v>53231</v>
      </c>
      <c r="E234" s="359">
        <f t="shared" si="47"/>
        <v>0</v>
      </c>
      <c r="F234" s="360">
        <f t="shared" ca="1" si="45"/>
        <v>60</v>
      </c>
      <c r="G234" s="290">
        <f ca="1">KTVTUCOI!P233</f>
        <v>5.2218193825658838</v>
      </c>
      <c r="H234" s="295">
        <f ca="1">(H233-F234-G234)*(1+LS!$F$3)</f>
        <v>-19584.490330358225</v>
      </c>
      <c r="I234" s="948"/>
      <c r="J234" s="296">
        <f t="shared" ca="1" si="46"/>
        <v>-19584.490330358225</v>
      </c>
      <c r="K234" s="949"/>
      <c r="L234" s="949"/>
      <c r="M234" s="949"/>
      <c r="N234" s="950"/>
      <c r="O234" s="950"/>
      <c r="X234" s="945"/>
      <c r="Y234" s="945"/>
    </row>
    <row r="235" spans="2:25" ht="9.75" customHeight="1">
      <c r="B235" s="946"/>
      <c r="C235" s="946"/>
      <c r="D235" s="294">
        <f t="shared" ca="1" si="44"/>
        <v>53261</v>
      </c>
      <c r="E235" s="359">
        <f t="shared" si="47"/>
        <v>0</v>
      </c>
      <c r="F235" s="360">
        <f t="shared" ca="1" si="45"/>
        <v>60</v>
      </c>
      <c r="G235" s="290">
        <f ca="1">KTVTUCOI!P234</f>
        <v>5.2485672685193849</v>
      </c>
      <c r="H235" s="295">
        <f ca="1">(H234-F235-G235)*(1+LS!$F$3)</f>
        <v>-19723.519976595893</v>
      </c>
      <c r="I235" s="948"/>
      <c r="J235" s="296">
        <f t="shared" ca="1" si="46"/>
        <v>-19723.519976595893</v>
      </c>
      <c r="K235" s="949"/>
      <c r="L235" s="949"/>
      <c r="M235" s="949"/>
      <c r="N235" s="950"/>
      <c r="O235" s="950"/>
      <c r="X235" s="945"/>
      <c r="Y235" s="945"/>
    </row>
    <row r="236" spans="2:25" ht="9.75" customHeight="1">
      <c r="B236" s="946"/>
      <c r="C236" s="946"/>
      <c r="D236" s="294">
        <f t="shared" ca="1" si="44"/>
        <v>53292</v>
      </c>
      <c r="E236" s="359">
        <f t="shared" si="47"/>
        <v>0</v>
      </c>
      <c r="F236" s="360">
        <f t="shared" ca="1" si="45"/>
        <v>60</v>
      </c>
      <c r="G236" s="290">
        <f ca="1">KTVTUCOI!P235</f>
        <v>5.2753363531915278</v>
      </c>
      <c r="H236" s="295">
        <f ca="1">(H235-F236-G236)*(1+LS!$F$3)</f>
        <v>-19863.098522640354</v>
      </c>
      <c r="I236" s="948"/>
      <c r="J236" s="296">
        <f t="shared" ca="1" si="46"/>
        <v>-19863.098522640354</v>
      </c>
      <c r="K236" s="949"/>
      <c r="L236" s="949"/>
      <c r="M236" s="949"/>
      <c r="N236" s="950"/>
      <c r="O236" s="950"/>
      <c r="X236" s="945"/>
      <c r="Y236" s="945"/>
    </row>
    <row r="237" spans="2:25" ht="9.75" customHeight="1">
      <c r="B237" s="946"/>
      <c r="C237" s="946"/>
      <c r="D237" s="294">
        <f t="shared" ca="1" si="44"/>
        <v>53322</v>
      </c>
      <c r="E237" s="359">
        <f t="shared" si="47"/>
        <v>0</v>
      </c>
      <c r="F237" s="360">
        <f t="shared" ca="1" si="45"/>
        <v>60</v>
      </c>
      <c r="G237" s="290">
        <f ca="1">KTVTUCOI!P236</f>
        <v>5.3021266533831026</v>
      </c>
      <c r="H237" s="295">
        <f ca="1">(H236-F237-G237)*(1+LS!$F$3)</f>
        <v>-20003.228050802467</v>
      </c>
      <c r="I237" s="948"/>
      <c r="J237" s="296">
        <f t="shared" ca="1" si="46"/>
        <v>-20003.228050802467</v>
      </c>
      <c r="K237" s="949"/>
      <c r="L237" s="949"/>
      <c r="M237" s="949"/>
      <c r="N237" s="950"/>
      <c r="O237" s="950"/>
      <c r="X237" s="945"/>
      <c r="Y237" s="945"/>
    </row>
    <row r="238" spans="2:25" ht="9.75" customHeight="1">
      <c r="B238" s="946"/>
      <c r="C238" s="946"/>
      <c r="D238" s="294">
        <f t="shared" ca="1" si="44"/>
        <v>53353</v>
      </c>
      <c r="E238" s="359">
        <f t="shared" si="47"/>
        <v>0</v>
      </c>
      <c r="F238" s="360">
        <f t="shared" ca="1" si="45"/>
        <v>60</v>
      </c>
      <c r="G238" s="290">
        <f ca="1">KTVTUCOI!P237</f>
        <v>5.3289381859082185</v>
      </c>
      <c r="H238" s="295">
        <f ca="1">(H237-F238-G238)*(1+LS!$F$3)</f>
        <v>-20143.910651228653</v>
      </c>
      <c r="I238" s="948"/>
      <c r="J238" s="296">
        <f t="shared" ca="1" si="46"/>
        <v>-20143.910651228653</v>
      </c>
      <c r="K238" s="949"/>
      <c r="L238" s="949"/>
      <c r="M238" s="949"/>
      <c r="N238" s="950"/>
      <c r="O238" s="950"/>
      <c r="X238" s="945"/>
      <c r="Y238" s="945"/>
    </row>
    <row r="239" spans="2:25" ht="9.75" customHeight="1">
      <c r="B239" s="946"/>
      <c r="C239" s="946"/>
      <c r="D239" s="294">
        <f t="shared" ca="1" si="44"/>
        <v>53384</v>
      </c>
      <c r="E239" s="359">
        <f t="shared" si="47"/>
        <v>0</v>
      </c>
      <c r="F239" s="360">
        <f t="shared" ca="1" si="45"/>
        <v>60</v>
      </c>
      <c r="G239" s="290">
        <f ca="1">KTVTUCOI!P238</f>
        <v>5.3557709675943075</v>
      </c>
      <c r="H239" s="295">
        <f ca="1">(H238-F239-G239)*(1+LS!$F$3)</f>
        <v>-20285.148421930338</v>
      </c>
      <c r="I239" s="948"/>
      <c r="J239" s="296">
        <f t="shared" ca="1" si="46"/>
        <v>-20285.148421930338</v>
      </c>
      <c r="K239" s="949"/>
      <c r="L239" s="949"/>
      <c r="M239" s="949"/>
      <c r="N239" s="950"/>
      <c r="O239" s="950"/>
      <c r="X239" s="945"/>
      <c r="Y239" s="945"/>
    </row>
    <row r="240" spans="2:25" ht="9.75" customHeight="1">
      <c r="B240" s="946"/>
      <c r="C240" s="946"/>
      <c r="D240" s="294">
        <f t="shared" ca="1" si="44"/>
        <v>53412</v>
      </c>
      <c r="E240" s="359">
        <f t="shared" si="47"/>
        <v>0</v>
      </c>
      <c r="F240" s="360">
        <f t="shared" ca="1" si="45"/>
        <v>60</v>
      </c>
      <c r="G240" s="290">
        <f ca="1">KTVTUCOI!P239</f>
        <v>5.3826250152821409</v>
      </c>
      <c r="H240" s="295">
        <f ca="1">(H239-F240-G240)*(1+LS!$F$3)</f>
        <v>-20426.943468813482</v>
      </c>
      <c r="I240" s="948"/>
      <c r="J240" s="296">
        <f t="shared" ca="1" si="46"/>
        <v>-20426.943468813482</v>
      </c>
      <c r="K240" s="949"/>
      <c r="L240" s="949"/>
      <c r="M240" s="949"/>
      <c r="N240" s="950"/>
      <c r="O240" s="950"/>
      <c r="X240" s="945"/>
      <c r="Y240" s="945"/>
    </row>
    <row r="241" spans="2:25" ht="9.75" customHeight="1">
      <c r="B241" s="946"/>
      <c r="C241" s="946"/>
      <c r="D241" s="294">
        <f t="shared" ca="1" si="44"/>
        <v>53443</v>
      </c>
      <c r="E241" s="359">
        <f t="shared" si="47"/>
        <v>0</v>
      </c>
      <c r="F241" s="360">
        <f t="shared" ca="1" si="45"/>
        <v>60</v>
      </c>
      <c r="G241" s="290">
        <f ca="1">KTVTUCOI!P240</f>
        <v>5.4095003458258324</v>
      </c>
      <c r="H241" s="295">
        <f ca="1">(H240-F241-G241)*(1+LS!$F$3)</f>
        <v>-20569.297905708252</v>
      </c>
      <c r="I241" s="948"/>
      <c r="J241" s="296">
        <f t="shared" ca="1" si="46"/>
        <v>-20569.297905708252</v>
      </c>
      <c r="K241" s="949"/>
      <c r="L241" s="949"/>
      <c r="M241" s="949"/>
      <c r="N241" s="950"/>
      <c r="O241" s="950"/>
      <c r="X241" s="945"/>
      <c r="Y241" s="945"/>
    </row>
    <row r="242" spans="2:25" ht="9.75" customHeight="1">
      <c r="B242" s="946"/>
      <c r="C242" s="946"/>
      <c r="D242" s="294">
        <f t="shared" ca="1" si="44"/>
        <v>53473</v>
      </c>
      <c r="E242" s="359">
        <f t="shared" si="47"/>
        <v>0</v>
      </c>
      <c r="F242" s="360">
        <f t="shared" ca="1" si="45"/>
        <v>60</v>
      </c>
      <c r="G242" s="290">
        <f ca="1">KTVTUCOI!P241</f>
        <v>5.4363969760928592</v>
      </c>
      <c r="H242" s="295">
        <f ca="1">(H241-F242-G242)*(1+LS!$F$3)</f>
        <v>-20712.213854398778</v>
      </c>
      <c r="I242" s="948"/>
      <c r="J242" s="296">
        <f t="shared" ca="1" si="46"/>
        <v>-20712.213854398778</v>
      </c>
      <c r="K242" s="949"/>
      <c r="L242" s="949"/>
      <c r="M242" s="949"/>
      <c r="N242" s="950"/>
      <c r="O242" s="950"/>
      <c r="X242" s="945"/>
      <c r="Y242" s="945"/>
    </row>
    <row r="243" spans="2:25" ht="9.75" customHeight="1">
      <c r="B243" s="946"/>
      <c r="C243" s="946"/>
      <c r="D243" s="294">
        <f t="shared" ca="1" si="44"/>
        <v>53504</v>
      </c>
      <c r="E243" s="359">
        <f t="shared" si="47"/>
        <v>0</v>
      </c>
      <c r="F243" s="360">
        <f t="shared" ca="1" si="45"/>
        <v>60</v>
      </c>
      <c r="G243" s="290">
        <f ca="1">KTVTUCOI!P242</f>
        <v>5.4633149229640603</v>
      </c>
      <c r="H243" s="295">
        <f ca="1">(H242-F243-G243)*(1+LS!$F$3)</f>
        <v>-20855.693444653032</v>
      </c>
      <c r="I243" s="948"/>
      <c r="J243" s="297">
        <f ca="1">H243+I232</f>
        <v>-20855.693444653032</v>
      </c>
      <c r="K243" s="949"/>
      <c r="L243" s="949"/>
      <c r="M243" s="949"/>
      <c r="N243" s="950"/>
      <c r="O243" s="950"/>
      <c r="X243" s="945"/>
      <c r="Y243" s="945"/>
    </row>
  </sheetData>
  <sheetProtection selectLockedCells="1"/>
  <mergeCells count="138">
    <mergeCell ref="B2:I2"/>
    <mergeCell ref="B4:B15"/>
    <mergeCell ref="C4:C15"/>
    <mergeCell ref="K4:M15"/>
    <mergeCell ref="N4:O15"/>
    <mergeCell ref="X4:X15"/>
    <mergeCell ref="B28:B39"/>
    <mergeCell ref="C28:C39"/>
    <mergeCell ref="K28:M39"/>
    <mergeCell ref="N28:O39"/>
    <mergeCell ref="X28:X39"/>
    <mergeCell ref="Y28:Y39"/>
    <mergeCell ref="Y4:Y15"/>
    <mergeCell ref="B16:B27"/>
    <mergeCell ref="C16:C27"/>
    <mergeCell ref="K16:M27"/>
    <mergeCell ref="N16:O27"/>
    <mergeCell ref="X16:X27"/>
    <mergeCell ref="Y16:Y27"/>
    <mergeCell ref="Y40:Y51"/>
    <mergeCell ref="B52:B63"/>
    <mergeCell ref="C52:C63"/>
    <mergeCell ref="I52:I63"/>
    <mergeCell ref="K52:M63"/>
    <mergeCell ref="N52:O63"/>
    <mergeCell ref="X52:X63"/>
    <mergeCell ref="Y52:Y63"/>
    <mergeCell ref="B40:B51"/>
    <mergeCell ref="C40:C51"/>
    <mergeCell ref="I40:I51"/>
    <mergeCell ref="K40:M51"/>
    <mergeCell ref="N40:O51"/>
    <mergeCell ref="X40:X51"/>
    <mergeCell ref="Y64:Y75"/>
    <mergeCell ref="B76:B87"/>
    <mergeCell ref="C76:C87"/>
    <mergeCell ref="I76:I87"/>
    <mergeCell ref="K76:M87"/>
    <mergeCell ref="N76:O87"/>
    <mergeCell ref="X76:X87"/>
    <mergeCell ref="Y76:Y87"/>
    <mergeCell ref="B64:B75"/>
    <mergeCell ref="C64:C75"/>
    <mergeCell ref="I64:I75"/>
    <mergeCell ref="K64:M75"/>
    <mergeCell ref="N64:O75"/>
    <mergeCell ref="X64:X75"/>
    <mergeCell ref="Y88:Y99"/>
    <mergeCell ref="B100:B111"/>
    <mergeCell ref="C100:C111"/>
    <mergeCell ref="I100:I111"/>
    <mergeCell ref="K100:M111"/>
    <mergeCell ref="N100:O111"/>
    <mergeCell ref="X100:X111"/>
    <mergeCell ref="Y100:Y111"/>
    <mergeCell ref="B88:B99"/>
    <mergeCell ref="C88:C99"/>
    <mergeCell ref="I88:I99"/>
    <mergeCell ref="K88:M99"/>
    <mergeCell ref="N88:O99"/>
    <mergeCell ref="X88:X99"/>
    <mergeCell ref="Y112:Y123"/>
    <mergeCell ref="B124:B135"/>
    <mergeCell ref="C124:C135"/>
    <mergeCell ref="I124:I135"/>
    <mergeCell ref="K124:M135"/>
    <mergeCell ref="N124:O135"/>
    <mergeCell ref="X124:X135"/>
    <mergeCell ref="Y124:Y135"/>
    <mergeCell ref="B112:B123"/>
    <mergeCell ref="C112:C123"/>
    <mergeCell ref="I112:I123"/>
    <mergeCell ref="K112:M123"/>
    <mergeCell ref="N112:O123"/>
    <mergeCell ref="X112:X123"/>
    <mergeCell ref="Y136:Y147"/>
    <mergeCell ref="B148:B159"/>
    <mergeCell ref="C148:C159"/>
    <mergeCell ref="I148:I159"/>
    <mergeCell ref="K148:M159"/>
    <mergeCell ref="N148:O159"/>
    <mergeCell ref="X148:X159"/>
    <mergeCell ref="Y148:Y159"/>
    <mergeCell ref="B136:B147"/>
    <mergeCell ref="C136:C147"/>
    <mergeCell ref="I136:I147"/>
    <mergeCell ref="K136:M147"/>
    <mergeCell ref="N136:O147"/>
    <mergeCell ref="X136:X147"/>
    <mergeCell ref="Y160:Y171"/>
    <mergeCell ref="B172:B183"/>
    <mergeCell ref="C172:C183"/>
    <mergeCell ref="I172:I183"/>
    <mergeCell ref="K172:M183"/>
    <mergeCell ref="N172:O183"/>
    <mergeCell ref="X172:X183"/>
    <mergeCell ref="Y172:Y183"/>
    <mergeCell ref="B160:B171"/>
    <mergeCell ref="C160:C171"/>
    <mergeCell ref="I160:I171"/>
    <mergeCell ref="K160:M171"/>
    <mergeCell ref="N160:O171"/>
    <mergeCell ref="X160:X171"/>
    <mergeCell ref="Y184:Y195"/>
    <mergeCell ref="B196:B207"/>
    <mergeCell ref="C196:C207"/>
    <mergeCell ref="I196:I207"/>
    <mergeCell ref="K196:M207"/>
    <mergeCell ref="N196:O207"/>
    <mergeCell ref="X196:X207"/>
    <mergeCell ref="Y196:Y207"/>
    <mergeCell ref="B184:B195"/>
    <mergeCell ref="C184:C195"/>
    <mergeCell ref="I184:I195"/>
    <mergeCell ref="K184:M195"/>
    <mergeCell ref="N184:O195"/>
    <mergeCell ref="X184:X195"/>
    <mergeCell ref="Y232:Y243"/>
    <mergeCell ref="B232:B243"/>
    <mergeCell ref="C232:C243"/>
    <mergeCell ref="I232:I243"/>
    <mergeCell ref="K232:M243"/>
    <mergeCell ref="N232:O243"/>
    <mergeCell ref="X232:X243"/>
    <mergeCell ref="Y208:Y219"/>
    <mergeCell ref="B220:B231"/>
    <mergeCell ref="C220:C231"/>
    <mergeCell ref="I220:I231"/>
    <mergeCell ref="K220:M231"/>
    <mergeCell ref="N220:O231"/>
    <mergeCell ref="X220:X231"/>
    <mergeCell ref="Y220:Y231"/>
    <mergeCell ref="B208:B219"/>
    <mergeCell ref="C208:C219"/>
    <mergeCell ref="I208:I219"/>
    <mergeCell ref="K208:M219"/>
    <mergeCell ref="N208:O219"/>
    <mergeCell ref="X208:X219"/>
  </mergeCells>
  <conditionalFormatting sqref="H1:J39 I40:J52 H40:H243 J53:J63 H64:J1048576">
    <cfRule type="cellIs" dxfId="219" priority="1" operator="lessThan">
      <formula>0</formula>
    </cfRule>
  </conditionalFormatting>
  <pageMargins left="0.75" right="0.75" top="1" bottom="1" header="0.5" footer="0.5"/>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3462AC-7BE7-4F0E-B81A-EF236F5D470D}">
  <dimension ref="A1:I73"/>
  <sheetViews>
    <sheetView workbookViewId="0">
      <selection activeCell="H2" sqref="H2"/>
    </sheetView>
  </sheetViews>
  <sheetFormatPr defaultColWidth="10.5" defaultRowHeight="13"/>
  <cols>
    <col min="1" max="1" width="7.69921875" style="457" customWidth="1"/>
    <col min="2" max="9" width="18" style="457" customWidth="1"/>
    <col min="10" max="16384" width="10.5" style="457"/>
  </cols>
  <sheetData>
    <row r="1" spans="1:9">
      <c r="B1" s="967" t="s">
        <v>816</v>
      </c>
      <c r="C1" s="967"/>
      <c r="D1" s="967" t="s">
        <v>798</v>
      </c>
      <c r="E1" s="967"/>
      <c r="F1" s="967" t="s">
        <v>799</v>
      </c>
      <c r="G1" s="967"/>
      <c r="H1" s="967" t="s">
        <v>855</v>
      </c>
      <c r="I1" s="967"/>
    </row>
    <row r="2" spans="1:9">
      <c r="B2" s="457" t="s">
        <v>0</v>
      </c>
      <c r="C2" s="457" t="s">
        <v>2</v>
      </c>
      <c r="D2" s="457" t="s">
        <v>0</v>
      </c>
      <c r="E2" s="457" t="s">
        <v>2</v>
      </c>
      <c r="F2" s="457" t="s">
        <v>0</v>
      </c>
      <c r="G2" s="457" t="s">
        <v>2</v>
      </c>
      <c r="H2" s="457" t="s">
        <v>0</v>
      </c>
      <c r="I2" s="457" t="s">
        <v>2</v>
      </c>
    </row>
    <row r="3" spans="1:9">
      <c r="A3" s="457">
        <v>0</v>
      </c>
      <c r="B3" s="457">
        <v>6.1</v>
      </c>
      <c r="C3" s="457">
        <v>5.7</v>
      </c>
      <c r="D3" s="457">
        <v>6.1</v>
      </c>
      <c r="E3" s="457">
        <v>5.7</v>
      </c>
      <c r="F3" s="457">
        <v>7.8</v>
      </c>
      <c r="G3" s="457">
        <v>6</v>
      </c>
    </row>
    <row r="4" spans="1:9">
      <c r="A4" s="457">
        <v>1</v>
      </c>
      <c r="B4" s="457">
        <v>6.1</v>
      </c>
      <c r="C4" s="457">
        <v>5.7</v>
      </c>
      <c r="D4" s="457">
        <v>6.1</v>
      </c>
      <c r="E4" s="457">
        <v>5.7</v>
      </c>
      <c r="F4" s="457">
        <v>7.8</v>
      </c>
      <c r="G4" s="457">
        <v>6</v>
      </c>
    </row>
    <row r="5" spans="1:9">
      <c r="A5" s="457">
        <v>2</v>
      </c>
      <c r="B5" s="457">
        <v>6.1</v>
      </c>
      <c r="C5" s="457">
        <v>5.7</v>
      </c>
      <c r="D5" s="457">
        <v>6.1</v>
      </c>
      <c r="E5" s="457">
        <v>5.7</v>
      </c>
      <c r="F5" s="457">
        <v>7.8</v>
      </c>
      <c r="G5" s="457">
        <v>6</v>
      </c>
    </row>
    <row r="6" spans="1:9">
      <c r="A6" s="457">
        <v>3</v>
      </c>
      <c r="B6" s="457">
        <v>6.1</v>
      </c>
      <c r="C6" s="457">
        <v>5.7</v>
      </c>
      <c r="D6" s="457">
        <v>6.1</v>
      </c>
      <c r="E6" s="457">
        <v>5.7</v>
      </c>
      <c r="F6" s="457">
        <v>7.8</v>
      </c>
      <c r="G6" s="457">
        <v>6</v>
      </c>
    </row>
    <row r="7" spans="1:9">
      <c r="A7" s="457">
        <v>4</v>
      </c>
      <c r="B7" s="457">
        <v>6.1</v>
      </c>
      <c r="C7" s="457">
        <v>5.7</v>
      </c>
      <c r="D7" s="457">
        <v>6.1</v>
      </c>
      <c r="E7" s="457">
        <v>5.7</v>
      </c>
      <c r="F7" s="457">
        <v>7.8</v>
      </c>
      <c r="G7" s="457">
        <v>6</v>
      </c>
    </row>
    <row r="8" spans="1:9">
      <c r="A8" s="457">
        <v>5</v>
      </c>
      <c r="B8" s="457">
        <v>6.1</v>
      </c>
      <c r="C8" s="457">
        <v>5.7</v>
      </c>
      <c r="D8" s="457">
        <v>6.1</v>
      </c>
      <c r="E8" s="457">
        <v>5.7</v>
      </c>
      <c r="F8" s="457">
        <v>7.9</v>
      </c>
      <c r="G8" s="457">
        <v>6.2</v>
      </c>
    </row>
    <row r="9" spans="1:9">
      <c r="A9" s="457">
        <v>6</v>
      </c>
      <c r="B9" s="457">
        <v>6.1</v>
      </c>
      <c r="C9" s="457">
        <v>5.7</v>
      </c>
      <c r="D9" s="457">
        <v>6.1</v>
      </c>
      <c r="E9" s="457">
        <v>5.7</v>
      </c>
      <c r="F9" s="457">
        <v>8.1</v>
      </c>
      <c r="G9" s="457">
        <v>6.3</v>
      </c>
    </row>
    <row r="10" spans="1:9">
      <c r="A10" s="457">
        <v>7</v>
      </c>
      <c r="B10" s="457">
        <v>6.1</v>
      </c>
      <c r="C10" s="457">
        <v>5.8</v>
      </c>
      <c r="D10" s="457">
        <v>6.1</v>
      </c>
      <c r="E10" s="457">
        <v>5.8</v>
      </c>
      <c r="F10" s="457">
        <v>8.1</v>
      </c>
      <c r="G10" s="457">
        <v>6.3</v>
      </c>
    </row>
    <row r="11" spans="1:9">
      <c r="A11" s="457">
        <v>8</v>
      </c>
      <c r="B11" s="457">
        <v>6.2</v>
      </c>
      <c r="C11" s="457">
        <v>5.8</v>
      </c>
      <c r="D11" s="457">
        <v>6.2</v>
      </c>
      <c r="E11" s="457">
        <v>5.8</v>
      </c>
      <c r="F11" s="457">
        <v>8.5</v>
      </c>
      <c r="G11" s="457">
        <v>6.4</v>
      </c>
    </row>
    <row r="12" spans="1:9">
      <c r="A12" s="457">
        <v>9</v>
      </c>
      <c r="B12" s="457">
        <v>6.2</v>
      </c>
      <c r="C12" s="457">
        <v>5.8</v>
      </c>
      <c r="D12" s="457">
        <v>6.2</v>
      </c>
      <c r="E12" s="457">
        <v>5.8</v>
      </c>
      <c r="F12" s="457">
        <v>8.8000000000000007</v>
      </c>
      <c r="G12" s="457">
        <v>6.8</v>
      </c>
    </row>
    <row r="13" spans="1:9">
      <c r="A13" s="457">
        <v>10</v>
      </c>
      <c r="B13" s="457">
        <v>6.3</v>
      </c>
      <c r="C13" s="457">
        <v>5.9</v>
      </c>
      <c r="D13" s="457">
        <v>6.3</v>
      </c>
      <c r="E13" s="457">
        <v>5.9</v>
      </c>
      <c r="F13" s="457">
        <v>9.1</v>
      </c>
      <c r="G13" s="457">
        <v>7</v>
      </c>
    </row>
    <row r="14" spans="1:9">
      <c r="A14" s="457">
        <v>11</v>
      </c>
      <c r="B14" s="457">
        <v>6.3</v>
      </c>
      <c r="C14" s="457">
        <v>5.9</v>
      </c>
      <c r="D14" s="457">
        <v>6.3</v>
      </c>
      <c r="E14" s="457">
        <v>5.9</v>
      </c>
      <c r="F14" s="457">
        <v>9.4</v>
      </c>
      <c r="G14" s="457">
        <v>7.3</v>
      </c>
    </row>
    <row r="15" spans="1:9">
      <c r="A15" s="457">
        <v>12</v>
      </c>
      <c r="B15" s="457">
        <v>6.3</v>
      </c>
      <c r="C15" s="457">
        <v>6</v>
      </c>
      <c r="D15" s="457">
        <v>6.3</v>
      </c>
      <c r="E15" s="457">
        <v>6</v>
      </c>
      <c r="F15" s="457">
        <v>9.8000000000000007</v>
      </c>
      <c r="G15" s="457">
        <v>7.5</v>
      </c>
    </row>
    <row r="16" spans="1:9">
      <c r="A16" s="457">
        <v>13</v>
      </c>
      <c r="B16" s="457">
        <v>6.4</v>
      </c>
      <c r="C16" s="457">
        <v>6</v>
      </c>
      <c r="D16" s="457">
        <v>6.4</v>
      </c>
      <c r="E16" s="457">
        <v>6</v>
      </c>
      <c r="F16" s="457">
        <v>9.8000000000000007</v>
      </c>
      <c r="G16" s="457">
        <v>7.8</v>
      </c>
    </row>
    <row r="17" spans="1:9">
      <c r="A17" s="457">
        <v>14</v>
      </c>
      <c r="B17" s="457">
        <v>6.4</v>
      </c>
      <c r="C17" s="457">
        <v>6</v>
      </c>
      <c r="D17" s="457">
        <v>6.4</v>
      </c>
      <c r="E17" s="457">
        <v>6</v>
      </c>
      <c r="F17" s="457">
        <v>10.3</v>
      </c>
      <c r="G17" s="457">
        <v>8.1</v>
      </c>
    </row>
    <row r="18" spans="1:9">
      <c r="A18" s="457">
        <v>15</v>
      </c>
      <c r="B18" s="457">
        <v>6.5</v>
      </c>
      <c r="C18" s="457">
        <v>6.1</v>
      </c>
      <c r="D18" s="457">
        <v>6.5</v>
      </c>
      <c r="E18" s="457">
        <v>6.1</v>
      </c>
      <c r="F18" s="457">
        <v>10.7</v>
      </c>
      <c r="G18" s="457">
        <v>8.3000000000000007</v>
      </c>
    </row>
    <row r="19" spans="1:9">
      <c r="A19" s="457">
        <v>16</v>
      </c>
      <c r="B19" s="457">
        <v>6.5</v>
      </c>
      <c r="C19" s="457">
        <v>6.1</v>
      </c>
      <c r="D19" s="457">
        <v>6.5</v>
      </c>
      <c r="E19" s="457">
        <v>6.1</v>
      </c>
      <c r="F19" s="457">
        <v>11.4</v>
      </c>
      <c r="G19" s="457">
        <v>8.8000000000000007</v>
      </c>
    </row>
    <row r="20" spans="1:9">
      <c r="A20" s="457">
        <v>17</v>
      </c>
      <c r="B20" s="457">
        <v>6.5</v>
      </c>
      <c r="C20" s="457">
        <v>6.1</v>
      </c>
      <c r="D20" s="457">
        <v>6.5</v>
      </c>
      <c r="E20" s="457">
        <v>6.1</v>
      </c>
      <c r="F20" s="457">
        <v>11.5</v>
      </c>
      <c r="G20" s="457">
        <v>9.1999999999999993</v>
      </c>
    </row>
    <row r="21" spans="1:9">
      <c r="A21" s="457">
        <v>18</v>
      </c>
      <c r="B21" s="457">
        <v>6.6</v>
      </c>
      <c r="C21" s="457">
        <v>6.2</v>
      </c>
      <c r="D21" s="457">
        <v>6.6</v>
      </c>
      <c r="E21" s="457">
        <v>6.2</v>
      </c>
      <c r="F21" s="457">
        <v>12.3</v>
      </c>
      <c r="G21" s="457">
        <v>9.6</v>
      </c>
      <c r="H21">
        <v>68</v>
      </c>
      <c r="I21">
        <v>48.2</v>
      </c>
    </row>
    <row r="22" spans="1:9">
      <c r="A22" s="457">
        <v>19</v>
      </c>
      <c r="B22" s="457">
        <v>6.6</v>
      </c>
      <c r="C22" s="457">
        <v>6.2</v>
      </c>
      <c r="D22" s="457">
        <v>6.6</v>
      </c>
      <c r="E22" s="457">
        <v>6.2</v>
      </c>
      <c r="F22" s="457">
        <v>12.5</v>
      </c>
      <c r="G22" s="457">
        <v>9.8000000000000007</v>
      </c>
      <c r="H22">
        <v>68</v>
      </c>
      <c r="I22">
        <v>49</v>
      </c>
    </row>
    <row r="23" spans="1:9">
      <c r="A23" s="457">
        <v>20</v>
      </c>
      <c r="B23" s="457">
        <v>6.7</v>
      </c>
      <c r="C23" s="457">
        <v>6.3</v>
      </c>
      <c r="D23" s="457">
        <v>6.7</v>
      </c>
      <c r="E23" s="457">
        <v>6.3</v>
      </c>
      <c r="F23" s="457">
        <v>13</v>
      </c>
      <c r="G23" s="457">
        <v>10.5</v>
      </c>
      <c r="H23">
        <v>68</v>
      </c>
      <c r="I23">
        <v>49.9</v>
      </c>
    </row>
    <row r="24" spans="1:9">
      <c r="A24" s="457">
        <v>21</v>
      </c>
      <c r="B24" s="457">
        <v>6.8</v>
      </c>
      <c r="C24" s="457">
        <v>6.3</v>
      </c>
      <c r="D24" s="457">
        <v>6.8</v>
      </c>
      <c r="E24" s="457">
        <v>6.3</v>
      </c>
      <c r="F24" s="457">
        <v>13.6</v>
      </c>
      <c r="G24" s="457">
        <v>11</v>
      </c>
      <c r="H24">
        <v>68</v>
      </c>
      <c r="I24">
        <v>50.8</v>
      </c>
    </row>
    <row r="25" spans="1:9">
      <c r="A25" s="457">
        <v>22</v>
      </c>
      <c r="B25" s="457">
        <v>6.8</v>
      </c>
      <c r="C25" s="457">
        <v>6.4</v>
      </c>
      <c r="D25" s="457">
        <v>6.8</v>
      </c>
      <c r="E25" s="457">
        <v>6.4</v>
      </c>
      <c r="F25" s="457">
        <v>14.5</v>
      </c>
      <c r="G25" s="457">
        <v>11.6</v>
      </c>
      <c r="H25">
        <v>68</v>
      </c>
      <c r="I25">
        <v>51.8</v>
      </c>
    </row>
    <row r="26" spans="1:9">
      <c r="A26" s="457">
        <v>23</v>
      </c>
      <c r="B26" s="457">
        <v>6.9</v>
      </c>
      <c r="C26" s="457">
        <v>6.5</v>
      </c>
      <c r="D26" s="457">
        <v>6.9</v>
      </c>
      <c r="E26" s="457">
        <v>6.5</v>
      </c>
      <c r="F26" s="457">
        <v>15.3</v>
      </c>
      <c r="G26" s="457">
        <v>12.2</v>
      </c>
      <c r="H26">
        <v>68</v>
      </c>
      <c r="I26">
        <v>52.9</v>
      </c>
    </row>
    <row r="27" spans="1:9">
      <c r="A27" s="457">
        <v>24</v>
      </c>
      <c r="B27" s="457">
        <v>7</v>
      </c>
      <c r="C27" s="457">
        <v>6.6</v>
      </c>
      <c r="D27" s="457">
        <v>7</v>
      </c>
      <c r="E27" s="457">
        <v>6.6</v>
      </c>
      <c r="F27" s="457">
        <v>16.2</v>
      </c>
      <c r="G27" s="457">
        <v>12.8</v>
      </c>
      <c r="H27">
        <v>68.2</v>
      </c>
      <c r="I27">
        <v>54.2</v>
      </c>
    </row>
    <row r="28" spans="1:9">
      <c r="A28" s="457">
        <v>25</v>
      </c>
      <c r="B28" s="457">
        <v>7.1</v>
      </c>
      <c r="C28" s="457">
        <v>6.7</v>
      </c>
      <c r="D28" s="457">
        <v>7.1</v>
      </c>
      <c r="E28" s="457">
        <v>6.7</v>
      </c>
      <c r="F28" s="457">
        <v>17.100000000000001</v>
      </c>
      <c r="G28" s="457">
        <v>13.5</v>
      </c>
      <c r="H28">
        <v>68.8</v>
      </c>
      <c r="I28">
        <v>55.5</v>
      </c>
    </row>
    <row r="29" spans="1:9">
      <c r="A29" s="457">
        <v>26</v>
      </c>
      <c r="B29" s="457">
        <v>7.2</v>
      </c>
      <c r="C29" s="457">
        <v>6.8</v>
      </c>
      <c r="D29" s="457">
        <v>7.2</v>
      </c>
      <c r="E29" s="457">
        <v>6.8</v>
      </c>
      <c r="F29" s="457">
        <v>18</v>
      </c>
      <c r="G29" s="457">
        <v>14.3</v>
      </c>
      <c r="H29">
        <v>69.900000000000006</v>
      </c>
      <c r="I29">
        <v>57.1</v>
      </c>
    </row>
    <row r="30" spans="1:9">
      <c r="A30" s="457">
        <v>27</v>
      </c>
      <c r="B30" s="457">
        <v>7.4</v>
      </c>
      <c r="C30" s="457">
        <v>6.9</v>
      </c>
      <c r="D30" s="457">
        <v>7.4</v>
      </c>
      <c r="E30" s="457">
        <v>6.9</v>
      </c>
      <c r="F30" s="457">
        <v>19.100000000000001</v>
      </c>
      <c r="G30" s="457">
        <v>14.9</v>
      </c>
      <c r="H30">
        <v>71.599999999999994</v>
      </c>
      <c r="I30">
        <v>58.9</v>
      </c>
    </row>
    <row r="31" spans="1:9">
      <c r="A31" s="457">
        <v>28</v>
      </c>
      <c r="B31" s="457">
        <v>7.5</v>
      </c>
      <c r="C31" s="457">
        <v>7.1</v>
      </c>
      <c r="D31" s="457">
        <v>7.5</v>
      </c>
      <c r="E31" s="457">
        <v>7.1</v>
      </c>
      <c r="F31" s="457">
        <v>20.6</v>
      </c>
      <c r="G31" s="457">
        <v>15.9</v>
      </c>
      <c r="H31">
        <v>73.7</v>
      </c>
      <c r="I31">
        <v>61</v>
      </c>
    </row>
    <row r="32" spans="1:9">
      <c r="A32" s="457">
        <v>29</v>
      </c>
      <c r="B32" s="457">
        <v>7.6</v>
      </c>
      <c r="C32" s="457">
        <v>7.2</v>
      </c>
      <c r="D32" s="457">
        <v>7.6</v>
      </c>
      <c r="E32" s="457">
        <v>7.2</v>
      </c>
      <c r="F32" s="457">
        <v>21.8</v>
      </c>
      <c r="G32" s="457">
        <v>16.899999999999999</v>
      </c>
      <c r="H32">
        <v>76.400000000000006</v>
      </c>
      <c r="I32">
        <v>63.4</v>
      </c>
    </row>
    <row r="33" spans="1:9">
      <c r="A33" s="457">
        <v>30</v>
      </c>
      <c r="B33" s="457">
        <v>7.7</v>
      </c>
      <c r="C33" s="457">
        <v>7.4</v>
      </c>
      <c r="D33" s="457">
        <v>7.7</v>
      </c>
      <c r="E33" s="457">
        <v>7.4</v>
      </c>
      <c r="F33" s="457">
        <v>23.6</v>
      </c>
      <c r="G33" s="457">
        <v>17.600000000000001</v>
      </c>
      <c r="H33">
        <v>79.599999999999994</v>
      </c>
      <c r="I33">
        <v>66.2</v>
      </c>
    </row>
    <row r="34" spans="1:9">
      <c r="A34" s="457">
        <v>31</v>
      </c>
      <c r="B34" s="457">
        <v>7.9</v>
      </c>
      <c r="C34" s="457">
        <v>7.6</v>
      </c>
      <c r="D34" s="457">
        <v>8.1999999999999993</v>
      </c>
      <c r="E34" s="457">
        <v>7.6</v>
      </c>
      <c r="F34" s="457">
        <v>25.3</v>
      </c>
      <c r="G34" s="457">
        <v>18.3</v>
      </c>
      <c r="H34">
        <v>83.5</v>
      </c>
      <c r="I34">
        <v>69.5</v>
      </c>
    </row>
    <row r="35" spans="1:9">
      <c r="A35" s="457">
        <v>32</v>
      </c>
      <c r="B35" s="457">
        <v>8.1</v>
      </c>
      <c r="C35" s="457">
        <v>7.8</v>
      </c>
      <c r="D35" s="457">
        <v>9</v>
      </c>
      <c r="E35" s="457">
        <v>7.8</v>
      </c>
      <c r="F35" s="457">
        <v>27</v>
      </c>
      <c r="G35" s="457">
        <v>19.399999999999999</v>
      </c>
      <c r="H35">
        <v>87.9</v>
      </c>
      <c r="I35">
        <v>73.3</v>
      </c>
    </row>
    <row r="36" spans="1:9">
      <c r="A36" s="457">
        <v>33</v>
      </c>
      <c r="B36" s="457">
        <v>8.3000000000000007</v>
      </c>
      <c r="C36" s="457">
        <v>7.9</v>
      </c>
      <c r="D36" s="457">
        <v>9.9</v>
      </c>
      <c r="E36" s="457">
        <v>7.9</v>
      </c>
      <c r="F36" s="457">
        <v>28.9</v>
      </c>
      <c r="G36" s="457">
        <v>20.6</v>
      </c>
      <c r="H36">
        <v>92.9</v>
      </c>
      <c r="I36">
        <v>77.5</v>
      </c>
    </row>
    <row r="37" spans="1:9">
      <c r="A37" s="457">
        <v>34</v>
      </c>
      <c r="B37" s="457">
        <v>8.5</v>
      </c>
      <c r="C37" s="457">
        <v>8.1</v>
      </c>
      <c r="D37" s="457">
        <v>10.5</v>
      </c>
      <c r="E37" s="457">
        <v>8.1</v>
      </c>
      <c r="F37" s="457">
        <v>31.7</v>
      </c>
      <c r="G37" s="457">
        <v>22.1</v>
      </c>
      <c r="H37">
        <v>98.6</v>
      </c>
      <c r="I37">
        <v>82.1</v>
      </c>
    </row>
    <row r="38" spans="1:9">
      <c r="A38" s="457">
        <v>35</v>
      </c>
      <c r="B38" s="457">
        <v>8.6999999999999993</v>
      </c>
      <c r="C38" s="457">
        <v>8.3000000000000007</v>
      </c>
      <c r="D38" s="457">
        <v>11.1</v>
      </c>
      <c r="E38" s="457">
        <v>8.3000000000000007</v>
      </c>
      <c r="F38" s="457">
        <v>34</v>
      </c>
      <c r="G38" s="457">
        <v>23.4</v>
      </c>
      <c r="H38">
        <v>104.8</v>
      </c>
      <c r="I38">
        <v>87.2</v>
      </c>
    </row>
    <row r="39" spans="1:9">
      <c r="A39" s="457">
        <v>36</v>
      </c>
      <c r="B39" s="457">
        <v>9.1</v>
      </c>
      <c r="C39" s="457">
        <v>8.6999999999999993</v>
      </c>
      <c r="D39" s="457">
        <v>11.8</v>
      </c>
      <c r="E39" s="457">
        <v>8.6999999999999993</v>
      </c>
      <c r="F39" s="457">
        <v>36.6</v>
      </c>
      <c r="G39" s="457">
        <v>25.2</v>
      </c>
      <c r="H39">
        <v>111.9</v>
      </c>
      <c r="I39">
        <v>92.7</v>
      </c>
    </row>
    <row r="40" spans="1:9">
      <c r="A40" s="457">
        <v>37</v>
      </c>
      <c r="B40" s="457">
        <v>9.5</v>
      </c>
      <c r="C40" s="457">
        <v>9.1</v>
      </c>
      <c r="D40" s="457">
        <v>12.5</v>
      </c>
      <c r="E40" s="457">
        <v>9.1</v>
      </c>
      <c r="F40" s="457">
        <v>39.200000000000003</v>
      </c>
      <c r="G40" s="457">
        <v>26.7</v>
      </c>
      <c r="H40">
        <v>119.2</v>
      </c>
      <c r="I40">
        <v>98.5</v>
      </c>
    </row>
    <row r="41" spans="1:9">
      <c r="A41" s="457">
        <v>38</v>
      </c>
      <c r="B41" s="457">
        <v>10</v>
      </c>
      <c r="C41" s="457">
        <v>9.5</v>
      </c>
      <c r="D41" s="457">
        <v>13.5</v>
      </c>
      <c r="E41" s="457">
        <v>9.5</v>
      </c>
      <c r="F41" s="457">
        <v>42.3</v>
      </c>
      <c r="G41" s="457">
        <v>28.5</v>
      </c>
      <c r="H41">
        <v>126.9</v>
      </c>
      <c r="I41">
        <v>104.6</v>
      </c>
    </row>
    <row r="42" spans="1:9">
      <c r="A42" s="457">
        <v>39</v>
      </c>
      <c r="B42" s="457">
        <v>10.5</v>
      </c>
      <c r="C42" s="457">
        <v>10</v>
      </c>
      <c r="D42" s="457">
        <v>14.6</v>
      </c>
      <c r="E42" s="457">
        <v>10.1</v>
      </c>
      <c r="F42" s="457">
        <v>45.3</v>
      </c>
      <c r="G42" s="457">
        <v>30.5</v>
      </c>
      <c r="H42">
        <v>135.19999999999999</v>
      </c>
      <c r="I42">
        <v>110.9</v>
      </c>
    </row>
    <row r="43" spans="1:9">
      <c r="A43" s="457">
        <v>40</v>
      </c>
      <c r="B43" s="457">
        <v>11.1</v>
      </c>
      <c r="C43" s="457">
        <v>10.5</v>
      </c>
      <c r="D43" s="457">
        <v>15.7</v>
      </c>
      <c r="E43" s="457">
        <v>10.8</v>
      </c>
      <c r="F43" s="457">
        <v>49.4</v>
      </c>
      <c r="G43" s="457">
        <v>33.299999999999997</v>
      </c>
      <c r="H43">
        <v>143.9</v>
      </c>
      <c r="I43">
        <v>117.8</v>
      </c>
    </row>
    <row r="44" spans="1:9">
      <c r="A44" s="457">
        <v>41</v>
      </c>
      <c r="B44" s="457">
        <v>11.5</v>
      </c>
      <c r="C44" s="457">
        <v>10.9</v>
      </c>
      <c r="D44" s="457">
        <v>16.899999999999999</v>
      </c>
      <c r="E44" s="457">
        <v>11.5</v>
      </c>
      <c r="F44" s="457">
        <v>52.6</v>
      </c>
      <c r="G44" s="457">
        <v>34.9</v>
      </c>
      <c r="H44">
        <v>153.30000000000001</v>
      </c>
      <c r="I44">
        <v>124.6</v>
      </c>
    </row>
    <row r="45" spans="1:9">
      <c r="A45" s="457">
        <v>42</v>
      </c>
      <c r="B45" s="457">
        <v>11.9</v>
      </c>
      <c r="C45" s="457">
        <v>11.2</v>
      </c>
      <c r="D45" s="457">
        <v>18.2</v>
      </c>
      <c r="E45" s="457">
        <v>12.2</v>
      </c>
      <c r="F45" s="457">
        <v>56.1</v>
      </c>
      <c r="G45" s="457">
        <v>37.799999999999997</v>
      </c>
      <c r="H45">
        <v>163.30000000000001</v>
      </c>
      <c r="I45">
        <v>131.5</v>
      </c>
    </row>
    <row r="46" spans="1:9">
      <c r="A46" s="457">
        <v>43</v>
      </c>
      <c r="B46" s="457">
        <v>12.3</v>
      </c>
      <c r="C46" s="457">
        <v>11.6</v>
      </c>
      <c r="D46" s="457">
        <v>19.600000000000001</v>
      </c>
      <c r="E46" s="457">
        <v>13.1</v>
      </c>
      <c r="F46" s="457">
        <v>62.1</v>
      </c>
      <c r="G46" s="457">
        <v>40.9</v>
      </c>
      <c r="H46">
        <v>174</v>
      </c>
      <c r="I46">
        <v>138.80000000000001</v>
      </c>
    </row>
    <row r="47" spans="1:9">
      <c r="A47" s="457">
        <v>44</v>
      </c>
      <c r="B47" s="457">
        <v>12.8</v>
      </c>
      <c r="C47" s="457">
        <v>12</v>
      </c>
      <c r="D47" s="457">
        <v>21.3</v>
      </c>
      <c r="E47" s="457">
        <v>14.4</v>
      </c>
      <c r="F47" s="457">
        <v>66.2</v>
      </c>
      <c r="G47" s="457">
        <v>43.1</v>
      </c>
      <c r="H47">
        <v>185.5</v>
      </c>
      <c r="I47">
        <v>146.6</v>
      </c>
    </row>
    <row r="48" spans="1:9">
      <c r="A48" s="457">
        <v>45</v>
      </c>
      <c r="B48" s="457">
        <v>13.3</v>
      </c>
      <c r="C48" s="457">
        <v>12.5</v>
      </c>
      <c r="D48" s="457">
        <v>23</v>
      </c>
      <c r="E48" s="457">
        <v>15.5</v>
      </c>
      <c r="F48" s="457">
        <v>71.400000000000006</v>
      </c>
      <c r="G48" s="457">
        <v>47.3</v>
      </c>
      <c r="H48">
        <v>197.8</v>
      </c>
      <c r="I48">
        <v>154.80000000000001</v>
      </c>
    </row>
    <row r="49" spans="1:9">
      <c r="A49" s="457">
        <v>46</v>
      </c>
      <c r="B49" s="457">
        <v>14.3</v>
      </c>
      <c r="C49" s="457">
        <v>13.3</v>
      </c>
      <c r="D49" s="457">
        <v>24.6</v>
      </c>
      <c r="E49" s="457">
        <v>16.8</v>
      </c>
      <c r="F49" s="457">
        <v>77.2</v>
      </c>
      <c r="G49" s="457">
        <v>50.8</v>
      </c>
      <c r="H49">
        <v>211</v>
      </c>
      <c r="I49">
        <v>163.5</v>
      </c>
    </row>
    <row r="50" spans="1:9">
      <c r="A50" s="457">
        <v>47</v>
      </c>
      <c r="B50" s="457">
        <v>15.4</v>
      </c>
      <c r="C50" s="457">
        <v>14.3</v>
      </c>
      <c r="D50" s="457">
        <v>26.7</v>
      </c>
      <c r="E50" s="457">
        <v>17.399999999999999</v>
      </c>
      <c r="F50" s="457">
        <v>80.5</v>
      </c>
      <c r="G50" s="457">
        <v>54.5</v>
      </c>
      <c r="H50">
        <v>225</v>
      </c>
      <c r="I50">
        <v>172.6</v>
      </c>
    </row>
    <row r="51" spans="1:9">
      <c r="A51" s="457">
        <v>48</v>
      </c>
      <c r="B51" s="457">
        <v>16.7</v>
      </c>
      <c r="C51" s="457">
        <v>15.4</v>
      </c>
      <c r="D51" s="457">
        <v>29.4</v>
      </c>
      <c r="E51" s="457">
        <v>19.600000000000001</v>
      </c>
      <c r="F51" s="457">
        <v>88.5</v>
      </c>
      <c r="G51" s="457">
        <v>58.6</v>
      </c>
      <c r="H51">
        <v>239.9</v>
      </c>
      <c r="I51">
        <v>181.9</v>
      </c>
    </row>
    <row r="52" spans="1:9">
      <c r="A52" s="457">
        <v>49</v>
      </c>
      <c r="B52" s="457">
        <v>18.2</v>
      </c>
      <c r="C52" s="457">
        <v>16.7</v>
      </c>
      <c r="D52" s="457">
        <v>31.1</v>
      </c>
      <c r="E52" s="457">
        <v>21.6</v>
      </c>
      <c r="F52" s="457">
        <v>93.8</v>
      </c>
      <c r="G52" s="457">
        <v>63.5</v>
      </c>
      <c r="H52">
        <v>255.6</v>
      </c>
      <c r="I52">
        <v>191.4</v>
      </c>
    </row>
    <row r="53" spans="1:9">
      <c r="A53" s="457">
        <v>50</v>
      </c>
      <c r="B53" s="457">
        <v>20</v>
      </c>
      <c r="C53" s="457">
        <v>18.2</v>
      </c>
      <c r="D53" s="457">
        <v>32.6</v>
      </c>
      <c r="E53" s="457">
        <v>23.1</v>
      </c>
      <c r="F53" s="457">
        <v>100.6</v>
      </c>
      <c r="G53" s="457">
        <v>68.7</v>
      </c>
      <c r="H53">
        <v>272</v>
      </c>
      <c r="I53">
        <v>201.2</v>
      </c>
    </row>
    <row r="54" spans="1:9">
      <c r="A54" s="457">
        <v>51</v>
      </c>
      <c r="B54" s="457">
        <v>21.3</v>
      </c>
      <c r="C54" s="457">
        <v>19.2</v>
      </c>
      <c r="D54" s="457">
        <v>36.200000000000003</v>
      </c>
      <c r="E54" s="457">
        <v>25.3</v>
      </c>
      <c r="F54" s="457">
        <v>106.7</v>
      </c>
      <c r="G54" s="457">
        <v>73.400000000000006</v>
      </c>
      <c r="H54">
        <v>289.3</v>
      </c>
      <c r="I54">
        <v>211.3</v>
      </c>
    </row>
    <row r="55" spans="1:9">
      <c r="A55" s="457">
        <v>52</v>
      </c>
      <c r="B55" s="457">
        <v>22.7</v>
      </c>
      <c r="C55" s="457">
        <v>20.399999999999999</v>
      </c>
      <c r="D55" s="457">
        <v>36.200000000000003</v>
      </c>
      <c r="E55" s="457">
        <v>27.2</v>
      </c>
      <c r="F55" s="457">
        <v>112.7</v>
      </c>
      <c r="G55" s="457">
        <v>77.900000000000006</v>
      </c>
      <c r="H55">
        <v>307.3</v>
      </c>
      <c r="I55">
        <v>221.9</v>
      </c>
    </row>
    <row r="56" spans="1:9">
      <c r="A56" s="457">
        <v>53</v>
      </c>
      <c r="B56" s="457">
        <v>24.4</v>
      </c>
      <c r="C56" s="457">
        <v>21.7</v>
      </c>
      <c r="D56" s="457">
        <v>40.1</v>
      </c>
      <c r="E56" s="457">
        <v>29.4</v>
      </c>
      <c r="F56" s="457">
        <v>119.6</v>
      </c>
      <c r="G56" s="457">
        <v>87</v>
      </c>
      <c r="H56">
        <v>326.10000000000002</v>
      </c>
      <c r="I56">
        <v>233.2</v>
      </c>
    </row>
    <row r="57" spans="1:9">
      <c r="A57" s="457">
        <v>54</v>
      </c>
      <c r="B57" s="457">
        <v>26.3</v>
      </c>
      <c r="C57" s="457">
        <v>23.3</v>
      </c>
      <c r="D57" s="457">
        <v>42.5</v>
      </c>
      <c r="E57" s="457">
        <v>31.3</v>
      </c>
      <c r="F57" s="457">
        <v>126.2</v>
      </c>
      <c r="G57" s="457">
        <v>91</v>
      </c>
      <c r="H57">
        <v>345.7</v>
      </c>
      <c r="I57">
        <v>245.3</v>
      </c>
    </row>
    <row r="58" spans="1:9">
      <c r="A58" s="457">
        <v>55</v>
      </c>
      <c r="B58" s="457">
        <v>28.6</v>
      </c>
      <c r="C58" s="457">
        <v>25</v>
      </c>
      <c r="D58" s="457">
        <v>45.3</v>
      </c>
      <c r="E58" s="457">
        <v>33.299999999999997</v>
      </c>
      <c r="F58" s="457">
        <v>132.4</v>
      </c>
      <c r="G58" s="457">
        <v>99.3</v>
      </c>
      <c r="H58">
        <v>365.9</v>
      </c>
      <c r="I58">
        <v>258.5</v>
      </c>
    </row>
    <row r="59" spans="1:9">
      <c r="A59" s="457">
        <v>56</v>
      </c>
      <c r="B59" s="457">
        <v>30.3</v>
      </c>
      <c r="C59" s="457">
        <v>26.3</v>
      </c>
      <c r="D59" s="457">
        <v>49.4</v>
      </c>
      <c r="E59" s="457">
        <v>35.4</v>
      </c>
      <c r="F59" s="457">
        <v>138.30000000000001</v>
      </c>
      <c r="G59" s="457">
        <v>105</v>
      </c>
      <c r="H59">
        <v>386.8</v>
      </c>
      <c r="I59">
        <v>272.8</v>
      </c>
    </row>
    <row r="60" spans="1:9">
      <c r="A60" s="457">
        <v>57</v>
      </c>
      <c r="B60" s="457">
        <v>32.299999999999997</v>
      </c>
      <c r="C60" s="457">
        <v>27.8</v>
      </c>
      <c r="D60" s="457">
        <v>51.2</v>
      </c>
      <c r="E60" s="457">
        <v>38.5</v>
      </c>
      <c r="F60" s="457">
        <v>144.5</v>
      </c>
      <c r="G60" s="457">
        <v>113.1</v>
      </c>
      <c r="H60">
        <v>408.2</v>
      </c>
      <c r="I60">
        <v>288.2</v>
      </c>
    </row>
    <row r="61" spans="1:9">
      <c r="A61" s="457">
        <v>58</v>
      </c>
      <c r="B61" s="457">
        <v>34.5</v>
      </c>
      <c r="C61" s="457">
        <v>29.4</v>
      </c>
      <c r="D61" s="457">
        <v>53.2</v>
      </c>
      <c r="E61" s="457">
        <v>41.7</v>
      </c>
      <c r="F61" s="457">
        <v>152.69999999999999</v>
      </c>
      <c r="G61" s="457">
        <v>118.9</v>
      </c>
      <c r="H61">
        <v>430.1</v>
      </c>
      <c r="I61">
        <v>304.5</v>
      </c>
    </row>
    <row r="62" spans="1:9">
      <c r="A62" s="457">
        <v>59</v>
      </c>
      <c r="B62" s="457">
        <v>37</v>
      </c>
      <c r="C62" s="457">
        <v>31.3</v>
      </c>
      <c r="D62" s="457">
        <v>57.2</v>
      </c>
      <c r="E62" s="457">
        <v>45</v>
      </c>
      <c r="F62" s="457">
        <v>157.5</v>
      </c>
      <c r="G62" s="457">
        <v>131</v>
      </c>
      <c r="H62">
        <v>452.3</v>
      </c>
      <c r="I62">
        <v>321.89999999999998</v>
      </c>
    </row>
    <row r="63" spans="1:9">
      <c r="A63" s="457">
        <v>60</v>
      </c>
      <c r="B63" s="457">
        <v>40</v>
      </c>
      <c r="C63" s="457">
        <v>33.299999999999997</v>
      </c>
      <c r="D63" s="457">
        <v>58.8</v>
      </c>
      <c r="E63" s="457">
        <v>45.9</v>
      </c>
      <c r="F63" s="457">
        <v>164.1</v>
      </c>
      <c r="G63" s="457">
        <v>134.6</v>
      </c>
      <c r="H63">
        <v>474.9</v>
      </c>
      <c r="I63">
        <v>340.3</v>
      </c>
    </row>
    <row r="64" spans="1:9">
      <c r="A64" s="457">
        <v>61</v>
      </c>
      <c r="B64" s="457">
        <v>41.7</v>
      </c>
      <c r="C64" s="457">
        <v>34.5</v>
      </c>
      <c r="D64" s="457">
        <v>62.5</v>
      </c>
      <c r="E64" s="457">
        <v>47.1</v>
      </c>
      <c r="F64" s="457">
        <v>169.6</v>
      </c>
      <c r="G64" s="457">
        <v>141.30000000000001</v>
      </c>
      <c r="H64">
        <v>497.8</v>
      </c>
      <c r="I64">
        <v>359.7</v>
      </c>
    </row>
    <row r="65" spans="1:9">
      <c r="A65" s="457">
        <v>62</v>
      </c>
      <c r="B65" s="457">
        <v>43.5</v>
      </c>
      <c r="C65" s="457">
        <v>35.700000000000003</v>
      </c>
      <c r="D65" s="457">
        <v>66</v>
      </c>
      <c r="E65" s="457">
        <v>52.1</v>
      </c>
      <c r="F65" s="457">
        <v>176.4</v>
      </c>
      <c r="G65" s="457">
        <v>152.19999999999999</v>
      </c>
      <c r="H65">
        <v>521</v>
      </c>
      <c r="I65">
        <v>380.2</v>
      </c>
    </row>
    <row r="66" spans="1:9">
      <c r="A66" s="457">
        <v>63</v>
      </c>
      <c r="B66" s="457">
        <v>45.5</v>
      </c>
      <c r="C66" s="457">
        <v>37</v>
      </c>
      <c r="D66" s="457">
        <v>68</v>
      </c>
      <c r="E66" s="457">
        <v>56</v>
      </c>
      <c r="F66" s="457">
        <v>183.1</v>
      </c>
      <c r="G66" s="457">
        <v>160.1</v>
      </c>
      <c r="H66">
        <v>544.29999999999995</v>
      </c>
      <c r="I66">
        <v>401.9</v>
      </c>
    </row>
    <row r="67" spans="1:9">
      <c r="A67" s="457">
        <v>64</v>
      </c>
      <c r="B67" s="457">
        <v>47.6</v>
      </c>
      <c r="C67" s="457">
        <v>38.5</v>
      </c>
      <c r="D67" s="457">
        <v>71</v>
      </c>
      <c r="E67" s="457">
        <v>58.5</v>
      </c>
      <c r="F67" s="457">
        <v>187.4</v>
      </c>
      <c r="G67" s="457">
        <v>165.7</v>
      </c>
      <c r="H67">
        <v>567.79999999999995</v>
      </c>
      <c r="I67">
        <v>424.7</v>
      </c>
    </row>
    <row r="68" spans="1:9">
      <c r="A68" s="457">
        <v>65</v>
      </c>
      <c r="B68" s="457">
        <v>55.6</v>
      </c>
      <c r="C68" s="457">
        <v>43.5</v>
      </c>
      <c r="D68" s="457">
        <v>74</v>
      </c>
      <c r="E68" s="457">
        <v>62.5</v>
      </c>
      <c r="F68" s="457">
        <v>192.3</v>
      </c>
      <c r="G68" s="457">
        <v>171.8</v>
      </c>
      <c r="H68">
        <v>591.20000000000005</v>
      </c>
      <c r="I68">
        <v>448.6</v>
      </c>
    </row>
    <row r="69" spans="1:9">
      <c r="A69" s="457">
        <v>66</v>
      </c>
      <c r="B69" s="457">
        <v>62.5</v>
      </c>
      <c r="C69" s="457">
        <v>47.6</v>
      </c>
      <c r="D69" s="457">
        <v>76.7</v>
      </c>
      <c r="E69" s="457">
        <v>65.400000000000006</v>
      </c>
      <c r="F69" s="457">
        <v>196.2</v>
      </c>
      <c r="G69" s="457">
        <v>178.9</v>
      </c>
      <c r="H69">
        <v>614.5</v>
      </c>
      <c r="I69">
        <v>473.6</v>
      </c>
    </row>
    <row r="70" spans="1:9">
      <c r="A70" s="457">
        <v>67</v>
      </c>
      <c r="B70" s="457">
        <v>71.400000000000006</v>
      </c>
      <c r="C70" s="457">
        <v>52.6</v>
      </c>
      <c r="D70" s="457">
        <v>80.2</v>
      </c>
      <c r="E70" s="457">
        <v>68.7</v>
      </c>
      <c r="F70" s="457">
        <v>202.4</v>
      </c>
      <c r="G70" s="457">
        <v>186.7</v>
      </c>
      <c r="H70">
        <v>637.4</v>
      </c>
      <c r="I70">
        <v>499.4</v>
      </c>
    </row>
    <row r="71" spans="1:9">
      <c r="A71" s="457">
        <v>68</v>
      </c>
      <c r="B71" s="457">
        <v>83.3</v>
      </c>
      <c r="C71" s="457">
        <v>58.8</v>
      </c>
      <c r="D71" s="457">
        <v>83.1</v>
      </c>
      <c r="E71" s="457">
        <v>71.2</v>
      </c>
      <c r="F71" s="457">
        <v>205.7</v>
      </c>
      <c r="G71" s="457">
        <v>190.9</v>
      </c>
      <c r="H71">
        <v>659.8</v>
      </c>
      <c r="I71">
        <v>526</v>
      </c>
    </row>
    <row r="72" spans="1:9">
      <c r="A72" s="457">
        <v>69</v>
      </c>
      <c r="B72" s="457">
        <v>100</v>
      </c>
      <c r="C72" s="457">
        <v>66.7</v>
      </c>
      <c r="D72" s="457">
        <v>111.1</v>
      </c>
      <c r="E72" s="457">
        <v>83.3</v>
      </c>
      <c r="F72" s="457">
        <v>222.3</v>
      </c>
      <c r="G72" s="457">
        <v>196.7</v>
      </c>
      <c r="H72">
        <v>681.6</v>
      </c>
      <c r="I72">
        <v>553</v>
      </c>
    </row>
    <row r="73" spans="1:9">
      <c r="A73" s="457">
        <v>70</v>
      </c>
      <c r="B73" s="457">
        <v>100</v>
      </c>
      <c r="C73" s="457">
        <v>66.7</v>
      </c>
      <c r="D73" s="457">
        <v>125</v>
      </c>
      <c r="E73" s="457">
        <v>100</v>
      </c>
      <c r="F73" s="457">
        <v>250</v>
      </c>
      <c r="G73" s="457">
        <v>250</v>
      </c>
      <c r="H73">
        <v>702.7</v>
      </c>
      <c r="I73">
        <v>580.5</v>
      </c>
    </row>
  </sheetData>
  <mergeCells count="4">
    <mergeCell ref="D1:E1"/>
    <mergeCell ref="F1:G1"/>
    <mergeCell ref="B1:C1"/>
    <mergeCell ref="H1:I1"/>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2D65B-2ECC-4013-B105-DF7575EB6AEE}">
  <dimension ref="B2:F22"/>
  <sheetViews>
    <sheetView workbookViewId="0">
      <selection activeCell="D4" sqref="D4"/>
    </sheetView>
  </sheetViews>
  <sheetFormatPr defaultColWidth="12.796875" defaultRowHeight="14.5"/>
  <cols>
    <col min="1" max="1" width="5.69921875" style="458" customWidth="1"/>
    <col min="2" max="2" width="12.796875" style="458"/>
    <col min="3" max="3" width="12.796875" style="459"/>
    <col min="4" max="4" width="23.19921875" style="458" customWidth="1"/>
    <col min="5" max="5" width="18.19921875" style="458" customWidth="1"/>
    <col min="6" max="6" width="26.796875" style="458" customWidth="1"/>
    <col min="7" max="16384" width="12.796875" style="458"/>
  </cols>
  <sheetData>
    <row r="2" spans="2:6">
      <c r="B2" s="458" t="s">
        <v>34</v>
      </c>
      <c r="C2" s="459" t="s">
        <v>801</v>
      </c>
      <c r="D2" s="458" t="s">
        <v>803</v>
      </c>
      <c r="E2" s="458" t="s">
        <v>802</v>
      </c>
      <c r="F2" s="458" t="s">
        <v>803</v>
      </c>
    </row>
    <row r="3" spans="2:6">
      <c r="B3" s="458">
        <v>1</v>
      </c>
      <c r="C3" s="459">
        <v>3.5000000000000003E-2</v>
      </c>
      <c r="D3" s="460">
        <f>IF('Tinh phi QL'!B12="Khỏe trọn vẹn - bền vững",KTVBVGTTKMH!M2,IF('Tinh phi QL'!B12="Khỏe trọn vẹn - toàn diện",KTVTDGTTKMH!M2,IF('Tinh phi QL'!B12="Khỏe trọn vẹn - trọn đời",KTVTRDGTTKMH!M2,IF('Tinh phi QL'!B12="Khỏe trọn vẹn - tối ưu",KTVTUGTTKMH!M2,0))))</f>
        <v>4.5999999999999999E-2</v>
      </c>
      <c r="E3" s="461">
        <f t="shared" ref="E3:E22" si="0">(1+C3)^(1/12)-1</f>
        <v>2.8708987190766422E-3</v>
      </c>
      <c r="F3" s="461">
        <f t="shared" ref="F3:F22" si="1">(1+D3)^(1/12)-1</f>
        <v>3.7548121811461499E-3</v>
      </c>
    </row>
    <row r="4" spans="2:6">
      <c r="B4" s="458">
        <v>2</v>
      </c>
      <c r="C4" s="459">
        <v>0.03</v>
      </c>
      <c r="D4" s="460">
        <f>D3</f>
        <v>4.5999999999999999E-2</v>
      </c>
      <c r="E4" s="461">
        <f t="shared" si="0"/>
        <v>2.4662697723036864E-3</v>
      </c>
      <c r="F4" s="461">
        <f t="shared" si="1"/>
        <v>3.7548121811461499E-3</v>
      </c>
    </row>
    <row r="5" spans="2:6">
      <c r="B5" s="458">
        <v>3</v>
      </c>
      <c r="C5" s="459">
        <v>0.03</v>
      </c>
      <c r="D5" s="460">
        <f t="shared" ref="D5:D20" si="2">D4</f>
        <v>4.5999999999999999E-2</v>
      </c>
      <c r="E5" s="461">
        <f t="shared" si="0"/>
        <v>2.4662697723036864E-3</v>
      </c>
      <c r="F5" s="461">
        <f t="shared" si="1"/>
        <v>3.7548121811461499E-3</v>
      </c>
    </row>
    <row r="6" spans="2:6">
      <c r="B6" s="458">
        <v>4</v>
      </c>
      <c r="C6" s="459">
        <v>0.02</v>
      </c>
      <c r="D6" s="460">
        <f t="shared" si="2"/>
        <v>4.5999999999999999E-2</v>
      </c>
      <c r="E6" s="461">
        <f t="shared" si="0"/>
        <v>1.6515813019202241E-3</v>
      </c>
      <c r="F6" s="461">
        <f t="shared" si="1"/>
        <v>3.7548121811461499E-3</v>
      </c>
    </row>
    <row r="7" spans="2:6">
      <c r="B7" s="458">
        <v>5</v>
      </c>
      <c r="C7" s="459">
        <v>0.02</v>
      </c>
      <c r="D7" s="460">
        <f t="shared" si="2"/>
        <v>4.5999999999999999E-2</v>
      </c>
      <c r="E7" s="461">
        <f t="shared" si="0"/>
        <v>1.6515813019202241E-3</v>
      </c>
      <c r="F7" s="461">
        <f t="shared" si="1"/>
        <v>3.7548121811461499E-3</v>
      </c>
    </row>
    <row r="8" spans="2:6">
      <c r="B8" s="458">
        <v>6</v>
      </c>
      <c r="C8" s="459">
        <v>1.4999999999999999E-2</v>
      </c>
      <c r="D8" s="460">
        <f t="shared" si="2"/>
        <v>4.5999999999999999E-2</v>
      </c>
      <c r="E8" s="461">
        <f t="shared" si="0"/>
        <v>1.2414877164492744E-3</v>
      </c>
      <c r="F8" s="461">
        <f t="shared" si="1"/>
        <v>3.7548121811461499E-3</v>
      </c>
    </row>
    <row r="9" spans="2:6">
      <c r="B9" s="458">
        <v>7</v>
      </c>
      <c r="C9" s="459">
        <v>1.4999999999999999E-2</v>
      </c>
      <c r="D9" s="460">
        <f t="shared" si="2"/>
        <v>4.5999999999999999E-2</v>
      </c>
      <c r="E9" s="461">
        <f t="shared" si="0"/>
        <v>1.2414877164492744E-3</v>
      </c>
      <c r="F9" s="461">
        <f t="shared" si="1"/>
        <v>3.7548121811461499E-3</v>
      </c>
    </row>
    <row r="10" spans="2:6">
      <c r="B10" s="458">
        <v>8</v>
      </c>
      <c r="C10" s="459">
        <v>1.4999999999999999E-2</v>
      </c>
      <c r="D10" s="460">
        <f t="shared" si="2"/>
        <v>4.5999999999999999E-2</v>
      </c>
      <c r="E10" s="461">
        <f t="shared" si="0"/>
        <v>1.2414877164492744E-3</v>
      </c>
      <c r="F10" s="461">
        <f t="shared" si="1"/>
        <v>3.7548121811461499E-3</v>
      </c>
    </row>
    <row r="11" spans="2:6">
      <c r="B11" s="458">
        <v>9</v>
      </c>
      <c r="C11" s="459">
        <v>1.4999999999999999E-2</v>
      </c>
      <c r="D11" s="460">
        <f t="shared" si="2"/>
        <v>4.5999999999999999E-2</v>
      </c>
      <c r="E11" s="461">
        <f t="shared" si="0"/>
        <v>1.2414877164492744E-3</v>
      </c>
      <c r="F11" s="461">
        <f t="shared" si="1"/>
        <v>3.7548121811461499E-3</v>
      </c>
    </row>
    <row r="12" spans="2:6">
      <c r="B12" s="458">
        <v>10</v>
      </c>
      <c r="C12" s="459">
        <v>1.4999999999999999E-2</v>
      </c>
      <c r="D12" s="460">
        <f t="shared" si="2"/>
        <v>4.5999999999999999E-2</v>
      </c>
      <c r="E12" s="461">
        <f t="shared" si="0"/>
        <v>1.2414877164492744E-3</v>
      </c>
      <c r="F12" s="461">
        <f t="shared" si="1"/>
        <v>3.7548121811461499E-3</v>
      </c>
    </row>
    <row r="13" spans="2:6">
      <c r="B13" s="458">
        <v>11</v>
      </c>
      <c r="C13" s="459">
        <v>0.01</v>
      </c>
      <c r="D13" s="460">
        <f t="shared" si="2"/>
        <v>4.5999999999999999E-2</v>
      </c>
      <c r="E13" s="461">
        <f t="shared" si="0"/>
        <v>8.295381143461622E-4</v>
      </c>
      <c r="F13" s="461">
        <f t="shared" si="1"/>
        <v>3.7548121811461499E-3</v>
      </c>
    </row>
    <row r="14" spans="2:6">
      <c r="B14" s="458">
        <v>12</v>
      </c>
      <c r="C14" s="459">
        <v>0.01</v>
      </c>
      <c r="D14" s="460">
        <f t="shared" si="2"/>
        <v>4.5999999999999999E-2</v>
      </c>
      <c r="E14" s="461">
        <f t="shared" si="0"/>
        <v>8.295381143461622E-4</v>
      </c>
      <c r="F14" s="461">
        <f t="shared" si="1"/>
        <v>3.7548121811461499E-3</v>
      </c>
    </row>
    <row r="15" spans="2:6">
      <c r="B15" s="458">
        <v>13</v>
      </c>
      <c r="C15" s="459">
        <v>0.01</v>
      </c>
      <c r="D15" s="460">
        <f t="shared" si="2"/>
        <v>4.5999999999999999E-2</v>
      </c>
      <c r="E15" s="461">
        <f t="shared" si="0"/>
        <v>8.295381143461622E-4</v>
      </c>
      <c r="F15" s="461">
        <f t="shared" si="1"/>
        <v>3.7548121811461499E-3</v>
      </c>
    </row>
    <row r="16" spans="2:6">
      <c r="B16" s="458">
        <v>14</v>
      </c>
      <c r="C16" s="459">
        <v>0.01</v>
      </c>
      <c r="D16" s="460">
        <f t="shared" si="2"/>
        <v>4.5999999999999999E-2</v>
      </c>
      <c r="E16" s="461">
        <f t="shared" si="0"/>
        <v>8.295381143461622E-4</v>
      </c>
      <c r="F16" s="461">
        <f t="shared" si="1"/>
        <v>3.7548121811461499E-3</v>
      </c>
    </row>
    <row r="17" spans="2:6">
      <c r="B17" s="458">
        <v>15</v>
      </c>
      <c r="C17" s="459">
        <v>0.01</v>
      </c>
      <c r="D17" s="460">
        <f t="shared" si="2"/>
        <v>4.5999999999999999E-2</v>
      </c>
      <c r="E17" s="461">
        <f t="shared" si="0"/>
        <v>8.295381143461622E-4</v>
      </c>
      <c r="F17" s="461">
        <f t="shared" si="1"/>
        <v>3.7548121811461499E-3</v>
      </c>
    </row>
    <row r="18" spans="2:6">
      <c r="B18" s="458">
        <v>16</v>
      </c>
      <c r="C18" s="459">
        <v>5.0000000000000001E-3</v>
      </c>
      <c r="D18" s="460">
        <f t="shared" si="2"/>
        <v>4.5999999999999999E-2</v>
      </c>
      <c r="E18" s="461">
        <f t="shared" si="0"/>
        <v>4.1571484472902043E-4</v>
      </c>
      <c r="F18" s="461">
        <f t="shared" si="1"/>
        <v>3.7548121811461499E-3</v>
      </c>
    </row>
    <row r="19" spans="2:6">
      <c r="B19" s="458">
        <v>17</v>
      </c>
      <c r="C19" s="459">
        <v>5.0000000000000001E-3</v>
      </c>
      <c r="D19" s="460">
        <f t="shared" si="2"/>
        <v>4.5999999999999999E-2</v>
      </c>
      <c r="E19" s="461">
        <f t="shared" si="0"/>
        <v>4.1571484472902043E-4</v>
      </c>
      <c r="F19" s="461">
        <f t="shared" si="1"/>
        <v>3.7548121811461499E-3</v>
      </c>
    </row>
    <row r="20" spans="2:6">
      <c r="B20" s="458">
        <v>18</v>
      </c>
      <c r="C20" s="459">
        <v>5.0000000000000001E-3</v>
      </c>
      <c r="D20" s="460">
        <f t="shared" si="2"/>
        <v>4.5999999999999999E-2</v>
      </c>
      <c r="E20" s="461">
        <f t="shared" si="0"/>
        <v>4.1571484472902043E-4</v>
      </c>
      <c r="F20" s="461">
        <f t="shared" si="1"/>
        <v>3.7548121811461499E-3</v>
      </c>
    </row>
    <row r="21" spans="2:6">
      <c r="B21" s="458">
        <v>19</v>
      </c>
      <c r="C21" s="459">
        <v>5.0000000000000001E-3</v>
      </c>
      <c r="D21" s="460">
        <f t="shared" ref="D21:D22" si="3">D20</f>
        <v>4.5999999999999999E-2</v>
      </c>
      <c r="E21" s="461">
        <f t="shared" si="0"/>
        <v>4.1571484472902043E-4</v>
      </c>
      <c r="F21" s="461">
        <f t="shared" si="1"/>
        <v>3.7548121811461499E-3</v>
      </c>
    </row>
    <row r="22" spans="2:6">
      <c r="B22" s="458">
        <v>20</v>
      </c>
      <c r="C22" s="459">
        <v>5.0000000000000001E-3</v>
      </c>
      <c r="D22" s="460">
        <f t="shared" si="3"/>
        <v>4.5999999999999999E-2</v>
      </c>
      <c r="E22" s="461">
        <f t="shared" si="0"/>
        <v>4.1571484472902043E-4</v>
      </c>
      <c r="F22" s="461">
        <f t="shared" si="1"/>
        <v>3.7548121811461499E-3</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89F399-48DB-4A74-98A9-2D0F4EDF492D}">
  <dimension ref="B1:P23"/>
  <sheetViews>
    <sheetView showGridLines="0" topLeftCell="D1" zoomScale="70" zoomScaleNormal="70" workbookViewId="0">
      <selection activeCell="U12" sqref="U12"/>
    </sheetView>
  </sheetViews>
  <sheetFormatPr defaultColWidth="9.296875" defaultRowHeight="15.5"/>
  <cols>
    <col min="1" max="1" width="1.796875" style="354" customWidth="1"/>
    <col min="2" max="3" width="6" style="354" customWidth="1"/>
    <col min="4" max="4" width="12.5" style="354" customWidth="1"/>
    <col min="5" max="5" width="13.5" style="354" customWidth="1"/>
    <col min="6" max="6" width="15.19921875" style="354" customWidth="1"/>
    <col min="7" max="7" width="14.5" style="354" customWidth="1"/>
    <col min="8" max="8" width="11.5" style="354" customWidth="1"/>
    <col min="9" max="9" width="12.69921875" style="354" customWidth="1"/>
    <col min="10" max="10" width="11.69921875" style="354" customWidth="1"/>
    <col min="11" max="11" width="20.5" style="354" customWidth="1"/>
    <col min="12" max="12" width="18.796875" style="354" customWidth="1"/>
    <col min="13" max="13" width="15" style="354" customWidth="1"/>
    <col min="14" max="14" width="10.796875" style="354" customWidth="1"/>
    <col min="15" max="16" width="17.69921875" style="354" customWidth="1"/>
    <col min="17" max="16384" width="9.296875" style="354"/>
  </cols>
  <sheetData>
    <row r="1" spans="2:16" ht="15.75" customHeight="1">
      <c r="B1" s="968" t="s">
        <v>734</v>
      </c>
      <c r="C1" s="968"/>
      <c r="D1" s="968"/>
      <c r="E1" s="968"/>
      <c r="F1" s="968"/>
      <c r="G1" s="968"/>
      <c r="H1" s="968"/>
      <c r="I1" s="968"/>
      <c r="J1" s="968"/>
      <c r="K1" s="968"/>
      <c r="L1" s="968"/>
      <c r="M1" s="968"/>
      <c r="N1" s="968"/>
      <c r="O1" s="968"/>
      <c r="P1" s="353" t="s">
        <v>712</v>
      </c>
    </row>
    <row r="2" spans="2:16" ht="20.25" customHeight="1">
      <c r="B2" s="969" t="s">
        <v>670</v>
      </c>
      <c r="C2" s="969" t="s">
        <v>842</v>
      </c>
      <c r="D2" s="970" t="s">
        <v>735</v>
      </c>
      <c r="E2" s="971"/>
      <c r="F2" s="972"/>
      <c r="G2" s="973" t="s">
        <v>736</v>
      </c>
      <c r="H2" s="969" t="s">
        <v>725</v>
      </c>
      <c r="I2" s="969"/>
      <c r="J2" s="969"/>
      <c r="K2" s="969" t="s">
        <v>737</v>
      </c>
      <c r="L2" s="969"/>
      <c r="M2" s="969"/>
      <c r="N2" s="973" t="s">
        <v>726</v>
      </c>
      <c r="O2" s="970" t="s">
        <v>738</v>
      </c>
      <c r="P2" s="972"/>
    </row>
    <row r="3" spans="2:16" ht="33.75" customHeight="1">
      <c r="B3" s="969"/>
      <c r="C3" s="969"/>
      <c r="D3" s="355" t="s">
        <v>727</v>
      </c>
      <c r="E3" s="355" t="s">
        <v>728</v>
      </c>
      <c r="F3" s="355" t="s">
        <v>729</v>
      </c>
      <c r="G3" s="974"/>
      <c r="H3" s="355" t="s">
        <v>727</v>
      </c>
      <c r="I3" s="355" t="s">
        <v>728</v>
      </c>
      <c r="J3" s="355" t="s">
        <v>730</v>
      </c>
      <c r="K3" s="355" t="s">
        <v>731</v>
      </c>
      <c r="L3" s="355" t="s">
        <v>732</v>
      </c>
      <c r="M3" s="355" t="s">
        <v>733</v>
      </c>
      <c r="N3" s="974"/>
      <c r="O3" s="355" t="s">
        <v>739</v>
      </c>
      <c r="P3" s="355" t="s">
        <v>740</v>
      </c>
    </row>
    <row r="4" spans="2:16" ht="12.75" customHeight="1">
      <c r="B4" s="356">
        <v>1</v>
      </c>
      <c r="C4" s="356">
        <f>VTLGTTKcamket!C7</f>
        <v>1</v>
      </c>
      <c r="D4" s="357">
        <f>VTLGTTKcamket!E7</f>
        <v>10000</v>
      </c>
      <c r="E4" s="358">
        <v>0</v>
      </c>
      <c r="F4" s="358">
        <f>D4+E4</f>
        <v>10000</v>
      </c>
      <c r="G4" s="358">
        <f ca="1">IF(IFERROR(--TRIM(C4),0)=0,0,_xlfn.AGGREGATE(9,6,VTLPhi20nam!E4:AG4))</f>
        <v>6571</v>
      </c>
      <c r="H4" s="358">
        <f>D4*50%</f>
        <v>5000</v>
      </c>
      <c r="I4" s="358">
        <f>E4*1.5%</f>
        <v>0</v>
      </c>
      <c r="J4" s="358">
        <f>H4+I4</f>
        <v>5000</v>
      </c>
      <c r="K4" s="358">
        <f t="shared" ref="K4:K23" si="0">D4-H4</f>
        <v>5000</v>
      </c>
      <c r="L4" s="358">
        <f t="shared" ref="L4:L23" si="1">E4-I4</f>
        <v>0</v>
      </c>
      <c r="M4" s="358">
        <f>K4+L4</f>
        <v>5000</v>
      </c>
      <c r="N4" s="358">
        <f ca="1">VLOOKUP(B4,VTL20namcamket!B4:O243,13,0)</f>
        <v>480</v>
      </c>
      <c r="O4" s="358">
        <f ca="1">VLOOKUP(B4,VTL20namcamket!B4:Q258,15,0)</f>
        <v>1394.1057395550015</v>
      </c>
      <c r="P4" s="358">
        <f ca="1">VLOOKUP(VTLPhi!B4,VTL20namMH!B4:O243,13,0)</f>
        <v>1394.0756181447107</v>
      </c>
    </row>
    <row r="5" spans="2:16" ht="12.75" customHeight="1">
      <c r="B5" s="356">
        <v>2</v>
      </c>
      <c r="C5" s="356">
        <f>VTLGTTKcamket!C8</f>
        <v>2</v>
      </c>
      <c r="D5" s="357">
        <f>VTLGTTKcamket!E8</f>
        <v>10000</v>
      </c>
      <c r="E5" s="358">
        <f>E4</f>
        <v>0</v>
      </c>
      <c r="F5" s="358">
        <f t="shared" ref="F5:F23" si="2">D5+E5</f>
        <v>10000</v>
      </c>
      <c r="G5" s="358">
        <f ca="1">IF(IFERROR(--TRIM(C5),0)=0,0,_xlfn.AGGREGATE(9,6,VTLPhi20nam!E5:AG5))</f>
        <v>6571</v>
      </c>
      <c r="H5" s="358">
        <f>D5*30%</f>
        <v>3000</v>
      </c>
      <c r="I5" s="358">
        <f t="shared" ref="I5:I8" si="3">E5*1.5%</f>
        <v>0</v>
      </c>
      <c r="J5" s="358">
        <f t="shared" ref="J5:J23" si="4">H5+I5</f>
        <v>3000</v>
      </c>
      <c r="K5" s="358">
        <f t="shared" si="0"/>
        <v>7000</v>
      </c>
      <c r="L5" s="358">
        <f t="shared" si="1"/>
        <v>0</v>
      </c>
      <c r="M5" s="358">
        <f t="shared" ref="M5:M23" si="5">K5+L5</f>
        <v>7000</v>
      </c>
      <c r="N5" s="358">
        <f ca="1">VLOOKUP(B5,VTL20namcamket!B5:O244,13,0)</f>
        <v>480</v>
      </c>
      <c r="O5" s="358">
        <f ca="1">VLOOKUP(B5,VTL20namcamket!B5:Q259,15,0)</f>
        <v>1426.2868183237224</v>
      </c>
      <c r="P5" s="358">
        <f ca="1">VLOOKUP(VTLPhi!B5,VTL20namMH!B5:O244,13,0)</f>
        <v>1426.1222235223756</v>
      </c>
    </row>
    <row r="6" spans="2:16" ht="12.75" customHeight="1">
      <c r="B6" s="356">
        <v>3</v>
      </c>
      <c r="C6" s="356">
        <f>VTLGTTKcamket!C9</f>
        <v>3</v>
      </c>
      <c r="D6" s="357">
        <f>VTLGTTKcamket!E9</f>
        <v>10000</v>
      </c>
      <c r="E6" s="358">
        <f t="shared" ref="E6:E21" si="6">E5</f>
        <v>0</v>
      </c>
      <c r="F6" s="358">
        <f t="shared" si="2"/>
        <v>10000</v>
      </c>
      <c r="G6" s="358">
        <f ca="1">IF(IFERROR(--TRIM(C6),0)=0,0,_xlfn.AGGREGATE(9,6,VTLPhi20nam!E6:AG6))</f>
        <v>6571</v>
      </c>
      <c r="H6" s="358">
        <f>D6*20%</f>
        <v>2000</v>
      </c>
      <c r="I6" s="358">
        <f t="shared" si="3"/>
        <v>0</v>
      </c>
      <c r="J6" s="358">
        <f t="shared" si="4"/>
        <v>2000</v>
      </c>
      <c r="K6" s="358">
        <f t="shared" si="0"/>
        <v>8000</v>
      </c>
      <c r="L6" s="358">
        <f t="shared" si="1"/>
        <v>0</v>
      </c>
      <c r="M6" s="358">
        <f t="shared" si="5"/>
        <v>8000</v>
      </c>
      <c r="N6" s="358">
        <f ca="1">VLOOKUP(B6,VTL20namcamket!B6:O245,13,0)</f>
        <v>480</v>
      </c>
      <c r="O6" s="358">
        <f ca="1">VLOOKUP(B6,VTL20namcamket!B6:Q260,15,0)</f>
        <v>1472.1241724487106</v>
      </c>
      <c r="P6" s="358">
        <f ca="1">VLOOKUP(VTLPhi!B6,VTL20namMH!B6:O245,13,0)</f>
        <v>1471.654944709976</v>
      </c>
    </row>
    <row r="7" spans="2:16" ht="12.75" customHeight="1">
      <c r="B7" s="356">
        <v>4</v>
      </c>
      <c r="C7" s="356">
        <f>VTLGTTKcamket!C10</f>
        <v>4</v>
      </c>
      <c r="D7" s="357">
        <f>VTLGTTKcamket!E10</f>
        <v>10000</v>
      </c>
      <c r="E7" s="358">
        <f t="shared" si="6"/>
        <v>0</v>
      </c>
      <c r="F7" s="358">
        <f t="shared" si="2"/>
        <v>10000</v>
      </c>
      <c r="G7" s="358">
        <f ca="1">IF(IFERROR(--TRIM(C7),0)=0,0,_xlfn.AGGREGATE(9,6,VTLPhi20nam!E7:AG7))</f>
        <v>6571</v>
      </c>
      <c r="H7" s="358">
        <f>D7*20%</f>
        <v>2000</v>
      </c>
      <c r="I7" s="358">
        <f t="shared" si="3"/>
        <v>0</v>
      </c>
      <c r="J7" s="358">
        <f t="shared" si="4"/>
        <v>2000</v>
      </c>
      <c r="K7" s="358">
        <f t="shared" si="0"/>
        <v>8000</v>
      </c>
      <c r="L7" s="358">
        <f t="shared" si="1"/>
        <v>0</v>
      </c>
      <c r="M7" s="358">
        <f t="shared" si="5"/>
        <v>8000</v>
      </c>
      <c r="N7" s="358">
        <f ca="1">VLOOKUP(B7,VTL20namcamket!B7:O246,13,0)</f>
        <v>540</v>
      </c>
      <c r="O7" s="358">
        <f ca="1">VLOOKUP(B7,VTL20namcamket!B7:Q261,15,0)</f>
        <v>1525.0164388920534</v>
      </c>
      <c r="P7" s="358">
        <f ca="1">VLOOKUP(VTLPhi!B7,VTL20namMH!B7:O246,13,0)</f>
        <v>1523.8822605308023</v>
      </c>
    </row>
    <row r="8" spans="2:16" ht="12.75" customHeight="1">
      <c r="B8" s="356">
        <v>5</v>
      </c>
      <c r="C8" s="356">
        <f>VTLGTTKcamket!C11</f>
        <v>5</v>
      </c>
      <c r="D8" s="357">
        <f>VTLGTTKcamket!E11</f>
        <v>10000</v>
      </c>
      <c r="E8" s="358">
        <f t="shared" si="6"/>
        <v>0</v>
      </c>
      <c r="F8" s="358">
        <f t="shared" si="2"/>
        <v>10000</v>
      </c>
      <c r="G8" s="358">
        <f ca="1">IF(IFERROR(--TRIM(C8),0)=0,0,_xlfn.AGGREGATE(9,6,VTLPhi20nam!E8:AG8))</f>
        <v>6571</v>
      </c>
      <c r="H8" s="358">
        <f>D8*20%</f>
        <v>2000</v>
      </c>
      <c r="I8" s="358">
        <f t="shared" si="3"/>
        <v>0</v>
      </c>
      <c r="J8" s="358">
        <f t="shared" si="4"/>
        <v>2000</v>
      </c>
      <c r="K8" s="358">
        <f t="shared" si="0"/>
        <v>8000</v>
      </c>
      <c r="L8" s="358">
        <f t="shared" si="1"/>
        <v>0</v>
      </c>
      <c r="M8" s="358">
        <f t="shared" si="5"/>
        <v>8000</v>
      </c>
      <c r="N8" s="358">
        <f ca="1">VLOOKUP(B8,VTL20namcamket!B8:O247,13,0)</f>
        <v>600</v>
      </c>
      <c r="O8" s="358">
        <f ca="1">VLOOKUP(B8,VTL20namcamket!B8:Q262,15,0)</f>
        <v>1592.791785880255</v>
      </c>
      <c r="P8" s="358">
        <f ca="1">VLOOKUP(VTLPhi!B8,VTL20namMH!B8:O247,13,0)</f>
        <v>1590.4795217115789</v>
      </c>
    </row>
    <row r="9" spans="2:16" ht="12.75" customHeight="1">
      <c r="B9" s="356">
        <v>6</v>
      </c>
      <c r="C9" s="356">
        <f>VTLGTTKcamket!C12</f>
        <v>6</v>
      </c>
      <c r="D9" s="357">
        <f>VTLGTTKcamket!E12</f>
        <v>10000</v>
      </c>
      <c r="E9" s="358">
        <f t="shared" si="6"/>
        <v>0</v>
      </c>
      <c r="F9" s="358">
        <f t="shared" si="2"/>
        <v>10000</v>
      </c>
      <c r="G9" s="358">
        <f ca="1">IF(IFERROR(--TRIM(C9),0)=0,0,_xlfn.AGGREGATE(9,6,VTLPhi20nam!E9:AG9))</f>
        <v>7495</v>
      </c>
      <c r="H9" s="358">
        <f>D9*2%</f>
        <v>200</v>
      </c>
      <c r="I9" s="358">
        <f>E9*1%</f>
        <v>0</v>
      </c>
      <c r="J9" s="358">
        <f t="shared" si="4"/>
        <v>200</v>
      </c>
      <c r="K9" s="358">
        <f t="shared" si="0"/>
        <v>9800</v>
      </c>
      <c r="L9" s="358">
        <f t="shared" si="1"/>
        <v>0</v>
      </c>
      <c r="M9" s="358">
        <f t="shared" si="5"/>
        <v>9800</v>
      </c>
      <c r="N9" s="358">
        <f ca="1">VLOOKUP(B9,VTL20namcamket!B9:O248,13,0)</f>
        <v>600</v>
      </c>
      <c r="O9" s="358">
        <f ca="1">VLOOKUP(B9,VTL20namcamket!B9:Q263,15,0)</f>
        <v>1671.3929474854699</v>
      </c>
      <c r="P9" s="358">
        <f ca="1">VLOOKUP(VTLPhi!B9,VTL20namMH!B9:O248,13,0)</f>
        <v>1667.2281292988839</v>
      </c>
    </row>
    <row r="10" spans="2:16" ht="12.75" customHeight="1">
      <c r="B10" s="356">
        <v>7</v>
      </c>
      <c r="C10" s="356">
        <f>VTLGTTKcamket!C13</f>
        <v>7</v>
      </c>
      <c r="D10" s="357">
        <f>VTLGTTKcamket!E13</f>
        <v>10000</v>
      </c>
      <c r="E10" s="358">
        <f t="shared" si="6"/>
        <v>0</v>
      </c>
      <c r="F10" s="358">
        <f t="shared" si="2"/>
        <v>10000</v>
      </c>
      <c r="G10" s="358">
        <f ca="1">IF(IFERROR(--TRIM(C10),0)=0,0,_xlfn.AGGREGATE(9,6,VTLPhi20nam!E10:AG10))</f>
        <v>7495</v>
      </c>
      <c r="H10" s="358">
        <f t="shared" ref="H10:H13" si="7">D10*2%</f>
        <v>200</v>
      </c>
      <c r="I10" s="358">
        <f t="shared" ref="I10:I13" si="8">E10*1%</f>
        <v>0</v>
      </c>
      <c r="J10" s="358">
        <f t="shared" si="4"/>
        <v>200</v>
      </c>
      <c r="K10" s="358">
        <f t="shared" si="0"/>
        <v>9800</v>
      </c>
      <c r="L10" s="358">
        <f t="shared" si="1"/>
        <v>0</v>
      </c>
      <c r="M10" s="358">
        <f t="shared" si="5"/>
        <v>9800</v>
      </c>
      <c r="N10" s="358">
        <f ca="1">VLOOKUP(B10,VTL20namcamket!B10:O249,13,0)</f>
        <v>600</v>
      </c>
      <c r="O10" s="358">
        <f ca="1">VLOOKUP(B10,VTL20namcamket!B10:Q264,15,0)</f>
        <v>1771.3521440584841</v>
      </c>
      <c r="P10" s="358">
        <f ca="1">VLOOKUP(VTLPhi!B10,VTL20namMH!B10:O249,13,0)</f>
        <v>1764.3506912650253</v>
      </c>
    </row>
    <row r="11" spans="2:16" ht="12.75" customHeight="1">
      <c r="B11" s="356">
        <v>8</v>
      </c>
      <c r="C11" s="356">
        <f>VTLGTTKcamket!C14</f>
        <v>8</v>
      </c>
      <c r="D11" s="357">
        <f>VTLGTTKcamket!E14</f>
        <v>10000</v>
      </c>
      <c r="E11" s="358">
        <f t="shared" si="6"/>
        <v>0</v>
      </c>
      <c r="F11" s="358">
        <f t="shared" si="2"/>
        <v>10000</v>
      </c>
      <c r="G11" s="358">
        <f ca="1">IF(IFERROR(--TRIM(C11),0)=0,0,_xlfn.AGGREGATE(9,6,VTLPhi20nam!E11:AG11))</f>
        <v>7495</v>
      </c>
      <c r="H11" s="358">
        <f t="shared" si="7"/>
        <v>200</v>
      </c>
      <c r="I11" s="358">
        <f t="shared" si="8"/>
        <v>0</v>
      </c>
      <c r="J11" s="358">
        <f t="shared" si="4"/>
        <v>200</v>
      </c>
      <c r="K11" s="358">
        <f t="shared" si="0"/>
        <v>9800</v>
      </c>
      <c r="L11" s="358">
        <f t="shared" si="1"/>
        <v>0</v>
      </c>
      <c r="M11" s="358">
        <f t="shared" si="5"/>
        <v>9800</v>
      </c>
      <c r="N11" s="358">
        <f ca="1">VLOOKUP(B11,VTL20namcamket!B11:O250,13,0)</f>
        <v>600</v>
      </c>
      <c r="O11" s="358">
        <f ca="1">VLOOKUP(B11,VTL20namcamket!B11:Q265,15,0)</f>
        <v>1884.3953519398162</v>
      </c>
      <c r="P11" s="358">
        <f ca="1">VLOOKUP(VTLPhi!B11,VTL20namMH!B11:O250,13,0)</f>
        <v>1873.4980173553408</v>
      </c>
    </row>
    <row r="12" spans="2:16" ht="12.75" customHeight="1">
      <c r="B12" s="356">
        <v>9</v>
      </c>
      <c r="C12" s="356">
        <f>VTLGTTKcamket!C15</f>
        <v>9</v>
      </c>
      <c r="D12" s="357">
        <f>VTLGTTKcamket!E15</f>
        <v>10000</v>
      </c>
      <c r="E12" s="358">
        <f t="shared" si="6"/>
        <v>0</v>
      </c>
      <c r="F12" s="358">
        <f t="shared" si="2"/>
        <v>10000</v>
      </c>
      <c r="G12" s="358">
        <f ca="1">IF(IFERROR(--TRIM(C12),0)=0,0,_xlfn.AGGREGATE(9,6,VTLPhi20nam!E12:AG12))</f>
        <v>7495</v>
      </c>
      <c r="H12" s="358">
        <f t="shared" si="7"/>
        <v>200</v>
      </c>
      <c r="I12" s="358">
        <f t="shared" si="8"/>
        <v>0</v>
      </c>
      <c r="J12" s="358">
        <f t="shared" si="4"/>
        <v>200</v>
      </c>
      <c r="K12" s="358">
        <f t="shared" si="0"/>
        <v>9800</v>
      </c>
      <c r="L12" s="358">
        <f t="shared" si="1"/>
        <v>0</v>
      </c>
      <c r="M12" s="358">
        <f t="shared" si="5"/>
        <v>9800</v>
      </c>
      <c r="N12" s="358">
        <f ca="1">VLOOKUP(B12,VTL20namcamket!B12:O251,13,0)</f>
        <v>660</v>
      </c>
      <c r="O12" s="358">
        <f ca="1">VLOOKUP(B12,VTL20namcamket!B12:Q266,15,0)</f>
        <v>2010.1652419383611</v>
      </c>
      <c r="P12" s="358">
        <f ca="1">VLOOKUP(VTLPhi!B12,VTL20namMH!B12:O251,13,0)</f>
        <v>1994.0634071525226</v>
      </c>
    </row>
    <row r="13" spans="2:16" ht="12.75" customHeight="1">
      <c r="B13" s="356">
        <v>10</v>
      </c>
      <c r="C13" s="356">
        <f>VTLGTTKcamket!C16</f>
        <v>10</v>
      </c>
      <c r="D13" s="357">
        <f>VTLGTTKcamket!E16</f>
        <v>10000</v>
      </c>
      <c r="E13" s="358">
        <f t="shared" si="6"/>
        <v>0</v>
      </c>
      <c r="F13" s="358">
        <f t="shared" si="2"/>
        <v>10000</v>
      </c>
      <c r="G13" s="358">
        <f ca="1">IF(IFERROR(--TRIM(C13),0)=0,0,_xlfn.AGGREGATE(9,6,VTLPhi20nam!E13:AG13))</f>
        <v>7495</v>
      </c>
      <c r="H13" s="358">
        <f t="shared" si="7"/>
        <v>200</v>
      </c>
      <c r="I13" s="358">
        <f t="shared" si="8"/>
        <v>0</v>
      </c>
      <c r="J13" s="358">
        <f t="shared" si="4"/>
        <v>200</v>
      </c>
      <c r="K13" s="358">
        <f t="shared" si="0"/>
        <v>9800</v>
      </c>
      <c r="L13" s="358">
        <f t="shared" si="1"/>
        <v>0</v>
      </c>
      <c r="M13" s="358">
        <f t="shared" si="5"/>
        <v>9800</v>
      </c>
      <c r="N13" s="358">
        <f ca="1">VLOOKUP(B13,VTL20namcamket!B13:O252,13,0)</f>
        <v>720</v>
      </c>
      <c r="O13" s="358">
        <f ca="1">VLOOKUP(B13,VTL20namcamket!B13:Q267,15,0)</f>
        <v>2155.9137489051473</v>
      </c>
      <c r="P13" s="358">
        <f ca="1">VLOOKUP(VTLPhi!B13,VTL20namMH!B13:O252,13,0)</f>
        <v>2132.9303697720534</v>
      </c>
    </row>
    <row r="14" spans="2:16" ht="12.75" customHeight="1">
      <c r="B14" s="356">
        <v>11</v>
      </c>
      <c r="C14" s="356">
        <f>VTLGTTKcamket!C17</f>
        <v>11</v>
      </c>
      <c r="D14" s="357">
        <f>VTLGTTKcamket!E17</f>
        <v>10000</v>
      </c>
      <c r="E14" s="358">
        <f t="shared" si="6"/>
        <v>0</v>
      </c>
      <c r="F14" s="358">
        <f t="shared" si="2"/>
        <v>10000</v>
      </c>
      <c r="G14" s="358">
        <f ca="1">IF(IFERROR(--TRIM(C14),0)=0,0,_xlfn.AGGREGATE(9,6,VTLPhi20nam!E14:AG14))</f>
        <v>8533</v>
      </c>
      <c r="H14" s="358">
        <f>D14*0%</f>
        <v>0</v>
      </c>
      <c r="I14" s="358">
        <f>E14*0%</f>
        <v>0</v>
      </c>
      <c r="J14" s="358">
        <f t="shared" si="4"/>
        <v>0</v>
      </c>
      <c r="K14" s="358">
        <f t="shared" si="0"/>
        <v>10000</v>
      </c>
      <c r="L14" s="358">
        <f t="shared" si="1"/>
        <v>0</v>
      </c>
      <c r="M14" s="358">
        <f t="shared" si="5"/>
        <v>10000</v>
      </c>
      <c r="N14" s="358">
        <f ca="1">VLOOKUP(B14,VTL20namcamket!B14:O253,13,0)</f>
        <v>720</v>
      </c>
      <c r="O14" s="358">
        <f ca="1">VLOOKUP(B14,VTL20namcamket!B14:Q268,15,0)</f>
        <v>2320.9121274143358</v>
      </c>
      <c r="P14" s="358">
        <f ca="1">VLOOKUP(VTLPhi!B14,VTL20namMH!B14:O253,13,0)</f>
        <v>2288.508004370552</v>
      </c>
    </row>
    <row r="15" spans="2:16" ht="12.75" customHeight="1">
      <c r="B15" s="356">
        <v>12</v>
      </c>
      <c r="C15" s="356">
        <f>VTLGTTKcamket!C18</f>
        <v>12</v>
      </c>
      <c r="D15" s="357">
        <f>VTLGTTKcamket!E18</f>
        <v>10000</v>
      </c>
      <c r="E15" s="358">
        <f t="shared" si="6"/>
        <v>0</v>
      </c>
      <c r="F15" s="358">
        <f t="shared" si="2"/>
        <v>10000</v>
      </c>
      <c r="G15" s="358">
        <f ca="1">IF(IFERROR(--TRIM(C15),0)=0,0,_xlfn.AGGREGATE(9,6,VTLPhi20nam!E15:AG15))</f>
        <v>8533</v>
      </c>
      <c r="H15" s="358">
        <f t="shared" ref="H15:H23" si="9">D15*0%</f>
        <v>0</v>
      </c>
      <c r="I15" s="358">
        <f t="shared" ref="I15:I23" si="10">E15*0%</f>
        <v>0</v>
      </c>
      <c r="J15" s="358">
        <f t="shared" si="4"/>
        <v>0</v>
      </c>
      <c r="K15" s="358">
        <f t="shared" si="0"/>
        <v>10000</v>
      </c>
      <c r="L15" s="358">
        <f t="shared" si="1"/>
        <v>0</v>
      </c>
      <c r="M15" s="358">
        <f t="shared" si="5"/>
        <v>10000</v>
      </c>
      <c r="N15" s="358">
        <f ca="1">VLOOKUP(B15,VTL20namcamket!B15:O254,13,0)</f>
        <v>720</v>
      </c>
      <c r="O15" s="358">
        <f ca="1">VLOOKUP(B15,VTL20namcamket!B15:Q269,15,0)</f>
        <v>2497.9637815388546</v>
      </c>
      <c r="P15" s="358">
        <f ca="1">VLOOKUP(VTLPhi!B15,VTL20namMH!B15:O254,13,0)</f>
        <v>2452.9792214772492</v>
      </c>
    </row>
    <row r="16" spans="2:16" ht="12.75" customHeight="1">
      <c r="B16" s="356">
        <v>13</v>
      </c>
      <c r="C16" s="356">
        <f>VTLGTTKcamket!C19</f>
        <v>13</v>
      </c>
      <c r="D16" s="357">
        <f>VTLGTTKcamket!E19</f>
        <v>10000</v>
      </c>
      <c r="E16" s="358">
        <f t="shared" si="6"/>
        <v>0</v>
      </c>
      <c r="F16" s="358">
        <f t="shared" si="2"/>
        <v>10000</v>
      </c>
      <c r="G16" s="358">
        <f ca="1">IF(IFERROR(--TRIM(C16),0)=0,0,_xlfn.AGGREGATE(9,6,VTLPhi20nam!E16:AG16))</f>
        <v>8533</v>
      </c>
      <c r="H16" s="358">
        <f t="shared" si="9"/>
        <v>0</v>
      </c>
      <c r="I16" s="358">
        <f t="shared" si="10"/>
        <v>0</v>
      </c>
      <c r="J16" s="358">
        <f t="shared" si="4"/>
        <v>0</v>
      </c>
      <c r="K16" s="358">
        <f t="shared" si="0"/>
        <v>10000</v>
      </c>
      <c r="L16" s="358">
        <f t="shared" si="1"/>
        <v>0</v>
      </c>
      <c r="M16" s="358">
        <f t="shared" si="5"/>
        <v>10000</v>
      </c>
      <c r="N16" s="358">
        <f ca="1">VLOOKUP(B16,VTL20namcamket!B16:O255,13,0)</f>
        <v>720</v>
      </c>
      <c r="O16" s="358">
        <f ca="1">VLOOKUP(B16,VTL20namcamket!B16:Q270,15,0)</f>
        <v>2686.346498580489</v>
      </c>
      <c r="P16" s="358">
        <f ca="1">VLOOKUP(VTLPhi!B16,VTL20namMH!B16:O255,13,0)</f>
        <v>2625.5371782446323</v>
      </c>
    </row>
    <row r="17" spans="2:16" ht="12.75" customHeight="1">
      <c r="B17" s="356">
        <v>14</v>
      </c>
      <c r="C17" s="356">
        <f>VTLGTTKcamket!C20</f>
        <v>14</v>
      </c>
      <c r="D17" s="357">
        <f>VTLGTTKcamket!E20</f>
        <v>10000</v>
      </c>
      <c r="E17" s="358">
        <f t="shared" si="6"/>
        <v>0</v>
      </c>
      <c r="F17" s="358">
        <f t="shared" si="2"/>
        <v>10000</v>
      </c>
      <c r="G17" s="358">
        <f ca="1">IF(IFERROR(--TRIM(C17),0)=0,0,_xlfn.AGGREGATE(9,6,VTLPhi20nam!E17:AG17))</f>
        <v>8533</v>
      </c>
      <c r="H17" s="358">
        <f t="shared" si="9"/>
        <v>0</v>
      </c>
      <c r="I17" s="358">
        <f t="shared" si="10"/>
        <v>0</v>
      </c>
      <c r="J17" s="358">
        <f t="shared" si="4"/>
        <v>0</v>
      </c>
      <c r="K17" s="358">
        <f t="shared" si="0"/>
        <v>10000</v>
      </c>
      <c r="L17" s="358">
        <f t="shared" si="1"/>
        <v>0</v>
      </c>
      <c r="M17" s="358">
        <f t="shared" si="5"/>
        <v>10000</v>
      </c>
      <c r="N17" s="358">
        <f ca="1">VLOOKUP(B17,VTL20namcamket!B17:O256,13,0)</f>
        <v>720</v>
      </c>
      <c r="O17" s="358">
        <f ca="1">VLOOKUP(B17,VTL20namcamket!B17:Q271,15,0)</f>
        <v>2892.9819524249083</v>
      </c>
      <c r="P17" s="358">
        <f ca="1">VLOOKUP(VTLPhi!B17,VTL20namMH!B17:O256,13,0)</f>
        <v>2812.3188099319864</v>
      </c>
    </row>
    <row r="18" spans="2:16" ht="12.75" customHeight="1">
      <c r="B18" s="356">
        <v>15</v>
      </c>
      <c r="C18" s="356">
        <f>VTLGTTKcamket!C21</f>
        <v>15</v>
      </c>
      <c r="D18" s="357">
        <f>VTLGTTKcamket!E21</f>
        <v>10000</v>
      </c>
      <c r="E18" s="358">
        <f t="shared" si="6"/>
        <v>0</v>
      </c>
      <c r="F18" s="358">
        <f t="shared" si="2"/>
        <v>10000</v>
      </c>
      <c r="G18" s="358">
        <f ca="1">IF(IFERROR(--TRIM(C18),0)=0,0,_xlfn.AGGREGATE(9,6,VTLPhi20nam!E18:AG18))</f>
        <v>8533</v>
      </c>
      <c r="H18" s="358">
        <f t="shared" si="9"/>
        <v>0</v>
      </c>
      <c r="I18" s="358">
        <f t="shared" si="10"/>
        <v>0</v>
      </c>
      <c r="J18" s="358">
        <f t="shared" si="4"/>
        <v>0</v>
      </c>
      <c r="K18" s="358">
        <f t="shared" si="0"/>
        <v>10000</v>
      </c>
      <c r="L18" s="358">
        <f t="shared" si="1"/>
        <v>0</v>
      </c>
      <c r="M18" s="358">
        <f t="shared" si="5"/>
        <v>10000</v>
      </c>
      <c r="N18" s="358">
        <f ca="1">VLOOKUP(B18,VTL20namcamket!B18:O257,13,0)</f>
        <v>720</v>
      </c>
      <c r="O18" s="358">
        <f ca="1">VLOOKUP(B18,VTL20namcamket!B18:Q272,15,0)</f>
        <v>3110.3403615694779</v>
      </c>
      <c r="P18" s="358">
        <f ca="1">VLOOKUP(VTLPhi!B18,VTL20namMH!B18:O257,13,0)</f>
        <v>3005.2589226480727</v>
      </c>
    </row>
    <row r="19" spans="2:16" ht="12.75" customHeight="1">
      <c r="B19" s="356">
        <v>16</v>
      </c>
      <c r="C19" s="356">
        <f>VTLGTTKcamket!C22</f>
        <v>16</v>
      </c>
      <c r="D19" s="357">
        <f>VTLGTTKcamket!E22</f>
        <v>10000</v>
      </c>
      <c r="E19" s="358">
        <f t="shared" si="6"/>
        <v>0</v>
      </c>
      <c r="F19" s="358">
        <f t="shared" si="2"/>
        <v>10000</v>
      </c>
      <c r="G19" s="358">
        <f ca="1">IF(IFERROR(--TRIM(C19),0)=0,0,_xlfn.AGGREGATE(9,6,VTLPhi20nam!E19:AG19))</f>
        <v>10469</v>
      </c>
      <c r="H19" s="358">
        <f t="shared" si="9"/>
        <v>0</v>
      </c>
      <c r="I19" s="358">
        <f t="shared" si="10"/>
        <v>0</v>
      </c>
      <c r="J19" s="358">
        <f t="shared" si="4"/>
        <v>0</v>
      </c>
      <c r="K19" s="358">
        <f t="shared" si="0"/>
        <v>10000</v>
      </c>
      <c r="L19" s="358">
        <f t="shared" si="1"/>
        <v>0</v>
      </c>
      <c r="M19" s="358">
        <f t="shared" si="5"/>
        <v>10000</v>
      </c>
      <c r="N19" s="358">
        <f ca="1">VLOOKUP(B19,VTL20namcamket!B19:O258,13,0)</f>
        <v>720</v>
      </c>
      <c r="O19" s="358">
        <f ca="1">VLOOKUP(B19,VTL20namcamket!B19:Q273,15,0)</f>
        <v>3339.2292437588308</v>
      </c>
      <c r="P19" s="358">
        <f ca="1">VLOOKUP(VTLPhi!B19,VTL20namMH!B19:O258,13,0)</f>
        <v>3203.402947981956</v>
      </c>
    </row>
    <row r="20" spans="2:16" ht="12.75" customHeight="1">
      <c r="B20" s="356">
        <v>17</v>
      </c>
      <c r="C20" s="356">
        <f>VTLGTTKcamket!C23</f>
        <v>17</v>
      </c>
      <c r="D20" s="357">
        <f>VTLGTTKcamket!E23</f>
        <v>10000</v>
      </c>
      <c r="E20" s="358">
        <f t="shared" si="6"/>
        <v>0</v>
      </c>
      <c r="F20" s="358">
        <f t="shared" si="2"/>
        <v>10000</v>
      </c>
      <c r="G20" s="358">
        <f ca="1">IF(IFERROR(--TRIM(C20),0)=0,0,_xlfn.AGGREGATE(9,6,VTLPhi20nam!E20:AG20))</f>
        <v>10469</v>
      </c>
      <c r="H20" s="358">
        <f t="shared" si="9"/>
        <v>0</v>
      </c>
      <c r="I20" s="358">
        <f t="shared" si="10"/>
        <v>0</v>
      </c>
      <c r="J20" s="358">
        <f t="shared" si="4"/>
        <v>0</v>
      </c>
      <c r="K20" s="358">
        <f t="shared" si="0"/>
        <v>10000</v>
      </c>
      <c r="L20" s="358">
        <f t="shared" si="1"/>
        <v>0</v>
      </c>
      <c r="M20" s="358">
        <f t="shared" si="5"/>
        <v>10000</v>
      </c>
      <c r="N20" s="358">
        <f ca="1">VLOOKUP(B20,VTL20namcamket!B20:O259,13,0)</f>
        <v>720</v>
      </c>
      <c r="O20" s="358">
        <f ca="1">VLOOKUP(B20,VTL20namcamket!B20:Q274,15,0)</f>
        <v>3587.0011239190999</v>
      </c>
      <c r="P20" s="358">
        <f ca="1">VLOOKUP(VTLPhi!B20,VTL20namMH!B20:O259,13,0)</f>
        <v>3412.4183355873297</v>
      </c>
    </row>
    <row r="21" spans="2:16" ht="12.75" customHeight="1">
      <c r="B21" s="356">
        <v>18</v>
      </c>
      <c r="C21" s="356">
        <f>VTLGTTKcamket!C24</f>
        <v>18</v>
      </c>
      <c r="D21" s="357">
        <f>VTLGTTKcamket!E24</f>
        <v>10000</v>
      </c>
      <c r="E21" s="358">
        <f t="shared" si="6"/>
        <v>0</v>
      </c>
      <c r="F21" s="358">
        <f t="shared" si="2"/>
        <v>10000</v>
      </c>
      <c r="G21" s="358">
        <f ca="1">IF(IFERROR(--TRIM(C21),0)=0,0,_xlfn.AGGREGATE(9,6,VTLPhi20nam!E21:AG21))</f>
        <v>10469</v>
      </c>
      <c r="H21" s="358">
        <f t="shared" si="9"/>
        <v>0</v>
      </c>
      <c r="I21" s="358">
        <f t="shared" si="10"/>
        <v>0</v>
      </c>
      <c r="J21" s="358">
        <f t="shared" si="4"/>
        <v>0</v>
      </c>
      <c r="K21" s="358">
        <f t="shared" si="0"/>
        <v>10000</v>
      </c>
      <c r="L21" s="358">
        <f t="shared" si="1"/>
        <v>0</v>
      </c>
      <c r="M21" s="358">
        <f t="shared" si="5"/>
        <v>10000</v>
      </c>
      <c r="N21" s="358">
        <f ca="1">VLOOKUP(B21,VTL20namcamket!B21:O260,13,0)</f>
        <v>720</v>
      </c>
      <c r="O21" s="358">
        <f ca="1">VLOOKUP(B21,VTL20namcamket!B21:Q275,15,0)</f>
        <v>3845.4510479733262</v>
      </c>
      <c r="P21" s="358">
        <f ca="1">VLOOKUP(VTLPhi!B21,VTL20namMH!B21:O260,13,0)</f>
        <v>3624.3676221567271</v>
      </c>
    </row>
    <row r="22" spans="2:16" ht="12.75" customHeight="1">
      <c r="B22" s="356">
        <v>19</v>
      </c>
      <c r="C22" s="356">
        <f>VTLGTTKcamket!C25</f>
        <v>19</v>
      </c>
      <c r="D22" s="357">
        <f>VTLGTTKcamket!E25</f>
        <v>10000</v>
      </c>
      <c r="E22" s="358">
        <f t="shared" ref="E22:E23" si="11">E21</f>
        <v>0</v>
      </c>
      <c r="F22" s="358">
        <f t="shared" si="2"/>
        <v>10000</v>
      </c>
      <c r="G22" s="358">
        <f ca="1">IF(IFERROR(--TRIM(C22),0)=0,0,_xlfn.AGGREGATE(9,6,VTLPhi20nam!E22:AG22))</f>
        <v>10469</v>
      </c>
      <c r="H22" s="358">
        <f t="shared" si="9"/>
        <v>0</v>
      </c>
      <c r="I22" s="358">
        <f t="shared" si="10"/>
        <v>0</v>
      </c>
      <c r="J22" s="358">
        <f t="shared" si="4"/>
        <v>0</v>
      </c>
      <c r="K22" s="358">
        <f t="shared" si="0"/>
        <v>10000</v>
      </c>
      <c r="L22" s="358">
        <f t="shared" si="1"/>
        <v>0</v>
      </c>
      <c r="M22" s="358">
        <f t="shared" si="5"/>
        <v>10000</v>
      </c>
      <c r="N22" s="358">
        <f ca="1">VLOOKUP(B22,VTL20namcamket!B22:O261,13,0)</f>
        <v>720</v>
      </c>
      <c r="O22" s="358">
        <f ca="1">VLOOKUP(B22,VTL20namcamket!B22:Q276,15,0)</f>
        <v>4121.4577417600058</v>
      </c>
      <c r="P22" s="358">
        <f ca="1">VLOOKUP(VTLPhi!B22,VTL20namMH!B22:O261,13,0)</f>
        <v>3844.5661881768769</v>
      </c>
    </row>
    <row r="23" spans="2:16" ht="12.75" customHeight="1">
      <c r="B23" s="356">
        <v>20</v>
      </c>
      <c r="C23" s="356">
        <f>VTLGTTKcamket!C26</f>
        <v>20</v>
      </c>
      <c r="D23" s="357">
        <f>VTLGTTKcamket!E26</f>
        <v>10000</v>
      </c>
      <c r="E23" s="358">
        <f t="shared" si="11"/>
        <v>0</v>
      </c>
      <c r="F23" s="358">
        <f t="shared" si="2"/>
        <v>10000</v>
      </c>
      <c r="G23" s="358">
        <f ca="1">IF(IFERROR(--TRIM(C23),0)=0,0,_xlfn.AGGREGATE(9,6,VTLPhi20nam!E23:AG23))</f>
        <v>10469</v>
      </c>
      <c r="H23" s="358">
        <f t="shared" si="9"/>
        <v>0</v>
      </c>
      <c r="I23" s="358">
        <f t="shared" si="10"/>
        <v>0</v>
      </c>
      <c r="J23" s="358">
        <f t="shared" si="4"/>
        <v>0</v>
      </c>
      <c r="K23" s="358">
        <f t="shared" si="0"/>
        <v>10000</v>
      </c>
      <c r="L23" s="358">
        <f t="shared" si="1"/>
        <v>0</v>
      </c>
      <c r="M23" s="358">
        <f t="shared" si="5"/>
        <v>10000</v>
      </c>
      <c r="N23" s="358">
        <f ca="1">VLOOKUP(B23,VTL20namcamket!B23:O262,13,0)</f>
        <v>720</v>
      </c>
      <c r="O23" s="358">
        <f ca="1">VLOOKUP(B23,VTL20namcamket!B23:Q277,15,0)</f>
        <v>4428.6572593393776</v>
      </c>
      <c r="P23" s="358">
        <f ca="1">VLOOKUP(VTLPhi!B23,VTL20namMH!B23:O262,13,0)</f>
        <v>4084.1625921560267</v>
      </c>
    </row>
  </sheetData>
  <mergeCells count="9">
    <mergeCell ref="B1:O1"/>
    <mergeCell ref="B2:B3"/>
    <mergeCell ref="D2:F2"/>
    <mergeCell ref="H2:J2"/>
    <mergeCell ref="K2:M2"/>
    <mergeCell ref="O2:P2"/>
    <mergeCell ref="G2:G3"/>
    <mergeCell ref="N2:N3"/>
    <mergeCell ref="C2:C3"/>
  </mergeCells>
  <conditionalFormatting sqref="B4:P23">
    <cfRule type="expression" dxfId="218" priority="1">
      <formula>MOD(ROW(),2)&gt;0</formula>
    </cfRule>
    <cfRule type="expression" dxfId="217" priority="2">
      <formula>"mod(row(),2).0"</formula>
    </cfRule>
  </conditionalFormatting>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4F2714-54F7-49D6-83D4-B1F691C5E66D}">
  <dimension ref="A1:M74"/>
  <sheetViews>
    <sheetView showGridLines="0" zoomScaleNormal="100" zoomScaleSheetLayoutView="100" workbookViewId="0"/>
  </sheetViews>
  <sheetFormatPr defaultColWidth="9.296875" defaultRowHeight="14.5"/>
  <cols>
    <col min="1" max="1" width="3.296875" style="15" customWidth="1"/>
    <col min="2" max="2" width="10.19921875" style="15" customWidth="1"/>
    <col min="3" max="5" width="9.296875" style="15"/>
    <col min="6" max="6" width="7.19921875" style="15" customWidth="1"/>
    <col min="7" max="8" width="14" style="15" customWidth="1"/>
    <col min="9" max="11" width="11" style="15" customWidth="1"/>
    <col min="12" max="16384" width="9.296875" style="15"/>
  </cols>
  <sheetData>
    <row r="1" spans="1:11" ht="3" customHeight="1">
      <c r="A1"/>
    </row>
    <row r="2" spans="1:11" ht="21.75" customHeight="1">
      <c r="B2" s="976" t="s">
        <v>104</v>
      </c>
      <c r="C2" s="976"/>
      <c r="D2" s="976"/>
      <c r="E2" s="976"/>
      <c r="F2" s="976"/>
      <c r="G2" s="976"/>
      <c r="H2" s="976"/>
      <c r="I2" s="976"/>
      <c r="J2" s="976"/>
      <c r="K2" s="976"/>
    </row>
    <row r="3" spans="1:11" ht="3" customHeight="1"/>
    <row r="4" spans="1:11" ht="13.5" customHeight="1">
      <c r="B4" s="977" t="s">
        <v>105</v>
      </c>
      <c r="C4" s="977"/>
      <c r="D4" s="977"/>
      <c r="E4" s="977"/>
      <c r="F4" s="977"/>
      <c r="G4" s="977"/>
      <c r="H4" s="977"/>
      <c r="I4" s="977"/>
      <c r="J4" s="978">
        <f ca="1">TODAY()</f>
        <v>46229</v>
      </c>
      <c r="K4" s="978"/>
    </row>
    <row r="5" spans="1:11" s="46" customFormat="1" ht="12.75" customHeight="1">
      <c r="B5" s="45" t="s">
        <v>15</v>
      </c>
      <c r="C5" s="45"/>
      <c r="D5" s="979" t="str">
        <f>Start!A3</f>
        <v>Phạm Quang Hà</v>
      </c>
      <c r="E5" s="979"/>
      <c r="F5" s="45" t="s">
        <v>124</v>
      </c>
      <c r="G5" s="508" t="str">
        <f>Start!B3</f>
        <v>101012337</v>
      </c>
      <c r="H5" s="45" t="s">
        <v>19</v>
      </c>
      <c r="I5" s="509" t="str">
        <f>Start!C3</f>
        <v>0981984554</v>
      </c>
      <c r="J5" s="980" t="str">
        <f>Start!D3</f>
        <v>quangha1659@gmail.com</v>
      </c>
      <c r="K5" s="980"/>
    </row>
    <row r="6" spans="1:11" ht="3" customHeight="1">
      <c r="B6" s="22"/>
      <c r="C6" s="22"/>
      <c r="D6" s="22"/>
      <c r="E6" s="22"/>
      <c r="F6" s="22"/>
      <c r="G6" s="22"/>
      <c r="H6" s="22"/>
      <c r="I6" s="22"/>
      <c r="J6" s="22"/>
      <c r="K6" s="22"/>
    </row>
    <row r="7" spans="1:11" ht="18" customHeight="1">
      <c r="B7" s="975" t="s">
        <v>106</v>
      </c>
      <c r="C7" s="975"/>
      <c r="D7" s="975"/>
      <c r="E7" s="975"/>
      <c r="F7" s="975"/>
      <c r="G7" s="975"/>
      <c r="H7" s="975"/>
      <c r="I7" s="975"/>
      <c r="J7" s="975"/>
      <c r="K7" s="975"/>
    </row>
    <row r="8" spans="1:11" ht="1.5" customHeight="1"/>
    <row r="9" spans="1:11" s="17" customFormat="1" ht="14.25" customHeight="1">
      <c r="B9" s="23" t="s">
        <v>27</v>
      </c>
      <c r="C9" s="23"/>
      <c r="D9" s="23"/>
      <c r="E9" s="23"/>
      <c r="F9" s="23"/>
      <c r="G9" s="23"/>
      <c r="H9" s="23"/>
      <c r="I9" s="23"/>
      <c r="J9" s="23"/>
      <c r="K9" s="530">
        <f>'Hoach dinh tai chinh'!J10</f>
        <v>0</v>
      </c>
    </row>
    <row r="10" spans="1:11" s="17" customFormat="1" ht="18.75" customHeight="1">
      <c r="B10" s="24" t="s">
        <v>28</v>
      </c>
      <c r="C10" s="24"/>
      <c r="D10" s="24"/>
      <c r="E10" s="24"/>
      <c r="F10" s="24"/>
      <c r="G10" s="24"/>
      <c r="H10" s="24"/>
      <c r="I10" s="24"/>
      <c r="J10" s="24"/>
      <c r="K10" s="531">
        <f>'Hoach dinh tai chinh'!J11</f>
        <v>0</v>
      </c>
    </row>
    <row r="11" spans="1:11" s="17" customFormat="1" ht="18.75" customHeight="1">
      <c r="B11" s="25" t="s">
        <v>29</v>
      </c>
      <c r="C11" s="25"/>
      <c r="D11" s="25"/>
      <c r="E11" s="25"/>
      <c r="F11" s="25"/>
      <c r="G11" s="25"/>
      <c r="H11" s="25"/>
      <c r="I11" s="25"/>
      <c r="J11" s="25"/>
      <c r="K11" s="532">
        <f>'Hoach dinh tai chinh'!J12</f>
        <v>0</v>
      </c>
    </row>
    <row r="12" spans="1:11" s="17" customFormat="1" ht="18.75" customHeight="1">
      <c r="B12" s="24" t="s">
        <v>30</v>
      </c>
      <c r="C12" s="24"/>
      <c r="D12" s="24"/>
      <c r="E12" s="24"/>
      <c r="F12" s="24"/>
      <c r="G12" s="24"/>
      <c r="H12" s="24"/>
      <c r="I12" s="24"/>
      <c r="J12" s="24"/>
      <c r="K12" s="531">
        <f>'Hoach dinh tai chinh'!J13</f>
        <v>0</v>
      </c>
    </row>
    <row r="13" spans="1:11" s="17" customFormat="1" ht="18.75" customHeight="1">
      <c r="B13" s="25" t="s">
        <v>31</v>
      </c>
      <c r="C13" s="25"/>
      <c r="D13" s="25"/>
      <c r="E13" s="25"/>
      <c r="F13" s="25"/>
      <c r="G13" s="25"/>
      <c r="H13" s="25"/>
      <c r="I13" s="25"/>
      <c r="J13" s="25"/>
      <c r="K13" s="532">
        <f>'Hoach dinh tai chinh'!J14</f>
        <v>0</v>
      </c>
    </row>
    <row r="14" spans="1:11" ht="1.5" customHeight="1"/>
    <row r="15" spans="1:11" ht="19.5" customHeight="1">
      <c r="B15" s="976" t="s">
        <v>107</v>
      </c>
      <c r="C15" s="976"/>
      <c r="D15" s="976"/>
      <c r="E15" s="976"/>
      <c r="F15" s="976"/>
      <c r="G15" s="976"/>
      <c r="H15" s="976"/>
      <c r="I15" s="976"/>
      <c r="J15" s="976"/>
      <c r="K15" s="976"/>
    </row>
    <row r="16" spans="1:11" ht="12.75" customHeight="1">
      <c r="B16" s="981" t="s">
        <v>108</v>
      </c>
      <c r="C16" s="981"/>
      <c r="D16" s="981"/>
      <c r="E16" s="981"/>
      <c r="F16" s="981"/>
      <c r="G16" s="981"/>
      <c r="H16" s="981"/>
      <c r="I16" s="981"/>
      <c r="J16" s="981"/>
      <c r="K16" s="981"/>
    </row>
    <row r="17" spans="2:13" ht="3" hidden="1" customHeight="1">
      <c r="F17" s="16"/>
      <c r="G17" s="16"/>
      <c r="H17" s="16"/>
      <c r="I17" s="16"/>
      <c r="J17" s="16"/>
      <c r="K17" s="16"/>
    </row>
    <row r="18" spans="2:13" ht="16.5" customHeight="1">
      <c r="B18" s="982" t="s">
        <v>109</v>
      </c>
      <c r="C18" s="982"/>
      <c r="D18" s="982"/>
      <c r="E18" s="982"/>
      <c r="F18" s="982"/>
      <c r="G18" s="982"/>
      <c r="H18" s="982"/>
      <c r="I18" s="982"/>
      <c r="J18" s="982"/>
      <c r="K18" s="982"/>
    </row>
    <row r="19" spans="2:13" s="17" customFormat="1" ht="14.25" customHeight="1">
      <c r="B19" s="26" t="s">
        <v>38</v>
      </c>
      <c r="C19" s="26"/>
      <c r="D19" s="26"/>
      <c r="E19" s="26"/>
      <c r="F19" s="26"/>
      <c r="G19" s="983">
        <f>BVTC!C5</f>
        <v>600000000</v>
      </c>
      <c r="H19" s="983"/>
      <c r="I19" s="983"/>
      <c r="J19" s="983"/>
      <c r="K19" s="983"/>
    </row>
    <row r="20" spans="2:13" s="17" customFormat="1" ht="14.25" customHeight="1">
      <c r="B20" s="27" t="s">
        <v>110</v>
      </c>
      <c r="C20" s="27"/>
      <c r="D20" s="27"/>
      <c r="E20" s="27"/>
      <c r="F20" s="27"/>
      <c r="G20" s="984">
        <f>BVTC!C6</f>
        <v>1</v>
      </c>
      <c r="H20" s="984"/>
      <c r="I20" s="984"/>
      <c r="J20" s="984"/>
      <c r="K20" s="984"/>
    </row>
    <row r="21" spans="2:13" s="17" customFormat="1" ht="14.25" customHeight="1">
      <c r="B21" s="26" t="s">
        <v>41</v>
      </c>
      <c r="C21" s="26"/>
      <c r="D21" s="26"/>
      <c r="E21" s="26"/>
      <c r="F21" s="26"/>
      <c r="G21" s="986">
        <f>BVTC!C7</f>
        <v>600000000</v>
      </c>
      <c r="H21" s="986"/>
      <c r="I21" s="986"/>
      <c r="J21" s="986"/>
      <c r="K21" s="986"/>
      <c r="M21" s="28"/>
    </row>
    <row r="22" spans="2:13" s="17" customFormat="1" ht="14.25" customHeight="1">
      <c r="B22" s="27" t="s">
        <v>111</v>
      </c>
      <c r="C22" s="27"/>
      <c r="D22" s="27"/>
      <c r="E22" s="27"/>
      <c r="F22" s="27"/>
      <c r="G22" s="987">
        <f>BVTC!C9</f>
        <v>0</v>
      </c>
      <c r="H22" s="987"/>
      <c r="I22" s="987"/>
      <c r="J22" s="987"/>
      <c r="K22" s="987"/>
    </row>
    <row r="23" spans="2:13" s="17" customFormat="1" ht="14.25" customHeight="1">
      <c r="B23" s="26" t="s">
        <v>112</v>
      </c>
      <c r="C23" s="26"/>
      <c r="D23" s="26"/>
      <c r="E23" s="26"/>
      <c r="F23" s="26"/>
      <c r="G23" s="986">
        <f>BVTC!C10</f>
        <v>1000000000</v>
      </c>
      <c r="H23" s="986"/>
      <c r="I23" s="986"/>
      <c r="J23" s="986"/>
      <c r="K23" s="986"/>
    </row>
    <row r="24" spans="2:13" s="17" customFormat="1" ht="14.25" customHeight="1">
      <c r="B24" s="27" t="s">
        <v>113</v>
      </c>
      <c r="C24" s="27"/>
      <c r="D24" s="27"/>
      <c r="E24" s="27"/>
      <c r="F24" s="27"/>
      <c r="G24" s="987">
        <f>BVTC!C11</f>
        <v>0</v>
      </c>
      <c r="H24" s="987"/>
      <c r="I24" s="987"/>
      <c r="J24" s="987"/>
      <c r="K24" s="987"/>
    </row>
    <row r="25" spans="2:13" s="17" customFormat="1" ht="14.25" customHeight="1">
      <c r="B25" s="26" t="s">
        <v>114</v>
      </c>
      <c r="C25" s="26"/>
      <c r="D25" s="26"/>
      <c r="E25" s="26"/>
      <c r="F25" s="26"/>
      <c r="G25" s="988">
        <f>BVTC!C18</f>
        <v>0.03</v>
      </c>
      <c r="H25" s="988"/>
      <c r="I25" s="988"/>
      <c r="J25" s="988"/>
      <c r="K25" s="988"/>
    </row>
    <row r="26" spans="2:13" s="17" customFormat="1" ht="14.25" customHeight="1">
      <c r="B26" s="27" t="s">
        <v>115</v>
      </c>
      <c r="C26" s="27"/>
      <c r="D26" s="27"/>
      <c r="E26" s="27"/>
      <c r="F26" s="27"/>
      <c r="G26" s="984">
        <f>BVTC!C19</f>
        <v>0.05</v>
      </c>
      <c r="H26" s="984"/>
      <c r="I26" s="984"/>
      <c r="J26" s="984"/>
      <c r="K26" s="984"/>
    </row>
    <row r="27" spans="2:13" ht="17.25" customHeight="1">
      <c r="B27" s="202" t="s">
        <v>116</v>
      </c>
      <c r="C27" s="203"/>
      <c r="D27" s="203"/>
      <c r="E27" s="203"/>
      <c r="F27" s="203"/>
      <c r="G27" s="989">
        <f>BVTC!C23</f>
        <v>6517731031</v>
      </c>
      <c r="H27" s="989"/>
      <c r="I27" s="989"/>
      <c r="J27" s="989"/>
      <c r="K27" s="989"/>
    </row>
    <row r="28" spans="2:13" ht="4.5" customHeight="1">
      <c r="B28" s="990"/>
      <c r="C28" s="990"/>
      <c r="D28" s="990"/>
      <c r="E28" s="990"/>
      <c r="F28" s="990"/>
      <c r="G28" s="990"/>
      <c r="H28" s="990"/>
      <c r="I28" s="990"/>
      <c r="J28" s="990"/>
      <c r="K28" s="990"/>
    </row>
    <row r="29" spans="2:13" ht="16.5" customHeight="1">
      <c r="B29" s="982" t="s">
        <v>117</v>
      </c>
      <c r="C29" s="982"/>
      <c r="D29" s="982"/>
      <c r="E29" s="982"/>
      <c r="F29" s="982"/>
      <c r="G29" s="982"/>
      <c r="H29" s="982"/>
      <c r="I29" s="982"/>
      <c r="J29" s="982"/>
      <c r="K29" s="982"/>
    </row>
    <row r="30" spans="2:13" ht="13.5" customHeight="1">
      <c r="B30" s="991" t="s">
        <v>118</v>
      </c>
      <c r="C30" s="991"/>
      <c r="D30" s="991"/>
      <c r="E30" s="991"/>
      <c r="F30" s="991"/>
      <c r="G30" s="29" t="s">
        <v>57</v>
      </c>
      <c r="H30" s="29" t="s">
        <v>73</v>
      </c>
      <c r="I30" s="29" t="s">
        <v>74</v>
      </c>
      <c r="J30" s="29" t="s">
        <v>75</v>
      </c>
      <c r="K30" s="29" t="s">
        <v>76</v>
      </c>
    </row>
    <row r="31" spans="2:13" s="17" customFormat="1" ht="16.5" customHeight="1">
      <c r="B31" s="30" t="s">
        <v>869</v>
      </c>
      <c r="C31" s="30"/>
      <c r="D31" s="30"/>
      <c r="E31" s="30"/>
      <c r="F31" s="30"/>
      <c r="G31" s="31">
        <f>Giaoduc!C5</f>
        <v>0</v>
      </c>
      <c r="H31" s="31">
        <f>Giaoduc!C24</f>
        <v>0</v>
      </c>
      <c r="I31" s="31">
        <f>Giaoduc!C43</f>
        <v>0</v>
      </c>
      <c r="J31" s="31">
        <f>Giaoduc!C62</f>
        <v>0</v>
      </c>
      <c r="K31" s="31">
        <f>Giaoduc!C81</f>
        <v>0</v>
      </c>
    </row>
    <row r="32" spans="2:13" s="17" customFormat="1" ht="16.5" customHeight="1">
      <c r="B32" s="32" t="s">
        <v>870</v>
      </c>
      <c r="C32" s="32"/>
      <c r="D32" s="32"/>
      <c r="E32" s="32"/>
      <c r="F32" s="32"/>
      <c r="G32" s="33">
        <f>Giaoduc!C6</f>
        <v>0</v>
      </c>
      <c r="H32" s="33">
        <f>Giaoduc!C25</f>
        <v>0</v>
      </c>
      <c r="I32" s="33">
        <f>Giaoduc!C44</f>
        <v>0</v>
      </c>
      <c r="J32" s="33">
        <f>Giaoduc!C63</f>
        <v>0</v>
      </c>
      <c r="K32" s="33">
        <f>Giaoduc!C82</f>
        <v>0</v>
      </c>
    </row>
    <row r="33" spans="2:11" s="17" customFormat="1" ht="16.5" customHeight="1">
      <c r="B33" s="30" t="s">
        <v>60</v>
      </c>
      <c r="C33" s="30"/>
      <c r="D33" s="30"/>
      <c r="E33" s="30"/>
      <c r="F33" s="30"/>
      <c r="G33" s="34">
        <f>Giaoduc!C7</f>
        <v>14</v>
      </c>
      <c r="H33" s="34">
        <f>Giaoduc!C26</f>
        <v>16</v>
      </c>
      <c r="I33" s="34">
        <f>Giaoduc!C45</f>
        <v>9</v>
      </c>
      <c r="J33" s="34">
        <f>Giaoduc!C64</f>
        <v>18</v>
      </c>
      <c r="K33" s="34">
        <f>Giaoduc!C83</f>
        <v>18</v>
      </c>
    </row>
    <row r="34" spans="2:11" s="17" customFormat="1" ht="16.5" customHeight="1">
      <c r="B34" s="32" t="s">
        <v>62</v>
      </c>
      <c r="C34" s="32"/>
      <c r="D34" s="32"/>
      <c r="E34" s="32"/>
      <c r="F34" s="32"/>
      <c r="G34" s="33">
        <f>Giaoduc!C8</f>
        <v>4</v>
      </c>
      <c r="H34" s="33">
        <f>Giaoduc!C27</f>
        <v>2</v>
      </c>
      <c r="I34" s="35">
        <f>Giaoduc!C46</f>
        <v>9</v>
      </c>
      <c r="J34" s="33">
        <f>Giaoduc!C65</f>
        <v>0</v>
      </c>
      <c r="K34" s="33">
        <f>Giaoduc!C84</f>
        <v>0</v>
      </c>
    </row>
    <row r="35" spans="2:11" s="17" customFormat="1" ht="16.5" customHeight="1">
      <c r="B35" s="30" t="s">
        <v>64</v>
      </c>
      <c r="C35" s="30"/>
      <c r="D35" s="30"/>
      <c r="E35" s="30"/>
      <c r="F35" s="30"/>
      <c r="G35" s="31">
        <f>Giaoduc!C9</f>
        <v>18</v>
      </c>
      <c r="H35" s="31">
        <f>Giaoduc!C28</f>
        <v>18</v>
      </c>
      <c r="I35" s="31">
        <f>Giaoduc!C47</f>
        <v>18</v>
      </c>
      <c r="J35" s="31">
        <f>Giaoduc!C66</f>
        <v>18</v>
      </c>
      <c r="K35" s="31">
        <f>Giaoduc!C85</f>
        <v>18</v>
      </c>
    </row>
    <row r="36" spans="2:11" s="17" customFormat="1" ht="16.5" customHeight="1">
      <c r="B36" s="32" t="s">
        <v>871</v>
      </c>
      <c r="C36" s="32"/>
      <c r="D36" s="32"/>
      <c r="E36" s="32"/>
      <c r="F36" s="32"/>
      <c r="G36" s="33">
        <f>Giaoduc!C10</f>
        <v>4</v>
      </c>
      <c r="H36" s="33">
        <f>Giaoduc!C29</f>
        <v>4</v>
      </c>
      <c r="I36" s="33">
        <f>Giaoduc!C48</f>
        <v>4</v>
      </c>
      <c r="J36" s="33">
        <f>Giaoduc!C67</f>
        <v>4</v>
      </c>
      <c r="K36" s="33">
        <f>Giaoduc!C86</f>
        <v>4</v>
      </c>
    </row>
    <row r="37" spans="2:11" s="17" customFormat="1" ht="16.5" customHeight="1">
      <c r="B37" s="30" t="s">
        <v>65</v>
      </c>
      <c r="C37" s="30"/>
      <c r="D37" s="30"/>
      <c r="E37" s="30"/>
      <c r="F37" s="30"/>
      <c r="G37" s="31">
        <f>Giaoduc!C11</f>
        <v>50000000</v>
      </c>
      <c r="H37" s="31">
        <f>Giaoduc!C30</f>
        <v>0</v>
      </c>
      <c r="I37" s="31">
        <f>Giaoduc!C49</f>
        <v>0</v>
      </c>
      <c r="J37" s="31">
        <f>Giaoduc!C68</f>
        <v>0</v>
      </c>
      <c r="K37" s="31">
        <f>Giaoduc!C87</f>
        <v>0</v>
      </c>
    </row>
    <row r="38" spans="2:11" s="17" customFormat="1" ht="16.5" customHeight="1">
      <c r="B38" s="32" t="s">
        <v>872</v>
      </c>
      <c r="C38" s="32"/>
      <c r="D38" s="32"/>
      <c r="E38" s="32"/>
      <c r="F38" s="32"/>
      <c r="G38" s="36">
        <f>Giaoduc!C12</f>
        <v>0.06</v>
      </c>
      <c r="H38" s="36">
        <f>Giaoduc!C31</f>
        <v>0.06</v>
      </c>
      <c r="I38" s="36">
        <f>Giaoduc!C50</f>
        <v>0.06</v>
      </c>
      <c r="J38" s="36">
        <f>Giaoduc!C69</f>
        <v>0.06</v>
      </c>
      <c r="K38" s="36">
        <f>Giaoduc!C88</f>
        <v>0.06</v>
      </c>
    </row>
    <row r="39" spans="2:11" s="17" customFormat="1" ht="16.5" customHeight="1">
      <c r="B39" s="30" t="s">
        <v>873</v>
      </c>
      <c r="C39" s="37"/>
      <c r="D39" s="37"/>
      <c r="E39" s="37"/>
      <c r="F39" s="37"/>
      <c r="G39" s="38">
        <f>Giaoduc!C13</f>
        <v>0.05</v>
      </c>
      <c r="H39" s="38">
        <f>Giaoduc!C32</f>
        <v>0.05</v>
      </c>
      <c r="I39" s="38">
        <f>Giaoduc!C51</f>
        <v>0.05</v>
      </c>
      <c r="J39" s="38">
        <f>Giaoduc!C70</f>
        <v>0.05</v>
      </c>
      <c r="K39" s="38">
        <f>Giaoduc!C89</f>
        <v>0.05</v>
      </c>
    </row>
    <row r="40" spans="2:11" s="17" customFormat="1" ht="16.5" customHeight="1">
      <c r="B40" s="39" t="s">
        <v>119</v>
      </c>
      <c r="C40" s="39"/>
      <c r="D40" s="39"/>
      <c r="E40" s="39"/>
      <c r="F40" s="39"/>
      <c r="G40" s="562">
        <f>Giaoduc!C19</f>
        <v>458681629</v>
      </c>
      <c r="H40" s="534">
        <f>Giaoduc!C38</f>
        <v>0</v>
      </c>
      <c r="I40" s="534">
        <f>Giaoduc!C57</f>
        <v>0</v>
      </c>
      <c r="J40" s="534">
        <f>Giaoduc!C76</f>
        <v>0</v>
      </c>
      <c r="K40" s="534">
        <f>Giaoduc!C95</f>
        <v>0</v>
      </c>
    </row>
    <row r="41" spans="2:11" s="17" customFormat="1" ht="18" customHeight="1">
      <c r="B41" s="204" t="s">
        <v>72</v>
      </c>
      <c r="C41" s="203"/>
      <c r="D41" s="203"/>
      <c r="E41" s="203"/>
      <c r="F41" s="203"/>
      <c r="G41" s="205">
        <f>Giaoduc!C20</f>
        <v>1899258.2820022339</v>
      </c>
      <c r="H41" s="533">
        <f>Giaoduc!C39</f>
        <v>0</v>
      </c>
      <c r="I41" s="533">
        <f>Giaoduc!C58</f>
        <v>0</v>
      </c>
      <c r="J41" s="533">
        <f>Giaoduc!C77</f>
        <v>0</v>
      </c>
      <c r="K41" s="533">
        <f>Giaoduc!C96</f>
        <v>0</v>
      </c>
    </row>
    <row r="42" spans="2:11" ht="3.75" customHeight="1"/>
    <row r="43" spans="2:11" ht="16.5" customHeight="1">
      <c r="B43" s="982" t="s">
        <v>120</v>
      </c>
      <c r="C43" s="982"/>
      <c r="D43" s="982"/>
      <c r="E43" s="982"/>
      <c r="F43" s="982"/>
      <c r="G43" s="982"/>
      <c r="H43" s="982"/>
      <c r="I43" s="982"/>
      <c r="J43" s="982"/>
      <c r="K43" s="982"/>
    </row>
    <row r="44" spans="2:11" s="17" customFormat="1" ht="14.25" customHeight="1">
      <c r="B44" s="410" t="s">
        <v>79</v>
      </c>
      <c r="C44" s="410"/>
      <c r="D44" s="410"/>
      <c r="E44" s="410"/>
      <c r="F44" s="410"/>
      <c r="G44" s="985">
        <f ca="1">'Huu Tri'!C5</f>
        <v>30</v>
      </c>
      <c r="H44" s="985"/>
      <c r="I44" s="985"/>
      <c r="J44" s="985"/>
      <c r="K44" s="985"/>
    </row>
    <row r="45" spans="2:11" s="17" customFormat="1" ht="14.25" customHeight="1">
      <c r="B45" s="411" t="s">
        <v>80</v>
      </c>
      <c r="C45" s="411"/>
      <c r="D45" s="411"/>
      <c r="E45" s="411"/>
      <c r="F45" s="411"/>
      <c r="G45" s="992">
        <f>'Huu Tri'!C6</f>
        <v>60</v>
      </c>
      <c r="H45" s="992"/>
      <c r="I45" s="992"/>
      <c r="J45" s="992"/>
      <c r="K45" s="992"/>
    </row>
    <row r="46" spans="2:11" s="17" customFormat="1" ht="14.25" customHeight="1">
      <c r="B46" s="410" t="s">
        <v>874</v>
      </c>
      <c r="C46" s="410"/>
      <c r="D46" s="410"/>
      <c r="E46" s="410"/>
      <c r="F46" s="410"/>
      <c r="G46" s="985">
        <f>'Huu Tri'!C7</f>
        <v>20</v>
      </c>
      <c r="H46" s="985"/>
      <c r="I46" s="985"/>
      <c r="J46" s="985"/>
      <c r="K46" s="985"/>
    </row>
    <row r="47" spans="2:11" s="17" customFormat="1" ht="14.25" customHeight="1">
      <c r="B47" s="411" t="s">
        <v>875</v>
      </c>
      <c r="C47" s="411"/>
      <c r="D47" s="411"/>
      <c r="E47" s="411"/>
      <c r="F47" s="411"/>
      <c r="G47" s="992">
        <f>'Huu Tri'!C8</f>
        <v>15000000</v>
      </c>
      <c r="H47" s="992"/>
      <c r="I47" s="992"/>
      <c r="J47" s="992"/>
      <c r="K47" s="992"/>
    </row>
    <row r="48" spans="2:11" s="17" customFormat="1" ht="14.25" customHeight="1">
      <c r="B48" s="410" t="s">
        <v>81</v>
      </c>
      <c r="C48" s="410"/>
      <c r="D48" s="410"/>
      <c r="E48" s="410"/>
      <c r="F48" s="410"/>
      <c r="G48" s="985">
        <f>'Huu Tri'!C9</f>
        <v>0</v>
      </c>
      <c r="H48" s="985"/>
      <c r="I48" s="985"/>
      <c r="J48" s="985"/>
      <c r="K48" s="985"/>
    </row>
    <row r="49" spans="2:11" s="17" customFormat="1" ht="14.25" customHeight="1">
      <c r="B49" s="411" t="s">
        <v>82</v>
      </c>
      <c r="C49" s="411"/>
      <c r="D49" s="411"/>
      <c r="E49" s="411"/>
      <c r="F49" s="411"/>
      <c r="G49" s="992">
        <f>'Huu Tri'!C10</f>
        <v>0</v>
      </c>
      <c r="H49" s="992"/>
      <c r="I49" s="992"/>
      <c r="J49" s="992"/>
      <c r="K49" s="992"/>
    </row>
    <row r="50" spans="2:11" s="17" customFormat="1" ht="14.25" customHeight="1">
      <c r="B50" s="410" t="s">
        <v>84</v>
      </c>
      <c r="C50" s="410"/>
      <c r="D50" s="410"/>
      <c r="E50" s="410"/>
      <c r="F50" s="410"/>
      <c r="G50" s="993">
        <f>'Huu Tri'!C12</f>
        <v>0.03</v>
      </c>
      <c r="H50" s="993"/>
      <c r="I50" s="993"/>
      <c r="J50" s="993"/>
      <c r="K50" s="993"/>
    </row>
    <row r="51" spans="2:11" s="17" customFormat="1" ht="14.25" customHeight="1">
      <c r="B51" s="411" t="s">
        <v>876</v>
      </c>
      <c r="C51" s="411"/>
      <c r="D51" s="411"/>
      <c r="E51" s="411"/>
      <c r="F51" s="411"/>
      <c r="G51" s="994">
        <f>'Huu Tri'!C13</f>
        <v>0.08</v>
      </c>
      <c r="H51" s="994"/>
      <c r="I51" s="994"/>
      <c r="J51" s="994"/>
      <c r="K51" s="994"/>
    </row>
    <row r="52" spans="2:11" s="17" customFormat="1" ht="14.25" customHeight="1">
      <c r="B52" s="412" t="s">
        <v>121</v>
      </c>
      <c r="C52" s="412"/>
      <c r="D52" s="412"/>
      <c r="E52" s="412"/>
      <c r="F52" s="412"/>
      <c r="G52" s="985">
        <f ca="1">'Huu Tri'!C19</f>
        <v>5780302407</v>
      </c>
      <c r="H52" s="985"/>
      <c r="I52" s="985"/>
      <c r="J52" s="985"/>
      <c r="K52" s="985"/>
    </row>
    <row r="53" spans="2:11" ht="23.25" customHeight="1">
      <c r="B53" s="206" t="s">
        <v>91</v>
      </c>
      <c r="C53" s="206"/>
      <c r="D53" s="206"/>
      <c r="E53" s="206"/>
      <c r="F53" s="206"/>
      <c r="G53" s="995">
        <f ca="1">'Huu Tri'!C22</f>
        <v>4077488.9987640004</v>
      </c>
      <c r="H53" s="995"/>
      <c r="I53" s="995"/>
      <c r="J53" s="995"/>
      <c r="K53" s="995"/>
    </row>
    <row r="54" spans="2:11" ht="5.25" customHeight="1">
      <c r="B54" s="42"/>
      <c r="C54" s="42"/>
      <c r="D54" s="42"/>
      <c r="E54" s="42"/>
      <c r="F54" s="42"/>
      <c r="G54" s="43"/>
      <c r="H54" s="43"/>
      <c r="I54" s="43"/>
      <c r="J54" s="43"/>
      <c r="K54" s="43"/>
    </row>
    <row r="55" spans="2:11" ht="12.75" customHeight="1">
      <c r="B55" s="990"/>
      <c r="C55" s="990"/>
      <c r="D55" s="990"/>
      <c r="E55" s="990"/>
      <c r="F55" s="990"/>
      <c r="G55" s="990"/>
      <c r="H55" s="990"/>
      <c r="I55" s="990"/>
      <c r="J55" s="990"/>
      <c r="K55" s="990"/>
    </row>
    <row r="56" spans="2:11" ht="20.25" customHeight="1">
      <c r="B56" s="982" t="s">
        <v>122</v>
      </c>
      <c r="C56" s="982"/>
      <c r="D56" s="982"/>
      <c r="E56" s="982"/>
      <c r="F56" s="982"/>
      <c r="G56" s="982"/>
      <c r="H56" s="982"/>
      <c r="I56" s="982"/>
      <c r="J56" s="982"/>
      <c r="K56" s="982"/>
    </row>
    <row r="57" spans="2:11" s="17" customFormat="1" ht="18" customHeight="1">
      <c r="B57" s="410" t="s">
        <v>877</v>
      </c>
      <c r="C57" s="410"/>
      <c r="D57" s="410"/>
      <c r="E57" s="410"/>
      <c r="F57" s="40"/>
      <c r="G57" s="985">
        <f>'Gia tang tai san'!C4</f>
        <v>1000000000</v>
      </c>
      <c r="H57" s="985"/>
      <c r="I57" s="985"/>
      <c r="J57" s="985"/>
      <c r="K57" s="985"/>
    </row>
    <row r="58" spans="2:11" s="17" customFormat="1" ht="18" customHeight="1">
      <c r="B58" s="411" t="s">
        <v>55</v>
      </c>
      <c r="C58" s="411"/>
      <c r="D58" s="411"/>
      <c r="E58" s="411"/>
      <c r="F58" s="41"/>
      <c r="G58" s="998">
        <f>'Gia tang tai san'!C5</f>
        <v>0</v>
      </c>
      <c r="H58" s="998"/>
      <c r="I58" s="998"/>
      <c r="J58" s="998"/>
      <c r="K58" s="998"/>
    </row>
    <row r="59" spans="2:11" s="17" customFormat="1" ht="18" customHeight="1">
      <c r="B59" s="410" t="s">
        <v>94</v>
      </c>
      <c r="C59" s="410"/>
      <c r="D59" s="410"/>
      <c r="E59" s="410"/>
      <c r="F59" s="40"/>
      <c r="G59" s="999">
        <f>'Gia tang tai san'!C6</f>
        <v>0</v>
      </c>
      <c r="H59" s="999"/>
      <c r="I59" s="999"/>
      <c r="J59" s="999"/>
      <c r="K59" s="999"/>
    </row>
    <row r="60" spans="2:11" s="17" customFormat="1" ht="18" customHeight="1">
      <c r="B60" s="411" t="s">
        <v>878</v>
      </c>
      <c r="C60" s="411"/>
      <c r="D60" s="411"/>
      <c r="E60" s="411"/>
      <c r="F60" s="41"/>
      <c r="G60" s="992">
        <f>'Gia tang tai san'!C7</f>
        <v>5</v>
      </c>
      <c r="H60" s="992"/>
      <c r="I60" s="992"/>
      <c r="J60" s="992"/>
      <c r="K60" s="992"/>
    </row>
    <row r="61" spans="2:11" s="17" customFormat="1" ht="18" customHeight="1">
      <c r="B61" s="410" t="s">
        <v>84</v>
      </c>
      <c r="C61" s="410"/>
      <c r="D61" s="410"/>
      <c r="E61" s="410"/>
      <c r="F61" s="40"/>
      <c r="G61" s="993">
        <f>'Gia tang tai san'!C8</f>
        <v>0.03</v>
      </c>
      <c r="H61" s="993"/>
      <c r="I61" s="993"/>
      <c r="J61" s="993"/>
      <c r="K61" s="993"/>
    </row>
    <row r="62" spans="2:11" s="17" customFormat="1" ht="18" customHeight="1">
      <c r="B62" s="411" t="s">
        <v>876</v>
      </c>
      <c r="C62" s="411"/>
      <c r="D62" s="411"/>
      <c r="E62" s="411"/>
      <c r="F62" s="41"/>
      <c r="G62" s="994">
        <f>'Gia tang tai san'!C9</f>
        <v>0.08</v>
      </c>
      <c r="H62" s="994"/>
      <c r="I62" s="994"/>
      <c r="J62" s="994"/>
      <c r="K62" s="994"/>
    </row>
    <row r="63" spans="2:11" ht="18" customHeight="1">
      <c r="B63" s="1001" t="s">
        <v>72</v>
      </c>
      <c r="C63" s="1001"/>
      <c r="D63" s="1001"/>
      <c r="E63" s="1001"/>
      <c r="F63" s="1001"/>
      <c r="G63" s="1001"/>
      <c r="H63" s="1001"/>
      <c r="I63" s="1000">
        <f>'Gia tang tai san'!C19</f>
        <v>15330987.82980491</v>
      </c>
      <c r="J63" s="1000"/>
      <c r="K63" s="1000"/>
    </row>
    <row r="64" spans="2:11" ht="25.5" customHeight="1">
      <c r="B64" s="44"/>
      <c r="C64" s="44"/>
      <c r="D64" s="44"/>
      <c r="E64" s="44"/>
      <c r="F64" s="44"/>
      <c r="G64" s="44"/>
      <c r="H64" s="44"/>
      <c r="I64" s="44"/>
      <c r="J64" s="44"/>
      <c r="K64" s="44"/>
    </row>
    <row r="65" spans="2:11" ht="20.25" customHeight="1">
      <c r="B65" s="982" t="s">
        <v>123</v>
      </c>
      <c r="C65" s="982"/>
      <c r="D65" s="982"/>
      <c r="E65" s="982"/>
      <c r="F65" s="982"/>
      <c r="G65" s="982"/>
      <c r="H65" s="982"/>
      <c r="I65" s="982"/>
      <c r="J65" s="982"/>
      <c r="K65" s="982"/>
    </row>
    <row r="66" spans="2:11" ht="21" customHeight="1">
      <c r="B66" s="1003" t="str">
        <f>'Cham soc suc khoe'!B4</f>
        <v>Quỹ dự phòng khi không may mắc bệnh hiểm nghèo</v>
      </c>
      <c r="C66" s="1003"/>
      <c r="D66" s="1003"/>
      <c r="E66" s="1003"/>
      <c r="F66" s="1003"/>
      <c r="G66" s="1003"/>
      <c r="H66" s="1003"/>
      <c r="I66" s="61"/>
      <c r="J66" s="998">
        <f>'Cham soc suc khoe'!C4</f>
        <v>0</v>
      </c>
      <c r="K66" s="998"/>
    </row>
    <row r="67" spans="2:11" ht="21" customHeight="1">
      <c r="B67" s="1002" t="str">
        <f>'Cham soc suc khoe'!B5</f>
        <v>Quỹ dự phòng khi không may tai nạn</v>
      </c>
      <c r="C67" s="1002"/>
      <c r="D67" s="1002"/>
      <c r="E67" s="1002"/>
      <c r="F67" s="1002"/>
      <c r="G67" s="1002"/>
      <c r="H67" s="1002"/>
      <c r="I67" s="60"/>
      <c r="J67" s="999">
        <f>'Cham soc suc khoe'!C5</f>
        <v>0</v>
      </c>
      <c r="K67" s="999"/>
    </row>
    <row r="68" spans="2:11" ht="21" customHeight="1">
      <c r="B68" s="1003" t="str">
        <f>'Cham soc suc khoe'!B6</f>
        <v>Đã có thẻ sức khỏe rời ngoài bảo hiểm y tế Nhà nước?</v>
      </c>
      <c r="C68" s="1003"/>
      <c r="D68" s="1003"/>
      <c r="E68" s="1003"/>
      <c r="F68" s="1003"/>
      <c r="G68" s="1003"/>
      <c r="H68" s="1003"/>
      <c r="I68" s="61"/>
      <c r="J68" s="998">
        <f>'Cham soc suc khoe'!C6</f>
        <v>0</v>
      </c>
      <c r="K68" s="998"/>
    </row>
    <row r="69" spans="2:11" ht="21" customHeight="1">
      <c r="B69" s="1002" t="str">
        <f>'Cham soc suc khoe'!B7</f>
        <v>Quỹ dự phòng nếu không may phải nằm viện điều trị?</v>
      </c>
      <c r="C69" s="1002"/>
      <c r="D69" s="1002"/>
      <c r="E69" s="1002"/>
      <c r="F69" s="1002"/>
      <c r="G69" s="1002"/>
      <c r="H69" s="1002"/>
      <c r="I69" s="60"/>
      <c r="J69" s="999">
        <f>'Cham soc suc khoe'!C7</f>
        <v>0</v>
      </c>
      <c r="K69" s="999"/>
    </row>
    <row r="70" spans="2:11" ht="21" customHeight="1">
      <c r="B70" s="1003" t="str">
        <f>'Cham soc suc khoe'!B8</f>
        <v>Tiền phòng giường viện ưu tiên chọn lựa</v>
      </c>
      <c r="C70" s="1003"/>
      <c r="D70" s="1003"/>
      <c r="E70" s="1003"/>
      <c r="F70" s="1003"/>
      <c r="G70" s="1003"/>
      <c r="H70" s="1003"/>
      <c r="I70" s="62"/>
      <c r="J70" s="998">
        <f>'Cham soc suc khoe'!C8</f>
        <v>0</v>
      </c>
      <c r="K70" s="998"/>
    </row>
    <row r="71" spans="2:11" ht="21" customHeight="1">
      <c r="B71" s="1002" t="str">
        <f>'Cham soc suc khoe'!B9</f>
        <v>(Nữ giới) - Có định sinh con nữa không?</v>
      </c>
      <c r="C71" s="1002"/>
      <c r="D71" s="1002"/>
      <c r="E71" s="1002"/>
      <c r="F71" s="1002"/>
      <c r="G71" s="1002"/>
      <c r="H71" s="1002"/>
      <c r="I71" s="63"/>
      <c r="J71" s="999">
        <f>'Cham soc suc khoe'!C9</f>
        <v>0</v>
      </c>
      <c r="K71" s="999"/>
    </row>
    <row r="72" spans="2:11" ht="21" customHeight="1">
      <c r="B72" s="1003" t="str">
        <f>'Cham soc suc khoe'!B10</f>
        <v>(Nữ giới) - Lần gần nhất sinh thường hay sinh mổ?</v>
      </c>
      <c r="C72" s="1003"/>
      <c r="D72" s="1003"/>
      <c r="E72" s="1003"/>
      <c r="F72" s="1003"/>
      <c r="G72" s="1003"/>
      <c r="H72" s="1003"/>
      <c r="I72" s="61"/>
      <c r="J72" s="998">
        <f>'Cham soc suc khoe'!C10</f>
        <v>0</v>
      </c>
      <c r="K72" s="998"/>
    </row>
    <row r="73" spans="2:11" ht="5.25" customHeight="1"/>
    <row r="74" spans="2:11" ht="27.75" customHeight="1">
      <c r="B74" s="996" t="s">
        <v>845</v>
      </c>
      <c r="C74" s="997"/>
      <c r="D74" s="997"/>
      <c r="E74" s="997"/>
      <c r="F74" s="997"/>
      <c r="G74" s="997"/>
      <c r="H74" s="997"/>
      <c r="I74" s="997"/>
      <c r="J74" s="997"/>
      <c r="K74" s="997"/>
    </row>
  </sheetData>
  <mergeCells count="58">
    <mergeCell ref="B69:H69"/>
    <mergeCell ref="B70:H70"/>
    <mergeCell ref="B71:H71"/>
    <mergeCell ref="B72:H72"/>
    <mergeCell ref="J69:K69"/>
    <mergeCell ref="J70:K70"/>
    <mergeCell ref="J71:K71"/>
    <mergeCell ref="B74:K74"/>
    <mergeCell ref="G58:K58"/>
    <mergeCell ref="G59:K59"/>
    <mergeCell ref="G60:K60"/>
    <mergeCell ref="G61:K61"/>
    <mergeCell ref="G62:K62"/>
    <mergeCell ref="I63:K63"/>
    <mergeCell ref="B63:H63"/>
    <mergeCell ref="J66:K66"/>
    <mergeCell ref="J68:K68"/>
    <mergeCell ref="B65:K65"/>
    <mergeCell ref="B67:H67"/>
    <mergeCell ref="J67:K67"/>
    <mergeCell ref="J72:K72"/>
    <mergeCell ref="B66:H66"/>
    <mergeCell ref="B68:H68"/>
    <mergeCell ref="G57:K57"/>
    <mergeCell ref="G45:K45"/>
    <mergeCell ref="G46:K46"/>
    <mergeCell ref="G47:K47"/>
    <mergeCell ref="G48:K48"/>
    <mergeCell ref="G49:K49"/>
    <mergeCell ref="G50:K50"/>
    <mergeCell ref="G51:K51"/>
    <mergeCell ref="G52:K52"/>
    <mergeCell ref="G53:K53"/>
    <mergeCell ref="B55:K55"/>
    <mergeCell ref="B56:K56"/>
    <mergeCell ref="B16:K16"/>
    <mergeCell ref="B18:K18"/>
    <mergeCell ref="G19:K19"/>
    <mergeCell ref="G20:K20"/>
    <mergeCell ref="G44:K44"/>
    <mergeCell ref="G21:K21"/>
    <mergeCell ref="G22:K22"/>
    <mergeCell ref="G23:K23"/>
    <mergeCell ref="G24:K24"/>
    <mergeCell ref="G25:K25"/>
    <mergeCell ref="G26:K26"/>
    <mergeCell ref="G27:K27"/>
    <mergeCell ref="B28:K28"/>
    <mergeCell ref="B29:K29"/>
    <mergeCell ref="B30:F30"/>
    <mergeCell ref="B43:K43"/>
    <mergeCell ref="B7:K7"/>
    <mergeCell ref="B2:K2"/>
    <mergeCell ref="B4:I4"/>
    <mergeCell ref="J4:K4"/>
    <mergeCell ref="B15:K15"/>
    <mergeCell ref="D5:E5"/>
    <mergeCell ref="J5:K5"/>
  </mergeCells>
  <pageMargins left="0.25" right="0.25" top="0.75" bottom="0.75" header="0.3" footer="0.3"/>
  <pageSetup paperSize="9" orientation="portrait"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D7A254-0D5B-4717-AF54-BEA8675E01DF}">
  <dimension ref="B1:Y243"/>
  <sheetViews>
    <sheetView showGridLines="0" zoomScaleNormal="100" workbookViewId="0">
      <pane ySplit="3" topLeftCell="A226" activePane="bottomLeft" state="frozen"/>
      <selection pane="bottomLeft" activeCell="I244" sqref="I244"/>
    </sheetView>
  </sheetViews>
  <sheetFormatPr defaultColWidth="7.796875" defaultRowHeight="9.75" customHeight="1"/>
  <cols>
    <col min="1" max="1" width="2.19921875" style="277" customWidth="1"/>
    <col min="2" max="2" width="5.796875" style="270" customWidth="1"/>
    <col min="3" max="3" width="6.796875" style="270" customWidth="1"/>
    <col min="4" max="4" width="9.19921875" style="270" customWidth="1"/>
    <col min="5" max="5" width="14.296875" style="271" customWidth="1"/>
    <col min="6" max="6" width="11.5" style="299" customWidth="1"/>
    <col min="7" max="7" width="13.796875" style="272" customWidth="1"/>
    <col min="8" max="8" width="14.796875" style="271" customWidth="1"/>
    <col min="9" max="9" width="17.296875" style="273" customWidth="1"/>
    <col min="10" max="10" width="15.796875" style="300" customWidth="1"/>
    <col min="11" max="11" width="2.19921875" style="318" hidden="1" customWidth="1"/>
    <col min="12" max="12" width="2.69921875" style="318" hidden="1" customWidth="1"/>
    <col min="13" max="13" width="8.19921875" style="319" hidden="1" customWidth="1"/>
    <col min="14" max="15" width="0" style="298" hidden="1" customWidth="1"/>
    <col min="16" max="23" width="8.19921875" style="277" hidden="1" customWidth="1"/>
    <col min="24" max="16384" width="7.796875" style="277"/>
  </cols>
  <sheetData>
    <row r="1" spans="2:25" ht="9.75" customHeight="1">
      <c r="F1" s="271"/>
      <c r="J1" s="274" t="s">
        <v>681</v>
      </c>
      <c r="N1" s="275" t="s">
        <v>682</v>
      </c>
      <c r="O1" s="275" t="s">
        <v>683</v>
      </c>
      <c r="P1" s="276">
        <v>1</v>
      </c>
      <c r="Q1" s="276">
        <v>2</v>
      </c>
      <c r="R1" s="314">
        <v>3</v>
      </c>
      <c r="S1" s="314">
        <v>4</v>
      </c>
      <c r="T1" s="314">
        <v>5</v>
      </c>
      <c r="U1" s="322" t="s">
        <v>682</v>
      </c>
      <c r="V1" s="322" t="s">
        <v>702</v>
      </c>
      <c r="W1" s="314" t="s">
        <v>703</v>
      </c>
    </row>
    <row r="2" spans="2:25" ht="12" customHeight="1">
      <c r="B2" s="956" t="s">
        <v>806</v>
      </c>
      <c r="C2" s="956"/>
      <c r="D2" s="956"/>
      <c r="E2" s="956"/>
      <c r="F2" s="956"/>
      <c r="G2" s="956"/>
      <c r="H2" s="956"/>
      <c r="I2" s="956"/>
      <c r="J2" s="463">
        <f>KTVTDGTTKMH!M2</f>
        <v>4.5999999999999999E-2</v>
      </c>
      <c r="N2" s="278">
        <v>0.02</v>
      </c>
      <c r="O2" s="279">
        <v>0.01</v>
      </c>
      <c r="P2" s="315">
        <v>3.5000000000000003E-2</v>
      </c>
      <c r="Q2" s="315">
        <v>0.03</v>
      </c>
      <c r="R2" s="315">
        <v>0.03</v>
      </c>
      <c r="S2" s="315">
        <v>0.02</v>
      </c>
      <c r="T2" s="315">
        <v>0.02</v>
      </c>
      <c r="U2" s="315">
        <v>1.4999999999999999E-2</v>
      </c>
      <c r="V2" s="315">
        <v>0.01</v>
      </c>
      <c r="W2" s="323">
        <v>5.0000000000000001E-3</v>
      </c>
    </row>
    <row r="3" spans="2:25" s="286" customFormat="1" ht="39" customHeight="1">
      <c r="B3" s="280" t="s">
        <v>670</v>
      </c>
      <c r="C3" s="280" t="s">
        <v>1</v>
      </c>
      <c r="D3" s="280" t="s">
        <v>671</v>
      </c>
      <c r="E3" s="281" t="s">
        <v>678</v>
      </c>
      <c r="F3" s="281" t="s">
        <v>684</v>
      </c>
      <c r="G3" s="282" t="s">
        <v>685</v>
      </c>
      <c r="H3" s="281" t="s">
        <v>686</v>
      </c>
      <c r="I3" s="283" t="s">
        <v>804</v>
      </c>
      <c r="J3" s="284" t="s">
        <v>688</v>
      </c>
      <c r="K3" s="320"/>
      <c r="L3" s="320"/>
      <c r="M3" s="321"/>
      <c r="N3" s="285">
        <f t="shared" ref="N3:W3" si="0">(1+N2)^(1/12)-1</f>
        <v>1.6515813019202241E-3</v>
      </c>
      <c r="O3" s="285">
        <f t="shared" si="0"/>
        <v>8.295381143461622E-4</v>
      </c>
      <c r="P3" s="316">
        <f t="shared" si="0"/>
        <v>2.8708987190766422E-3</v>
      </c>
      <c r="Q3" s="316">
        <f t="shared" si="0"/>
        <v>2.4662697723036864E-3</v>
      </c>
      <c r="R3" s="316">
        <f t="shared" si="0"/>
        <v>2.4662697723036864E-3</v>
      </c>
      <c r="S3" s="316">
        <f t="shared" si="0"/>
        <v>1.6515813019202241E-3</v>
      </c>
      <c r="T3" s="316">
        <f t="shared" si="0"/>
        <v>1.6515813019202241E-3</v>
      </c>
      <c r="U3" s="316">
        <f t="shared" si="0"/>
        <v>1.2414877164492744E-3</v>
      </c>
      <c r="V3" s="316">
        <f t="shared" si="0"/>
        <v>8.295381143461622E-4</v>
      </c>
      <c r="W3" s="316">
        <f t="shared" si="0"/>
        <v>4.1571484472902043E-4</v>
      </c>
    </row>
    <row r="4" spans="2:25" ht="9.75" customHeight="1">
      <c r="B4" s="954">
        <v>1</v>
      </c>
      <c r="C4" s="952">
        <f ca="1">'Tinh phi QL'!I8</f>
        <v>30</v>
      </c>
      <c r="D4" s="287">
        <f ca="1">'Hoach dinh tai chinh'!J3</f>
        <v>46229</v>
      </c>
      <c r="E4" s="288">
        <f>'Tinh phi QL'!E12/1000</f>
        <v>0</v>
      </c>
      <c r="F4" s="289">
        <f ca="1">IF(YEAR(D4)=2025,40000,IF(YEAR(D4)=2026,40000,IF(YEAR(D4)=2027,40000,IF(YEAR(D4)=2028,40000,IF(YEAR(D4)=2029,40000,IF(YEAR(D4)=2030,50000,IF(YEAR(D4)=2031,50000,IF(YEAR(D4)=2032,50000,IF(YEAR(D4)=2033,50000,IF(YEAR(D4)=2034,50000,IF(YEAR(D4)&gt;=2035,60000,0)))))))))))/1000</f>
        <v>40</v>
      </c>
      <c r="G4" s="290">
        <f ca="1">KTVCOI!R3</f>
        <v>0</v>
      </c>
      <c r="H4" s="290">
        <f ca="1">(KTVTDGTTKcamket!F7-KTVTD20namMH!F4-G4)*(1+LS!F3)</f>
        <v>-40.150192487245846</v>
      </c>
      <c r="I4" s="291"/>
      <c r="J4" s="292">
        <f ca="1">H4</f>
        <v>-40.150192487245846</v>
      </c>
      <c r="K4" s="949">
        <f ca="1">J15</f>
        <v>-492.15747012288949</v>
      </c>
      <c r="L4" s="949"/>
      <c r="M4" s="949"/>
      <c r="N4" s="950">
        <f ca="1">SUM(G4:G15)</f>
        <v>0.27513926435729708</v>
      </c>
      <c r="O4" s="950"/>
      <c r="X4" s="945">
        <f ca="1">SUM(F4:F15)</f>
        <v>480</v>
      </c>
      <c r="Y4" s="945">
        <f ca="1">SUM(G4:G15)</f>
        <v>0.27513926435729708</v>
      </c>
    </row>
    <row r="5" spans="2:25" ht="9.75" customHeight="1">
      <c r="B5" s="954"/>
      <c r="C5" s="952"/>
      <c r="D5" s="287">
        <f t="shared" ref="D5:D68" ca="1" si="1">EDATE(D4,1)</f>
        <v>46260</v>
      </c>
      <c r="E5" s="288">
        <f>E4</f>
        <v>0</v>
      </c>
      <c r="F5" s="289">
        <f t="shared" ref="F5:F68" ca="1" si="2">IF(YEAR(D5)=2025,40000,IF(YEAR(D5)=2026,40000,IF(YEAR(D5)=2027,40000,IF(YEAR(D5)=2028,40000,IF(YEAR(D5)=2029,40000,IF(YEAR(D5)=2030,50000,IF(YEAR(D5)=2031,50000,IF(YEAR(D5)=2032,50000,IF(YEAR(D5)=2033,50000,IF(YEAR(D5)=2034,50000,IF(YEAR(D5)&gt;=2035,60000,0)))))))))))/1000</f>
        <v>40</v>
      </c>
      <c r="G5" s="290">
        <f ca="1">KTVCOI!R4</f>
        <v>4.1153947299426988E-3</v>
      </c>
      <c r="H5" s="290">
        <f ca="1">(H4-F5-G5)*(1+LS!$F$3)</f>
        <v>-80.455272253582365</v>
      </c>
      <c r="I5" s="291"/>
      <c r="J5" s="292">
        <f t="shared" ref="J5:J68" ca="1" si="3">H5</f>
        <v>-80.455272253582365</v>
      </c>
      <c r="K5" s="949"/>
      <c r="L5" s="949"/>
      <c r="M5" s="949"/>
      <c r="N5" s="950"/>
      <c r="O5" s="950"/>
      <c r="X5" s="1004"/>
      <c r="Y5" s="1004"/>
    </row>
    <row r="6" spans="2:25" ht="9.75" customHeight="1">
      <c r="B6" s="954"/>
      <c r="C6" s="952"/>
      <c r="D6" s="287">
        <f t="shared" ca="1" si="1"/>
        <v>46291</v>
      </c>
      <c r="E6" s="288">
        <f t="shared" ref="E6:E69" si="4">E5</f>
        <v>0</v>
      </c>
      <c r="F6" s="289">
        <f t="shared" ca="1" si="2"/>
        <v>40</v>
      </c>
      <c r="G6" s="290">
        <f ca="1">KTVCOI!R5</f>
        <v>8.2466654059921915E-3</v>
      </c>
      <c r="H6" s="290">
        <f ca="1">(H5-F6-G6)*(1+LS!$F$3)</f>
        <v>-120.9158368072091</v>
      </c>
      <c r="I6" s="291"/>
      <c r="J6" s="292">
        <f t="shared" ca="1" si="3"/>
        <v>-120.9158368072091</v>
      </c>
      <c r="K6" s="949"/>
      <c r="L6" s="949"/>
      <c r="M6" s="949"/>
      <c r="N6" s="950"/>
      <c r="O6" s="950"/>
      <c r="X6" s="1004"/>
      <c r="Y6" s="1004"/>
    </row>
    <row r="7" spans="2:25" ht="9.75" customHeight="1">
      <c r="B7" s="954"/>
      <c r="C7" s="952"/>
      <c r="D7" s="287">
        <f t="shared" ca="1" si="1"/>
        <v>46321</v>
      </c>
      <c r="E7" s="288">
        <f t="shared" si="4"/>
        <v>0</v>
      </c>
      <c r="F7" s="289">
        <f t="shared" ca="1" si="2"/>
        <v>40</v>
      </c>
      <c r="G7" s="290">
        <f ca="1">KTVCOI!R6</f>
        <v>1.2393873272738934E-2</v>
      </c>
      <c r="H7" s="290">
        <f ca="1">(H6-F7-G7)*(1+LS!$F$3)</f>
        <v>-161.53248596133122</v>
      </c>
      <c r="I7" s="291"/>
      <c r="J7" s="292">
        <f t="shared" ca="1" si="3"/>
        <v>-161.53248596133122</v>
      </c>
      <c r="K7" s="949"/>
      <c r="L7" s="949"/>
      <c r="M7" s="949"/>
      <c r="N7" s="950"/>
      <c r="O7" s="950"/>
      <c r="X7" s="1004"/>
      <c r="Y7" s="1004"/>
    </row>
    <row r="8" spans="2:25" ht="9.75" customHeight="1">
      <c r="B8" s="954"/>
      <c r="C8" s="952"/>
      <c r="D8" s="287">
        <f t="shared" ca="1" si="1"/>
        <v>46352</v>
      </c>
      <c r="E8" s="288">
        <f t="shared" si="4"/>
        <v>0</v>
      </c>
      <c r="F8" s="289">
        <f t="shared" ca="1" si="2"/>
        <v>40</v>
      </c>
      <c r="G8" s="290">
        <f ca="1">KTVCOI!R7</f>
        <v>1.6557079811036449E-2</v>
      </c>
      <c r="H8" s="290">
        <f ca="1">(H7-F8-G8)*(1+LS!$F$3)</f>
        <v>-202.30582184305149</v>
      </c>
      <c r="I8" s="291"/>
      <c r="J8" s="292">
        <f t="shared" ca="1" si="3"/>
        <v>-202.30582184305149</v>
      </c>
      <c r="K8" s="949"/>
      <c r="L8" s="949"/>
      <c r="M8" s="949"/>
      <c r="N8" s="950"/>
      <c r="O8" s="950"/>
      <c r="X8" s="1004"/>
      <c r="Y8" s="1004"/>
    </row>
    <row r="9" spans="2:25" ht="9.75" customHeight="1">
      <c r="B9" s="954"/>
      <c r="C9" s="952"/>
      <c r="D9" s="287">
        <f t="shared" ca="1" si="1"/>
        <v>46382</v>
      </c>
      <c r="E9" s="288">
        <f t="shared" si="4"/>
        <v>0</v>
      </c>
      <c r="F9" s="289">
        <f t="shared" ca="1" si="2"/>
        <v>40</v>
      </c>
      <c r="G9" s="290">
        <f ca="1">KTVCOI!R8</f>
        <v>2.0736346738912777E-2</v>
      </c>
      <c r="H9" s="290">
        <f ca="1">(H8-F9-G9)*(1+LS!$F$3)</f>
        <v>-243.23644890229664</v>
      </c>
      <c r="I9" s="291"/>
      <c r="J9" s="292">
        <f t="shared" ca="1" si="3"/>
        <v>-243.23644890229664</v>
      </c>
      <c r="K9" s="949"/>
      <c r="L9" s="949"/>
      <c r="M9" s="949"/>
      <c r="N9" s="950"/>
      <c r="O9" s="950"/>
      <c r="X9" s="1004"/>
      <c r="Y9" s="1004"/>
    </row>
    <row r="10" spans="2:25" ht="9.75" customHeight="1">
      <c r="B10" s="954"/>
      <c r="C10" s="952"/>
      <c r="D10" s="287">
        <f t="shared" ca="1" si="1"/>
        <v>46413</v>
      </c>
      <c r="E10" s="288">
        <f t="shared" si="4"/>
        <v>0</v>
      </c>
      <c r="F10" s="289">
        <f t="shared" ca="1" si="2"/>
        <v>40</v>
      </c>
      <c r="G10" s="290">
        <f ca="1">KTVCOI!R9</f>
        <v>2.4931736012485408E-2</v>
      </c>
      <c r="H10" s="290">
        <f ca="1">(H9-F10-G10)*(1+LS!$F$3)</f>
        <v>-284.32497392077812</v>
      </c>
      <c r="I10" s="291"/>
      <c r="J10" s="292">
        <f t="shared" ca="1" si="3"/>
        <v>-284.32497392077812</v>
      </c>
      <c r="K10" s="949"/>
      <c r="L10" s="949"/>
      <c r="M10" s="949"/>
      <c r="N10" s="950"/>
      <c r="O10" s="950"/>
      <c r="X10" s="1004"/>
      <c r="Y10" s="1004"/>
    </row>
    <row r="11" spans="2:25" ht="9.75" customHeight="1">
      <c r="B11" s="954"/>
      <c r="C11" s="952"/>
      <c r="D11" s="287">
        <f t="shared" ca="1" si="1"/>
        <v>46444</v>
      </c>
      <c r="E11" s="288">
        <f t="shared" si="4"/>
        <v>0</v>
      </c>
      <c r="F11" s="289">
        <f t="shared" ca="1" si="2"/>
        <v>40</v>
      </c>
      <c r="G11" s="290">
        <f ca="1">KTVCOI!R10</f>
        <v>2.9143309826879755E-2</v>
      </c>
      <c r="H11" s="290">
        <f ca="1">(H10-F11-G11)*(1+LS!$F$3)</f>
        <v>-325.57200602098743</v>
      </c>
      <c r="I11" s="291"/>
      <c r="J11" s="292">
        <f t="shared" ca="1" si="3"/>
        <v>-325.57200602098743</v>
      </c>
      <c r="K11" s="949"/>
      <c r="L11" s="949"/>
      <c r="M11" s="949"/>
      <c r="N11" s="950"/>
      <c r="O11" s="950"/>
      <c r="X11" s="1004"/>
      <c r="Y11" s="1004"/>
    </row>
    <row r="12" spans="2:25" ht="9.75" customHeight="1">
      <c r="B12" s="954"/>
      <c r="C12" s="952"/>
      <c r="D12" s="287">
        <f t="shared" ca="1" si="1"/>
        <v>46472</v>
      </c>
      <c r="E12" s="288">
        <f t="shared" si="4"/>
        <v>0</v>
      </c>
      <c r="F12" s="289">
        <f t="shared" ca="1" si="2"/>
        <v>40</v>
      </c>
      <c r="G12" s="290">
        <f ca="1">KTVCOI!R11</f>
        <v>3.3371130617151211E-2</v>
      </c>
      <c r="H12" s="290">
        <f ca="1">(H11-F12-G12)*(1+LS!$F$3)</f>
        <v>-366.97815667522593</v>
      </c>
      <c r="I12" s="291"/>
      <c r="J12" s="292">
        <f t="shared" ca="1" si="3"/>
        <v>-366.97815667522593</v>
      </c>
      <c r="K12" s="949"/>
      <c r="L12" s="949"/>
      <c r="M12" s="949"/>
      <c r="N12" s="950"/>
      <c r="O12" s="950"/>
      <c r="X12" s="1004"/>
      <c r="Y12" s="1004"/>
    </row>
    <row r="13" spans="2:25" ht="9.75" customHeight="1">
      <c r="B13" s="954"/>
      <c r="C13" s="952"/>
      <c r="D13" s="287">
        <f t="shared" ca="1" si="1"/>
        <v>46503</v>
      </c>
      <c r="E13" s="288">
        <f t="shared" si="4"/>
        <v>0</v>
      </c>
      <c r="F13" s="289">
        <f t="shared" ca="1" si="2"/>
        <v>40</v>
      </c>
      <c r="G13" s="290">
        <f ca="1">KTVCOI!R12</f>
        <v>3.7615261059210654E-2</v>
      </c>
      <c r="H13" s="290">
        <f ca="1">(H12-F13-G13)*(1+LS!$F$3)</f>
        <v>-408.54403971467013</v>
      </c>
      <c r="I13" s="291"/>
      <c r="J13" s="292">
        <f t="shared" ca="1" si="3"/>
        <v>-408.54403971467013</v>
      </c>
      <c r="K13" s="949"/>
      <c r="L13" s="949"/>
      <c r="M13" s="949"/>
      <c r="N13" s="950"/>
      <c r="O13" s="950"/>
      <c r="X13" s="1004"/>
      <c r="Y13" s="1004"/>
    </row>
    <row r="14" spans="2:25" ht="9.75" customHeight="1">
      <c r="B14" s="954"/>
      <c r="C14" s="952"/>
      <c r="D14" s="287">
        <f t="shared" ca="1" si="1"/>
        <v>46533</v>
      </c>
      <c r="E14" s="288">
        <f t="shared" si="4"/>
        <v>0</v>
      </c>
      <c r="F14" s="289">
        <f t="shared" ca="1" si="2"/>
        <v>40</v>
      </c>
      <c r="G14" s="290">
        <f ca="1">KTVCOI!R13</f>
        <v>4.187576407075369E-2</v>
      </c>
      <c r="H14" s="290">
        <f ca="1">(H13-F14-G14)*(1+LS!$F$3)</f>
        <v>-450.27027133847105</v>
      </c>
      <c r="I14" s="291"/>
      <c r="J14" s="292">
        <f t="shared" ca="1" si="3"/>
        <v>-450.27027133847105</v>
      </c>
      <c r="K14" s="949"/>
      <c r="L14" s="949"/>
      <c r="M14" s="949"/>
      <c r="N14" s="950"/>
      <c r="O14" s="950"/>
      <c r="X14" s="1004"/>
      <c r="Y14" s="1004"/>
    </row>
    <row r="15" spans="2:25" ht="9.75" customHeight="1">
      <c r="B15" s="954"/>
      <c r="C15" s="952"/>
      <c r="D15" s="287">
        <f t="shared" ca="1" si="1"/>
        <v>46564</v>
      </c>
      <c r="E15" s="288">
        <f t="shared" si="4"/>
        <v>0</v>
      </c>
      <c r="F15" s="289">
        <f t="shared" ca="1" si="2"/>
        <v>40</v>
      </c>
      <c r="G15" s="290">
        <f ca="1">KTVCOI!R14</f>
        <v>4.6152702812193275E-2</v>
      </c>
      <c r="H15" s="290">
        <f ca="1">(H14-F15-G15)*(1+LS!$F$3)</f>
        <v>-492.15747012288949</v>
      </c>
      <c r="I15" s="291"/>
      <c r="J15" s="293">
        <f t="shared" ca="1" si="3"/>
        <v>-492.15747012288949</v>
      </c>
      <c r="K15" s="949"/>
      <c r="L15" s="949"/>
      <c r="M15" s="949"/>
      <c r="N15" s="950"/>
      <c r="O15" s="950"/>
      <c r="X15" s="1004"/>
      <c r="Y15" s="1004"/>
    </row>
    <row r="16" spans="2:25" ht="9.75" customHeight="1">
      <c r="B16" s="955">
        <v>2</v>
      </c>
      <c r="C16" s="947">
        <f ca="1">C4+1</f>
        <v>31</v>
      </c>
      <c r="D16" s="294">
        <f t="shared" ca="1" si="1"/>
        <v>46594</v>
      </c>
      <c r="E16" s="359">
        <f>E15</f>
        <v>0</v>
      </c>
      <c r="F16" s="360">
        <f t="shared" ca="1" si="2"/>
        <v>40</v>
      </c>
      <c r="G16" s="290">
        <f ca="1">KTVCOI!R15</f>
        <v>5.1676534362903398E-2</v>
      </c>
      <c r="H16" s="290">
        <f ca="1">(H15+KTVTDGTTKMH!F8-F16-G16)*(1+LS!$F$3)</f>
        <v>-534.2074920440383</v>
      </c>
      <c r="I16" s="324"/>
      <c r="J16" s="296">
        <f t="shared" ca="1" si="3"/>
        <v>-534.2074920440383</v>
      </c>
      <c r="K16" s="949">
        <f ca="1">J27</f>
        <v>-1007.6100254281246</v>
      </c>
      <c r="L16" s="949"/>
      <c r="M16" s="949"/>
      <c r="N16" s="950">
        <f ca="1">SUM(G16:G27)</f>
        <v>0.91530746640379246</v>
      </c>
      <c r="O16" s="950"/>
      <c r="X16" s="945">
        <f t="shared" ref="X16:Y16" ca="1" si="5">SUM(F16:F27)</f>
        <v>480</v>
      </c>
      <c r="Y16" s="945">
        <f t="shared" ca="1" si="5"/>
        <v>0.91530746640379246</v>
      </c>
    </row>
    <row r="17" spans="2:25" ht="9.75" customHeight="1">
      <c r="B17" s="955"/>
      <c r="C17" s="947"/>
      <c r="D17" s="294">
        <f t="shared" ca="1" si="1"/>
        <v>46625</v>
      </c>
      <c r="E17" s="359">
        <f t="shared" si="4"/>
        <v>0</v>
      </c>
      <c r="F17" s="360">
        <f t="shared" ca="1" si="2"/>
        <v>40</v>
      </c>
      <c r="G17" s="290">
        <f ca="1">KTVCOI!R16</f>
        <v>5.609178666462402E-2</v>
      </c>
      <c r="H17" s="290">
        <f ca="1">(H16-F17-G17)*(1+LS!$F$3)</f>
        <v>-576.41983573045911</v>
      </c>
      <c r="I17" s="324"/>
      <c r="J17" s="296">
        <f t="shared" ca="1" si="3"/>
        <v>-576.41983573045911</v>
      </c>
      <c r="K17" s="949"/>
      <c r="L17" s="949"/>
      <c r="M17" s="949"/>
      <c r="N17" s="950"/>
      <c r="O17" s="950"/>
      <c r="X17" s="1004"/>
      <c r="Y17" s="1004"/>
    </row>
    <row r="18" spans="2:25" ht="9.75" customHeight="1">
      <c r="B18" s="955"/>
      <c r="C18" s="947"/>
      <c r="D18" s="294">
        <f t="shared" ca="1" si="1"/>
        <v>46656</v>
      </c>
      <c r="E18" s="359">
        <f t="shared" si="4"/>
        <v>0</v>
      </c>
      <c r="F18" s="360">
        <f t="shared" ca="1" si="2"/>
        <v>40</v>
      </c>
      <c r="G18" s="290">
        <f ca="1">KTVCOI!R17</f>
        <v>6.0524082751698211E-2</v>
      </c>
      <c r="H18" s="290">
        <f ca="1">(H17-F18-G18)*(1+LS!$F$3)</f>
        <v>-618.79512777767479</v>
      </c>
      <c r="I18" s="324"/>
      <c r="J18" s="296">
        <f t="shared" ca="1" si="3"/>
        <v>-618.79512777767479</v>
      </c>
      <c r="K18" s="949"/>
      <c r="L18" s="949"/>
      <c r="M18" s="949"/>
      <c r="N18" s="950"/>
      <c r="O18" s="950"/>
      <c r="X18" s="1004"/>
      <c r="Y18" s="1004"/>
    </row>
    <row r="19" spans="2:25" ht="9.75" customHeight="1">
      <c r="B19" s="955"/>
      <c r="C19" s="947"/>
      <c r="D19" s="294">
        <f t="shared" ca="1" si="1"/>
        <v>46686</v>
      </c>
      <c r="E19" s="359">
        <f t="shared" si="4"/>
        <v>0</v>
      </c>
      <c r="F19" s="360">
        <f t="shared" ca="1" si="2"/>
        <v>40</v>
      </c>
      <c r="G19" s="290">
        <f ca="1">KTVCOI!R18</f>
        <v>6.4973488416655859E-2</v>
      </c>
      <c r="H19" s="290">
        <f ca="1">(H18-F19-G19)*(1+LS!$F$3)</f>
        <v>-661.33399719999647</v>
      </c>
      <c r="I19" s="324"/>
      <c r="J19" s="296">
        <f t="shared" ca="1" si="3"/>
        <v>-661.33399719999647</v>
      </c>
      <c r="K19" s="949"/>
      <c r="L19" s="949"/>
      <c r="M19" s="949"/>
      <c r="N19" s="950"/>
      <c r="O19" s="950"/>
      <c r="X19" s="1004"/>
      <c r="Y19" s="1004"/>
    </row>
    <row r="20" spans="2:25" ht="9.75" customHeight="1">
      <c r="B20" s="955"/>
      <c r="C20" s="947"/>
      <c r="D20" s="294">
        <f t="shared" ca="1" si="1"/>
        <v>46717</v>
      </c>
      <c r="E20" s="359">
        <f t="shared" si="4"/>
        <v>0</v>
      </c>
      <c r="F20" s="360">
        <f t="shared" ca="1" si="2"/>
        <v>40</v>
      </c>
      <c r="G20" s="290">
        <f ca="1">KTVCOI!R19</f>
        <v>6.9440069705999627E-2</v>
      </c>
      <c r="H20" s="290">
        <f ca="1">(H19-F20-G20)*(1+LS!$F$3)</f>
        <v>-704.03707543986059</v>
      </c>
      <c r="I20" s="324"/>
      <c r="J20" s="296">
        <f t="shared" ca="1" si="3"/>
        <v>-704.03707543986059</v>
      </c>
      <c r="K20" s="949"/>
      <c r="L20" s="949"/>
      <c r="M20" s="949"/>
      <c r="N20" s="950"/>
      <c r="O20" s="950"/>
      <c r="X20" s="1004"/>
      <c r="Y20" s="1004"/>
    </row>
    <row r="21" spans="2:25" ht="9.75" customHeight="1">
      <c r="B21" s="955"/>
      <c r="C21" s="947"/>
      <c r="D21" s="294">
        <f t="shared" ca="1" si="1"/>
        <v>46747</v>
      </c>
      <c r="E21" s="359">
        <f t="shared" si="4"/>
        <v>0</v>
      </c>
      <c r="F21" s="360">
        <f t="shared" ca="1" si="2"/>
        <v>40</v>
      </c>
      <c r="G21" s="290">
        <f ca="1">KTVCOI!R20</f>
        <v>7.3923892921185355E-2</v>
      </c>
      <c r="H21" s="290">
        <f ca="1">(H20-F21-G21)*(1+LS!$F$3)</f>
        <v>-746.90499637720131</v>
      </c>
      <c r="I21" s="324"/>
      <c r="J21" s="296">
        <f t="shared" ca="1" si="3"/>
        <v>-746.90499637720131</v>
      </c>
      <c r="K21" s="949"/>
      <c r="L21" s="949"/>
      <c r="M21" s="949"/>
      <c r="N21" s="950"/>
      <c r="O21" s="950"/>
      <c r="X21" s="1004"/>
      <c r="Y21" s="1004"/>
    </row>
    <row r="22" spans="2:25" ht="9.75" customHeight="1">
      <c r="B22" s="955"/>
      <c r="C22" s="947"/>
      <c r="D22" s="294">
        <f t="shared" ca="1" si="1"/>
        <v>46778</v>
      </c>
      <c r="E22" s="359">
        <f t="shared" si="4"/>
        <v>0</v>
      </c>
      <c r="F22" s="360">
        <f t="shared" ca="1" si="2"/>
        <v>40</v>
      </c>
      <c r="G22" s="290">
        <f ca="1">KTVCOI!R21</f>
        <v>7.842502461960614E-2</v>
      </c>
      <c r="H22" s="290">
        <f ca="1">(H21-F22-G22)*(1+LS!$F$3)</f>
        <v>-789.93839633886057</v>
      </c>
      <c r="I22" s="324"/>
      <c r="J22" s="296">
        <f t="shared" ca="1" si="3"/>
        <v>-789.93839633886057</v>
      </c>
      <c r="K22" s="949"/>
      <c r="L22" s="949"/>
      <c r="M22" s="949"/>
      <c r="N22" s="950"/>
      <c r="O22" s="950"/>
      <c r="X22" s="1004"/>
      <c r="Y22" s="1004"/>
    </row>
    <row r="23" spans="2:25" ht="9.75" customHeight="1">
      <c r="B23" s="955"/>
      <c r="C23" s="947"/>
      <c r="D23" s="294">
        <f t="shared" ca="1" si="1"/>
        <v>46809</v>
      </c>
      <c r="E23" s="359">
        <f t="shared" si="4"/>
        <v>0</v>
      </c>
      <c r="F23" s="360">
        <f t="shared" ca="1" si="2"/>
        <v>40</v>
      </c>
      <c r="G23" s="290">
        <f ca="1">KTVCOI!R22</f>
        <v>8.2943531615580365E-2</v>
      </c>
      <c r="H23" s="290">
        <f ca="1">(H22-F23-G23)*(1+LS!$F$3)</f>
        <v>-833.1379141080331</v>
      </c>
      <c r="I23" s="324"/>
      <c r="J23" s="296">
        <f t="shared" ca="1" si="3"/>
        <v>-833.1379141080331</v>
      </c>
      <c r="K23" s="949"/>
      <c r="L23" s="949"/>
      <c r="M23" s="949"/>
      <c r="N23" s="950"/>
      <c r="O23" s="950"/>
      <c r="X23" s="1004"/>
      <c r="Y23" s="1004"/>
    </row>
    <row r="24" spans="2:25" ht="9.75" customHeight="1">
      <c r="B24" s="955"/>
      <c r="C24" s="947"/>
      <c r="D24" s="294">
        <f t="shared" ca="1" si="1"/>
        <v>46838</v>
      </c>
      <c r="E24" s="359">
        <f t="shared" si="4"/>
        <v>0</v>
      </c>
      <c r="F24" s="360">
        <f t="shared" ca="1" si="2"/>
        <v>40</v>
      </c>
      <c r="G24" s="290">
        <f ca="1">KTVCOI!R23</f>
        <v>8.7479480981343491E-2</v>
      </c>
      <c r="H24" s="290">
        <f ca="1">(H23-F24-G24)*(1+LS!$F$3)</f>
        <v>-876.50419093374853</v>
      </c>
      <c r="I24" s="324"/>
      <c r="J24" s="296">
        <f t="shared" ca="1" si="3"/>
        <v>-876.50419093374853</v>
      </c>
      <c r="K24" s="949"/>
      <c r="L24" s="949"/>
      <c r="M24" s="949"/>
      <c r="N24" s="950"/>
      <c r="O24" s="950"/>
      <c r="X24" s="1004"/>
      <c r="Y24" s="1004"/>
    </row>
    <row r="25" spans="2:25" ht="9.75" customHeight="1">
      <c r="B25" s="955"/>
      <c r="C25" s="947"/>
      <c r="D25" s="294">
        <f t="shared" ca="1" si="1"/>
        <v>46869</v>
      </c>
      <c r="E25" s="359">
        <f t="shared" si="4"/>
        <v>0</v>
      </c>
      <c r="F25" s="360">
        <f t="shared" ca="1" si="2"/>
        <v>40</v>
      </c>
      <c r="G25" s="290">
        <f ca="1">KTVCOI!R24</f>
        <v>9.2032940048043591E-2</v>
      </c>
      <c r="H25" s="290">
        <f ca="1">(H24-F25-G25)*(1+LS!$F$3)</f>
        <v>-920.03787054039049</v>
      </c>
      <c r="I25" s="324"/>
      <c r="J25" s="296">
        <f t="shared" ca="1" si="3"/>
        <v>-920.03787054039049</v>
      </c>
      <c r="K25" s="949"/>
      <c r="L25" s="949"/>
      <c r="M25" s="949"/>
      <c r="N25" s="950"/>
      <c r="O25" s="950"/>
      <c r="X25" s="1004"/>
      <c r="Y25" s="1004"/>
    </row>
    <row r="26" spans="2:25" ht="9.75" customHeight="1">
      <c r="B26" s="955"/>
      <c r="C26" s="947"/>
      <c r="D26" s="294">
        <f t="shared" ca="1" si="1"/>
        <v>46899</v>
      </c>
      <c r="E26" s="359">
        <f t="shared" si="4"/>
        <v>0</v>
      </c>
      <c r="F26" s="360">
        <f t="shared" ca="1" si="2"/>
        <v>40</v>
      </c>
      <c r="G26" s="290">
        <f ca="1">KTVCOI!R25</f>
        <v>9.660397640674101E-2</v>
      </c>
      <c r="H26" s="290">
        <f ca="1">(H25-F26-G26)*(1+LS!$F$3)</f>
        <v>-963.73959913725128</v>
      </c>
      <c r="I26" s="324"/>
      <c r="J26" s="296">
        <f t="shared" ca="1" si="3"/>
        <v>-963.73959913725128</v>
      </c>
      <c r="K26" s="949"/>
      <c r="L26" s="949"/>
      <c r="M26" s="949"/>
      <c r="N26" s="950"/>
      <c r="O26" s="950"/>
      <c r="X26" s="1004"/>
      <c r="Y26" s="1004"/>
    </row>
    <row r="27" spans="2:25" ht="9.75" customHeight="1">
      <c r="B27" s="955"/>
      <c r="C27" s="947"/>
      <c r="D27" s="294">
        <f t="shared" ca="1" si="1"/>
        <v>46930</v>
      </c>
      <c r="E27" s="359">
        <f t="shared" si="4"/>
        <v>0</v>
      </c>
      <c r="F27" s="360">
        <f t="shared" ca="1" si="2"/>
        <v>40</v>
      </c>
      <c r="G27" s="290">
        <f ca="1">KTVCOI!R26</f>
        <v>0.10119265790941138</v>
      </c>
      <c r="H27" s="290">
        <f ca="1">(H26-F27-G27)*(1+LS!$F$3)</f>
        <v>-1007.6100254281246</v>
      </c>
      <c r="I27" s="324"/>
      <c r="J27" s="297">
        <f t="shared" ca="1" si="3"/>
        <v>-1007.6100254281246</v>
      </c>
      <c r="K27" s="949"/>
      <c r="L27" s="949"/>
      <c r="M27" s="949"/>
      <c r="N27" s="950"/>
      <c r="O27" s="950"/>
      <c r="X27" s="1004"/>
      <c r="Y27" s="1004"/>
    </row>
    <row r="28" spans="2:25" ht="9.75" customHeight="1">
      <c r="B28" s="954">
        <v>3</v>
      </c>
      <c r="C28" s="952">
        <f ca="1">C16+1</f>
        <v>32</v>
      </c>
      <c r="D28" s="287">
        <f t="shared" ca="1" si="1"/>
        <v>46960</v>
      </c>
      <c r="E28" s="359">
        <f t="shared" si="4"/>
        <v>0</v>
      </c>
      <c r="F28" s="289">
        <f t="shared" ca="1" si="2"/>
        <v>40</v>
      </c>
      <c r="G28" s="290">
        <f ca="1">KTVCOI!R27</f>
        <v>0.1099974277759036</v>
      </c>
      <c r="H28" s="290">
        <f ca="1">(H27+KTVTDGTTKMH!F9-F28-G28)*(1+LS!$F$3)</f>
        <v>-1051.6540147601504</v>
      </c>
      <c r="I28" s="291"/>
      <c r="J28" s="292">
        <f t="shared" ca="1" si="3"/>
        <v>-1051.6540147601504</v>
      </c>
      <c r="K28" s="949">
        <f ca="1">J39</f>
        <v>-1547.5172685759376</v>
      </c>
      <c r="L28" s="949"/>
      <c r="M28" s="949"/>
      <c r="N28" s="950">
        <f t="shared" ref="N28" ca="1" si="6">SUM(G28:G39)</f>
        <v>1.6414295503766305</v>
      </c>
      <c r="O28" s="950"/>
      <c r="X28" s="945">
        <f t="shared" ref="X28:Y28" ca="1" si="7">SUM(F28:F39)</f>
        <v>480</v>
      </c>
      <c r="Y28" s="945">
        <f t="shared" ca="1" si="7"/>
        <v>1.6414295503766305</v>
      </c>
    </row>
    <row r="29" spans="2:25" ht="9.75" customHeight="1">
      <c r="B29" s="954"/>
      <c r="C29" s="952"/>
      <c r="D29" s="287">
        <f t="shared" ca="1" si="1"/>
        <v>46991</v>
      </c>
      <c r="E29" s="359">
        <f t="shared" si="4"/>
        <v>0</v>
      </c>
      <c r="F29" s="289">
        <f t="shared" ca="1" si="2"/>
        <v>40</v>
      </c>
      <c r="G29" s="290">
        <f ca="1">KTVCOI!R28</f>
        <v>0.11480556327798308</v>
      </c>
      <c r="H29" s="290">
        <f ca="1">(H28-F29-G29)*(1+LS!$F$3)</f>
        <v>-1095.8682071889743</v>
      </c>
      <c r="I29" s="291"/>
      <c r="J29" s="292">
        <f t="shared" ca="1" si="3"/>
        <v>-1095.8682071889743</v>
      </c>
      <c r="K29" s="949"/>
      <c r="L29" s="949"/>
      <c r="M29" s="949"/>
      <c r="N29" s="950"/>
      <c r="O29" s="950"/>
      <c r="X29" s="1004"/>
      <c r="Y29" s="1004"/>
    </row>
    <row r="30" spans="2:25" ht="9.75" customHeight="1">
      <c r="B30" s="954"/>
      <c r="C30" s="952"/>
      <c r="D30" s="287">
        <f t="shared" ca="1" si="1"/>
        <v>47022</v>
      </c>
      <c r="E30" s="359">
        <f t="shared" si="4"/>
        <v>0</v>
      </c>
      <c r="F30" s="289">
        <f t="shared" ca="1" si="2"/>
        <v>40</v>
      </c>
      <c r="G30" s="290">
        <f ca="1">KTVCOI!R29</f>
        <v>0.11963227928479636</v>
      </c>
      <c r="H30" s="290">
        <f ca="1">(H29-F30-G30)*(1+LS!$F$3)</f>
        <v>-1140.2532604455284</v>
      </c>
      <c r="I30" s="291"/>
      <c r="J30" s="292">
        <f t="shared" ca="1" si="3"/>
        <v>-1140.2532604455284</v>
      </c>
      <c r="K30" s="949"/>
      <c r="L30" s="949"/>
      <c r="M30" s="949"/>
      <c r="N30" s="950"/>
      <c r="O30" s="950"/>
      <c r="X30" s="1004"/>
      <c r="Y30" s="1004"/>
    </row>
    <row r="31" spans="2:25" ht="9.75" customHeight="1">
      <c r="B31" s="954"/>
      <c r="C31" s="952"/>
      <c r="D31" s="287">
        <f t="shared" ca="1" si="1"/>
        <v>47052</v>
      </c>
      <c r="E31" s="359">
        <f t="shared" si="4"/>
        <v>0</v>
      </c>
      <c r="F31" s="289">
        <f t="shared" ca="1" si="2"/>
        <v>40</v>
      </c>
      <c r="G31" s="290">
        <f ca="1">KTVCOI!R30</f>
        <v>0.12447764759863687</v>
      </c>
      <c r="H31" s="290">
        <f ca="1">(H30-F31-G31)*(1+LS!$F$3)</f>
        <v>-1184.809834802473</v>
      </c>
      <c r="I31" s="291"/>
      <c r="J31" s="292">
        <f t="shared" ca="1" si="3"/>
        <v>-1184.809834802473</v>
      </c>
      <c r="K31" s="949"/>
      <c r="L31" s="949"/>
      <c r="M31" s="949"/>
      <c r="N31" s="950"/>
      <c r="O31" s="950"/>
      <c r="X31" s="1004"/>
      <c r="Y31" s="1004"/>
    </row>
    <row r="32" spans="2:25" ht="9.75" customHeight="1">
      <c r="B32" s="954"/>
      <c r="C32" s="952"/>
      <c r="D32" s="287">
        <f t="shared" ca="1" si="1"/>
        <v>47083</v>
      </c>
      <c r="E32" s="359">
        <f t="shared" si="4"/>
        <v>0</v>
      </c>
      <c r="F32" s="289">
        <f t="shared" ca="1" si="2"/>
        <v>40</v>
      </c>
      <c r="G32" s="290">
        <f ca="1">KTVCOI!R31</f>
        <v>0.12934174029926995</v>
      </c>
      <c r="H32" s="290">
        <f ca="1">(H31-F32-G32)*(1+LS!$F$3)</f>
        <v>-1229.5385930840182</v>
      </c>
      <c r="I32" s="291"/>
      <c r="J32" s="292">
        <f t="shared" ca="1" si="3"/>
        <v>-1229.5385930840182</v>
      </c>
      <c r="K32" s="949"/>
      <c r="L32" s="949"/>
      <c r="M32" s="949"/>
      <c r="N32" s="950"/>
      <c r="O32" s="950"/>
      <c r="X32" s="1004"/>
      <c r="Y32" s="1004"/>
    </row>
    <row r="33" spans="2:25" ht="9.75" customHeight="1">
      <c r="B33" s="954"/>
      <c r="C33" s="952"/>
      <c r="D33" s="287">
        <f t="shared" ca="1" si="1"/>
        <v>47113</v>
      </c>
      <c r="E33" s="359">
        <f t="shared" si="4"/>
        <v>0</v>
      </c>
      <c r="F33" s="289">
        <f t="shared" ca="1" si="2"/>
        <v>40</v>
      </c>
      <c r="G33" s="290">
        <f ca="1">KTVCOI!R32</f>
        <v>0.13422462974500532</v>
      </c>
      <c r="H33" s="290">
        <f ca="1">(H32-F33-G33)*(1+LS!$F$3)</f>
        <v>-1274.440200675785</v>
      </c>
      <c r="I33" s="291"/>
      <c r="J33" s="292">
        <f t="shared" ca="1" si="3"/>
        <v>-1274.440200675785</v>
      </c>
      <c r="K33" s="949"/>
      <c r="L33" s="949"/>
      <c r="M33" s="949"/>
      <c r="N33" s="950"/>
      <c r="O33" s="950"/>
      <c r="X33" s="1004"/>
      <c r="Y33" s="1004"/>
    </row>
    <row r="34" spans="2:25" ht="9.75" customHeight="1">
      <c r="B34" s="954"/>
      <c r="C34" s="952"/>
      <c r="D34" s="287">
        <f t="shared" ca="1" si="1"/>
        <v>47144</v>
      </c>
      <c r="E34" s="359">
        <f t="shared" si="4"/>
        <v>0</v>
      </c>
      <c r="F34" s="289">
        <f t="shared" ca="1" si="2"/>
        <v>40</v>
      </c>
      <c r="G34" s="290">
        <f ca="1">KTVCOI!R33</f>
        <v>0.13912638857377321</v>
      </c>
      <c r="H34" s="290">
        <f ca="1">(H33-F34-G34)*(1+LS!$F$3)</f>
        <v>-1319.5153255347029</v>
      </c>
      <c r="I34" s="291"/>
      <c r="J34" s="292">
        <f t="shared" ca="1" si="3"/>
        <v>-1319.5153255347029</v>
      </c>
      <c r="K34" s="949"/>
      <c r="L34" s="949"/>
      <c r="M34" s="949"/>
      <c r="N34" s="950"/>
      <c r="O34" s="950"/>
      <c r="X34" s="1004"/>
      <c r="Y34" s="1004"/>
    </row>
    <row r="35" spans="2:25" ht="9.75" customHeight="1">
      <c r="B35" s="954"/>
      <c r="C35" s="952"/>
      <c r="D35" s="287">
        <f t="shared" ca="1" si="1"/>
        <v>47175</v>
      </c>
      <c r="E35" s="359">
        <f t="shared" si="4"/>
        <v>0</v>
      </c>
      <c r="F35" s="289">
        <f t="shared" ca="1" si="2"/>
        <v>40</v>
      </c>
      <c r="G35" s="290">
        <f ca="1">KTVCOI!R34</f>
        <v>0.14404708970420507</v>
      </c>
      <c r="H35" s="290">
        <f ca="1">(H34-F35-G35)*(1+LS!$F$3)</f>
        <v>-1364.7646381989466</v>
      </c>
      <c r="I35" s="291"/>
      <c r="J35" s="292">
        <f t="shared" ca="1" si="3"/>
        <v>-1364.7646381989466</v>
      </c>
      <c r="K35" s="949"/>
      <c r="L35" s="949"/>
      <c r="M35" s="949"/>
      <c r="N35" s="950"/>
      <c r="O35" s="950"/>
      <c r="X35" s="1004"/>
      <c r="Y35" s="1004"/>
    </row>
    <row r="36" spans="2:25" ht="9.75" customHeight="1">
      <c r="B36" s="954"/>
      <c r="C36" s="952"/>
      <c r="D36" s="287">
        <f t="shared" ca="1" si="1"/>
        <v>47203</v>
      </c>
      <c r="E36" s="359">
        <f t="shared" si="4"/>
        <v>0</v>
      </c>
      <c r="F36" s="289">
        <f t="shared" ca="1" si="2"/>
        <v>40</v>
      </c>
      <c r="G36" s="290">
        <f ca="1">KTVCOI!R35</f>
        <v>0.14898680633671835</v>
      </c>
      <c r="H36" s="290">
        <f ca="1">(H35-F36-G36)*(1+LS!$F$3)</f>
        <v>-1410.1888117979115</v>
      </c>
      <c r="I36" s="291"/>
      <c r="J36" s="292">
        <f t="shared" ca="1" si="3"/>
        <v>-1410.1888117979115</v>
      </c>
      <c r="K36" s="949"/>
      <c r="L36" s="949"/>
      <c r="M36" s="949"/>
      <c r="N36" s="950"/>
      <c r="O36" s="950"/>
      <c r="X36" s="1004"/>
      <c r="Y36" s="1004"/>
    </row>
    <row r="37" spans="2:25" ht="9.75" customHeight="1">
      <c r="B37" s="954"/>
      <c r="C37" s="952"/>
      <c r="D37" s="287">
        <f t="shared" ca="1" si="1"/>
        <v>47234</v>
      </c>
      <c r="E37" s="359">
        <f t="shared" si="4"/>
        <v>0</v>
      </c>
      <c r="F37" s="289">
        <f t="shared" ca="1" si="2"/>
        <v>40</v>
      </c>
      <c r="G37" s="290">
        <f ca="1">KTVCOI!R36</f>
        <v>0.15394561195460535</v>
      </c>
      <c r="H37" s="290">
        <f ca="1">(H36-F37-G37)*(1+LS!$F$3)</f>
        <v>-1455.7885220622259</v>
      </c>
      <c r="I37" s="291"/>
      <c r="J37" s="292">
        <f t="shared" ca="1" si="3"/>
        <v>-1455.7885220622259</v>
      </c>
      <c r="K37" s="949"/>
      <c r="L37" s="949"/>
      <c r="M37" s="949"/>
      <c r="N37" s="950"/>
      <c r="O37" s="950"/>
      <c r="X37" s="1004"/>
      <c r="Y37" s="1004"/>
    </row>
    <row r="38" spans="2:25" ht="9.75" customHeight="1">
      <c r="B38" s="954"/>
      <c r="C38" s="952"/>
      <c r="D38" s="287">
        <f t="shared" ca="1" si="1"/>
        <v>47264</v>
      </c>
      <c r="E38" s="359">
        <f t="shared" si="4"/>
        <v>0</v>
      </c>
      <c r="F38" s="289">
        <f t="shared" ca="1" si="2"/>
        <v>40</v>
      </c>
      <c r="G38" s="290">
        <f ca="1">KTVCOI!R37</f>
        <v>0.15892358032512635</v>
      </c>
      <c r="H38" s="290">
        <f ca="1">(H37-F38-G38)*(1+LS!$F$3)</f>
        <v>-1501.5644473338041</v>
      </c>
      <c r="I38" s="291"/>
      <c r="J38" s="292">
        <f t="shared" ca="1" si="3"/>
        <v>-1501.5644473338041</v>
      </c>
      <c r="K38" s="949"/>
      <c r="L38" s="949"/>
      <c r="M38" s="949"/>
      <c r="N38" s="950"/>
      <c r="O38" s="950"/>
      <c r="X38" s="1004"/>
      <c r="Y38" s="1004"/>
    </row>
    <row r="39" spans="2:25" ht="9.75" customHeight="1">
      <c r="B39" s="954"/>
      <c r="C39" s="952"/>
      <c r="D39" s="287">
        <f t="shared" ca="1" si="1"/>
        <v>47295</v>
      </c>
      <c r="E39" s="359">
        <f t="shared" si="4"/>
        <v>0</v>
      </c>
      <c r="F39" s="289">
        <f t="shared" ca="1" si="2"/>
        <v>40</v>
      </c>
      <c r="G39" s="290">
        <f ca="1">KTVCOI!R38</f>
        <v>0.16392078550060696</v>
      </c>
      <c r="H39" s="290">
        <f ca="1">(H38-F39-G39)*(1+LS!$F$3)</f>
        <v>-1547.5172685759376</v>
      </c>
      <c r="I39" s="291"/>
      <c r="J39" s="293">
        <f t="shared" ca="1" si="3"/>
        <v>-1547.5172685759376</v>
      </c>
      <c r="K39" s="949"/>
      <c r="L39" s="949"/>
      <c r="M39" s="949"/>
      <c r="N39" s="950"/>
      <c r="O39" s="950"/>
      <c r="X39" s="1004"/>
      <c r="Y39" s="1004"/>
    </row>
    <row r="40" spans="2:25" ht="9.75" customHeight="1">
      <c r="B40" s="955">
        <v>4</v>
      </c>
      <c r="C40" s="947">
        <f ca="1">C28+1</f>
        <v>33</v>
      </c>
      <c r="D40" s="294">
        <f t="shared" ca="1" si="1"/>
        <v>47325</v>
      </c>
      <c r="E40" s="359">
        <f t="shared" si="4"/>
        <v>0</v>
      </c>
      <c r="F40" s="360">
        <f t="shared" ca="1" si="2"/>
        <v>40</v>
      </c>
      <c r="G40" s="290">
        <f ca="1">KTVCOI!R39</f>
        <v>0.17667488816241952</v>
      </c>
      <c r="H40" s="290">
        <f ca="1">(H39+KTVTDGTTKMH!F10-F40-G40)*(1+LS!$F$3)</f>
        <v>-1593.6554360229509</v>
      </c>
      <c r="I40" s="948"/>
      <c r="J40" s="296">
        <f t="shared" ca="1" si="3"/>
        <v>-1593.6554360229509</v>
      </c>
      <c r="K40" s="949">
        <f ca="1">J51</f>
        <v>-2173.9222844230135</v>
      </c>
      <c r="L40" s="949"/>
      <c r="M40" s="949"/>
      <c r="N40" s="950">
        <f t="shared" ref="N40" ca="1" si="8">SUM(G40:G51)</f>
        <v>2.489551285641721</v>
      </c>
      <c r="O40" s="950"/>
      <c r="X40" s="945">
        <f t="shared" ref="X40:Y40" ca="1" si="9">SUM(F40:F51)</f>
        <v>540</v>
      </c>
      <c r="Y40" s="945">
        <f t="shared" ca="1" si="9"/>
        <v>2.489551285641721</v>
      </c>
    </row>
    <row r="41" spans="2:25" ht="9.75" customHeight="1">
      <c r="B41" s="955"/>
      <c r="C41" s="946"/>
      <c r="D41" s="294">
        <f t="shared" ca="1" si="1"/>
        <v>47356</v>
      </c>
      <c r="E41" s="359">
        <f t="shared" si="4"/>
        <v>0</v>
      </c>
      <c r="F41" s="360">
        <f t="shared" ca="1" si="2"/>
        <v>40</v>
      </c>
      <c r="G41" s="290">
        <f ca="1">KTVCOI!R40</f>
        <v>0.18194232894595361</v>
      </c>
      <c r="H41" s="290">
        <f ca="1">(H40-F41-G41)*(1+LS!$F$3)</f>
        <v>-1639.9721308421445</v>
      </c>
      <c r="I41" s="948"/>
      <c r="J41" s="296">
        <f t="shared" ca="1" si="3"/>
        <v>-1639.9721308421445</v>
      </c>
      <c r="K41" s="949"/>
      <c r="L41" s="949"/>
      <c r="M41" s="949"/>
      <c r="N41" s="950"/>
      <c r="O41" s="950"/>
      <c r="X41" s="1004"/>
      <c r="Y41" s="1004"/>
    </row>
    <row r="42" spans="2:25" ht="9.75" customHeight="1">
      <c r="B42" s="955"/>
      <c r="C42" s="946"/>
      <c r="D42" s="294">
        <f t="shared" ca="1" si="1"/>
        <v>47387</v>
      </c>
      <c r="E42" s="359">
        <f t="shared" si="4"/>
        <v>0</v>
      </c>
      <c r="F42" s="360">
        <f t="shared" ca="1" si="2"/>
        <v>40</v>
      </c>
      <c r="G42" s="290">
        <f ca="1">KTVCOI!R41</f>
        <v>0.18723015160447817</v>
      </c>
      <c r="H42" s="290">
        <f ca="1">(H41-F42-G42)*(1+LS!$F$3)</f>
        <v>-1686.468043828675</v>
      </c>
      <c r="I42" s="948"/>
      <c r="J42" s="296">
        <f t="shared" ca="1" si="3"/>
        <v>-1686.468043828675</v>
      </c>
      <c r="K42" s="949"/>
      <c r="L42" s="949"/>
      <c r="M42" s="949"/>
      <c r="N42" s="950"/>
      <c r="O42" s="950"/>
      <c r="X42" s="1004"/>
      <c r="Y42" s="1004"/>
    </row>
    <row r="43" spans="2:25" ht="9.75" customHeight="1">
      <c r="B43" s="955"/>
      <c r="C43" s="946"/>
      <c r="D43" s="294">
        <f t="shared" ca="1" si="1"/>
        <v>47417</v>
      </c>
      <c r="E43" s="359">
        <f t="shared" si="4"/>
        <v>0</v>
      </c>
      <c r="F43" s="360">
        <f t="shared" ca="1" si="2"/>
        <v>40</v>
      </c>
      <c r="G43" s="290">
        <f ca="1">KTVCOI!R42</f>
        <v>0.19253843500377374</v>
      </c>
      <c r="H43" s="290">
        <f ca="1">(H42-F43-G43)*(1+LS!$F$3)</f>
        <v>-1733.1438684506675</v>
      </c>
      <c r="I43" s="948"/>
      <c r="J43" s="296">
        <f t="shared" ca="1" si="3"/>
        <v>-1733.1438684506675</v>
      </c>
      <c r="K43" s="949"/>
      <c r="L43" s="949"/>
      <c r="M43" s="949"/>
      <c r="N43" s="950"/>
      <c r="O43" s="950"/>
      <c r="X43" s="1004"/>
      <c r="Y43" s="1004"/>
    </row>
    <row r="44" spans="2:25" ht="9.75" customHeight="1">
      <c r="B44" s="955"/>
      <c r="C44" s="946"/>
      <c r="D44" s="294">
        <f t="shared" ca="1" si="1"/>
        <v>47448</v>
      </c>
      <c r="E44" s="359">
        <f t="shared" si="4"/>
        <v>0</v>
      </c>
      <c r="F44" s="360">
        <f t="shared" ca="1" si="2"/>
        <v>40</v>
      </c>
      <c r="G44" s="290">
        <f ca="1">KTVCOI!R43</f>
        <v>0.19786725831478458</v>
      </c>
      <c r="H44" s="290">
        <f ca="1">(H43-F44-G44)*(1+LS!$F$3)</f>
        <v>-1780.0003008595572</v>
      </c>
      <c r="I44" s="948"/>
      <c r="J44" s="296">
        <f t="shared" ca="1" si="3"/>
        <v>-1780.0003008595572</v>
      </c>
      <c r="K44" s="949"/>
      <c r="L44" s="949"/>
      <c r="M44" s="949"/>
      <c r="N44" s="950"/>
      <c r="O44" s="950"/>
      <c r="X44" s="1004"/>
      <c r="Y44" s="1004"/>
    </row>
    <row r="45" spans="2:25" ht="9.75" customHeight="1">
      <c r="B45" s="955"/>
      <c r="C45" s="946"/>
      <c r="D45" s="294">
        <f t="shared" ca="1" si="1"/>
        <v>47478</v>
      </c>
      <c r="E45" s="359">
        <f t="shared" si="4"/>
        <v>0</v>
      </c>
      <c r="F45" s="360">
        <f t="shared" ca="1" si="2"/>
        <v>40</v>
      </c>
      <c r="G45" s="290">
        <f ca="1">KTVCOI!R44</f>
        <v>0.20321670101479947</v>
      </c>
      <c r="H45" s="290">
        <f ca="1">(H44-F45-G45)*(1+LS!$F$3)</f>
        <v>-1827.0380399004734</v>
      </c>
      <c r="I45" s="948"/>
      <c r="J45" s="296">
        <f t="shared" ca="1" si="3"/>
        <v>-1827.0380399004734</v>
      </c>
      <c r="K45" s="949"/>
      <c r="L45" s="949"/>
      <c r="M45" s="949"/>
      <c r="N45" s="950"/>
      <c r="O45" s="950"/>
      <c r="X45" s="1004"/>
      <c r="Y45" s="1004"/>
    </row>
    <row r="46" spans="2:25" ht="9.75" customHeight="1">
      <c r="B46" s="955"/>
      <c r="C46" s="946"/>
      <c r="D46" s="294">
        <f t="shared" ca="1" si="1"/>
        <v>47509</v>
      </c>
      <c r="E46" s="359">
        <f t="shared" si="4"/>
        <v>0</v>
      </c>
      <c r="F46" s="360">
        <f t="shared" ca="1" si="2"/>
        <v>50</v>
      </c>
      <c r="G46" s="290">
        <f ca="1">KTVCOI!R45</f>
        <v>0.20858684288863741</v>
      </c>
      <c r="H46" s="290">
        <f ca="1">(H45-F46-G46)*(1+LS!$F$3)</f>
        <v>-1884.2953352444738</v>
      </c>
      <c r="I46" s="948"/>
      <c r="J46" s="296">
        <f t="shared" ca="1" si="3"/>
        <v>-1884.2953352444738</v>
      </c>
      <c r="K46" s="949"/>
      <c r="L46" s="949"/>
      <c r="M46" s="949"/>
      <c r="N46" s="950"/>
      <c r="O46" s="950"/>
      <c r="X46" s="1004"/>
      <c r="Y46" s="1004"/>
    </row>
    <row r="47" spans="2:25" ht="9.75" customHeight="1">
      <c r="B47" s="955"/>
      <c r="C47" s="946"/>
      <c r="D47" s="294">
        <f t="shared" ca="1" si="1"/>
        <v>47540</v>
      </c>
      <c r="E47" s="359">
        <f t="shared" si="4"/>
        <v>0</v>
      </c>
      <c r="F47" s="360">
        <f t="shared" ca="1" si="2"/>
        <v>50</v>
      </c>
      <c r="G47" s="290">
        <f ca="1">KTVCOI!R46</f>
        <v>0.21512371744041078</v>
      </c>
      <c r="H47" s="290">
        <f ca="1">(H46-F47-G47)*(1+LS!$F$3)</f>
        <v>-1941.7741823977792</v>
      </c>
      <c r="I47" s="948"/>
      <c r="J47" s="296">
        <f t="shared" ca="1" si="3"/>
        <v>-1941.7741823977792</v>
      </c>
      <c r="K47" s="949"/>
      <c r="L47" s="949"/>
      <c r="M47" s="949"/>
      <c r="N47" s="950"/>
      <c r="O47" s="950"/>
      <c r="X47" s="1004"/>
      <c r="Y47" s="1004"/>
    </row>
    <row r="48" spans="2:25" ht="9.75" customHeight="1">
      <c r="B48" s="955"/>
      <c r="C48" s="946"/>
      <c r="D48" s="294">
        <f t="shared" ca="1" si="1"/>
        <v>47568</v>
      </c>
      <c r="E48" s="359">
        <f t="shared" si="4"/>
        <v>0</v>
      </c>
      <c r="F48" s="360">
        <f t="shared" ca="1" si="2"/>
        <v>50</v>
      </c>
      <c r="G48" s="290">
        <f ca="1">KTVCOI!R47</f>
        <v>0.22168588582374646</v>
      </c>
      <c r="H48" s="290">
        <f ca="1">(H47-F48-G48)*(1+LS!$F$3)</f>
        <v>-1999.4754386346269</v>
      </c>
      <c r="I48" s="948"/>
      <c r="J48" s="296">
        <f t="shared" ca="1" si="3"/>
        <v>-1999.4754386346269</v>
      </c>
      <c r="K48" s="949"/>
      <c r="L48" s="949"/>
      <c r="M48" s="949"/>
      <c r="N48" s="950"/>
      <c r="O48" s="950"/>
      <c r="X48" s="1004"/>
      <c r="Y48" s="1004"/>
    </row>
    <row r="49" spans="2:25" ht="9.75" customHeight="1">
      <c r="B49" s="955"/>
      <c r="C49" s="946"/>
      <c r="D49" s="294">
        <f t="shared" ca="1" si="1"/>
        <v>47599</v>
      </c>
      <c r="E49" s="359">
        <f t="shared" si="4"/>
        <v>0</v>
      </c>
      <c r="F49" s="360">
        <f t="shared" ca="1" si="2"/>
        <v>50</v>
      </c>
      <c r="G49" s="290">
        <f ca="1">KTVCOI!R48</f>
        <v>0.2282734459107866</v>
      </c>
      <c r="H49" s="290">
        <f ca="1">(H48-F49-G49)*(1+LS!$F$3)</f>
        <v>-2057.3999645463982</v>
      </c>
      <c r="I49" s="948"/>
      <c r="J49" s="296">
        <f t="shared" ca="1" si="3"/>
        <v>-2057.3999645463982</v>
      </c>
      <c r="K49" s="949"/>
      <c r="L49" s="949"/>
      <c r="M49" s="949"/>
      <c r="N49" s="950"/>
      <c r="O49" s="950"/>
      <c r="X49" s="1004"/>
      <c r="Y49" s="1004"/>
    </row>
    <row r="50" spans="2:25" ht="9.75" customHeight="1">
      <c r="B50" s="955"/>
      <c r="C50" s="946"/>
      <c r="D50" s="294">
        <f t="shared" ca="1" si="1"/>
        <v>47629</v>
      </c>
      <c r="E50" s="359">
        <f t="shared" si="4"/>
        <v>0</v>
      </c>
      <c r="F50" s="360">
        <f t="shared" ca="1" si="2"/>
        <v>50</v>
      </c>
      <c r="G50" s="290">
        <f ca="1">KTVCOI!R49</f>
        <v>0.23488649595238051</v>
      </c>
      <c r="H50" s="290">
        <f ca="1">(H49-F50-G50)*(1+LS!$F$3)</f>
        <v>-2115.5486240544524</v>
      </c>
      <c r="I50" s="948"/>
      <c r="J50" s="296">
        <f t="shared" ca="1" si="3"/>
        <v>-2115.5486240544524</v>
      </c>
      <c r="K50" s="949"/>
      <c r="L50" s="949"/>
      <c r="M50" s="949"/>
      <c r="N50" s="950"/>
      <c r="O50" s="950"/>
      <c r="X50" s="1004"/>
      <c r="Y50" s="1004"/>
    </row>
    <row r="51" spans="2:25" ht="9.75" customHeight="1">
      <c r="B51" s="955"/>
      <c r="C51" s="946"/>
      <c r="D51" s="294">
        <f t="shared" ca="1" si="1"/>
        <v>47660</v>
      </c>
      <c r="E51" s="359">
        <f t="shared" si="4"/>
        <v>0</v>
      </c>
      <c r="F51" s="360">
        <f t="shared" ca="1" si="2"/>
        <v>50</v>
      </c>
      <c r="G51" s="290">
        <f ca="1">KTVCOI!R50</f>
        <v>0.24152513457955002</v>
      </c>
      <c r="H51" s="290">
        <f ca="1">(H50-F51-G51)*(1+LS!$F$3)</f>
        <v>-2173.9222844230135</v>
      </c>
      <c r="I51" s="948"/>
      <c r="J51" s="297">
        <f ca="1">H51+I40</f>
        <v>-2173.9222844230135</v>
      </c>
      <c r="K51" s="949"/>
      <c r="L51" s="949"/>
      <c r="M51" s="949"/>
      <c r="N51" s="950"/>
      <c r="O51" s="950"/>
      <c r="X51" s="1004"/>
      <c r="Y51" s="1004"/>
    </row>
    <row r="52" spans="2:25" ht="9.75" customHeight="1">
      <c r="B52" s="954">
        <v>5</v>
      </c>
      <c r="C52" s="952">
        <f ca="1">C40+1</f>
        <v>34</v>
      </c>
      <c r="D52" s="287">
        <f t="shared" ca="1" si="1"/>
        <v>47690</v>
      </c>
      <c r="E52" s="359">
        <f t="shared" si="4"/>
        <v>0</v>
      </c>
      <c r="F52" s="289">
        <f t="shared" ca="1" si="2"/>
        <v>50</v>
      </c>
      <c r="G52" s="290">
        <f ca="1">KTVCOI!R51</f>
        <v>0.26087067413076165</v>
      </c>
      <c r="H52" s="290">
        <f ca="1">(H51+KTVTDGTTKMH!F11-F52-G52)*(1+LS!$F$3)</f>
        <v>-2232.534545101003</v>
      </c>
      <c r="I52" s="953"/>
      <c r="J52" s="292">
        <f t="shared" ca="1" si="3"/>
        <v>-2232.534545101003</v>
      </c>
      <c r="K52" s="949">
        <f ca="1">J63</f>
        <v>-2892.4558618858987</v>
      </c>
      <c r="L52" s="949"/>
      <c r="M52" s="949"/>
      <c r="N52" s="950">
        <f t="shared" ref="N52" ca="1" si="10">SUM(G52:G63)</f>
        <v>3.6007062456627557</v>
      </c>
      <c r="O52" s="950"/>
      <c r="X52" s="945">
        <f t="shared" ref="X52:Y52" ca="1" si="11">SUM(F52:F63)</f>
        <v>600</v>
      </c>
      <c r="Y52" s="945">
        <f t="shared" ca="1" si="11"/>
        <v>3.6007062456627557</v>
      </c>
    </row>
    <row r="53" spans="2:25" ht="9.75" customHeight="1">
      <c r="B53" s="954"/>
      <c r="C53" s="951"/>
      <c r="D53" s="287">
        <f t="shared" ca="1" si="1"/>
        <v>47721</v>
      </c>
      <c r="E53" s="359">
        <f t="shared" si="4"/>
        <v>0</v>
      </c>
      <c r="F53" s="289">
        <f t="shared" ca="1" si="2"/>
        <v>50</v>
      </c>
      <c r="G53" s="290">
        <f ca="1">KTVCOI!R52</f>
        <v>0.26790414541212038</v>
      </c>
      <c r="H53" s="290">
        <f ca="1">(H52-F53-G53)*(1+LS!$F$3)</f>
        <v>-2291.3739436899959</v>
      </c>
      <c r="I53" s="953"/>
      <c r="J53" s="292">
        <f t="shared" ca="1" si="3"/>
        <v>-2291.3739436899959</v>
      </c>
      <c r="K53" s="949"/>
      <c r="L53" s="949"/>
      <c r="M53" s="949"/>
      <c r="N53" s="950"/>
      <c r="O53" s="950"/>
      <c r="X53" s="1004"/>
      <c r="Y53" s="1004"/>
    </row>
    <row r="54" spans="2:25" ht="9.75" customHeight="1">
      <c r="B54" s="954"/>
      <c r="C54" s="951"/>
      <c r="D54" s="287">
        <f t="shared" ca="1" si="1"/>
        <v>47752</v>
      </c>
      <c r="E54" s="359">
        <f t="shared" si="4"/>
        <v>0</v>
      </c>
      <c r="F54" s="289">
        <f t="shared" ca="1" si="2"/>
        <v>50</v>
      </c>
      <c r="G54" s="290">
        <f ca="1">KTVCOI!R53</f>
        <v>0.2749648732427995</v>
      </c>
      <c r="H54" s="290">
        <f ca="1">(H53-F54-G54)*(1+LS!$F$3)</f>
        <v>-2350.4413604090796</v>
      </c>
      <c r="I54" s="953"/>
      <c r="J54" s="292">
        <f t="shared" ca="1" si="3"/>
        <v>-2350.4413604090796</v>
      </c>
      <c r="K54" s="949"/>
      <c r="L54" s="949"/>
      <c r="M54" s="949"/>
      <c r="N54" s="950"/>
      <c r="O54" s="950"/>
      <c r="X54" s="1004"/>
      <c r="Y54" s="1004"/>
    </row>
    <row r="55" spans="2:25" ht="9.75" customHeight="1">
      <c r="B55" s="954"/>
      <c r="C55" s="951"/>
      <c r="D55" s="287">
        <f t="shared" ca="1" si="1"/>
        <v>47782</v>
      </c>
      <c r="E55" s="359">
        <f t="shared" si="4"/>
        <v>0</v>
      </c>
      <c r="F55" s="289">
        <f t="shared" ca="1" si="2"/>
        <v>50</v>
      </c>
      <c r="G55" s="290">
        <f ca="1">KTVCOI!R54</f>
        <v>0.28205296324908952</v>
      </c>
      <c r="H55" s="290">
        <f ca="1">(H54-F55-G55)*(1+LS!$F$3)</f>
        <v>-2409.7376788884217</v>
      </c>
      <c r="I55" s="953"/>
      <c r="J55" s="292">
        <f t="shared" ca="1" si="3"/>
        <v>-2409.7376788884217</v>
      </c>
      <c r="K55" s="949"/>
      <c r="L55" s="949"/>
      <c r="M55" s="949"/>
      <c r="N55" s="950"/>
      <c r="O55" s="950"/>
      <c r="X55" s="1004"/>
      <c r="Y55" s="1004"/>
    </row>
    <row r="56" spans="2:25" ht="9.75" customHeight="1">
      <c r="B56" s="954"/>
      <c r="C56" s="951"/>
      <c r="D56" s="287">
        <f t="shared" ca="1" si="1"/>
        <v>47813</v>
      </c>
      <c r="E56" s="359">
        <f t="shared" si="4"/>
        <v>0</v>
      </c>
      <c r="F56" s="289">
        <f t="shared" ca="1" si="2"/>
        <v>50</v>
      </c>
      <c r="G56" s="290">
        <f ca="1">KTVCOI!R55</f>
        <v>0.2891685214666106</v>
      </c>
      <c r="H56" s="290">
        <f ca="1">(H55-F56-G56)*(1+LS!$F$3)</f>
        <v>-2469.2637861824896</v>
      </c>
      <c r="I56" s="953"/>
      <c r="J56" s="292">
        <f t="shared" ca="1" si="3"/>
        <v>-2469.2637861824896</v>
      </c>
      <c r="K56" s="949"/>
      <c r="L56" s="949"/>
      <c r="M56" s="949"/>
      <c r="N56" s="950"/>
      <c r="O56" s="950"/>
      <c r="X56" s="1004"/>
      <c r="Y56" s="1004"/>
    </row>
    <row r="57" spans="2:25" ht="9.75" customHeight="1">
      <c r="B57" s="954"/>
      <c r="C57" s="951"/>
      <c r="D57" s="287">
        <f t="shared" ca="1" si="1"/>
        <v>47843</v>
      </c>
      <c r="E57" s="359">
        <f t="shared" si="4"/>
        <v>0</v>
      </c>
      <c r="F57" s="289">
        <f t="shared" ca="1" si="2"/>
        <v>50</v>
      </c>
      <c r="G57" s="290">
        <f ca="1">KTVCOI!R56</f>
        <v>0.29631165434189871</v>
      </c>
      <c r="H57" s="290">
        <f ca="1">(H56-F57-G57)*(1+LS!$F$3)</f>
        <v>-2529.020572783319</v>
      </c>
      <c r="I57" s="953"/>
      <c r="J57" s="292">
        <f t="shared" ca="1" si="3"/>
        <v>-2529.020572783319</v>
      </c>
      <c r="K57" s="949"/>
      <c r="L57" s="949"/>
      <c r="M57" s="949"/>
      <c r="N57" s="950"/>
      <c r="O57" s="950"/>
      <c r="X57" s="1004"/>
      <c r="Y57" s="1004"/>
    </row>
    <row r="58" spans="2:25" ht="9.75" customHeight="1">
      <c r="B58" s="954"/>
      <c r="C58" s="951"/>
      <c r="D58" s="287">
        <f t="shared" ca="1" si="1"/>
        <v>47874</v>
      </c>
      <c r="E58" s="359">
        <f t="shared" si="4"/>
        <v>0</v>
      </c>
      <c r="F58" s="289">
        <f t="shared" ca="1" si="2"/>
        <v>50</v>
      </c>
      <c r="G58" s="290">
        <f ca="1">KTVCOI!R57</f>
        <v>0.30348246873399826</v>
      </c>
      <c r="H58" s="290">
        <f ca="1">(H57-F58-G58)*(1+LS!$F$3)</f>
        <v>-2589.0089326338366</v>
      </c>
      <c r="I58" s="953"/>
      <c r="J58" s="292">
        <f t="shared" ca="1" si="3"/>
        <v>-2589.0089326338366</v>
      </c>
      <c r="K58" s="949"/>
      <c r="L58" s="949"/>
      <c r="M58" s="949"/>
      <c r="N58" s="950"/>
      <c r="O58" s="950"/>
      <c r="X58" s="1004"/>
      <c r="Y58" s="1004"/>
    </row>
    <row r="59" spans="2:25" ht="9.75" customHeight="1">
      <c r="B59" s="954"/>
      <c r="C59" s="951"/>
      <c r="D59" s="287">
        <f t="shared" ca="1" si="1"/>
        <v>47905</v>
      </c>
      <c r="E59" s="359">
        <f t="shared" si="4"/>
        <v>0</v>
      </c>
      <c r="F59" s="289">
        <f t="shared" ca="1" si="2"/>
        <v>50</v>
      </c>
      <c r="G59" s="290">
        <f ca="1">KTVCOI!R58</f>
        <v>0.31068107191606037</v>
      </c>
      <c r="H59" s="290">
        <f ca="1">(H58-F59-G59)*(1+LS!$F$3)</f>
        <v>-2649.229763141233</v>
      </c>
      <c r="I59" s="953"/>
      <c r="J59" s="292">
        <f t="shared" ca="1" si="3"/>
        <v>-2649.229763141233</v>
      </c>
      <c r="K59" s="949"/>
      <c r="L59" s="949"/>
      <c r="M59" s="949"/>
      <c r="N59" s="950"/>
      <c r="O59" s="950"/>
      <c r="X59" s="1004"/>
      <c r="Y59" s="1004"/>
    </row>
    <row r="60" spans="2:25" ht="9.75" customHeight="1">
      <c r="B60" s="954"/>
      <c r="C60" s="951"/>
      <c r="D60" s="287">
        <f t="shared" ca="1" si="1"/>
        <v>47933</v>
      </c>
      <c r="E60" s="359">
        <f t="shared" si="4"/>
        <v>0</v>
      </c>
      <c r="F60" s="289">
        <f t="shared" ca="1" si="2"/>
        <v>50</v>
      </c>
      <c r="G60" s="290">
        <f ca="1">KTVCOI!R59</f>
        <v>0.31790757157694793</v>
      </c>
      <c r="H60" s="290">
        <f ca="1">(H59-F60-G60)*(1+LS!$F$3)</f>
        <v>-2709.6839651903874</v>
      </c>
      <c r="I60" s="953"/>
      <c r="J60" s="292">
        <f t="shared" ca="1" si="3"/>
        <v>-2709.6839651903874</v>
      </c>
      <c r="K60" s="949"/>
      <c r="L60" s="949"/>
      <c r="M60" s="949"/>
      <c r="N60" s="950"/>
      <c r="O60" s="950"/>
      <c r="X60" s="1004"/>
      <c r="Y60" s="1004"/>
    </row>
    <row r="61" spans="2:25" ht="9.75" customHeight="1">
      <c r="B61" s="954"/>
      <c r="C61" s="951"/>
      <c r="D61" s="287">
        <f t="shared" ca="1" si="1"/>
        <v>47964</v>
      </c>
      <c r="E61" s="359">
        <f t="shared" si="4"/>
        <v>0</v>
      </c>
      <c r="F61" s="289">
        <f t="shared" ca="1" si="2"/>
        <v>50</v>
      </c>
      <c r="G61" s="290">
        <f ca="1">KTVCOI!R60</f>
        <v>0.32516207582284651</v>
      </c>
      <c r="H61" s="290">
        <f ca="1">(H60-F61-G61)*(1+LS!$F$3)</f>
        <v>-2770.3724431573442</v>
      </c>
      <c r="I61" s="953"/>
      <c r="J61" s="292">
        <f t="shared" ca="1" si="3"/>
        <v>-2770.3724431573442</v>
      </c>
      <c r="K61" s="949"/>
      <c r="L61" s="949"/>
      <c r="M61" s="949"/>
      <c r="N61" s="950"/>
      <c r="O61" s="950"/>
      <c r="X61" s="1004"/>
      <c r="Y61" s="1004"/>
    </row>
    <row r="62" spans="2:25" ht="9.75" customHeight="1">
      <c r="B62" s="954"/>
      <c r="C62" s="951"/>
      <c r="D62" s="287">
        <f t="shared" ca="1" si="1"/>
        <v>47994</v>
      </c>
      <c r="E62" s="359">
        <f t="shared" si="4"/>
        <v>0</v>
      </c>
      <c r="F62" s="289">
        <f t="shared" ca="1" si="2"/>
        <v>50</v>
      </c>
      <c r="G62" s="290">
        <f ca="1">KTVCOI!R61</f>
        <v>0.33244469317888131</v>
      </c>
      <c r="H62" s="290">
        <f ca="1">(H61-F62-G62)*(1+LS!$F$3)</f>
        <v>-2831.2961049228425</v>
      </c>
      <c r="I62" s="953"/>
      <c r="J62" s="292">
        <f t="shared" ca="1" si="3"/>
        <v>-2831.2961049228425</v>
      </c>
      <c r="K62" s="949"/>
      <c r="L62" s="949"/>
      <c r="M62" s="949"/>
      <c r="N62" s="950"/>
      <c r="O62" s="950"/>
      <c r="X62" s="1004"/>
      <c r="Y62" s="1004"/>
    </row>
    <row r="63" spans="2:25" ht="9.75" customHeight="1">
      <c r="B63" s="954"/>
      <c r="C63" s="951"/>
      <c r="D63" s="287">
        <f t="shared" ca="1" si="1"/>
        <v>48025</v>
      </c>
      <c r="E63" s="359">
        <f t="shared" si="4"/>
        <v>0</v>
      </c>
      <c r="F63" s="289">
        <f t="shared" ca="1" si="2"/>
        <v>50</v>
      </c>
      <c r="G63" s="290">
        <f ca="1">KTVCOI!R62</f>
        <v>0.33975553259074109</v>
      </c>
      <c r="H63" s="290">
        <f ca="1">(H62-F63-G63)*(1+LS!$F$3)</f>
        <v>-2892.4558618858987</v>
      </c>
      <c r="I63" s="953"/>
      <c r="J63" s="293">
        <f ca="1">H63+I52</f>
        <v>-2892.4558618858987</v>
      </c>
      <c r="K63" s="949"/>
      <c r="L63" s="949"/>
      <c r="M63" s="949"/>
      <c r="N63" s="950"/>
      <c r="O63" s="950"/>
      <c r="X63" s="1004"/>
      <c r="Y63" s="1004"/>
    </row>
    <row r="64" spans="2:25" ht="9.75" customHeight="1">
      <c r="B64" s="946">
        <f>B52+1</f>
        <v>6</v>
      </c>
      <c r="C64" s="947">
        <f ca="1">C52+1</f>
        <v>35</v>
      </c>
      <c r="D64" s="294">
        <f t="shared" ca="1" si="1"/>
        <v>48055</v>
      </c>
      <c r="E64" s="359">
        <f t="shared" si="4"/>
        <v>0</v>
      </c>
      <c r="F64" s="360">
        <f t="shared" ca="1" si="2"/>
        <v>50</v>
      </c>
      <c r="G64" s="290">
        <f ca="1">KTVCOI!R63</f>
        <v>0.36637774250554717</v>
      </c>
      <c r="H64" s="290">
        <f ca="1">(H63+KTVTDGTTKMH!F12-F64-G64)*(1+LS!$F$3)</f>
        <v>-2953.8719844207085</v>
      </c>
      <c r="I64" s="948"/>
      <c r="J64" s="296">
        <f t="shared" ca="1" si="3"/>
        <v>-2953.8719844207085</v>
      </c>
      <c r="K64" s="949">
        <f ca="1">J75</f>
        <v>-3645.3900980282538</v>
      </c>
      <c r="L64" s="949"/>
      <c r="M64" s="949"/>
      <c r="N64" s="950">
        <f t="shared" ref="N64" ca="1" si="12">SUM(G64:G75)</f>
        <v>4.9166739062154639</v>
      </c>
      <c r="O64" s="950"/>
      <c r="X64" s="945">
        <f t="shared" ref="X64:Y64" ca="1" si="13">SUM(F64:F75)</f>
        <v>600</v>
      </c>
      <c r="Y64" s="945">
        <f t="shared" ca="1" si="13"/>
        <v>4.9166739062154639</v>
      </c>
    </row>
    <row r="65" spans="2:25" ht="9.75" customHeight="1">
      <c r="B65" s="946"/>
      <c r="C65" s="946"/>
      <c r="D65" s="294">
        <f t="shared" ca="1" si="1"/>
        <v>48086</v>
      </c>
      <c r="E65" s="359">
        <f t="shared" si="4"/>
        <v>0</v>
      </c>
      <c r="F65" s="360">
        <f t="shared" ca="1" si="2"/>
        <v>50</v>
      </c>
      <c r="G65" s="290">
        <f ca="1">KTVCOI!R64</f>
        <v>0.37415711802662316</v>
      </c>
      <c r="H65" s="290">
        <f ca="1">(H64-F65-G65)*(1+LS!$F$3)</f>
        <v>-3015.5265215461463</v>
      </c>
      <c r="I65" s="948"/>
      <c r="J65" s="296">
        <f t="shared" ca="1" si="3"/>
        <v>-3015.5265215461463</v>
      </c>
      <c r="K65" s="949"/>
      <c r="L65" s="949"/>
      <c r="M65" s="949"/>
      <c r="N65" s="950"/>
      <c r="O65" s="950"/>
      <c r="X65" s="1004"/>
      <c r="Y65" s="1004"/>
    </row>
    <row r="66" spans="2:25" ht="9.75" customHeight="1">
      <c r="B66" s="946"/>
      <c r="C66" s="946"/>
      <c r="D66" s="294">
        <f t="shared" ca="1" si="1"/>
        <v>48117</v>
      </c>
      <c r="E66" s="359">
        <f t="shared" si="4"/>
        <v>0</v>
      </c>
      <c r="F66" s="360">
        <f t="shared" ca="1" si="2"/>
        <v>50</v>
      </c>
      <c r="G66" s="290">
        <f ca="1">KTVCOI!R65</f>
        <v>0.38196669272917855</v>
      </c>
      <c r="H66" s="290">
        <f ca="1">(H65-F66-G66)*(1+LS!$F$3)</f>
        <v>-3077.4203987767942</v>
      </c>
      <c r="I66" s="948"/>
      <c r="J66" s="296">
        <f t="shared" ca="1" si="3"/>
        <v>-3077.4203987767942</v>
      </c>
      <c r="K66" s="949"/>
      <c r="L66" s="949"/>
      <c r="M66" s="949"/>
      <c r="N66" s="950"/>
      <c r="O66" s="950"/>
      <c r="X66" s="1004"/>
      <c r="Y66" s="1004"/>
    </row>
    <row r="67" spans="2:25" ht="9.75" customHeight="1">
      <c r="B67" s="946"/>
      <c r="C67" s="946"/>
      <c r="D67" s="294">
        <f t="shared" ca="1" si="1"/>
        <v>48147</v>
      </c>
      <c r="E67" s="359">
        <f t="shared" si="4"/>
        <v>0</v>
      </c>
      <c r="F67" s="360">
        <f t="shared" ca="1" si="2"/>
        <v>50</v>
      </c>
      <c r="G67" s="290">
        <f ca="1">KTVCOI!R66</f>
        <v>0.38980658384506062</v>
      </c>
      <c r="H67" s="290">
        <f ca="1">(H66-F67-G67)*(1+LS!$F$3)</f>
        <v>-3139.5545452200408</v>
      </c>
      <c r="I67" s="948"/>
      <c r="J67" s="296">
        <f t="shared" ca="1" si="3"/>
        <v>-3139.5545452200408</v>
      </c>
      <c r="K67" s="949"/>
      <c r="L67" s="949"/>
      <c r="M67" s="949"/>
      <c r="N67" s="950"/>
      <c r="O67" s="950"/>
      <c r="X67" s="1004"/>
      <c r="Y67" s="1004"/>
    </row>
    <row r="68" spans="2:25" ht="9.75" customHeight="1">
      <c r="B68" s="946"/>
      <c r="C68" s="946"/>
      <c r="D68" s="294">
        <f t="shared" ca="1" si="1"/>
        <v>48178</v>
      </c>
      <c r="E68" s="359">
        <f t="shared" si="4"/>
        <v>0</v>
      </c>
      <c r="F68" s="360">
        <f t="shared" ca="1" si="2"/>
        <v>50</v>
      </c>
      <c r="G68" s="290">
        <f ca="1">KTVCOI!R67</f>
        <v>0.39767690906120512</v>
      </c>
      <c r="H68" s="290">
        <f ca="1">(H67-F68-G68)*(1+LS!$F$3)</f>
        <v>-3201.9298935900269</v>
      </c>
      <c r="I68" s="948"/>
      <c r="J68" s="296">
        <f t="shared" ca="1" si="3"/>
        <v>-3201.9298935900269</v>
      </c>
      <c r="K68" s="949"/>
      <c r="L68" s="949"/>
      <c r="M68" s="949"/>
      <c r="N68" s="950"/>
      <c r="O68" s="950"/>
      <c r="X68" s="1004"/>
      <c r="Y68" s="1004"/>
    </row>
    <row r="69" spans="2:25" ht="9.75" customHeight="1">
      <c r="B69" s="946"/>
      <c r="C69" s="946"/>
      <c r="D69" s="294">
        <f t="shared" ref="D69:D132" ca="1" si="14">EDATE(D68,1)</f>
        <v>48208</v>
      </c>
      <c r="E69" s="359">
        <f t="shared" si="4"/>
        <v>0</v>
      </c>
      <c r="F69" s="360">
        <f t="shared" ref="F69:F132" ca="1" si="15">IF(YEAR(D69)=2025,40000,IF(YEAR(D69)=2026,40000,IF(YEAR(D69)=2027,40000,IF(YEAR(D69)=2028,40000,IF(YEAR(D69)=2029,40000,IF(YEAR(D69)=2030,50000,IF(YEAR(D69)=2031,50000,IF(YEAR(D69)=2032,50000,IF(YEAR(D69)=2033,50000,IF(YEAR(D69)=2034,50000,IF(YEAR(D69)&gt;=2035,60000,0)))))))))))/1000</f>
        <v>50</v>
      </c>
      <c r="G69" s="290">
        <f ca="1">KTVCOI!R68</f>
        <v>0.40557778652140342</v>
      </c>
      <c r="H69" s="290">
        <f ca="1">(H68-F69-G69)*(1+LS!$F$3)</f>
        <v>-3264.5473802216466</v>
      </c>
      <c r="I69" s="948"/>
      <c r="J69" s="296">
        <f t="shared" ref="J69:J132" ca="1" si="16">H69</f>
        <v>-3264.5473802216466</v>
      </c>
      <c r="K69" s="949"/>
      <c r="L69" s="949"/>
      <c r="M69" s="949"/>
      <c r="N69" s="950"/>
      <c r="O69" s="950"/>
      <c r="X69" s="1004"/>
      <c r="Y69" s="1004"/>
    </row>
    <row r="70" spans="2:25" ht="9.75" customHeight="1">
      <c r="B70" s="946"/>
      <c r="C70" s="946"/>
      <c r="D70" s="294">
        <f t="shared" ca="1" si="14"/>
        <v>48239</v>
      </c>
      <c r="E70" s="359">
        <f t="shared" ref="E70:E133" si="17">E69</f>
        <v>0</v>
      </c>
      <c r="F70" s="360">
        <f t="shared" ca="1" si="15"/>
        <v>50</v>
      </c>
      <c r="G70" s="290">
        <f ca="1">KTVCOI!R69</f>
        <v>0.41350933482807523</v>
      </c>
      <c r="H70" s="290">
        <f ca="1">(H69-F70-G70)*(1+LS!$F$3)</f>
        <v>-3327.4079450846043</v>
      </c>
      <c r="I70" s="948"/>
      <c r="J70" s="296">
        <f t="shared" ca="1" si="16"/>
        <v>-3327.4079450846043</v>
      </c>
      <c r="K70" s="949"/>
      <c r="L70" s="949"/>
      <c r="M70" s="949"/>
      <c r="N70" s="950"/>
      <c r="O70" s="950"/>
      <c r="X70" s="1004"/>
      <c r="Y70" s="1004"/>
    </row>
    <row r="71" spans="2:25" ht="9.75" customHeight="1">
      <c r="B71" s="946"/>
      <c r="C71" s="946"/>
      <c r="D71" s="294">
        <f t="shared" ca="1" si="14"/>
        <v>48270</v>
      </c>
      <c r="E71" s="359">
        <f t="shared" si="17"/>
        <v>0</v>
      </c>
      <c r="F71" s="360">
        <f t="shared" ca="1" si="15"/>
        <v>50</v>
      </c>
      <c r="G71" s="290">
        <f ca="1">KTVCOI!R70</f>
        <v>0.42147167304404992</v>
      </c>
      <c r="H71" s="290">
        <f ca="1">(H70-F71-G71)*(1+LS!$F$3)</f>
        <v>-3390.5125317975235</v>
      </c>
      <c r="I71" s="948"/>
      <c r="J71" s="296">
        <f t="shared" ca="1" si="16"/>
        <v>-3390.5125317975235</v>
      </c>
      <c r="K71" s="949"/>
      <c r="L71" s="949"/>
      <c r="M71" s="949"/>
      <c r="N71" s="950"/>
      <c r="O71" s="950"/>
      <c r="X71" s="1004"/>
      <c r="Y71" s="1004"/>
    </row>
    <row r="72" spans="2:25" ht="9.75" customHeight="1">
      <c r="B72" s="946"/>
      <c r="C72" s="946"/>
      <c r="D72" s="294">
        <f t="shared" ca="1" si="14"/>
        <v>48299</v>
      </c>
      <c r="E72" s="359">
        <f t="shared" si="17"/>
        <v>0</v>
      </c>
      <c r="F72" s="360">
        <f t="shared" ca="1" si="15"/>
        <v>50</v>
      </c>
      <c r="G72" s="290">
        <f ca="1">KTVCOI!R71</f>
        <v>0.42946492069435305</v>
      </c>
      <c r="H72" s="290">
        <f ca="1">(H71-F72-G72)*(1+LS!$F$3)</f>
        <v>-3453.8620876421128</v>
      </c>
      <c r="I72" s="948"/>
      <c r="J72" s="296">
        <f t="shared" ca="1" si="16"/>
        <v>-3453.8620876421128</v>
      </c>
      <c r="K72" s="949"/>
      <c r="L72" s="949"/>
      <c r="M72" s="949"/>
      <c r="N72" s="950"/>
      <c r="O72" s="950"/>
      <c r="X72" s="1004"/>
      <c r="Y72" s="1004"/>
    </row>
    <row r="73" spans="2:25" ht="9.75" customHeight="1">
      <c r="B73" s="946"/>
      <c r="C73" s="946"/>
      <c r="D73" s="294">
        <f t="shared" ca="1" si="14"/>
        <v>48330</v>
      </c>
      <c r="E73" s="359">
        <f t="shared" si="17"/>
        <v>0</v>
      </c>
      <c r="F73" s="360">
        <f t="shared" ca="1" si="15"/>
        <v>50</v>
      </c>
      <c r="G73" s="290">
        <f ca="1">KTVCOI!R72</f>
        <v>0.43748919776800094</v>
      </c>
      <c r="H73" s="290">
        <f ca="1">(H72-F73-G73)*(1+LS!$F$3)</f>
        <v>-3517.4575635773845</v>
      </c>
      <c r="I73" s="948"/>
      <c r="J73" s="296">
        <f t="shared" ca="1" si="16"/>
        <v>-3517.4575635773845</v>
      </c>
      <c r="K73" s="949"/>
      <c r="L73" s="949"/>
      <c r="M73" s="949"/>
      <c r="N73" s="950"/>
      <c r="O73" s="950"/>
      <c r="X73" s="1004"/>
      <c r="Y73" s="1004"/>
    </row>
    <row r="74" spans="2:25" ht="9.75" customHeight="1">
      <c r="B74" s="946"/>
      <c r="C74" s="946"/>
      <c r="D74" s="294">
        <f t="shared" ca="1" si="14"/>
        <v>48360</v>
      </c>
      <c r="E74" s="359">
        <f t="shared" si="17"/>
        <v>0</v>
      </c>
      <c r="F74" s="360">
        <f t="shared" ca="1" si="15"/>
        <v>50</v>
      </c>
      <c r="G74" s="290">
        <f ca="1">KTVCOI!R73</f>
        <v>0.44554462471980205</v>
      </c>
      <c r="H74" s="290">
        <f ca="1">(H73-F74-G74)*(1+LS!$F$3)</f>
        <v>-3581.2999142539306</v>
      </c>
      <c r="I74" s="948"/>
      <c r="J74" s="296">
        <f t="shared" ca="1" si="16"/>
        <v>-3581.2999142539306</v>
      </c>
      <c r="K74" s="949"/>
      <c r="L74" s="949"/>
      <c r="M74" s="949"/>
      <c r="N74" s="950"/>
      <c r="O74" s="950"/>
      <c r="X74" s="1004"/>
      <c r="Y74" s="1004"/>
    </row>
    <row r="75" spans="2:25" ht="9.75" customHeight="1">
      <c r="B75" s="946"/>
      <c r="C75" s="946"/>
      <c r="D75" s="294">
        <f t="shared" ca="1" si="14"/>
        <v>48391</v>
      </c>
      <c r="E75" s="359">
        <f t="shared" si="17"/>
        <v>0</v>
      </c>
      <c r="F75" s="360">
        <f t="shared" ca="1" si="15"/>
        <v>50</v>
      </c>
      <c r="G75" s="290">
        <f ca="1">KTVCOI!R74</f>
        <v>0.45363132247216459</v>
      </c>
      <c r="H75" s="290">
        <f ca="1">(H74-F75-G75)*(1+LS!$F$3)</f>
        <v>-3645.3900980282538</v>
      </c>
      <c r="I75" s="948"/>
      <c r="J75" s="297">
        <f ca="1">H75+I64</f>
        <v>-3645.3900980282538</v>
      </c>
      <c r="K75" s="949"/>
      <c r="L75" s="949"/>
      <c r="M75" s="949"/>
      <c r="N75" s="950"/>
      <c r="O75" s="950"/>
      <c r="X75" s="1004"/>
      <c r="Y75" s="1004"/>
    </row>
    <row r="76" spans="2:25" ht="9.75" customHeight="1">
      <c r="B76" s="951">
        <f>B64+1</f>
        <v>7</v>
      </c>
      <c r="C76" s="952">
        <f ca="1">C64+1</f>
        <v>36</v>
      </c>
      <c r="D76" s="287">
        <f t="shared" ca="1" si="14"/>
        <v>48421</v>
      </c>
      <c r="E76" s="359">
        <f t="shared" si="17"/>
        <v>0</v>
      </c>
      <c r="F76" s="289">
        <f t="shared" ca="1" si="15"/>
        <v>50</v>
      </c>
      <c r="G76" s="290">
        <f ca="1">KTVCOI!R75</f>
        <v>0.49212766323381429</v>
      </c>
      <c r="H76" s="290">
        <f ca="1">(H75+KTVTDGTTKMH!F13-F76-G76)*(1+LS!$F$3)</f>
        <v>-3709.7595692925956</v>
      </c>
      <c r="I76" s="953"/>
      <c r="J76" s="292">
        <f t="shared" ca="1" si="16"/>
        <v>-3709.7595692925956</v>
      </c>
      <c r="K76" s="949">
        <f ca="1">J87</f>
        <v>-4434.5675397127143</v>
      </c>
      <c r="L76" s="949"/>
      <c r="M76" s="949"/>
      <c r="N76" s="950">
        <f t="shared" ref="N76" ca="1" si="18">SUM(G76:G87)</f>
        <v>6.4865668642277958</v>
      </c>
      <c r="O76" s="950"/>
      <c r="X76" s="945">
        <f t="shared" ref="X76:Y76" ca="1" si="19">SUM(F76:F87)</f>
        <v>600</v>
      </c>
      <c r="Y76" s="945">
        <f t="shared" ca="1" si="19"/>
        <v>6.4865668642277958</v>
      </c>
    </row>
    <row r="77" spans="2:25" ht="9.75" customHeight="1">
      <c r="B77" s="951"/>
      <c r="C77" s="951"/>
      <c r="D77" s="287">
        <f t="shared" ca="1" si="14"/>
        <v>48452</v>
      </c>
      <c r="E77" s="359">
        <f t="shared" si="17"/>
        <v>0</v>
      </c>
      <c r="F77" s="289">
        <f t="shared" ca="1" si="15"/>
        <v>50</v>
      </c>
      <c r="G77" s="290">
        <f ca="1">KTVCOI!R76</f>
        <v>0.50081754185450045</v>
      </c>
      <c r="H77" s="290">
        <f ca="1">(H76-F77-G77)*(1+LS!$F$3)</f>
        <v>-3774.3794583392173</v>
      </c>
      <c r="I77" s="953"/>
      <c r="J77" s="292">
        <f t="shared" ca="1" si="16"/>
        <v>-3774.3794583392173</v>
      </c>
      <c r="K77" s="949"/>
      <c r="L77" s="949"/>
      <c r="M77" s="949"/>
      <c r="N77" s="950"/>
      <c r="O77" s="950"/>
      <c r="X77" s="1004"/>
      <c r="Y77" s="1004"/>
    </row>
    <row r="78" spans="2:25" ht="9.75" customHeight="1">
      <c r="B78" s="951"/>
      <c r="C78" s="951"/>
      <c r="D78" s="287">
        <f t="shared" ca="1" si="14"/>
        <v>48483</v>
      </c>
      <c r="E78" s="359">
        <f t="shared" si="17"/>
        <v>0</v>
      </c>
      <c r="F78" s="289">
        <f t="shared" ca="1" si="15"/>
        <v>50</v>
      </c>
      <c r="G78" s="290">
        <f ca="1">KTVCOI!R77</f>
        <v>0.50954122687579428</v>
      </c>
      <c r="H78" s="290">
        <f ca="1">(H77-F78-G78)*(1+LS!$F$3)</f>
        <v>-3839.2507393731958</v>
      </c>
      <c r="I78" s="953"/>
      <c r="J78" s="292">
        <f t="shared" ca="1" si="16"/>
        <v>-3839.2507393731958</v>
      </c>
      <c r="K78" s="949"/>
      <c r="L78" s="949"/>
      <c r="M78" s="949"/>
      <c r="N78" s="950"/>
      <c r="O78" s="950"/>
      <c r="X78" s="1004"/>
      <c r="Y78" s="1004"/>
    </row>
    <row r="79" spans="2:25" ht="9.75" customHeight="1">
      <c r="B79" s="951"/>
      <c r="C79" s="951"/>
      <c r="D79" s="287">
        <f t="shared" ca="1" si="14"/>
        <v>48513</v>
      </c>
      <c r="E79" s="359">
        <f t="shared" si="17"/>
        <v>0</v>
      </c>
      <c r="F79" s="289">
        <f t="shared" ca="1" si="15"/>
        <v>50</v>
      </c>
      <c r="G79" s="290">
        <f ca="1">KTVCOI!R78</f>
        <v>0.51829884981538143</v>
      </c>
      <c r="H79" s="290">
        <f ca="1">(H78-F79-G79)*(1+LS!$F$3)</f>
        <v>-3904.3743903895761</v>
      </c>
      <c r="I79" s="953"/>
      <c r="J79" s="292">
        <f t="shared" ca="1" si="16"/>
        <v>-3904.3743903895761</v>
      </c>
      <c r="K79" s="949"/>
      <c r="L79" s="949"/>
      <c r="M79" s="949"/>
      <c r="N79" s="950"/>
      <c r="O79" s="950"/>
      <c r="X79" s="1004"/>
      <c r="Y79" s="1004"/>
    </row>
    <row r="80" spans="2:25" ht="9.75" customHeight="1">
      <c r="B80" s="951"/>
      <c r="C80" s="951"/>
      <c r="D80" s="287">
        <f t="shared" ca="1" si="14"/>
        <v>48544</v>
      </c>
      <c r="E80" s="359">
        <f t="shared" si="17"/>
        <v>0</v>
      </c>
      <c r="F80" s="289">
        <f t="shared" ca="1" si="15"/>
        <v>50</v>
      </c>
      <c r="G80" s="290">
        <f ca="1">KTVCOI!R79</f>
        <v>0.52709054270259281</v>
      </c>
      <c r="H80" s="290">
        <f ca="1">(H79-F80-G80)*(1+LS!$F$3)</f>
        <v>-3969.7513931881163</v>
      </c>
      <c r="I80" s="953"/>
      <c r="J80" s="292">
        <f t="shared" ca="1" si="16"/>
        <v>-3969.7513931881163</v>
      </c>
      <c r="K80" s="949"/>
      <c r="L80" s="949"/>
      <c r="M80" s="949"/>
      <c r="N80" s="950"/>
      <c r="O80" s="950"/>
      <c r="X80" s="1004"/>
      <c r="Y80" s="1004"/>
    </row>
    <row r="81" spans="2:25" ht="9.75" customHeight="1">
      <c r="B81" s="951"/>
      <c r="C81" s="951"/>
      <c r="D81" s="287">
        <f t="shared" ca="1" si="14"/>
        <v>48574</v>
      </c>
      <c r="E81" s="359">
        <f t="shared" si="17"/>
        <v>0</v>
      </c>
      <c r="F81" s="289">
        <f t="shared" ca="1" si="15"/>
        <v>50</v>
      </c>
      <c r="G81" s="290">
        <f ca="1">KTVCOI!R80</f>
        <v>0.53591643808039569</v>
      </c>
      <c r="H81" s="290">
        <f ca="1">(H80-F81-G81)*(1+LS!$F$3)</f>
        <v>-4035.3827333880881</v>
      </c>
      <c r="I81" s="953"/>
      <c r="J81" s="292">
        <f t="shared" ca="1" si="16"/>
        <v>-4035.3827333880881</v>
      </c>
      <c r="K81" s="949"/>
      <c r="L81" s="949"/>
      <c r="M81" s="949"/>
      <c r="N81" s="950"/>
      <c r="O81" s="950"/>
      <c r="X81" s="1004"/>
      <c r="Y81" s="1004"/>
    </row>
    <row r="82" spans="2:25" ht="9.75" customHeight="1">
      <c r="B82" s="951"/>
      <c r="C82" s="951"/>
      <c r="D82" s="287">
        <f t="shared" ca="1" si="14"/>
        <v>48605</v>
      </c>
      <c r="E82" s="359">
        <f t="shared" si="17"/>
        <v>0</v>
      </c>
      <c r="F82" s="289">
        <f t="shared" ca="1" si="15"/>
        <v>50</v>
      </c>
      <c r="G82" s="290">
        <f ca="1">KTVCOI!R81</f>
        <v>0.54477666900739197</v>
      </c>
      <c r="H82" s="290">
        <f ca="1">(H81-F82-G82)*(1+LS!$F$3)</f>
        <v>-4101.2694004431378</v>
      </c>
      <c r="I82" s="953"/>
      <c r="J82" s="292">
        <f t="shared" ca="1" si="16"/>
        <v>-4101.2694004431378</v>
      </c>
      <c r="K82" s="949"/>
      <c r="L82" s="949"/>
      <c r="M82" s="949"/>
      <c r="N82" s="950"/>
      <c r="O82" s="950"/>
      <c r="X82" s="1004"/>
      <c r="Y82" s="1004"/>
    </row>
    <row r="83" spans="2:25" ht="9.75" customHeight="1">
      <c r="B83" s="951"/>
      <c r="C83" s="951"/>
      <c r="D83" s="287">
        <f t="shared" ca="1" si="14"/>
        <v>48636</v>
      </c>
      <c r="E83" s="359">
        <f t="shared" si="17"/>
        <v>0</v>
      </c>
      <c r="F83" s="289">
        <f t="shared" ca="1" si="15"/>
        <v>50</v>
      </c>
      <c r="G83" s="290">
        <f ca="1">KTVCOI!R82</f>
        <v>0.55367136905982373</v>
      </c>
      <c r="H83" s="290">
        <f ca="1">(H82-F83-G83)*(1+LS!$F$3)</f>
        <v>-4167.4123876562016</v>
      </c>
      <c r="I83" s="953"/>
      <c r="J83" s="292">
        <f t="shared" ca="1" si="16"/>
        <v>-4167.4123876562016</v>
      </c>
      <c r="K83" s="949"/>
      <c r="L83" s="949"/>
      <c r="M83" s="949"/>
      <c r="N83" s="950"/>
      <c r="O83" s="950"/>
      <c r="X83" s="1004"/>
      <c r="Y83" s="1004"/>
    </row>
    <row r="84" spans="2:25" ht="9.75" customHeight="1">
      <c r="B84" s="951"/>
      <c r="C84" s="951"/>
      <c r="D84" s="287">
        <f t="shared" ca="1" si="14"/>
        <v>48664</v>
      </c>
      <c r="E84" s="359">
        <f t="shared" si="17"/>
        <v>0</v>
      </c>
      <c r="F84" s="289">
        <f t="shared" ca="1" si="15"/>
        <v>50</v>
      </c>
      <c r="G84" s="290">
        <f ca="1">KTVCOI!R83</f>
        <v>0.56260067233358724</v>
      </c>
      <c r="H84" s="290">
        <f ca="1">(H83-F84-G84)*(1+LS!$F$3)</f>
        <v>-4233.8126921944804</v>
      </c>
      <c r="I84" s="953"/>
      <c r="J84" s="292">
        <f t="shared" ca="1" si="16"/>
        <v>-4233.8126921944804</v>
      </c>
      <c r="K84" s="949"/>
      <c r="L84" s="949"/>
      <c r="M84" s="949"/>
      <c r="N84" s="950"/>
      <c r="O84" s="950"/>
      <c r="X84" s="1004"/>
      <c r="Y84" s="1004"/>
    </row>
    <row r="85" spans="2:25" ht="9.75" customHeight="1">
      <c r="B85" s="951"/>
      <c r="C85" s="951"/>
      <c r="D85" s="287">
        <f t="shared" ca="1" si="14"/>
        <v>48695</v>
      </c>
      <c r="E85" s="359">
        <f t="shared" si="17"/>
        <v>0</v>
      </c>
      <c r="F85" s="289">
        <f t="shared" ca="1" si="15"/>
        <v>50</v>
      </c>
      <c r="G85" s="290">
        <f ca="1">KTVCOI!R84</f>
        <v>0.57156471344625492</v>
      </c>
      <c r="H85" s="290">
        <f ca="1">(H84-F85-G85)*(1+LS!$F$3)</f>
        <v>-4300.4713151044753</v>
      </c>
      <c r="I85" s="953"/>
      <c r="J85" s="292">
        <f t="shared" ca="1" si="16"/>
        <v>-4300.4713151044753</v>
      </c>
      <c r="K85" s="949"/>
      <c r="L85" s="949"/>
      <c r="M85" s="949"/>
      <c r="N85" s="950"/>
      <c r="O85" s="950"/>
      <c r="X85" s="1004"/>
      <c r="Y85" s="1004"/>
    </row>
    <row r="86" spans="2:25" ht="9.75" customHeight="1">
      <c r="B86" s="951"/>
      <c r="C86" s="951"/>
      <c r="D86" s="287">
        <f t="shared" ca="1" si="14"/>
        <v>48725</v>
      </c>
      <c r="E86" s="359">
        <f t="shared" si="17"/>
        <v>0</v>
      </c>
      <c r="F86" s="289">
        <f t="shared" ca="1" si="15"/>
        <v>50</v>
      </c>
      <c r="G86" s="290">
        <f ca="1">KTVCOI!R85</f>
        <v>0.58056362753910418</v>
      </c>
      <c r="H86" s="290">
        <f ca="1">(H85-F86-G86)*(1+LS!$F$3)</f>
        <v>-4367.3892613270764</v>
      </c>
      <c r="I86" s="953"/>
      <c r="J86" s="292">
        <f t="shared" ca="1" si="16"/>
        <v>-4367.3892613270764</v>
      </c>
      <c r="K86" s="949"/>
      <c r="L86" s="949"/>
      <c r="M86" s="949"/>
      <c r="N86" s="950"/>
      <c r="O86" s="950"/>
      <c r="X86" s="1004"/>
      <c r="Y86" s="1004"/>
    </row>
    <row r="87" spans="2:25" ht="9.75" customHeight="1">
      <c r="B87" s="951"/>
      <c r="C87" s="951"/>
      <c r="D87" s="287">
        <f t="shared" ca="1" si="14"/>
        <v>48756</v>
      </c>
      <c r="E87" s="359">
        <f t="shared" si="17"/>
        <v>0</v>
      </c>
      <c r="F87" s="289">
        <f t="shared" ca="1" si="15"/>
        <v>50</v>
      </c>
      <c r="G87" s="290">
        <f ca="1">KTVCOI!R86</f>
        <v>0.58959755027915539</v>
      </c>
      <c r="H87" s="290">
        <f ca="1">(H86-F87-G87)*(1+LS!$F$3)</f>
        <v>-4434.5675397127143</v>
      </c>
      <c r="I87" s="953"/>
      <c r="J87" s="293">
        <f ca="1">H87+I76</f>
        <v>-4434.5675397127143</v>
      </c>
      <c r="K87" s="949"/>
      <c r="L87" s="949"/>
      <c r="M87" s="949"/>
      <c r="N87" s="950"/>
      <c r="O87" s="950"/>
      <c r="X87" s="1004"/>
      <c r="Y87" s="1004"/>
    </row>
    <row r="88" spans="2:25" ht="9.75" customHeight="1">
      <c r="B88" s="946">
        <f>B76+1</f>
        <v>8</v>
      </c>
      <c r="C88" s="947">
        <f ca="1">C76+1</f>
        <v>37</v>
      </c>
      <c r="D88" s="294">
        <f t="shared" ca="1" si="14"/>
        <v>48786</v>
      </c>
      <c r="E88" s="359">
        <f t="shared" si="17"/>
        <v>0</v>
      </c>
      <c r="F88" s="360">
        <f t="shared" ca="1" si="15"/>
        <v>50</v>
      </c>
      <c r="G88" s="290">
        <f ca="1">KTVCOI!R87</f>
        <v>0.64301229325834353</v>
      </c>
      <c r="H88" s="290">
        <f ca="1">(H87+KTVTDGTTKMH!F14-F88-G88)*(1+LS!$F$3)</f>
        <v>-4502.0516752216499</v>
      </c>
      <c r="I88" s="948"/>
      <c r="J88" s="296">
        <f t="shared" ca="1" si="16"/>
        <v>-4502.0516752216499</v>
      </c>
      <c r="K88" s="949">
        <f ca="1">J99</f>
        <v>-5261.9770219227312</v>
      </c>
      <c r="L88" s="949"/>
      <c r="M88" s="949"/>
      <c r="N88" s="950">
        <f t="shared" ref="N88" ca="1" si="20">SUM(G88:G99)</f>
        <v>8.3704413126438393</v>
      </c>
      <c r="O88" s="950"/>
      <c r="X88" s="945">
        <f t="shared" ref="X88:Y88" ca="1" si="21">SUM(F88:F99)</f>
        <v>600</v>
      </c>
      <c r="Y88" s="945">
        <f t="shared" ca="1" si="21"/>
        <v>8.3704413126438393</v>
      </c>
    </row>
    <row r="89" spans="2:25" ht="9.75" customHeight="1">
      <c r="B89" s="946"/>
      <c r="C89" s="946"/>
      <c r="D89" s="294">
        <f t="shared" ca="1" si="14"/>
        <v>48817</v>
      </c>
      <c r="E89" s="359">
        <f t="shared" si="17"/>
        <v>0</v>
      </c>
      <c r="F89" s="360">
        <f t="shared" ca="1" si="15"/>
        <v>50</v>
      </c>
      <c r="G89" s="290">
        <f ca="1">KTVCOI!R88</f>
        <v>0.65279749290713929</v>
      </c>
      <c r="H89" s="290">
        <f ca="1">(H88-F89-G89)*(1+LS!$F$3)</f>
        <v>-4569.7990229258639</v>
      </c>
      <c r="I89" s="948"/>
      <c r="J89" s="296">
        <f t="shared" ca="1" si="16"/>
        <v>-4569.7990229258639</v>
      </c>
      <c r="K89" s="949"/>
      <c r="L89" s="949"/>
      <c r="M89" s="949"/>
      <c r="N89" s="950"/>
      <c r="O89" s="950"/>
      <c r="X89" s="1004"/>
      <c r="Y89" s="1004"/>
    </row>
    <row r="90" spans="2:25" ht="9.75" customHeight="1">
      <c r="B90" s="946"/>
      <c r="C90" s="946"/>
      <c r="D90" s="294">
        <f t="shared" ca="1" si="14"/>
        <v>48848</v>
      </c>
      <c r="E90" s="359">
        <f t="shared" si="17"/>
        <v>0</v>
      </c>
      <c r="F90" s="360">
        <f t="shared" ca="1" si="15"/>
        <v>50</v>
      </c>
      <c r="G90" s="290">
        <f ca="1">KTVCOI!R89</f>
        <v>0.66262085832425022</v>
      </c>
      <c r="H90" s="290">
        <f ca="1">(H89-F90-G90)*(1+LS!$F$3)</f>
        <v>-4637.8106094467876</v>
      </c>
      <c r="I90" s="948"/>
      <c r="J90" s="296">
        <f t="shared" ca="1" si="16"/>
        <v>-4637.8106094467876</v>
      </c>
      <c r="K90" s="949"/>
      <c r="L90" s="949"/>
      <c r="M90" s="949"/>
      <c r="N90" s="950"/>
      <c r="O90" s="950"/>
      <c r="X90" s="1004"/>
      <c r="Y90" s="1004"/>
    </row>
    <row r="91" spans="2:25" ht="9.75" customHeight="1">
      <c r="B91" s="946"/>
      <c r="C91" s="946"/>
      <c r="D91" s="294">
        <f t="shared" ca="1" si="14"/>
        <v>48878</v>
      </c>
      <c r="E91" s="359">
        <f t="shared" si="17"/>
        <v>0</v>
      </c>
      <c r="F91" s="360">
        <f t="shared" ca="1" si="15"/>
        <v>50</v>
      </c>
      <c r="G91" s="290">
        <f ca="1">KTVCOI!R90</f>
        <v>0.67248253836978422</v>
      </c>
      <c r="H91" s="290">
        <f ca="1">(H90-F91-G91)*(1+LS!$F$3)</f>
        <v>-4706.0874654100407</v>
      </c>
      <c r="I91" s="948"/>
      <c r="J91" s="296">
        <f t="shared" ca="1" si="16"/>
        <v>-4706.0874654100407</v>
      </c>
      <c r="K91" s="949"/>
      <c r="L91" s="949"/>
      <c r="M91" s="949"/>
      <c r="N91" s="950"/>
      <c r="O91" s="950"/>
      <c r="X91" s="1004"/>
      <c r="Y91" s="1004"/>
    </row>
    <row r="92" spans="2:25" ht="9.75" customHeight="1">
      <c r="B92" s="946"/>
      <c r="C92" s="946"/>
      <c r="D92" s="294">
        <f t="shared" ca="1" si="14"/>
        <v>48909</v>
      </c>
      <c r="E92" s="359">
        <f t="shared" si="17"/>
        <v>0</v>
      </c>
      <c r="F92" s="360">
        <f t="shared" ca="1" si="15"/>
        <v>50</v>
      </c>
      <c r="G92" s="290">
        <f ca="1">KTVCOI!R91</f>
        <v>0.68238268248445599</v>
      </c>
      <c r="H92" s="290">
        <f ca="1">(H91-F92-G92)*(1+LS!$F$3)</f>
        <v>-4774.6306254610517</v>
      </c>
      <c r="I92" s="948"/>
      <c r="J92" s="296">
        <f t="shared" ca="1" si="16"/>
        <v>-4774.6306254610517</v>
      </c>
      <c r="K92" s="949"/>
      <c r="L92" s="949"/>
      <c r="M92" s="949"/>
      <c r="N92" s="950"/>
      <c r="O92" s="950"/>
      <c r="X92" s="1004"/>
      <c r="Y92" s="1004"/>
    </row>
    <row r="93" spans="2:25" ht="9.75" customHeight="1">
      <c r="B93" s="946"/>
      <c r="C93" s="946"/>
      <c r="D93" s="294">
        <f t="shared" ca="1" si="14"/>
        <v>48939</v>
      </c>
      <c r="E93" s="359">
        <f t="shared" si="17"/>
        <v>0</v>
      </c>
      <c r="F93" s="360">
        <f t="shared" ca="1" si="15"/>
        <v>50</v>
      </c>
      <c r="G93" s="290">
        <f ca="1">KTVCOI!R92</f>
        <v>0.69232144069185253</v>
      </c>
      <c r="H93" s="290">
        <f ca="1">(H92-F93-G93)*(1+LS!$F$3)</f>
        <v>-4843.4411282807341</v>
      </c>
      <c r="I93" s="948"/>
      <c r="J93" s="296">
        <f t="shared" ca="1" si="16"/>
        <v>-4843.4411282807341</v>
      </c>
      <c r="K93" s="949"/>
      <c r="L93" s="949"/>
      <c r="M93" s="949"/>
      <c r="N93" s="950"/>
      <c r="O93" s="950"/>
      <c r="X93" s="1004"/>
      <c r="Y93" s="1004"/>
    </row>
    <row r="94" spans="2:25" ht="9.75" customHeight="1">
      <c r="B94" s="946"/>
      <c r="C94" s="946"/>
      <c r="D94" s="294">
        <f t="shared" ca="1" si="14"/>
        <v>48970</v>
      </c>
      <c r="E94" s="359">
        <f t="shared" si="17"/>
        <v>0</v>
      </c>
      <c r="F94" s="360">
        <f t="shared" ca="1" si="15"/>
        <v>50</v>
      </c>
      <c r="G94" s="290">
        <f ca="1">KTVCOI!R93</f>
        <v>0.70229896360070654</v>
      </c>
      <c r="H94" s="290">
        <f ca="1">(H93-F94-G94)*(1+LS!$F$3)</f>
        <v>-4912.5200166012282</v>
      </c>
      <c r="I94" s="948"/>
      <c r="J94" s="296">
        <f t="shared" ca="1" si="16"/>
        <v>-4912.5200166012282</v>
      </c>
      <c r="K94" s="949"/>
      <c r="L94" s="949"/>
      <c r="M94" s="949"/>
      <c r="N94" s="950"/>
      <c r="O94" s="950"/>
      <c r="X94" s="1004"/>
      <c r="Y94" s="1004"/>
    </row>
    <row r="95" spans="2:25" ht="9.75" customHeight="1">
      <c r="B95" s="946"/>
      <c r="C95" s="946"/>
      <c r="D95" s="294">
        <f t="shared" ca="1" si="14"/>
        <v>49001</v>
      </c>
      <c r="E95" s="359">
        <f t="shared" si="17"/>
        <v>0</v>
      </c>
      <c r="F95" s="360">
        <f t="shared" ca="1" si="15"/>
        <v>50</v>
      </c>
      <c r="G95" s="290">
        <f ca="1">KTVCOI!R94</f>
        <v>0.71231540240717806</v>
      </c>
      <c r="H95" s="290">
        <f ca="1">(H94-F95-G95)*(1+LS!$F$3)</f>
        <v>-4981.868337221701</v>
      </c>
      <c r="I95" s="948"/>
      <c r="J95" s="296">
        <f t="shared" ca="1" si="16"/>
        <v>-4981.868337221701</v>
      </c>
      <c r="K95" s="949"/>
      <c r="L95" s="949"/>
      <c r="M95" s="949"/>
      <c r="N95" s="950"/>
      <c r="O95" s="950"/>
      <c r="X95" s="1004"/>
      <c r="Y95" s="1004"/>
    </row>
    <row r="96" spans="2:25" ht="9.75" customHeight="1">
      <c r="B96" s="946"/>
      <c r="C96" s="946"/>
      <c r="D96" s="294">
        <f t="shared" ca="1" si="14"/>
        <v>49029</v>
      </c>
      <c r="E96" s="359">
        <f t="shared" si="17"/>
        <v>0</v>
      </c>
      <c r="F96" s="360">
        <f t="shared" ca="1" si="15"/>
        <v>50</v>
      </c>
      <c r="G96" s="290">
        <f ca="1">KTVCOI!R95</f>
        <v>0.72237090889714661</v>
      </c>
      <c r="H96" s="290">
        <f ca="1">(H95-F96-G96)*(1+LS!$F$3)</f>
        <v>-5051.4871410242104</v>
      </c>
      <c r="I96" s="948"/>
      <c r="J96" s="296">
        <f t="shared" ca="1" si="16"/>
        <v>-5051.4871410242104</v>
      </c>
      <c r="K96" s="949"/>
      <c r="L96" s="949"/>
      <c r="M96" s="949"/>
      <c r="N96" s="950"/>
      <c r="O96" s="950"/>
      <c r="X96" s="1004"/>
      <c r="Y96" s="1004"/>
    </row>
    <row r="97" spans="2:25" ht="9.75" customHeight="1">
      <c r="B97" s="946"/>
      <c r="C97" s="946"/>
      <c r="D97" s="294">
        <f t="shared" ca="1" si="14"/>
        <v>49060</v>
      </c>
      <c r="E97" s="359">
        <f t="shared" si="17"/>
        <v>0</v>
      </c>
      <c r="F97" s="360">
        <f t="shared" ca="1" si="15"/>
        <v>50</v>
      </c>
      <c r="G97" s="290">
        <f ca="1">KTVCOI!R96</f>
        <v>0.73246563544851051</v>
      </c>
      <c r="H97" s="290">
        <f ca="1">(H96-F97-G97)*(1+LS!$F$3)</f>
        <v>-5121.3774829896274</v>
      </c>
      <c r="I97" s="948"/>
      <c r="J97" s="296">
        <f t="shared" ca="1" si="16"/>
        <v>-5121.3774829896274</v>
      </c>
      <c r="K97" s="949"/>
      <c r="L97" s="949"/>
      <c r="M97" s="949"/>
      <c r="N97" s="950"/>
      <c r="O97" s="950"/>
      <c r="X97" s="1004"/>
      <c r="Y97" s="1004"/>
    </row>
    <row r="98" spans="2:25" ht="9.75" customHeight="1">
      <c r="B98" s="946"/>
      <c r="C98" s="946"/>
      <c r="D98" s="294">
        <f t="shared" ca="1" si="14"/>
        <v>49090</v>
      </c>
      <c r="E98" s="359">
        <f t="shared" si="17"/>
        <v>0</v>
      </c>
      <c r="F98" s="360">
        <f t="shared" ca="1" si="15"/>
        <v>50</v>
      </c>
      <c r="G98" s="290">
        <f ca="1">KTVCOI!R97</f>
        <v>0.74259973503349608</v>
      </c>
      <c r="H98" s="290">
        <f ca="1">(H97-F98-G98)*(1+LS!$F$3)</f>
        <v>-5191.5404222136267</v>
      </c>
      <c r="I98" s="948"/>
      <c r="J98" s="296">
        <f t="shared" ca="1" si="16"/>
        <v>-5191.5404222136267</v>
      </c>
      <c r="K98" s="949"/>
      <c r="L98" s="949"/>
      <c r="M98" s="949"/>
      <c r="N98" s="950"/>
      <c r="O98" s="950"/>
      <c r="X98" s="1004"/>
      <c r="Y98" s="1004"/>
    </row>
    <row r="99" spans="2:25" ht="9.75" customHeight="1">
      <c r="B99" s="946"/>
      <c r="C99" s="946"/>
      <c r="D99" s="294">
        <f t="shared" ca="1" si="14"/>
        <v>49121</v>
      </c>
      <c r="E99" s="359">
        <f t="shared" si="17"/>
        <v>0</v>
      </c>
      <c r="F99" s="360">
        <f t="shared" ca="1" si="15"/>
        <v>50</v>
      </c>
      <c r="G99" s="290">
        <f ca="1">KTVCOI!R98</f>
        <v>0.75277336122097582</v>
      </c>
      <c r="H99" s="290">
        <f ca="1">(H98-F99-G99)*(1+LS!$F$3)</f>
        <v>-5261.9770219227312</v>
      </c>
      <c r="I99" s="948"/>
      <c r="J99" s="297">
        <f ca="1">H99+I88</f>
        <v>-5261.9770219227312</v>
      </c>
      <c r="K99" s="949"/>
      <c r="L99" s="949"/>
      <c r="M99" s="949"/>
      <c r="N99" s="950"/>
      <c r="O99" s="950"/>
      <c r="X99" s="1004"/>
      <c r="Y99" s="1004"/>
    </row>
    <row r="100" spans="2:25" ht="9.75" customHeight="1">
      <c r="B100" s="951">
        <f>B88+1</f>
        <v>9</v>
      </c>
      <c r="C100" s="952">
        <f ca="1">C88+1</f>
        <v>38</v>
      </c>
      <c r="D100" s="287">
        <f t="shared" ca="1" si="14"/>
        <v>49151</v>
      </c>
      <c r="E100" s="359">
        <f t="shared" si="17"/>
        <v>0</v>
      </c>
      <c r="F100" s="289">
        <f t="shared" ca="1" si="15"/>
        <v>50</v>
      </c>
      <c r="G100" s="290">
        <f ca="1">KTVCOI!R99</f>
        <v>0.8243764001012277</v>
      </c>
      <c r="H100" s="290">
        <f ca="1">(H99+KTVTDGTTKMH!F15-F100-G100)*(1+LS!$F$3)</f>
        <v>-5332.7499697292651</v>
      </c>
      <c r="I100" s="953"/>
      <c r="J100" s="292">
        <f t="shared" ca="1" si="16"/>
        <v>-5332.7499697292651</v>
      </c>
      <c r="K100" s="949">
        <f ca="1">J111</f>
        <v>-6190.5835003557886</v>
      </c>
      <c r="L100" s="949"/>
      <c r="M100" s="949"/>
      <c r="N100" s="950">
        <f t="shared" ref="N100" ca="1" si="22">SUM(G100:G111)</f>
        <v>10.657647979326496</v>
      </c>
      <c r="O100" s="950"/>
      <c r="X100" s="945">
        <f t="shared" ref="X100:Y100" ca="1" si="23">SUM(F100:F111)</f>
        <v>660</v>
      </c>
      <c r="Y100" s="945">
        <f t="shared" ca="1" si="23"/>
        <v>10.657647979326496</v>
      </c>
    </row>
    <row r="101" spans="2:25" ht="9.75" customHeight="1">
      <c r="B101" s="951"/>
      <c r="C101" s="951"/>
      <c r="D101" s="287">
        <f t="shared" ca="1" si="14"/>
        <v>49182</v>
      </c>
      <c r="E101" s="359">
        <f t="shared" si="17"/>
        <v>0</v>
      </c>
      <c r="F101" s="289">
        <f t="shared" ca="1" si="15"/>
        <v>50</v>
      </c>
      <c r="G101" s="290">
        <f ca="1">KTVCOI!R100</f>
        <v>0.83546416192425144</v>
      </c>
      <c r="H101" s="290">
        <f ca="1">(H100-F101-G101)*(1+LS!$F$3)</f>
        <v>-5403.7997860566047</v>
      </c>
      <c r="I101" s="953"/>
      <c r="J101" s="292">
        <f t="shared" ca="1" si="16"/>
        <v>-5403.7997860566047</v>
      </c>
      <c r="K101" s="949"/>
      <c r="L101" s="949"/>
      <c r="M101" s="949"/>
      <c r="N101" s="950"/>
      <c r="O101" s="950"/>
      <c r="X101" s="1004"/>
      <c r="Y101" s="1004"/>
    </row>
    <row r="102" spans="2:25" ht="9.75" customHeight="1">
      <c r="B102" s="951"/>
      <c r="C102" s="951"/>
      <c r="D102" s="287">
        <f t="shared" ca="1" si="14"/>
        <v>49213</v>
      </c>
      <c r="E102" s="359">
        <f t="shared" si="17"/>
        <v>0</v>
      </c>
      <c r="F102" s="289">
        <f t="shared" ca="1" si="15"/>
        <v>50</v>
      </c>
      <c r="G102" s="290">
        <f ca="1">KTVCOI!R101</f>
        <v>0.84659529981553472</v>
      </c>
      <c r="H102" s="290">
        <f ca="1">(H101-F102-G102)*(1+LS!$F$3)</f>
        <v>-5475.1275540329825</v>
      </c>
      <c r="I102" s="953"/>
      <c r="J102" s="292">
        <f t="shared" ca="1" si="16"/>
        <v>-5475.1275540329825</v>
      </c>
      <c r="K102" s="949"/>
      <c r="L102" s="949"/>
      <c r="M102" s="949"/>
      <c r="N102" s="950"/>
      <c r="O102" s="950"/>
      <c r="X102" s="1004"/>
      <c r="Y102" s="1004"/>
    </row>
    <row r="103" spans="2:25" ht="9.75" customHeight="1">
      <c r="B103" s="951"/>
      <c r="C103" s="951"/>
      <c r="D103" s="287">
        <f t="shared" ca="1" si="14"/>
        <v>49243</v>
      </c>
      <c r="E103" s="359">
        <f t="shared" si="17"/>
        <v>0</v>
      </c>
      <c r="F103" s="289">
        <f t="shared" ca="1" si="15"/>
        <v>50</v>
      </c>
      <c r="G103" s="290">
        <f ca="1">KTVCOI!R102</f>
        <v>0.85776998346516731</v>
      </c>
      <c r="H103" s="290">
        <f ca="1">(H102-F103-G103)*(1+LS!$F$3)</f>
        <v>-5546.7343610238995</v>
      </c>
      <c r="I103" s="953"/>
      <c r="J103" s="292">
        <f t="shared" ca="1" si="16"/>
        <v>-5546.7343610238995</v>
      </c>
      <c r="K103" s="949"/>
      <c r="L103" s="949"/>
      <c r="M103" s="949"/>
      <c r="N103" s="950"/>
      <c r="O103" s="950"/>
      <c r="X103" s="1004"/>
      <c r="Y103" s="1004"/>
    </row>
    <row r="104" spans="2:25" ht="9.75" customHeight="1">
      <c r="B104" s="951"/>
      <c r="C104" s="951"/>
      <c r="D104" s="287">
        <f t="shared" ca="1" si="14"/>
        <v>49274</v>
      </c>
      <c r="E104" s="359">
        <f t="shared" si="17"/>
        <v>0</v>
      </c>
      <c r="F104" s="289">
        <f t="shared" ca="1" si="15"/>
        <v>50</v>
      </c>
      <c r="G104" s="290">
        <f ca="1">KTVCOI!R103</f>
        <v>0.8689883832270775</v>
      </c>
      <c r="H104" s="290">
        <f ca="1">(H103-F104-G104)*(1+LS!$F$3)</f>
        <v>-5618.6212986487044</v>
      </c>
      <c r="I104" s="953"/>
      <c r="J104" s="292">
        <f t="shared" ca="1" si="16"/>
        <v>-5618.6212986487044</v>
      </c>
      <c r="K104" s="949"/>
      <c r="L104" s="949"/>
      <c r="M104" s="949"/>
      <c r="N104" s="950"/>
      <c r="O104" s="950"/>
      <c r="X104" s="1004"/>
      <c r="Y104" s="1004"/>
    </row>
    <row r="105" spans="2:25" ht="9.75" customHeight="1">
      <c r="B105" s="951"/>
      <c r="C105" s="951"/>
      <c r="D105" s="287">
        <f t="shared" ca="1" si="14"/>
        <v>49304</v>
      </c>
      <c r="E105" s="359">
        <f t="shared" si="17"/>
        <v>0</v>
      </c>
      <c r="F105" s="289">
        <f t="shared" ca="1" si="15"/>
        <v>50</v>
      </c>
      <c r="G105" s="290">
        <f ca="1">KTVCOI!R104</f>
        <v>0.88025067012163027</v>
      </c>
      <c r="H105" s="290">
        <f ca="1">(H104-F105-G105)*(1+LS!$F$3)</f>
        <v>-5690.7894627972346</v>
      </c>
      <c r="I105" s="953"/>
      <c r="J105" s="292">
        <f t="shared" ca="1" si="16"/>
        <v>-5690.7894627972346</v>
      </c>
      <c r="K105" s="949"/>
      <c r="L105" s="949"/>
      <c r="M105" s="949"/>
      <c r="N105" s="950"/>
      <c r="O105" s="950"/>
      <c r="X105" s="1004"/>
      <c r="Y105" s="1004"/>
    </row>
    <row r="106" spans="2:25" ht="9.75" customHeight="1">
      <c r="B106" s="951"/>
      <c r="C106" s="951"/>
      <c r="D106" s="287">
        <f t="shared" ca="1" si="14"/>
        <v>49335</v>
      </c>
      <c r="E106" s="359">
        <f t="shared" si="17"/>
        <v>0</v>
      </c>
      <c r="F106" s="289">
        <f t="shared" ca="1" si="15"/>
        <v>60</v>
      </c>
      <c r="G106" s="290">
        <f ca="1">KTVCOI!R105</f>
        <v>0.89155701583823344</v>
      </c>
      <c r="H106" s="290">
        <f ca="1">(H105-F106-G106)*(1+LS!$F$3)</f>
        <v>-5773.2775017683334</v>
      </c>
      <c r="I106" s="953"/>
      <c r="J106" s="292">
        <f t="shared" ca="1" si="16"/>
        <v>-5773.2775017683334</v>
      </c>
      <c r="K106" s="949"/>
      <c r="L106" s="949"/>
      <c r="M106" s="949"/>
      <c r="N106" s="950"/>
      <c r="O106" s="950"/>
      <c r="X106" s="1004"/>
      <c r="Y106" s="1004"/>
    </row>
    <row r="107" spans="2:25" ht="9.75" customHeight="1">
      <c r="B107" s="951"/>
      <c r="C107" s="951"/>
      <c r="D107" s="287">
        <f t="shared" ca="1" si="14"/>
        <v>49366</v>
      </c>
      <c r="E107" s="359">
        <f t="shared" si="17"/>
        <v>0</v>
      </c>
      <c r="F107" s="289">
        <f t="shared" ca="1" si="15"/>
        <v>60</v>
      </c>
      <c r="G107" s="290">
        <f ca="1">KTVCOI!R106</f>
        <v>0.90448014194370552</v>
      </c>
      <c r="H107" s="290">
        <f ca="1">(H106-F107-G107)*(1+LS!$F$3)</f>
        <v>-5856.0882394829778</v>
      </c>
      <c r="I107" s="953"/>
      <c r="J107" s="292">
        <f t="shared" ca="1" si="16"/>
        <v>-5856.0882394829778</v>
      </c>
      <c r="K107" s="949"/>
      <c r="L107" s="949"/>
      <c r="M107" s="949"/>
      <c r="N107" s="950"/>
      <c r="O107" s="950"/>
      <c r="X107" s="1004"/>
      <c r="Y107" s="1004"/>
    </row>
    <row r="108" spans="2:25" ht="9.75" customHeight="1">
      <c r="B108" s="951"/>
      <c r="C108" s="951"/>
      <c r="D108" s="287">
        <f t="shared" ca="1" si="14"/>
        <v>49394</v>
      </c>
      <c r="E108" s="359">
        <f t="shared" si="17"/>
        <v>0</v>
      </c>
      <c r="F108" s="289">
        <f t="shared" ca="1" si="15"/>
        <v>60</v>
      </c>
      <c r="G108" s="290">
        <f ca="1">KTVCOI!R107</f>
        <v>0.91745382418566657</v>
      </c>
      <c r="H108" s="290">
        <f ca="1">(H107-F108-G108)*(1+LS!$F$3)</f>
        <v>-5939.2229383603044</v>
      </c>
      <c r="I108" s="953"/>
      <c r="J108" s="292">
        <f t="shared" ca="1" si="16"/>
        <v>-5939.2229383603044</v>
      </c>
      <c r="K108" s="949"/>
      <c r="L108" s="949"/>
      <c r="M108" s="949"/>
      <c r="N108" s="950"/>
      <c r="O108" s="950"/>
      <c r="X108" s="1004"/>
      <c r="Y108" s="1004"/>
    </row>
    <row r="109" spans="2:25" ht="9.75" customHeight="1">
      <c r="B109" s="951"/>
      <c r="C109" s="951"/>
      <c r="D109" s="287">
        <f t="shared" ca="1" si="14"/>
        <v>49425</v>
      </c>
      <c r="E109" s="359">
        <f t="shared" si="17"/>
        <v>0</v>
      </c>
      <c r="F109" s="289">
        <f t="shared" ca="1" si="15"/>
        <v>60</v>
      </c>
      <c r="G109" s="290">
        <f ca="1">KTVCOI!R108</f>
        <v>0.93047826034311443</v>
      </c>
      <c r="H109" s="290">
        <f ca="1">(H108-F109-G109)*(1+LS!$F$3)</f>
        <v>-6022.68286575812</v>
      </c>
      <c r="I109" s="953"/>
      <c r="J109" s="292">
        <f t="shared" ca="1" si="16"/>
        <v>-6022.68286575812</v>
      </c>
      <c r="K109" s="949"/>
      <c r="L109" s="949"/>
      <c r="M109" s="949"/>
      <c r="N109" s="950"/>
      <c r="O109" s="950"/>
      <c r="X109" s="1004"/>
      <c r="Y109" s="1004"/>
    </row>
    <row r="110" spans="2:25" ht="9.75" customHeight="1">
      <c r="B110" s="951"/>
      <c r="C110" s="951"/>
      <c r="D110" s="287">
        <f t="shared" ca="1" si="14"/>
        <v>49455</v>
      </c>
      <c r="E110" s="359">
        <f t="shared" si="17"/>
        <v>0</v>
      </c>
      <c r="F110" s="289">
        <f t="shared" ca="1" si="15"/>
        <v>60</v>
      </c>
      <c r="G110" s="290">
        <f ca="1">KTVCOI!R109</f>
        <v>0.94355364896877214</v>
      </c>
      <c r="H110" s="290">
        <f ca="1">(H109-F110-G110)*(1+LS!$F$3)</f>
        <v>-6106.4692939922215</v>
      </c>
      <c r="I110" s="953"/>
      <c r="J110" s="292">
        <f t="shared" ca="1" si="16"/>
        <v>-6106.4692939922215</v>
      </c>
      <c r="K110" s="949"/>
      <c r="L110" s="949"/>
      <c r="M110" s="949"/>
      <c r="N110" s="950"/>
      <c r="O110" s="950"/>
      <c r="X110" s="1004"/>
      <c r="Y110" s="1004"/>
    </row>
    <row r="111" spans="2:25" ht="9.75" customHeight="1">
      <c r="B111" s="951"/>
      <c r="C111" s="951"/>
      <c r="D111" s="287">
        <f t="shared" ca="1" si="14"/>
        <v>49486</v>
      </c>
      <c r="E111" s="359">
        <f t="shared" si="17"/>
        <v>0</v>
      </c>
      <c r="F111" s="289">
        <f t="shared" ca="1" si="15"/>
        <v>60</v>
      </c>
      <c r="G111" s="290">
        <f ca="1">KTVCOI!R110</f>
        <v>0.95668018939211474</v>
      </c>
      <c r="H111" s="290">
        <f ca="1">(H110-F111-G111)*(1+LS!$F$3)</f>
        <v>-6190.5835003557886</v>
      </c>
      <c r="I111" s="953"/>
      <c r="J111" s="293">
        <f ca="1">H111+I100</f>
        <v>-6190.5835003557886</v>
      </c>
      <c r="K111" s="949"/>
      <c r="L111" s="949"/>
      <c r="M111" s="949"/>
      <c r="N111" s="950"/>
      <c r="O111" s="950"/>
      <c r="X111" s="1004"/>
      <c r="Y111" s="1004"/>
    </row>
    <row r="112" spans="2:25" ht="9.75" customHeight="1">
      <c r="B112" s="946">
        <f>B100+1</f>
        <v>10</v>
      </c>
      <c r="C112" s="947">
        <f ca="1">C100+1</f>
        <v>39</v>
      </c>
      <c r="D112" s="294">
        <f t="shared" ca="1" si="14"/>
        <v>49516</v>
      </c>
      <c r="E112" s="359">
        <f t="shared" si="17"/>
        <v>0</v>
      </c>
      <c r="F112" s="360">
        <f t="shared" ca="1" si="15"/>
        <v>60</v>
      </c>
      <c r="G112" s="290">
        <f ca="1">KTVCOI!R111</f>
        <v>1.0472403754768542</v>
      </c>
      <c r="H112" s="290">
        <f ca="1">(H111+KTVTDGTTKMH!F16-F112-G112)*(1+LS!$F$3)</f>
        <v>-6275.1044399885905</v>
      </c>
      <c r="I112" s="948">
        <f ca="1">IF(COUNTIF(KTVTDGTTKMH!$E$7:E16,0)&gt;0,0,50%*'Tinh phi QL'!H12/1000)</f>
        <v>0</v>
      </c>
      <c r="J112" s="296">
        <f t="shared" ca="1" si="16"/>
        <v>-6275.1044399885905</v>
      </c>
      <c r="K112" s="949">
        <f ca="1">J123</f>
        <v>-7227.0167225354708</v>
      </c>
      <c r="L112" s="949"/>
      <c r="M112" s="949"/>
      <c r="N112" s="950">
        <f t="shared" ref="N112" ca="1" si="24">SUM(G112:G123)</f>
        <v>13.523015714774928</v>
      </c>
      <c r="O112" s="950"/>
      <c r="X112" s="945">
        <f t="shared" ref="X112:Y112" ca="1" si="25">SUM(F112:F123)</f>
        <v>720</v>
      </c>
      <c r="Y112" s="945">
        <f t="shared" ca="1" si="25"/>
        <v>13.523015714774928</v>
      </c>
    </row>
    <row r="113" spans="2:25" ht="9.75" customHeight="1">
      <c r="B113" s="946"/>
      <c r="C113" s="946"/>
      <c r="D113" s="294">
        <f t="shared" ca="1" si="14"/>
        <v>49547</v>
      </c>
      <c r="E113" s="359">
        <f t="shared" si="17"/>
        <v>0</v>
      </c>
      <c r="F113" s="360">
        <f t="shared" ca="1" si="15"/>
        <v>60</v>
      </c>
      <c r="G113" s="290">
        <f ca="1">KTVCOI!R112</f>
        <v>1.0615385010980698</v>
      </c>
      <c r="H113" s="290">
        <f ca="1">(H112-F113-G113)*(1+LS!$F$3)</f>
        <v>-6359.9570916874854</v>
      </c>
      <c r="I113" s="948"/>
      <c r="J113" s="296">
        <f t="shared" ca="1" si="16"/>
        <v>-6359.9570916874854</v>
      </c>
      <c r="K113" s="949"/>
      <c r="L113" s="949"/>
      <c r="M113" s="949"/>
      <c r="N113" s="950"/>
      <c r="O113" s="950"/>
      <c r="X113" s="1004"/>
      <c r="Y113" s="1004"/>
    </row>
    <row r="114" spans="2:25" ht="9.75" customHeight="1">
      <c r="B114" s="946"/>
      <c r="C114" s="946"/>
      <c r="D114" s="294">
        <f t="shared" ca="1" si="14"/>
        <v>49578</v>
      </c>
      <c r="E114" s="359">
        <f t="shared" si="17"/>
        <v>0</v>
      </c>
      <c r="F114" s="360">
        <f t="shared" ca="1" si="15"/>
        <v>60</v>
      </c>
      <c r="G114" s="290">
        <f ca="1">KTVCOI!R113</f>
        <v>1.0758927413437995</v>
      </c>
      <c r="H114" s="290">
        <f ca="1">(H113-F114-G114)*(1+LS!$F$3)</f>
        <v>-6445.1427572943039</v>
      </c>
      <c r="I114" s="948"/>
      <c r="J114" s="296">
        <f t="shared" ca="1" si="16"/>
        <v>-6445.1427572943039</v>
      </c>
      <c r="K114" s="949"/>
      <c r="L114" s="949"/>
      <c r="M114" s="949"/>
      <c r="N114" s="950"/>
      <c r="O114" s="950"/>
      <c r="X114" s="1004"/>
      <c r="Y114" s="1004"/>
    </row>
    <row r="115" spans="2:25" ht="9.75" customHeight="1">
      <c r="B115" s="946"/>
      <c r="C115" s="946"/>
      <c r="D115" s="294">
        <f t="shared" ca="1" si="14"/>
        <v>49608</v>
      </c>
      <c r="E115" s="359">
        <f t="shared" si="17"/>
        <v>0</v>
      </c>
      <c r="F115" s="360">
        <f t="shared" ca="1" si="15"/>
        <v>60</v>
      </c>
      <c r="G115" s="290">
        <f ca="1">KTVCOI!R114</f>
        <v>1.0903033164422864</v>
      </c>
      <c r="H115" s="290">
        <f ca="1">(H114-F115-G115)*(1+LS!$F$3)</f>
        <v>-6530.6627437601028</v>
      </c>
      <c r="I115" s="948"/>
      <c r="J115" s="296">
        <f t="shared" ca="1" si="16"/>
        <v>-6530.6627437601028</v>
      </c>
      <c r="K115" s="949"/>
      <c r="L115" s="949"/>
      <c r="M115" s="949"/>
      <c r="N115" s="950"/>
      <c r="O115" s="950"/>
      <c r="X115" s="1004"/>
      <c r="Y115" s="1004"/>
    </row>
    <row r="116" spans="2:25" ht="9.75" customHeight="1">
      <c r="B116" s="946"/>
      <c r="C116" s="946"/>
      <c r="D116" s="294">
        <f t="shared" ca="1" si="14"/>
        <v>49639</v>
      </c>
      <c r="E116" s="359">
        <f t="shared" si="17"/>
        <v>0</v>
      </c>
      <c r="F116" s="360">
        <f t="shared" ca="1" si="15"/>
        <v>60</v>
      </c>
      <c r="G116" s="290">
        <f ca="1">KTVCOI!R115</f>
        <v>1.104770447486084</v>
      </c>
      <c r="H116" s="290">
        <f ca="1">(H115-F116-G116)*(1+LS!$F$3)</f>
        <v>-6616.5183631652189</v>
      </c>
      <c r="I116" s="948"/>
      <c r="J116" s="296">
        <f t="shared" ca="1" si="16"/>
        <v>-6616.5183631652189</v>
      </c>
      <c r="K116" s="949"/>
      <c r="L116" s="949"/>
      <c r="M116" s="949"/>
      <c r="N116" s="950"/>
      <c r="O116" s="950"/>
      <c r="X116" s="1004"/>
      <c r="Y116" s="1004"/>
    </row>
    <row r="117" spans="2:25" ht="9.75" customHeight="1">
      <c r="B117" s="946"/>
      <c r="C117" s="946"/>
      <c r="D117" s="294">
        <f t="shared" ca="1" si="14"/>
        <v>49669</v>
      </c>
      <c r="E117" s="359">
        <f t="shared" si="17"/>
        <v>0</v>
      </c>
      <c r="F117" s="360">
        <f t="shared" ca="1" si="15"/>
        <v>60</v>
      </c>
      <c r="G117" s="290">
        <f ca="1">KTVCOI!R116</f>
        <v>1.1192943564354494</v>
      </c>
      <c r="H117" s="290">
        <f ca="1">(H116-F117-G117)*(1+LS!$F$3)</f>
        <v>-6702.7109327393973</v>
      </c>
      <c r="I117" s="948"/>
      <c r="J117" s="296">
        <f t="shared" ca="1" si="16"/>
        <v>-6702.7109327393973</v>
      </c>
      <c r="K117" s="949"/>
      <c r="L117" s="949"/>
      <c r="M117" s="949"/>
      <c r="N117" s="950"/>
      <c r="O117" s="950"/>
      <c r="X117" s="1004"/>
      <c r="Y117" s="1004"/>
    </row>
    <row r="118" spans="2:25" ht="9.75" customHeight="1">
      <c r="B118" s="946"/>
      <c r="C118" s="946"/>
      <c r="D118" s="294">
        <f t="shared" ca="1" si="14"/>
        <v>49700</v>
      </c>
      <c r="E118" s="359">
        <f t="shared" si="17"/>
        <v>0</v>
      </c>
      <c r="F118" s="360">
        <f t="shared" ca="1" si="15"/>
        <v>60</v>
      </c>
      <c r="G118" s="290">
        <f ca="1">KTVCOI!R117</f>
        <v>1.1338752661217479</v>
      </c>
      <c r="H118" s="290">
        <f ca="1">(H117-F118-G118)*(1+LS!$F$3)</f>
        <v>-6789.2417748819998</v>
      </c>
      <c r="I118" s="948"/>
      <c r="J118" s="296">
        <f t="shared" ca="1" si="16"/>
        <v>-6789.2417748819998</v>
      </c>
      <c r="K118" s="949"/>
      <c r="L118" s="949"/>
      <c r="M118" s="949"/>
      <c r="N118" s="950"/>
      <c r="O118" s="950"/>
      <c r="X118" s="1004"/>
      <c r="Y118" s="1004"/>
    </row>
    <row r="119" spans="2:25" ht="9.75" customHeight="1">
      <c r="B119" s="946"/>
      <c r="C119" s="946"/>
      <c r="D119" s="294">
        <f t="shared" ca="1" si="14"/>
        <v>49731</v>
      </c>
      <c r="E119" s="359">
        <f t="shared" si="17"/>
        <v>0</v>
      </c>
      <c r="F119" s="360">
        <f t="shared" ca="1" si="15"/>
        <v>60</v>
      </c>
      <c r="G119" s="290">
        <f ca="1">KTVCOI!R118</f>
        <v>1.1485134002508715</v>
      </c>
      <c r="H119" s="290">
        <f ca="1">(H118-F119-G119)*(1+LS!$F$3)</f>
        <v>-6876.1122171822981</v>
      </c>
      <c r="I119" s="948"/>
      <c r="J119" s="296">
        <f t="shared" ca="1" si="16"/>
        <v>-6876.1122171822981</v>
      </c>
      <c r="K119" s="949"/>
      <c r="L119" s="949"/>
      <c r="M119" s="949"/>
      <c r="N119" s="950"/>
      <c r="O119" s="950"/>
      <c r="X119" s="1004"/>
      <c r="Y119" s="1004"/>
    </row>
    <row r="120" spans="2:25" ht="9.75" customHeight="1">
      <c r="B120" s="946"/>
      <c r="C120" s="946"/>
      <c r="D120" s="294">
        <f t="shared" ca="1" si="14"/>
        <v>49760</v>
      </c>
      <c r="E120" s="359">
        <f t="shared" si="17"/>
        <v>0</v>
      </c>
      <c r="F120" s="360">
        <f t="shared" ca="1" si="15"/>
        <v>60</v>
      </c>
      <c r="G120" s="290">
        <f ca="1">KTVCOI!R119</f>
        <v>1.1632089834066719</v>
      </c>
      <c r="H120" s="290">
        <f ca="1">(H119-F120-G120)*(1+LS!$F$3)</f>
        <v>-6963.3235924398377</v>
      </c>
      <c r="I120" s="948"/>
      <c r="J120" s="296">
        <f t="shared" ca="1" si="16"/>
        <v>-6963.3235924398377</v>
      </c>
      <c r="K120" s="949"/>
      <c r="L120" s="949"/>
      <c r="M120" s="949"/>
      <c r="N120" s="950"/>
      <c r="O120" s="950"/>
      <c r="X120" s="1004"/>
      <c r="Y120" s="1004"/>
    </row>
    <row r="121" spans="2:25" ht="9.75" customHeight="1">
      <c r="B121" s="946"/>
      <c r="C121" s="946"/>
      <c r="D121" s="294">
        <f t="shared" ca="1" si="14"/>
        <v>49791</v>
      </c>
      <c r="E121" s="359">
        <f t="shared" si="17"/>
        <v>0</v>
      </c>
      <c r="F121" s="360">
        <f t="shared" ca="1" si="15"/>
        <v>60</v>
      </c>
      <c r="G121" s="290">
        <f ca="1">KTVCOI!R120</f>
        <v>1.1779622410544059</v>
      </c>
      <c r="H121" s="290">
        <f ca="1">(H120-F121-G121)*(1+LS!$F$3)</f>
        <v>-7050.8772386848877</v>
      </c>
      <c r="I121" s="948"/>
      <c r="J121" s="296">
        <f t="shared" ca="1" si="16"/>
        <v>-7050.8772386848877</v>
      </c>
      <c r="K121" s="949"/>
      <c r="L121" s="949"/>
      <c r="M121" s="949"/>
      <c r="N121" s="950"/>
      <c r="O121" s="950"/>
      <c r="X121" s="1004"/>
      <c r="Y121" s="1004"/>
    </row>
    <row r="122" spans="2:25" ht="9.75" customHeight="1">
      <c r="B122" s="946"/>
      <c r="C122" s="946"/>
      <c r="D122" s="294">
        <f t="shared" ca="1" si="14"/>
        <v>49821</v>
      </c>
      <c r="E122" s="359">
        <f t="shared" si="17"/>
        <v>0</v>
      </c>
      <c r="F122" s="360">
        <f t="shared" ca="1" si="15"/>
        <v>60</v>
      </c>
      <c r="G122" s="290">
        <f ca="1">KTVCOI!R121</f>
        <v>1.1927733995441934</v>
      </c>
      <c r="H122" s="290">
        <f ca="1">(H121-F122-G122)*(1+LS!$F$3)</f>
        <v>-7138.7744991989712</v>
      </c>
      <c r="I122" s="948"/>
      <c r="J122" s="296">
        <f t="shared" ca="1" si="16"/>
        <v>-7138.7744991989712</v>
      </c>
      <c r="K122" s="949"/>
      <c r="L122" s="949"/>
      <c r="M122" s="949"/>
      <c r="N122" s="950"/>
      <c r="O122" s="950"/>
      <c r="X122" s="1004"/>
      <c r="Y122" s="1004"/>
    </row>
    <row r="123" spans="2:25" ht="9.75" customHeight="1">
      <c r="B123" s="946"/>
      <c r="C123" s="946"/>
      <c r="D123" s="294">
        <f t="shared" ca="1" si="14"/>
        <v>49852</v>
      </c>
      <c r="E123" s="359">
        <f t="shared" si="17"/>
        <v>0</v>
      </c>
      <c r="F123" s="360">
        <f t="shared" ca="1" si="15"/>
        <v>60</v>
      </c>
      <c r="G123" s="290">
        <f ca="1">KTVCOI!R122</f>
        <v>1.2076426861144924</v>
      </c>
      <c r="H123" s="290">
        <f ca="1">(H122-F123-G123)*(1+LS!$F$3)</f>
        <v>-7227.0167225354708</v>
      </c>
      <c r="I123" s="948"/>
      <c r="J123" s="297">
        <f ca="1">H123+I112</f>
        <v>-7227.0167225354708</v>
      </c>
      <c r="K123" s="949"/>
      <c r="L123" s="949"/>
      <c r="M123" s="949"/>
      <c r="N123" s="950"/>
      <c r="O123" s="950"/>
      <c r="X123" s="1004"/>
      <c r="Y123" s="1004"/>
    </row>
    <row r="124" spans="2:25" ht="9.75" customHeight="1">
      <c r="B124" s="951">
        <f>B112+1</f>
        <v>11</v>
      </c>
      <c r="C124" s="952">
        <f ca="1">C112+1</f>
        <v>40</v>
      </c>
      <c r="D124" s="287">
        <f t="shared" ca="1" si="14"/>
        <v>49882</v>
      </c>
      <c r="E124" s="359">
        <f t="shared" si="17"/>
        <v>0</v>
      </c>
      <c r="F124" s="289">
        <f t="shared" ca="1" si="15"/>
        <v>60</v>
      </c>
      <c r="G124" s="290">
        <f ca="1">KTVCOI!R123</f>
        <v>1.3309755797336158</v>
      </c>
      <c r="H124" s="290">
        <f ca="1">(J123+KTVTDGTTKMH!F17-F124-G124)*(1+LS!$F$3)</f>
        <v>-7315.7140748325155</v>
      </c>
      <c r="I124" s="953"/>
      <c r="J124" s="292">
        <f t="shared" ca="1" si="16"/>
        <v>-7315.7140748325155</v>
      </c>
      <c r="K124" s="949">
        <f ca="1">J135</f>
        <v>-8314.7534493669573</v>
      </c>
      <c r="L124" s="949"/>
      <c r="M124" s="949"/>
      <c r="N124" s="950">
        <f t="shared" ref="N124" ca="1" si="26">SUM(G124:G135)</f>
        <v>17.06410764588712</v>
      </c>
      <c r="O124" s="950"/>
      <c r="X124" s="945">
        <f t="shared" ref="X124:Y124" ca="1" si="27">SUM(F124:F135)</f>
        <v>720</v>
      </c>
      <c r="Y124" s="945">
        <f t="shared" ca="1" si="27"/>
        <v>17.06410764588712</v>
      </c>
    </row>
    <row r="125" spans="2:25" ht="9.75" customHeight="1">
      <c r="B125" s="951"/>
      <c r="C125" s="951"/>
      <c r="D125" s="287">
        <f t="shared" ca="1" si="14"/>
        <v>49913</v>
      </c>
      <c r="E125" s="359">
        <f t="shared" si="17"/>
        <v>0</v>
      </c>
      <c r="F125" s="289">
        <f t="shared" ca="1" si="15"/>
        <v>60</v>
      </c>
      <c r="G125" s="290">
        <f ca="1">KTVCOI!R124</f>
        <v>1.3473106754483215</v>
      </c>
      <c r="H125" s="290">
        <f ca="1">(H124-F125-G125)*(1+LS!$F$3)</f>
        <v>-7404.7608654593323</v>
      </c>
      <c r="I125" s="953"/>
      <c r="J125" s="292">
        <f t="shared" ca="1" si="16"/>
        <v>-7404.7608654593323</v>
      </c>
      <c r="K125" s="949"/>
      <c r="L125" s="949"/>
      <c r="M125" s="949"/>
      <c r="N125" s="950"/>
      <c r="O125" s="950"/>
      <c r="X125" s="1004"/>
      <c r="Y125" s="1004"/>
    </row>
    <row r="126" spans="2:25" ht="9.75" customHeight="1">
      <c r="B126" s="951"/>
      <c r="C126" s="951"/>
      <c r="D126" s="287">
        <f t="shared" ca="1" si="14"/>
        <v>49944</v>
      </c>
      <c r="E126" s="359">
        <f t="shared" si="17"/>
        <v>0</v>
      </c>
      <c r="F126" s="289">
        <f t="shared" ca="1" si="15"/>
        <v>60</v>
      </c>
      <c r="G126" s="290">
        <f ca="1">KTVCOI!R125</f>
        <v>1.363710126055427</v>
      </c>
      <c r="H126" s="290">
        <f ca="1">(H125-F126-G126)*(1+LS!$F$3)</f>
        <v>-7494.1584710877505</v>
      </c>
      <c r="I126" s="953"/>
      <c r="J126" s="292">
        <f t="shared" ca="1" si="16"/>
        <v>-7494.1584710877505</v>
      </c>
      <c r="K126" s="949"/>
      <c r="L126" s="949"/>
      <c r="M126" s="949"/>
      <c r="N126" s="950"/>
      <c r="O126" s="950"/>
      <c r="X126" s="1004"/>
      <c r="Y126" s="1004"/>
    </row>
    <row r="127" spans="2:25" ht="9.75" customHeight="1">
      <c r="B127" s="951"/>
      <c r="C127" s="951"/>
      <c r="D127" s="287">
        <f t="shared" ca="1" si="14"/>
        <v>49974</v>
      </c>
      <c r="E127" s="359">
        <f t="shared" si="17"/>
        <v>0</v>
      </c>
      <c r="F127" s="289">
        <f t="shared" ca="1" si="15"/>
        <v>60</v>
      </c>
      <c r="G127" s="290">
        <f ca="1">KTVCOI!R126</f>
        <v>1.3801741850919942</v>
      </c>
      <c r="H127" s="290">
        <f ca="1">(H126-F127-G127)*(1+LS!$F$3)</f>
        <v>-7583.9082738132338</v>
      </c>
      <c r="I127" s="953"/>
      <c r="J127" s="292">
        <f t="shared" ca="1" si="16"/>
        <v>-7583.9082738132338</v>
      </c>
      <c r="K127" s="949"/>
      <c r="L127" s="949"/>
      <c r="M127" s="949"/>
      <c r="N127" s="950"/>
      <c r="O127" s="950"/>
      <c r="X127" s="1004"/>
      <c r="Y127" s="1004"/>
    </row>
    <row r="128" spans="2:25" ht="9.75" customHeight="1">
      <c r="B128" s="951"/>
      <c r="C128" s="951"/>
      <c r="D128" s="287">
        <f t="shared" ca="1" si="14"/>
        <v>50005</v>
      </c>
      <c r="E128" s="359">
        <f t="shared" si="17"/>
        <v>0</v>
      </c>
      <c r="F128" s="289">
        <f t="shared" ca="1" si="15"/>
        <v>60</v>
      </c>
      <c r="G128" s="290">
        <f ca="1">KTVCOI!R127</f>
        <v>1.3967031070939371</v>
      </c>
      <c r="H128" s="290">
        <f ca="1">(H127-F128-G128)*(1+LS!$F$3)</f>
        <v>-7674.011661176246</v>
      </c>
      <c r="I128" s="953"/>
      <c r="J128" s="292">
        <f t="shared" ca="1" si="16"/>
        <v>-7674.011661176246</v>
      </c>
      <c r="K128" s="949"/>
      <c r="L128" s="949"/>
      <c r="M128" s="949"/>
      <c r="N128" s="950"/>
      <c r="O128" s="950"/>
      <c r="X128" s="1004"/>
      <c r="Y128" s="1004"/>
    </row>
    <row r="129" spans="2:25" ht="9.75" customHeight="1">
      <c r="B129" s="951"/>
      <c r="C129" s="951"/>
      <c r="D129" s="287">
        <f t="shared" ca="1" si="14"/>
        <v>50035</v>
      </c>
      <c r="E129" s="359">
        <f t="shared" si="17"/>
        <v>0</v>
      </c>
      <c r="F129" s="289">
        <f t="shared" ca="1" si="15"/>
        <v>60</v>
      </c>
      <c r="G129" s="290">
        <f ca="1">KTVCOI!R128</f>
        <v>1.4132971475999587</v>
      </c>
      <c r="H129" s="290">
        <f ca="1">(H128-F129-G129)*(1+LS!$F$3)</f>
        <v>-7764.4700261837024</v>
      </c>
      <c r="I129" s="953"/>
      <c r="J129" s="292">
        <f t="shared" ca="1" si="16"/>
        <v>-7764.4700261837024</v>
      </c>
      <c r="K129" s="949"/>
      <c r="L129" s="949"/>
      <c r="M129" s="949"/>
      <c r="N129" s="950"/>
      <c r="O129" s="950"/>
      <c r="X129" s="1004"/>
      <c r="Y129" s="1004"/>
    </row>
    <row r="130" spans="2:25" ht="9.75" customHeight="1">
      <c r="B130" s="951"/>
      <c r="C130" s="951"/>
      <c r="D130" s="287">
        <f t="shared" ca="1" si="14"/>
        <v>50066</v>
      </c>
      <c r="E130" s="359">
        <f t="shared" si="17"/>
        <v>0</v>
      </c>
      <c r="F130" s="289">
        <f t="shared" ca="1" si="15"/>
        <v>60</v>
      </c>
      <c r="G130" s="290">
        <f ca="1">KTVCOI!R129</f>
        <v>1.4299565631554987</v>
      </c>
      <c r="H130" s="290">
        <f ca="1">(H129-F130-G130)*(1+LS!$F$3)</f>
        <v>-7855.2847673305068</v>
      </c>
      <c r="I130" s="953"/>
      <c r="J130" s="292">
        <f t="shared" ca="1" si="16"/>
        <v>-7855.2847673305068</v>
      </c>
      <c r="K130" s="949"/>
      <c r="L130" s="949"/>
      <c r="M130" s="949"/>
      <c r="N130" s="950"/>
      <c r="O130" s="950"/>
      <c r="X130" s="1004"/>
      <c r="Y130" s="1004"/>
    </row>
    <row r="131" spans="2:25" ht="9.75" customHeight="1">
      <c r="B131" s="951"/>
      <c r="C131" s="951"/>
      <c r="D131" s="287">
        <f t="shared" ca="1" si="14"/>
        <v>50097</v>
      </c>
      <c r="E131" s="359">
        <f t="shared" si="17"/>
        <v>0</v>
      </c>
      <c r="F131" s="289">
        <f t="shared" ca="1" si="15"/>
        <v>60</v>
      </c>
      <c r="G131" s="290">
        <f ca="1">KTVCOI!R130</f>
        <v>1.4466816113167018</v>
      </c>
      <c r="H131" s="290">
        <f ca="1">(H130-F131-G131)*(1+LS!$F$3)</f>
        <v>-7946.4572886211727</v>
      </c>
      <c r="I131" s="953"/>
      <c r="J131" s="292">
        <f t="shared" ca="1" si="16"/>
        <v>-7946.4572886211727</v>
      </c>
      <c r="K131" s="949"/>
      <c r="L131" s="949"/>
      <c r="M131" s="949"/>
      <c r="N131" s="950"/>
      <c r="O131" s="950"/>
      <c r="X131" s="1004"/>
      <c r="Y131" s="1004"/>
    </row>
    <row r="132" spans="2:25" ht="9.75" customHeight="1">
      <c r="B132" s="951"/>
      <c r="C132" s="951"/>
      <c r="D132" s="287">
        <f t="shared" ca="1" si="14"/>
        <v>50125</v>
      </c>
      <c r="E132" s="359">
        <f t="shared" si="17"/>
        <v>0</v>
      </c>
      <c r="F132" s="289">
        <f t="shared" ca="1" si="15"/>
        <v>60</v>
      </c>
      <c r="G132" s="290">
        <f ca="1">KTVCOI!R131</f>
        <v>1.4634725506543991</v>
      </c>
      <c r="H132" s="290">
        <f ca="1">(H131-F132-G132)*(1+LS!$F$3)</f>
        <v>-8037.9889995915282</v>
      </c>
      <c r="I132" s="953"/>
      <c r="J132" s="292">
        <f t="shared" ca="1" si="16"/>
        <v>-8037.9889995915282</v>
      </c>
      <c r="K132" s="949"/>
      <c r="L132" s="949"/>
      <c r="M132" s="949"/>
      <c r="N132" s="950"/>
      <c r="O132" s="950"/>
      <c r="X132" s="1004"/>
      <c r="Y132" s="1004"/>
    </row>
    <row r="133" spans="2:25" ht="9.75" customHeight="1">
      <c r="B133" s="951"/>
      <c r="C133" s="951"/>
      <c r="D133" s="287">
        <f t="shared" ref="D133:D196" ca="1" si="28">EDATE(D132,1)</f>
        <v>50156</v>
      </c>
      <c r="E133" s="359">
        <f t="shared" si="17"/>
        <v>0</v>
      </c>
      <c r="F133" s="289">
        <f t="shared" ref="F133:F196" ca="1" si="29">IF(YEAR(D133)=2025,40000,IF(YEAR(D133)=2026,40000,IF(YEAR(D133)=2027,40000,IF(YEAR(D133)=2028,40000,IF(YEAR(D133)=2029,40000,IF(YEAR(D133)=2030,50000,IF(YEAR(D133)=2031,50000,IF(YEAR(D133)=2032,50000,IF(YEAR(D133)=2033,50000,IF(YEAR(D133)=2034,50000,IF(YEAR(D133)&gt;=2035,60000,0)))))))))))/1000</f>
        <v>60</v>
      </c>
      <c r="G133" s="290">
        <f ca="1">KTVCOI!R132</f>
        <v>1.4803296407581066</v>
      </c>
      <c r="H133" s="290">
        <f ca="1">(H132-F133-G133)*(1+LS!$F$3)</f>
        <v>-8129.8813153305073</v>
      </c>
      <c r="I133" s="953"/>
      <c r="J133" s="292">
        <f t="shared" ref="J133:J196" ca="1" si="30">H133</f>
        <v>-8129.8813153305073</v>
      </c>
      <c r="K133" s="949"/>
      <c r="L133" s="949"/>
      <c r="M133" s="949"/>
      <c r="N133" s="950"/>
      <c r="O133" s="950"/>
      <c r="X133" s="1004"/>
      <c r="Y133" s="1004"/>
    </row>
    <row r="134" spans="2:25" ht="9.75" customHeight="1">
      <c r="B134" s="951"/>
      <c r="C134" s="951"/>
      <c r="D134" s="287">
        <f t="shared" ca="1" si="28"/>
        <v>50186</v>
      </c>
      <c r="E134" s="359">
        <f t="shared" ref="E134:E197" si="31">E133</f>
        <v>0</v>
      </c>
      <c r="F134" s="289">
        <f t="shared" ca="1" si="29"/>
        <v>60</v>
      </c>
      <c r="G134" s="290">
        <f ca="1">KTVCOI!R133</f>
        <v>1.4972531422400348</v>
      </c>
      <c r="H134" s="290">
        <f ca="1">(H133-F134-G134)*(1+LS!$F$3)</f>
        <v>-8222.1356565020287</v>
      </c>
      <c r="I134" s="953"/>
      <c r="J134" s="292">
        <f t="shared" ca="1" si="30"/>
        <v>-8222.1356565020287</v>
      </c>
      <c r="K134" s="949"/>
      <c r="L134" s="949"/>
      <c r="M134" s="949"/>
      <c r="N134" s="950"/>
      <c r="O134" s="950"/>
      <c r="X134" s="1004"/>
      <c r="Y134" s="1004"/>
    </row>
    <row r="135" spans="2:25" ht="9.75" customHeight="1">
      <c r="B135" s="951"/>
      <c r="C135" s="951"/>
      <c r="D135" s="287">
        <f t="shared" ca="1" si="28"/>
        <v>50217</v>
      </c>
      <c r="E135" s="359">
        <f t="shared" si="31"/>
        <v>0</v>
      </c>
      <c r="F135" s="289">
        <f t="shared" ca="1" si="29"/>
        <v>60</v>
      </c>
      <c r="G135" s="290">
        <f ca="1">KTVCOI!R134</f>
        <v>1.5142433167391236</v>
      </c>
      <c r="H135" s="290">
        <f ca="1">(H134-F135-G135)*(1+LS!$F$3)</f>
        <v>-8314.7534493669573</v>
      </c>
      <c r="I135" s="953"/>
      <c r="J135" s="293">
        <f ca="1">H135+I124</f>
        <v>-8314.7534493669573</v>
      </c>
      <c r="K135" s="949"/>
      <c r="L135" s="949"/>
      <c r="M135" s="949"/>
      <c r="N135" s="950"/>
      <c r="O135" s="950"/>
      <c r="X135" s="1004"/>
      <c r="Y135" s="1004"/>
    </row>
    <row r="136" spans="2:25" ht="9.75" customHeight="1">
      <c r="B136" s="946">
        <f>B124+1</f>
        <v>12</v>
      </c>
      <c r="C136" s="947">
        <f ca="1">C124+1</f>
        <v>41</v>
      </c>
      <c r="D136" s="294">
        <f t="shared" ca="1" si="28"/>
        <v>50247</v>
      </c>
      <c r="E136" s="359">
        <f t="shared" si="31"/>
        <v>0</v>
      </c>
      <c r="F136" s="360">
        <f t="shared" ca="1" si="29"/>
        <v>60</v>
      </c>
      <c r="G136" s="290">
        <f ca="1">KTVCOI!R135</f>
        <v>1.6560217286655858</v>
      </c>
      <c r="H136" s="290">
        <f ca="1">(H135+KTVTDGTTKMH!F18-F136-G136)*(1+LS!$F$3)</f>
        <v>-8407.8613154119612</v>
      </c>
      <c r="I136" s="948"/>
      <c r="J136" s="296">
        <f t="shared" ca="1" si="30"/>
        <v>-8407.8613154119612</v>
      </c>
      <c r="K136" s="949">
        <f ca="1">J147</f>
        <v>-9456.6733400981011</v>
      </c>
      <c r="L136" s="949"/>
      <c r="M136" s="949"/>
      <c r="N136" s="950">
        <f t="shared" ref="N136" ca="1" si="32">SUM(G136:G147)</f>
        <v>21.112442123143971</v>
      </c>
      <c r="O136" s="950"/>
      <c r="X136" s="945">
        <f t="shared" ref="X136:Y136" ca="1" si="33">SUM(F136:F147)</f>
        <v>720</v>
      </c>
      <c r="Y136" s="945">
        <f t="shared" ca="1" si="33"/>
        <v>21.112442123143971</v>
      </c>
    </row>
    <row r="137" spans="2:25" ht="9.75" customHeight="1">
      <c r="B137" s="946"/>
      <c r="C137" s="946"/>
      <c r="D137" s="294">
        <f t="shared" ca="1" si="28"/>
        <v>50278</v>
      </c>
      <c r="E137" s="359">
        <f t="shared" si="31"/>
        <v>0</v>
      </c>
      <c r="F137" s="360">
        <f t="shared" ca="1" si="29"/>
        <v>60</v>
      </c>
      <c r="G137" s="290">
        <f ca="1">KTVCOI!R136</f>
        <v>1.6745657119862158</v>
      </c>
      <c r="H137" s="290">
        <f ca="1">(H136-F137-G137)*(1+LS!$F$3)</f>
        <v>-8501.3373976190469</v>
      </c>
      <c r="I137" s="948"/>
      <c r="J137" s="296">
        <f t="shared" ca="1" si="30"/>
        <v>-8501.3373976190469</v>
      </c>
      <c r="K137" s="949"/>
      <c r="L137" s="949"/>
      <c r="M137" s="949"/>
      <c r="N137" s="950"/>
      <c r="O137" s="950"/>
      <c r="X137" s="1004"/>
      <c r="Y137" s="1004"/>
    </row>
    <row r="138" spans="2:25" ht="9.75" customHeight="1">
      <c r="B138" s="946"/>
      <c r="C138" s="946"/>
      <c r="D138" s="294">
        <f t="shared" ca="1" si="28"/>
        <v>50309</v>
      </c>
      <c r="E138" s="359">
        <f t="shared" si="31"/>
        <v>0</v>
      </c>
      <c r="F138" s="360">
        <f t="shared" ca="1" si="29"/>
        <v>60</v>
      </c>
      <c r="G138" s="290">
        <f ca="1">KTVCOI!R137</f>
        <v>1.6931830316924603</v>
      </c>
      <c r="H138" s="290">
        <f ca="1">(H137-F138-G138)*(1+LS!$F$3)</f>
        <v>-8595.1831521824934</v>
      </c>
      <c r="I138" s="948"/>
      <c r="J138" s="296">
        <f t="shared" ca="1" si="30"/>
        <v>-8595.1831521824934</v>
      </c>
      <c r="K138" s="949"/>
      <c r="L138" s="949"/>
      <c r="M138" s="949"/>
      <c r="N138" s="950"/>
      <c r="O138" s="950"/>
      <c r="X138" s="1004"/>
      <c r="Y138" s="1004"/>
    </row>
    <row r="139" spans="2:25" ht="9.75" customHeight="1">
      <c r="B139" s="946"/>
      <c r="C139" s="946"/>
      <c r="D139" s="294">
        <f t="shared" ca="1" si="28"/>
        <v>50339</v>
      </c>
      <c r="E139" s="359">
        <f t="shared" si="31"/>
        <v>0</v>
      </c>
      <c r="F139" s="360">
        <f t="shared" ca="1" si="29"/>
        <v>60</v>
      </c>
      <c r="G139" s="290">
        <f ca="1">KTVCOI!R138</f>
        <v>1.7118739778096801</v>
      </c>
      <c r="H139" s="290">
        <f ca="1">(H138-F139-G139)*(1+LS!$F$3)</f>
        <v>-8689.4000410554327</v>
      </c>
      <c r="I139" s="948"/>
      <c r="J139" s="296">
        <f t="shared" ca="1" si="30"/>
        <v>-8689.4000410554327</v>
      </c>
      <c r="K139" s="949"/>
      <c r="L139" s="949"/>
      <c r="M139" s="949"/>
      <c r="N139" s="950"/>
      <c r="O139" s="950"/>
      <c r="X139" s="1004"/>
      <c r="Y139" s="1004"/>
    </row>
    <row r="140" spans="2:25" ht="9.75" customHeight="1">
      <c r="B140" s="946"/>
      <c r="C140" s="946"/>
      <c r="D140" s="294">
        <f t="shared" ca="1" si="28"/>
        <v>50370</v>
      </c>
      <c r="E140" s="359">
        <f t="shared" si="31"/>
        <v>0</v>
      </c>
      <c r="F140" s="360">
        <f t="shared" ca="1" si="29"/>
        <v>60</v>
      </c>
      <c r="G140" s="290">
        <f ca="1">KTVCOI!R139</f>
        <v>1.7306388415102072</v>
      </c>
      <c r="H140" s="290">
        <f ca="1">(H139-F140-G140)*(1+LS!$F$3)</f>
        <v>-8783.989531972622</v>
      </c>
      <c r="I140" s="948"/>
      <c r="J140" s="296">
        <f t="shared" ca="1" si="30"/>
        <v>-8783.989531972622</v>
      </c>
      <c r="K140" s="949"/>
      <c r="L140" s="949"/>
      <c r="M140" s="949"/>
      <c r="N140" s="950"/>
      <c r="O140" s="950"/>
      <c r="X140" s="1004"/>
      <c r="Y140" s="1004"/>
    </row>
    <row r="141" spans="2:25" ht="9.75" customHeight="1">
      <c r="B141" s="946"/>
      <c r="C141" s="946"/>
      <c r="D141" s="294">
        <f t="shared" ca="1" si="28"/>
        <v>50400</v>
      </c>
      <c r="E141" s="359">
        <f t="shared" si="31"/>
        <v>0</v>
      </c>
      <c r="F141" s="360">
        <f t="shared" ca="1" si="29"/>
        <v>60</v>
      </c>
      <c r="G141" s="290">
        <f ca="1">KTVCOI!R140</f>
        <v>1.7494779151178808</v>
      </c>
      <c r="H141" s="290">
        <f ca="1">(H140-F141-G141)*(1+LS!$F$3)</f>
        <v>-8878.9530984733065</v>
      </c>
      <c r="I141" s="948"/>
      <c r="J141" s="296">
        <f t="shared" ca="1" si="30"/>
        <v>-8878.9530984733065</v>
      </c>
      <c r="K141" s="949"/>
      <c r="L141" s="949"/>
      <c r="M141" s="949"/>
      <c r="N141" s="950"/>
      <c r="O141" s="950"/>
      <c r="X141" s="1004"/>
      <c r="Y141" s="1004"/>
    </row>
    <row r="142" spans="2:25" ht="9.75" customHeight="1">
      <c r="B142" s="946"/>
      <c r="C142" s="946"/>
      <c r="D142" s="294">
        <f t="shared" ca="1" si="28"/>
        <v>50431</v>
      </c>
      <c r="E142" s="359">
        <f t="shared" si="31"/>
        <v>0</v>
      </c>
      <c r="F142" s="360">
        <f t="shared" ca="1" si="29"/>
        <v>60</v>
      </c>
      <c r="G142" s="290">
        <f ca="1">KTVCOI!R141</f>
        <v>1.7683914921126005</v>
      </c>
      <c r="H142" s="290">
        <f ca="1">(H141-F142-G142)*(1+LS!$F$3)</f>
        <v>-8974.2922199241766</v>
      </c>
      <c r="I142" s="948"/>
      <c r="J142" s="296">
        <f t="shared" ca="1" si="30"/>
        <v>-8974.2922199241766</v>
      </c>
      <c r="K142" s="949"/>
      <c r="L142" s="949"/>
      <c r="M142" s="949"/>
      <c r="N142" s="950"/>
      <c r="O142" s="950"/>
      <c r="X142" s="1004"/>
      <c r="Y142" s="1004"/>
    </row>
    <row r="143" spans="2:25" ht="9.75" customHeight="1">
      <c r="B143" s="946"/>
      <c r="C143" s="946"/>
      <c r="D143" s="294">
        <f t="shared" ca="1" si="28"/>
        <v>50462</v>
      </c>
      <c r="E143" s="359">
        <f t="shared" si="31"/>
        <v>0</v>
      </c>
      <c r="F143" s="360">
        <f t="shared" ca="1" si="29"/>
        <v>60</v>
      </c>
      <c r="G143" s="290">
        <f ca="1">KTVCOI!R142</f>
        <v>1.7873798671348986</v>
      </c>
      <c r="H143" s="290">
        <f ca="1">(H142-F143-G143)*(1+LS!$F$3)</f>
        <v>-9070.008381542415</v>
      </c>
      <c r="I143" s="948"/>
      <c r="J143" s="296">
        <f t="shared" ca="1" si="30"/>
        <v>-9070.008381542415</v>
      </c>
      <c r="K143" s="949"/>
      <c r="L143" s="949"/>
      <c r="M143" s="949"/>
      <c r="N143" s="950"/>
      <c r="O143" s="950"/>
      <c r="X143" s="1004"/>
      <c r="Y143" s="1004"/>
    </row>
    <row r="144" spans="2:25" ht="9.75" customHeight="1">
      <c r="B144" s="946"/>
      <c r="C144" s="946"/>
      <c r="D144" s="294">
        <f t="shared" ca="1" si="28"/>
        <v>50490</v>
      </c>
      <c r="E144" s="359">
        <f t="shared" si="31"/>
        <v>0</v>
      </c>
      <c r="F144" s="360">
        <f t="shared" ca="1" si="29"/>
        <v>60</v>
      </c>
      <c r="G144" s="290">
        <f ca="1">KTVCOI!R143</f>
        <v>1.8064433359905312</v>
      </c>
      <c r="H144" s="290">
        <f ca="1">(H143-F144-G144)*(1+LS!$F$3)</f>
        <v>-9166.1030744188301</v>
      </c>
      <c r="I144" s="948"/>
      <c r="J144" s="296">
        <f t="shared" ca="1" si="30"/>
        <v>-9166.1030744188301</v>
      </c>
      <c r="K144" s="949"/>
      <c r="L144" s="949"/>
      <c r="M144" s="949"/>
      <c r="N144" s="950"/>
      <c r="O144" s="950"/>
      <c r="X144" s="1004"/>
      <c r="Y144" s="1004"/>
    </row>
    <row r="145" spans="2:25" ht="9.75" customHeight="1">
      <c r="B145" s="946"/>
      <c r="C145" s="946"/>
      <c r="D145" s="294">
        <f t="shared" ca="1" si="28"/>
        <v>50521</v>
      </c>
      <c r="E145" s="359">
        <f t="shared" si="31"/>
        <v>0</v>
      </c>
      <c r="F145" s="360">
        <f t="shared" ca="1" si="29"/>
        <v>60</v>
      </c>
      <c r="G145" s="290">
        <f ca="1">KTVCOI!R144</f>
        <v>1.825582195655084</v>
      </c>
      <c r="H145" s="290">
        <f ca="1">(H144-F145-G145)*(1+LS!$F$3)</f>
        <v>-9262.5777955410886</v>
      </c>
      <c r="I145" s="948"/>
      <c r="J145" s="296">
        <f t="shared" ca="1" si="30"/>
        <v>-9262.5777955410886</v>
      </c>
      <c r="K145" s="949"/>
      <c r="L145" s="949"/>
      <c r="M145" s="949"/>
      <c r="N145" s="950"/>
      <c r="O145" s="950"/>
      <c r="X145" s="1004"/>
      <c r="Y145" s="1004"/>
    </row>
    <row r="146" spans="2:25" ht="9.75" customHeight="1">
      <c r="B146" s="946"/>
      <c r="C146" s="946"/>
      <c r="D146" s="294">
        <f t="shared" ca="1" si="28"/>
        <v>50551</v>
      </c>
      <c r="E146" s="359">
        <f t="shared" si="31"/>
        <v>0</v>
      </c>
      <c r="F146" s="360">
        <f t="shared" ca="1" si="29"/>
        <v>60</v>
      </c>
      <c r="G146" s="290">
        <f ca="1">KTVCOI!R145</f>
        <v>1.8447967442786002</v>
      </c>
      <c r="H146" s="290">
        <f ca="1">(H145-F146-G146)*(1+LS!$F$3)</f>
        <v>-9359.4340478170343</v>
      </c>
      <c r="I146" s="948"/>
      <c r="J146" s="296">
        <f t="shared" ca="1" si="30"/>
        <v>-9359.4340478170343</v>
      </c>
      <c r="K146" s="949"/>
      <c r="L146" s="949"/>
      <c r="M146" s="949"/>
      <c r="N146" s="950"/>
      <c r="O146" s="950"/>
      <c r="X146" s="1004"/>
      <c r="Y146" s="1004"/>
    </row>
    <row r="147" spans="2:25" ht="9.75" customHeight="1">
      <c r="B147" s="946"/>
      <c r="C147" s="946"/>
      <c r="D147" s="294">
        <f t="shared" ca="1" si="28"/>
        <v>50582</v>
      </c>
      <c r="E147" s="359">
        <f t="shared" si="31"/>
        <v>0</v>
      </c>
      <c r="F147" s="360">
        <f t="shared" ca="1" si="29"/>
        <v>60</v>
      </c>
      <c r="G147" s="290">
        <f ca="1">KTVCOI!R146</f>
        <v>1.864087281190226</v>
      </c>
      <c r="H147" s="290">
        <f ca="1">(H146-F147-G147)*(1+LS!$F$3)</f>
        <v>-9456.6733400981011</v>
      </c>
      <c r="I147" s="948"/>
      <c r="J147" s="297">
        <f ca="1">H147+I136</f>
        <v>-9456.6733400981011</v>
      </c>
      <c r="K147" s="949"/>
      <c r="L147" s="949"/>
      <c r="M147" s="949"/>
      <c r="N147" s="950"/>
      <c r="O147" s="950"/>
      <c r="X147" s="1004"/>
      <c r="Y147" s="1004"/>
    </row>
    <row r="148" spans="2:25" ht="9.75" customHeight="1">
      <c r="B148" s="951">
        <f>B136+1</f>
        <v>13</v>
      </c>
      <c r="C148" s="952">
        <f ca="1">C136+1</f>
        <v>42</v>
      </c>
      <c r="D148" s="287">
        <f t="shared" ca="1" si="28"/>
        <v>50612</v>
      </c>
      <c r="E148" s="359">
        <f t="shared" si="31"/>
        <v>0</v>
      </c>
      <c r="F148" s="289">
        <f t="shared" ca="1" si="29"/>
        <v>60</v>
      </c>
      <c r="G148" s="290">
        <f ca="1">KTVCOI!R147</f>
        <v>2.0489458903545885</v>
      </c>
      <c r="H148" s="290">
        <f ca="1">(H147+KTVTDGTTKMH!F19-F148-G148)*(1+LS!$F$3)</f>
        <v>-9554.4633003768322</v>
      </c>
      <c r="I148" s="953"/>
      <c r="J148" s="292">
        <f t="shared" ca="1" si="30"/>
        <v>-9554.4633003768322</v>
      </c>
      <c r="K148" s="949">
        <f ca="1">J159</f>
        <v>-10656.133106074374</v>
      </c>
      <c r="L148" s="949"/>
      <c r="M148" s="949"/>
      <c r="N148" s="950">
        <f t="shared" ref="N148" ca="1" si="34">SUM(G148:G159)</f>
        <v>26.004429795472468</v>
      </c>
      <c r="O148" s="950"/>
      <c r="X148" s="945">
        <f t="shared" ref="X148:Y148" ca="1" si="35">SUM(F148:F159)</f>
        <v>720</v>
      </c>
      <c r="Y148" s="945">
        <f t="shared" ca="1" si="35"/>
        <v>26.004429795472468</v>
      </c>
    </row>
    <row r="149" spans="2:25" ht="9.75" customHeight="1">
      <c r="B149" s="951"/>
      <c r="C149" s="951"/>
      <c r="D149" s="287">
        <f t="shared" ca="1" si="28"/>
        <v>50643</v>
      </c>
      <c r="E149" s="359">
        <f t="shared" si="31"/>
        <v>0</v>
      </c>
      <c r="F149" s="289">
        <f t="shared" ca="1" si="29"/>
        <v>60</v>
      </c>
      <c r="G149" s="290">
        <f ca="1">KTVCOI!R148</f>
        <v>2.070133715081647</v>
      </c>
      <c r="H149" s="290">
        <f ca="1">(H148-F149-G149)*(1+LS!$F$3)</f>
        <v>-9652.6417109706417</v>
      </c>
      <c r="I149" s="953"/>
      <c r="J149" s="292">
        <f t="shared" ca="1" si="30"/>
        <v>-9652.6417109706417</v>
      </c>
      <c r="K149" s="949"/>
      <c r="L149" s="949"/>
      <c r="M149" s="949"/>
      <c r="N149" s="950"/>
      <c r="O149" s="950"/>
      <c r="X149" s="1004"/>
      <c r="Y149" s="1004"/>
    </row>
    <row r="150" spans="2:25" ht="9.75" customHeight="1">
      <c r="B150" s="951"/>
      <c r="C150" s="951"/>
      <c r="D150" s="287">
        <f t="shared" ca="1" si="28"/>
        <v>50674</v>
      </c>
      <c r="E150" s="359">
        <f t="shared" si="31"/>
        <v>0</v>
      </c>
      <c r="F150" s="289">
        <f t="shared" ca="1" si="29"/>
        <v>60</v>
      </c>
      <c r="G150" s="290">
        <f ca="1">KTVCOI!R149</f>
        <v>2.0914057040436389</v>
      </c>
      <c r="H150" s="290">
        <f ca="1">(H149-F150-G150)*(1+LS!$F$3)</f>
        <v>-9751.2101149177597</v>
      </c>
      <c r="I150" s="953"/>
      <c r="J150" s="292">
        <f t="shared" ca="1" si="30"/>
        <v>-9751.2101149177597</v>
      </c>
      <c r="K150" s="949"/>
      <c r="L150" s="949"/>
      <c r="M150" s="949"/>
      <c r="N150" s="950"/>
      <c r="O150" s="950"/>
      <c r="X150" s="1004"/>
      <c r="Y150" s="1004"/>
    </row>
    <row r="151" spans="2:25" ht="9.75" customHeight="1">
      <c r="B151" s="951"/>
      <c r="C151" s="951"/>
      <c r="D151" s="287">
        <f t="shared" ca="1" si="28"/>
        <v>50704</v>
      </c>
      <c r="E151" s="359">
        <f t="shared" si="31"/>
        <v>0</v>
      </c>
      <c r="F151" s="289">
        <f t="shared" ca="1" si="29"/>
        <v>60</v>
      </c>
      <c r="G151" s="290">
        <f ca="1">KTVCOI!R150</f>
        <v>2.112762191565515</v>
      </c>
      <c r="H151" s="290">
        <f ca="1">(H150-F151-G151)*(1+LS!$F$3)</f>
        <v>-9850.1700613858156</v>
      </c>
      <c r="I151" s="953"/>
      <c r="J151" s="292">
        <f t="shared" ca="1" si="30"/>
        <v>-9850.1700613858156</v>
      </c>
      <c r="K151" s="949"/>
      <c r="L151" s="949"/>
      <c r="M151" s="949"/>
      <c r="N151" s="950"/>
      <c r="O151" s="950"/>
      <c r="X151" s="1004"/>
      <c r="Y151" s="1004"/>
    </row>
    <row r="152" spans="2:25" ht="9.75" customHeight="1">
      <c r="B152" s="951"/>
      <c r="C152" s="951"/>
      <c r="D152" s="287">
        <f t="shared" ca="1" si="28"/>
        <v>50735</v>
      </c>
      <c r="E152" s="359">
        <f t="shared" si="31"/>
        <v>0</v>
      </c>
      <c r="F152" s="289">
        <f t="shared" ca="1" si="29"/>
        <v>60</v>
      </c>
      <c r="G152" s="290">
        <f ca="1">KTVCOI!R151</f>
        <v>2.1342035133002599</v>
      </c>
      <c r="H152" s="290">
        <f ca="1">(H151-F152-G152)*(1+LS!$F$3)</f>
        <v>-9949.5231056961857</v>
      </c>
      <c r="I152" s="953"/>
      <c r="J152" s="292">
        <f t="shared" ca="1" si="30"/>
        <v>-9949.5231056961857</v>
      </c>
      <c r="K152" s="949"/>
      <c r="L152" s="949"/>
      <c r="M152" s="949"/>
      <c r="N152" s="950"/>
      <c r="O152" s="950"/>
      <c r="X152" s="1004"/>
      <c r="Y152" s="1004"/>
    </row>
    <row r="153" spans="2:25" ht="9.75" customHeight="1">
      <c r="B153" s="951"/>
      <c r="C153" s="951"/>
      <c r="D153" s="287">
        <f t="shared" ca="1" si="28"/>
        <v>50765</v>
      </c>
      <c r="E153" s="359">
        <f t="shared" si="31"/>
        <v>0</v>
      </c>
      <c r="F153" s="289">
        <f t="shared" ca="1" si="29"/>
        <v>60</v>
      </c>
      <c r="G153" s="290">
        <f ca="1">KTVCOI!R152</f>
        <v>2.1557300062341738</v>
      </c>
      <c r="H153" s="290">
        <f ca="1">(H152-F153-G153)*(1+LS!$F$3)</f>
        <v>-10049.270809348438</v>
      </c>
      <c r="I153" s="953"/>
      <c r="J153" s="292">
        <f t="shared" ca="1" si="30"/>
        <v>-10049.270809348438</v>
      </c>
      <c r="K153" s="949"/>
      <c r="L153" s="949"/>
      <c r="M153" s="949"/>
      <c r="N153" s="950"/>
      <c r="O153" s="950"/>
      <c r="X153" s="1004"/>
      <c r="Y153" s="1004"/>
    </row>
    <row r="154" spans="2:25" ht="9.75" customHeight="1">
      <c r="B154" s="951"/>
      <c r="C154" s="951"/>
      <c r="D154" s="287">
        <f t="shared" ca="1" si="28"/>
        <v>50796</v>
      </c>
      <c r="E154" s="359">
        <f t="shared" si="31"/>
        <v>0</v>
      </c>
      <c r="F154" s="289">
        <f t="shared" ca="1" si="29"/>
        <v>60</v>
      </c>
      <c r="G154" s="290">
        <f ca="1">KTVCOI!R153</f>
        <v>2.1773420086921615</v>
      </c>
      <c r="H154" s="290">
        <f ca="1">(H153-F154-G154)*(1+LS!$F$3)</f>
        <v>-10149.414740044873</v>
      </c>
      <c r="I154" s="953"/>
      <c r="J154" s="292">
        <f t="shared" ca="1" si="30"/>
        <v>-10149.414740044873</v>
      </c>
      <c r="K154" s="949"/>
      <c r="L154" s="949"/>
      <c r="M154" s="949"/>
      <c r="N154" s="950"/>
      <c r="O154" s="950"/>
      <c r="X154" s="1004"/>
      <c r="Y154" s="1004"/>
    </row>
    <row r="155" spans="2:25" ht="9.75" customHeight="1">
      <c r="B155" s="951"/>
      <c r="C155" s="951"/>
      <c r="D155" s="287">
        <f t="shared" ca="1" si="28"/>
        <v>50827</v>
      </c>
      <c r="E155" s="359">
        <f t="shared" si="31"/>
        <v>0</v>
      </c>
      <c r="F155" s="289">
        <f t="shared" ca="1" si="29"/>
        <v>60</v>
      </c>
      <c r="G155" s="290">
        <f ca="1">KTVCOI!R154</f>
        <v>2.1990398603430559</v>
      </c>
      <c r="H155" s="290">
        <f ca="1">(H154-F155-G155)*(1+LS!$F$3)</f>
        <v>-10249.956471715164</v>
      </c>
      <c r="I155" s="953"/>
      <c r="J155" s="292">
        <f t="shared" ca="1" si="30"/>
        <v>-10249.956471715164</v>
      </c>
      <c r="K155" s="949"/>
      <c r="L155" s="949"/>
      <c r="M155" s="949"/>
      <c r="N155" s="950"/>
      <c r="O155" s="950"/>
      <c r="X155" s="1004"/>
      <c r="Y155" s="1004"/>
    </row>
    <row r="156" spans="2:25" ht="9.75" customHeight="1">
      <c r="B156" s="951"/>
      <c r="C156" s="951"/>
      <c r="D156" s="287">
        <f t="shared" ca="1" si="28"/>
        <v>50855</v>
      </c>
      <c r="E156" s="359">
        <f t="shared" si="31"/>
        <v>0</v>
      </c>
      <c r="F156" s="289">
        <f t="shared" ca="1" si="29"/>
        <v>60</v>
      </c>
      <c r="G156" s="290">
        <f ca="1">KTVCOI!R155</f>
        <v>2.2208239022049523</v>
      </c>
      <c r="H156" s="290">
        <f ca="1">(H155-F156-G156)*(1+LS!$F$3)</f>
        <v>-10350.897584541093</v>
      </c>
      <c r="I156" s="953"/>
      <c r="J156" s="292">
        <f t="shared" ca="1" si="30"/>
        <v>-10350.897584541093</v>
      </c>
      <c r="K156" s="949"/>
      <c r="L156" s="949"/>
      <c r="M156" s="949"/>
      <c r="N156" s="950"/>
      <c r="O156" s="950"/>
      <c r="X156" s="1004"/>
      <c r="Y156" s="1004"/>
    </row>
    <row r="157" spans="2:25" ht="9.75" customHeight="1">
      <c r="B157" s="951"/>
      <c r="C157" s="951"/>
      <c r="D157" s="287">
        <f t="shared" ca="1" si="28"/>
        <v>50886</v>
      </c>
      <c r="E157" s="359">
        <f t="shared" si="31"/>
        <v>0</v>
      </c>
      <c r="F157" s="289">
        <f t="shared" ca="1" si="29"/>
        <v>60</v>
      </c>
      <c r="G157" s="290">
        <f ca="1">KTVCOI!R156</f>
        <v>2.2426944766505703</v>
      </c>
      <c r="H157" s="290">
        <f ca="1">(H156-F157-G157)*(1+LS!$F$3)</f>
        <v>-10452.239664981384</v>
      </c>
      <c r="I157" s="953"/>
      <c r="J157" s="292">
        <f t="shared" ca="1" si="30"/>
        <v>-10452.239664981384</v>
      </c>
      <c r="K157" s="949"/>
      <c r="L157" s="949"/>
      <c r="M157" s="949"/>
      <c r="N157" s="950"/>
      <c r="O157" s="950"/>
      <c r="X157" s="1004"/>
      <c r="Y157" s="1004"/>
    </row>
    <row r="158" spans="2:25" ht="9.75" customHeight="1">
      <c r="B158" s="951"/>
      <c r="C158" s="951"/>
      <c r="D158" s="287">
        <f t="shared" ca="1" si="28"/>
        <v>50916</v>
      </c>
      <c r="E158" s="359">
        <f t="shared" si="31"/>
        <v>0</v>
      </c>
      <c r="F158" s="289">
        <f t="shared" ca="1" si="29"/>
        <v>60</v>
      </c>
      <c r="G158" s="290">
        <f ca="1">KTVCOI!R157</f>
        <v>2.2646519274126331</v>
      </c>
      <c r="H158" s="290">
        <f ca="1">(H157-F158-G158)*(1+LS!$F$3)</f>
        <v>-10553.984305796639</v>
      </c>
      <c r="I158" s="953"/>
      <c r="J158" s="292">
        <f t="shared" ca="1" si="30"/>
        <v>-10553.984305796639</v>
      </c>
      <c r="K158" s="949"/>
      <c r="L158" s="949"/>
      <c r="M158" s="949"/>
      <c r="N158" s="950"/>
      <c r="O158" s="950"/>
      <c r="X158" s="1004"/>
      <c r="Y158" s="1004"/>
    </row>
    <row r="159" spans="2:25" ht="9.75" customHeight="1">
      <c r="B159" s="951"/>
      <c r="C159" s="951"/>
      <c r="D159" s="287">
        <f t="shared" ca="1" si="28"/>
        <v>50947</v>
      </c>
      <c r="E159" s="359">
        <f t="shared" si="31"/>
        <v>0</v>
      </c>
      <c r="F159" s="289">
        <f t="shared" ca="1" si="29"/>
        <v>60</v>
      </c>
      <c r="G159" s="290">
        <f ca="1">KTVCOI!R158</f>
        <v>2.2866965995892721</v>
      </c>
      <c r="H159" s="290">
        <f ca="1">(H158-F159-G159)*(1+LS!$F$3)</f>
        <v>-10656.133106074374</v>
      </c>
      <c r="I159" s="953"/>
      <c r="J159" s="293">
        <f ca="1">H159+I148</f>
        <v>-10656.133106074374</v>
      </c>
      <c r="K159" s="949"/>
      <c r="L159" s="949"/>
      <c r="M159" s="949"/>
      <c r="N159" s="950"/>
      <c r="O159" s="950"/>
      <c r="X159" s="1004"/>
      <c r="Y159" s="1004"/>
    </row>
    <row r="160" spans="2:25" ht="9.75" customHeight="1">
      <c r="B160" s="946">
        <f>B148+1</f>
        <v>14</v>
      </c>
      <c r="C160" s="947">
        <f ca="1">C148+1</f>
        <v>43</v>
      </c>
      <c r="D160" s="294">
        <f t="shared" ca="1" si="28"/>
        <v>50977</v>
      </c>
      <c r="E160" s="359">
        <f t="shared" si="31"/>
        <v>0</v>
      </c>
      <c r="F160" s="360">
        <f t="shared" ca="1" si="29"/>
        <v>60</v>
      </c>
      <c r="G160" s="290">
        <f ca="1">KTVCOI!R159</f>
        <v>2.5041912799274777</v>
      </c>
      <c r="H160" s="290">
        <f ca="1">(H159+KTVTDGTTKMH!F20-F160-G160)*(1+LS!$F$3)</f>
        <v>-10758.883767243695</v>
      </c>
      <c r="I160" s="948"/>
      <c r="J160" s="296">
        <f t="shared" ca="1" si="30"/>
        <v>-10758.883767243695</v>
      </c>
      <c r="K160" s="949">
        <f ca="1">J171</f>
        <v>-11916.567364111625</v>
      </c>
      <c r="L160" s="949"/>
      <c r="M160" s="949"/>
      <c r="N160" s="950">
        <f t="shared" ref="N160" ca="1" si="36">SUM(G160:G171)</f>
        <v>31.665349090033377</v>
      </c>
      <c r="O160" s="950"/>
      <c r="X160" s="945">
        <f t="shared" ref="X160:Y160" ca="1" si="37">SUM(F160:F171)</f>
        <v>720</v>
      </c>
      <c r="Y160" s="945">
        <f t="shared" ca="1" si="37"/>
        <v>31.665349090033377</v>
      </c>
    </row>
    <row r="161" spans="2:25" ht="9.75" customHeight="1">
      <c r="B161" s="946"/>
      <c r="C161" s="946"/>
      <c r="D161" s="294">
        <f t="shared" ca="1" si="28"/>
        <v>51008</v>
      </c>
      <c r="E161" s="359">
        <f t="shared" si="31"/>
        <v>0</v>
      </c>
      <c r="F161" s="360">
        <f t="shared" ca="1" si="29"/>
        <v>60</v>
      </c>
      <c r="G161" s="290">
        <f ca="1">KTVCOI!R160</f>
        <v>2.5283376853022683</v>
      </c>
      <c r="H161" s="290">
        <f ca="1">(H160-F161-G161)*(1+LS!$F$3)</f>
        <v>-10862.044474917786</v>
      </c>
      <c r="I161" s="948"/>
      <c r="J161" s="296">
        <f t="shared" ca="1" si="30"/>
        <v>-10862.044474917786</v>
      </c>
      <c r="K161" s="949"/>
      <c r="L161" s="949"/>
      <c r="M161" s="949"/>
      <c r="N161" s="950"/>
      <c r="O161" s="950"/>
      <c r="X161" s="1004"/>
      <c r="Y161" s="1004"/>
    </row>
    <row r="162" spans="2:25" ht="9.75" customHeight="1">
      <c r="B162" s="946"/>
      <c r="C162" s="946"/>
      <c r="D162" s="294">
        <f t="shared" ca="1" si="28"/>
        <v>51039</v>
      </c>
      <c r="E162" s="359">
        <f t="shared" si="31"/>
        <v>0</v>
      </c>
      <c r="F162" s="360">
        <f t="shared" ca="1" si="29"/>
        <v>60</v>
      </c>
      <c r="G162" s="290">
        <f ca="1">KTVCOI!R161</f>
        <v>2.5525804516056794</v>
      </c>
      <c r="H162" s="290">
        <f ca="1">(H161-F162-G162)*(1+LS!$F$3)</f>
        <v>-10965.616865467005</v>
      </c>
      <c r="I162" s="948"/>
      <c r="J162" s="296">
        <f t="shared" ca="1" si="30"/>
        <v>-10965.616865467005</v>
      </c>
      <c r="K162" s="949"/>
      <c r="L162" s="949"/>
      <c r="M162" s="949"/>
      <c r="N162" s="950"/>
      <c r="O162" s="950"/>
      <c r="X162" s="1004"/>
      <c r="Y162" s="1004"/>
    </row>
    <row r="163" spans="2:25" ht="9.75" customHeight="1">
      <c r="B163" s="946"/>
      <c r="C163" s="946"/>
      <c r="D163" s="294">
        <f t="shared" ca="1" si="28"/>
        <v>51069</v>
      </c>
      <c r="E163" s="359">
        <f t="shared" si="31"/>
        <v>0</v>
      </c>
      <c r="F163" s="360">
        <f t="shared" ca="1" si="29"/>
        <v>60</v>
      </c>
      <c r="G163" s="290">
        <f ca="1">KTVCOI!R162</f>
        <v>2.5769199633847464</v>
      </c>
      <c r="H163" s="290">
        <f ca="1">(H162-F163-G163)*(1+LS!$F$3)</f>
        <v>-11069.602581791965</v>
      </c>
      <c r="I163" s="948"/>
      <c r="J163" s="296">
        <f t="shared" ca="1" si="30"/>
        <v>-11069.602581791965</v>
      </c>
      <c r="K163" s="949"/>
      <c r="L163" s="949"/>
      <c r="M163" s="949"/>
      <c r="N163" s="950"/>
      <c r="O163" s="950"/>
      <c r="X163" s="1004"/>
      <c r="Y163" s="1004"/>
    </row>
    <row r="164" spans="2:25" ht="9.75" customHeight="1">
      <c r="B164" s="946"/>
      <c r="C164" s="946"/>
      <c r="D164" s="294">
        <f t="shared" ca="1" si="28"/>
        <v>51100</v>
      </c>
      <c r="E164" s="359">
        <f t="shared" si="31"/>
        <v>0</v>
      </c>
      <c r="F164" s="360">
        <f t="shared" ca="1" si="29"/>
        <v>60</v>
      </c>
      <c r="G164" s="290">
        <f ca="1">KTVCOI!R163</f>
        <v>2.6013566067211116</v>
      </c>
      <c r="H164" s="290">
        <f ca="1">(H163-F164-G164)*(1+LS!$F$3)</f>
        <v>-11174.00327334959</v>
      </c>
      <c r="I164" s="948"/>
      <c r="J164" s="296">
        <f t="shared" ca="1" si="30"/>
        <v>-11174.00327334959</v>
      </c>
      <c r="K164" s="949"/>
      <c r="L164" s="949"/>
      <c r="M164" s="949"/>
      <c r="N164" s="950"/>
      <c r="O164" s="950"/>
      <c r="X164" s="1004"/>
      <c r="Y164" s="1004"/>
    </row>
    <row r="165" spans="2:25" ht="9.75" customHeight="1">
      <c r="B165" s="946"/>
      <c r="C165" s="946"/>
      <c r="D165" s="294">
        <f t="shared" ca="1" si="28"/>
        <v>51130</v>
      </c>
      <c r="E165" s="359">
        <f t="shared" si="31"/>
        <v>0</v>
      </c>
      <c r="F165" s="360">
        <f t="shared" ca="1" si="29"/>
        <v>60</v>
      </c>
      <c r="G165" s="290">
        <f ca="1">KTVCOI!R164</f>
        <v>2.6258907692371536</v>
      </c>
      <c r="H165" s="290">
        <f ca="1">(H164-F165-G165)*(1+LS!$F$3)</f>
        <v>-11278.820596179283</v>
      </c>
      <c r="I165" s="948"/>
      <c r="J165" s="296">
        <f t="shared" ca="1" si="30"/>
        <v>-11278.820596179283</v>
      </c>
      <c r="K165" s="949"/>
      <c r="L165" s="949"/>
      <c r="M165" s="949"/>
      <c r="N165" s="950"/>
      <c r="O165" s="950"/>
      <c r="X165" s="1004"/>
      <c r="Y165" s="1004"/>
    </row>
    <row r="166" spans="2:25" ht="9.75" customHeight="1">
      <c r="B166" s="946"/>
      <c r="C166" s="946"/>
      <c r="D166" s="294">
        <f t="shared" ca="1" si="28"/>
        <v>51161</v>
      </c>
      <c r="E166" s="359">
        <f t="shared" si="31"/>
        <v>0</v>
      </c>
      <c r="F166" s="360">
        <f t="shared" ca="1" si="29"/>
        <v>60</v>
      </c>
      <c r="G166" s="290">
        <f ca="1">KTVCOI!R165</f>
        <v>2.6505228401021315</v>
      </c>
      <c r="H166" s="290">
        <f ca="1">(H165-F166-G166)*(1+LS!$F$3)</f>
        <v>-11384.056212929196</v>
      </c>
      <c r="I166" s="948"/>
      <c r="J166" s="296">
        <f t="shared" ca="1" si="30"/>
        <v>-11384.056212929196</v>
      </c>
      <c r="K166" s="949"/>
      <c r="L166" s="949"/>
      <c r="M166" s="949"/>
      <c r="N166" s="950"/>
      <c r="O166" s="950"/>
      <c r="X166" s="1004"/>
      <c r="Y166" s="1004"/>
    </row>
    <row r="167" spans="2:25" ht="9.75" customHeight="1">
      <c r="B167" s="946"/>
      <c r="C167" s="946"/>
      <c r="D167" s="294">
        <f t="shared" ca="1" si="28"/>
        <v>51192</v>
      </c>
      <c r="E167" s="359">
        <f t="shared" si="31"/>
        <v>0</v>
      </c>
      <c r="F167" s="360">
        <f t="shared" ca="1" si="29"/>
        <v>60</v>
      </c>
      <c r="G167" s="290">
        <f ca="1">KTVCOI!R166</f>
        <v>2.675253210038361</v>
      </c>
      <c r="H167" s="290">
        <f ca="1">(H166-F167-G167)*(1+LS!$F$3)</f>
        <v>-11489.711792882603</v>
      </c>
      <c r="I167" s="948"/>
      <c r="J167" s="296">
        <f t="shared" ca="1" si="30"/>
        <v>-11489.711792882603</v>
      </c>
      <c r="K167" s="949"/>
      <c r="L167" s="949"/>
      <c r="M167" s="949"/>
      <c r="N167" s="950"/>
      <c r="O167" s="950"/>
      <c r="X167" s="1004"/>
      <c r="Y167" s="1004"/>
    </row>
    <row r="168" spans="2:25" ht="9.75" customHeight="1">
      <c r="B168" s="946"/>
      <c r="C168" s="946"/>
      <c r="D168" s="294">
        <f t="shared" ca="1" si="28"/>
        <v>51221</v>
      </c>
      <c r="E168" s="359">
        <f t="shared" si="31"/>
        <v>0</v>
      </c>
      <c r="F168" s="360">
        <f t="shared" ca="1" si="29"/>
        <v>60</v>
      </c>
      <c r="G168" s="290">
        <f ca="1">KTVCOI!R167</f>
        <v>2.7000822713274117</v>
      </c>
      <c r="H168" s="290">
        <f ca="1">(H167-F168-G168)*(1+LS!$F$3)</f>
        <v>-11595.789011984376</v>
      </c>
      <c r="I168" s="948"/>
      <c r="J168" s="296">
        <f t="shared" ca="1" si="30"/>
        <v>-11595.789011984376</v>
      </c>
      <c r="K168" s="949"/>
      <c r="L168" s="949"/>
      <c r="M168" s="949"/>
      <c r="N168" s="950"/>
      <c r="O168" s="950"/>
      <c r="X168" s="1004"/>
      <c r="Y168" s="1004"/>
    </row>
    <row r="169" spans="2:25" ht="9.75" customHeight="1">
      <c r="B169" s="946"/>
      <c r="C169" s="946"/>
      <c r="D169" s="294">
        <f t="shared" ca="1" si="28"/>
        <v>51252</v>
      </c>
      <c r="E169" s="359">
        <f t="shared" si="31"/>
        <v>0</v>
      </c>
      <c r="F169" s="360">
        <f t="shared" ca="1" si="29"/>
        <v>60</v>
      </c>
      <c r="G169" s="290">
        <f ca="1">KTVCOI!R168</f>
        <v>2.7250104178163284</v>
      </c>
      <c r="H169" s="290">
        <f ca="1">(H168-F169-G169)*(1+LS!$F$3)</f>
        <v>-11702.289552867571</v>
      </c>
      <c r="I169" s="948"/>
      <c r="J169" s="296">
        <f t="shared" ca="1" si="30"/>
        <v>-11702.289552867571</v>
      </c>
      <c r="K169" s="949"/>
      <c r="L169" s="949"/>
      <c r="M169" s="949"/>
      <c r="N169" s="950"/>
      <c r="O169" s="950"/>
      <c r="X169" s="1004"/>
      <c r="Y169" s="1004"/>
    </row>
    <row r="170" spans="2:25" ht="9.75" customHeight="1">
      <c r="B170" s="946"/>
      <c r="C170" s="946"/>
      <c r="D170" s="294">
        <f t="shared" ca="1" si="28"/>
        <v>51282</v>
      </c>
      <c r="E170" s="359">
        <f t="shared" si="31"/>
        <v>0</v>
      </c>
      <c r="F170" s="360">
        <f t="shared" ca="1" si="29"/>
        <v>60</v>
      </c>
      <c r="G170" s="290">
        <f ca="1">KTVCOI!R169</f>
        <v>2.7500380449238793</v>
      </c>
      <c r="H170" s="290">
        <f ca="1">(H169-F170-G170)*(1+LS!$F$3)</f>
        <v>-11809.215104880119</v>
      </c>
      <c r="I170" s="948"/>
      <c r="J170" s="296">
        <f t="shared" ca="1" si="30"/>
        <v>-11809.215104880119</v>
      </c>
      <c r="K170" s="949"/>
      <c r="L170" s="949"/>
      <c r="M170" s="949"/>
      <c r="N170" s="950"/>
      <c r="O170" s="950"/>
      <c r="X170" s="1004"/>
      <c r="Y170" s="1004"/>
    </row>
    <row r="171" spans="2:25" ht="9.75" customHeight="1">
      <c r="B171" s="946"/>
      <c r="C171" s="946"/>
      <c r="D171" s="294">
        <f t="shared" ca="1" si="28"/>
        <v>51313</v>
      </c>
      <c r="E171" s="359">
        <f t="shared" si="31"/>
        <v>0</v>
      </c>
      <c r="F171" s="360">
        <f t="shared" ca="1" si="29"/>
        <v>60</v>
      </c>
      <c r="G171" s="290">
        <f ca="1">KTVCOI!R170</f>
        <v>2.7751655496468275</v>
      </c>
      <c r="H171" s="290">
        <f ca="1">(H170-F171-G171)*(1+LS!$F$3)</f>
        <v>-11916.567364111625</v>
      </c>
      <c r="I171" s="948"/>
      <c r="J171" s="297">
        <f ca="1">H171+I160</f>
        <v>-11916.567364111625</v>
      </c>
      <c r="K171" s="949"/>
      <c r="L171" s="949"/>
      <c r="M171" s="949"/>
      <c r="N171" s="950"/>
      <c r="O171" s="950"/>
      <c r="X171" s="1004"/>
      <c r="Y171" s="1004"/>
    </row>
    <row r="172" spans="2:25" ht="9.75" customHeight="1">
      <c r="B172" s="951">
        <f>B160+1</f>
        <v>15</v>
      </c>
      <c r="C172" s="952">
        <f ca="1">C160+1</f>
        <v>44</v>
      </c>
      <c r="D172" s="287">
        <f t="shared" ca="1" si="28"/>
        <v>51343</v>
      </c>
      <c r="E172" s="359">
        <f t="shared" si="31"/>
        <v>0</v>
      </c>
      <c r="F172" s="289">
        <f t="shared" ca="1" si="29"/>
        <v>60</v>
      </c>
      <c r="G172" s="290">
        <f ca="1">KTVCOI!R171</f>
        <v>3.0387246778484642</v>
      </c>
      <c r="H172" s="290">
        <f ca="1">(H171+KTVTDGTTKMH!F21-F172-G172)*(1+LS!$F$3)</f>
        <v>-12024.587259656992</v>
      </c>
      <c r="I172" s="953"/>
      <c r="J172" s="292">
        <f t="shared" ca="1" si="30"/>
        <v>-12024.587259656992</v>
      </c>
      <c r="K172" s="949">
        <f ca="1">J183</f>
        <v>-13241.785895635829</v>
      </c>
      <c r="L172" s="949"/>
      <c r="M172" s="949"/>
      <c r="N172" s="950">
        <f t="shared" ref="N172" ca="1" si="38">SUM(G172:G183)</f>
        <v>38.307196651418238</v>
      </c>
      <c r="O172" s="950"/>
      <c r="X172" s="945">
        <f t="shared" ref="X172:Y172" ca="1" si="39">SUM(F172:F183)</f>
        <v>720</v>
      </c>
      <c r="Y172" s="945">
        <f t="shared" ca="1" si="39"/>
        <v>38.307196651418238</v>
      </c>
    </row>
    <row r="173" spans="2:25" ht="9.75" customHeight="1">
      <c r="B173" s="951"/>
      <c r="C173" s="951"/>
      <c r="D173" s="287">
        <f t="shared" ca="1" si="28"/>
        <v>51374</v>
      </c>
      <c r="E173" s="359">
        <f t="shared" si="31"/>
        <v>0</v>
      </c>
      <c r="F173" s="289">
        <f t="shared" ca="1" si="29"/>
        <v>60</v>
      </c>
      <c r="G173" s="290">
        <f ca="1">KTVCOI!R172</f>
        <v>3.0662697512125328</v>
      </c>
      <c r="H173" s="290">
        <f ca="1">(H172-F173-G173)*(1+LS!$F$3)</f>
        <v>-12133.040398121901</v>
      </c>
      <c r="I173" s="953"/>
      <c r="J173" s="292">
        <f t="shared" ca="1" si="30"/>
        <v>-12133.040398121901</v>
      </c>
      <c r="K173" s="949"/>
      <c r="L173" s="949"/>
      <c r="M173" s="949"/>
      <c r="N173" s="950"/>
      <c r="O173" s="950"/>
      <c r="X173" s="1004"/>
      <c r="Y173" s="1004"/>
    </row>
    <row r="174" spans="2:25" ht="9.75" customHeight="1">
      <c r="B174" s="951"/>
      <c r="C174" s="951"/>
      <c r="D174" s="287">
        <f t="shared" ca="1" si="28"/>
        <v>51405</v>
      </c>
      <c r="E174" s="359">
        <f t="shared" si="31"/>
        <v>0</v>
      </c>
      <c r="F174" s="289">
        <f t="shared" ca="1" si="29"/>
        <v>60</v>
      </c>
      <c r="G174" s="290">
        <f ca="1">KTVCOI!R173</f>
        <v>3.0939253015210846</v>
      </c>
      <c r="H174" s="290">
        <f ca="1">(H173-F174-G174)*(1+LS!$F$3)</f>
        <v>-12241.928517143906</v>
      </c>
      <c r="I174" s="953"/>
      <c r="J174" s="292">
        <f t="shared" ca="1" si="30"/>
        <v>-12241.928517143906</v>
      </c>
      <c r="K174" s="949"/>
      <c r="L174" s="949"/>
      <c r="M174" s="949"/>
      <c r="N174" s="950"/>
      <c r="O174" s="950"/>
      <c r="X174" s="1004"/>
      <c r="Y174" s="1004"/>
    </row>
    <row r="175" spans="2:25" ht="9.75" customHeight="1">
      <c r="B175" s="951"/>
      <c r="C175" s="951"/>
      <c r="D175" s="287">
        <f t="shared" ca="1" si="28"/>
        <v>51435</v>
      </c>
      <c r="E175" s="359">
        <f t="shared" si="31"/>
        <v>0</v>
      </c>
      <c r="F175" s="289">
        <f t="shared" ca="1" si="29"/>
        <v>60</v>
      </c>
      <c r="G175" s="290">
        <f ca="1">KTVCOI!R174</f>
        <v>3.1216917718716957</v>
      </c>
      <c r="H175" s="290">
        <f ca="1">(H174-F175-G175)*(1+LS!$F$3)</f>
        <v>-12351.253361329829</v>
      </c>
      <c r="I175" s="953"/>
      <c r="J175" s="292">
        <f t="shared" ca="1" si="30"/>
        <v>-12351.253361329829</v>
      </c>
      <c r="K175" s="949"/>
      <c r="L175" s="949"/>
      <c r="M175" s="949"/>
      <c r="N175" s="950"/>
      <c r="O175" s="950"/>
      <c r="X175" s="1004"/>
      <c r="Y175" s="1004"/>
    </row>
    <row r="176" spans="2:25" ht="9.75" customHeight="1">
      <c r="B176" s="951"/>
      <c r="C176" s="951"/>
      <c r="D176" s="287">
        <f t="shared" ca="1" si="28"/>
        <v>51466</v>
      </c>
      <c r="E176" s="359">
        <f t="shared" si="31"/>
        <v>0</v>
      </c>
      <c r="F176" s="289">
        <f t="shared" ca="1" si="29"/>
        <v>60</v>
      </c>
      <c r="G176" s="290">
        <f ca="1">KTVCOI!R175</f>
        <v>3.1495696071391066</v>
      </c>
      <c r="H176" s="290">
        <f ca="1">(H175-F176-G176)*(1+LS!$F$3)</f>
        <v>-12461.016682283707</v>
      </c>
      <c r="I176" s="953"/>
      <c r="J176" s="292">
        <f t="shared" ca="1" si="30"/>
        <v>-12461.016682283707</v>
      </c>
      <c r="K176" s="949"/>
      <c r="L176" s="949"/>
      <c r="M176" s="949"/>
      <c r="N176" s="950"/>
      <c r="O176" s="950"/>
      <c r="X176" s="1004"/>
      <c r="Y176" s="1004"/>
    </row>
    <row r="177" spans="2:25" ht="9.75" customHeight="1">
      <c r="B177" s="951"/>
      <c r="C177" s="951"/>
      <c r="D177" s="287">
        <f t="shared" ca="1" si="28"/>
        <v>51496</v>
      </c>
      <c r="E177" s="359">
        <f t="shared" si="31"/>
        <v>0</v>
      </c>
      <c r="F177" s="289">
        <f t="shared" ca="1" si="29"/>
        <v>60</v>
      </c>
      <c r="G177" s="290">
        <f ca="1">KTVCOI!R176</f>
        <v>3.1775592539823454</v>
      </c>
      <c r="H177" s="290">
        <f ca="1">(H176-F177-G177)*(1+LS!$F$3)</f>
        <v>-12571.220238634854</v>
      </c>
      <c r="I177" s="953"/>
      <c r="J177" s="292">
        <f t="shared" ca="1" si="30"/>
        <v>-12571.220238634854</v>
      </c>
      <c r="K177" s="949"/>
      <c r="L177" s="949"/>
      <c r="M177" s="949"/>
      <c r="N177" s="950"/>
      <c r="O177" s="950"/>
      <c r="X177" s="1004"/>
      <c r="Y177" s="1004"/>
    </row>
    <row r="178" spans="2:25" ht="9.75" customHeight="1">
      <c r="B178" s="951"/>
      <c r="C178" s="951"/>
      <c r="D178" s="287">
        <f t="shared" ca="1" si="28"/>
        <v>51527</v>
      </c>
      <c r="E178" s="359">
        <f t="shared" si="31"/>
        <v>0</v>
      </c>
      <c r="F178" s="289">
        <f t="shared" ca="1" si="29"/>
        <v>60</v>
      </c>
      <c r="G178" s="290">
        <f ca="1">KTVCOI!R177</f>
        <v>3.2056611608518879</v>
      </c>
      <c r="H178" s="290">
        <f ca="1">(H177-F178-G178)*(1+LS!$F$3)</f>
        <v>-12681.865796066048</v>
      </c>
      <c r="I178" s="953"/>
      <c r="J178" s="292">
        <f t="shared" ca="1" si="30"/>
        <v>-12681.865796066048</v>
      </c>
      <c r="K178" s="949"/>
      <c r="L178" s="949"/>
      <c r="M178" s="949"/>
      <c r="N178" s="950"/>
      <c r="O178" s="950"/>
      <c r="X178" s="1004"/>
      <c r="Y178" s="1004"/>
    </row>
    <row r="179" spans="2:25" ht="9.75" customHeight="1">
      <c r="B179" s="951"/>
      <c r="C179" s="951"/>
      <c r="D179" s="287">
        <f t="shared" ca="1" si="28"/>
        <v>51558</v>
      </c>
      <c r="E179" s="359">
        <f t="shared" si="31"/>
        <v>0</v>
      </c>
      <c r="F179" s="289">
        <f t="shared" ca="1" si="29"/>
        <v>60</v>
      </c>
      <c r="G179" s="290">
        <f ca="1">KTVCOI!R178</f>
        <v>3.2338757779968428</v>
      </c>
      <c r="H179" s="290">
        <f ca="1">(H178-F179-G179)*(1+LS!$F$3)</f>
        <v>-12792.955127341806</v>
      </c>
      <c r="I179" s="953"/>
      <c r="J179" s="292">
        <f t="shared" ca="1" si="30"/>
        <v>-12792.955127341806</v>
      </c>
      <c r="K179" s="949"/>
      <c r="L179" s="949"/>
      <c r="M179" s="949"/>
      <c r="N179" s="950"/>
      <c r="O179" s="950"/>
      <c r="X179" s="1004"/>
      <c r="Y179" s="1004"/>
    </row>
    <row r="180" spans="2:25" ht="9.75" customHeight="1">
      <c r="B180" s="951"/>
      <c r="C180" s="951"/>
      <c r="D180" s="287">
        <f t="shared" ca="1" si="28"/>
        <v>51586</v>
      </c>
      <c r="E180" s="359">
        <f t="shared" si="31"/>
        <v>0</v>
      </c>
      <c r="F180" s="289">
        <f t="shared" ca="1" si="29"/>
        <v>60</v>
      </c>
      <c r="G180" s="290">
        <f ca="1">KTVCOI!R179</f>
        <v>3.2622035574721604</v>
      </c>
      <c r="H180" s="290">
        <f ca="1">(H179-F180-G180)*(1+LS!$F$3)</f>
        <v>-12904.490012336801</v>
      </c>
      <c r="I180" s="953"/>
      <c r="J180" s="292">
        <f t="shared" ca="1" si="30"/>
        <v>-12904.490012336801</v>
      </c>
      <c r="K180" s="949"/>
      <c r="L180" s="949"/>
      <c r="M180" s="949"/>
      <c r="N180" s="950"/>
      <c r="O180" s="950"/>
      <c r="X180" s="1004"/>
      <c r="Y180" s="1004"/>
    </row>
    <row r="181" spans="2:25" ht="9.75" customHeight="1">
      <c r="B181" s="951"/>
      <c r="C181" s="951"/>
      <c r="D181" s="287">
        <f t="shared" ca="1" si="28"/>
        <v>51617</v>
      </c>
      <c r="E181" s="359">
        <f t="shared" si="31"/>
        <v>0</v>
      </c>
      <c r="F181" s="289">
        <f t="shared" ca="1" si="29"/>
        <v>60</v>
      </c>
      <c r="G181" s="290">
        <f ca="1">KTVCOI!R180</f>
        <v>3.2906449531458843</v>
      </c>
      <c r="H181" s="290">
        <f ca="1">(H180-F181-G181)*(1+LS!$F$3)</f>
        <v>-13016.472238064371</v>
      </c>
      <c r="I181" s="953"/>
      <c r="J181" s="292">
        <f t="shared" ca="1" si="30"/>
        <v>-13016.472238064371</v>
      </c>
      <c r="K181" s="949"/>
      <c r="L181" s="949"/>
      <c r="M181" s="949"/>
      <c r="N181" s="950"/>
      <c r="O181" s="950"/>
      <c r="X181" s="1004"/>
      <c r="Y181" s="1004"/>
    </row>
    <row r="182" spans="2:25" ht="9.75" customHeight="1">
      <c r="B182" s="951"/>
      <c r="C182" s="951"/>
      <c r="D182" s="287">
        <f t="shared" ca="1" si="28"/>
        <v>51647</v>
      </c>
      <c r="E182" s="359">
        <f t="shared" si="31"/>
        <v>0</v>
      </c>
      <c r="F182" s="289">
        <f t="shared" ca="1" si="29"/>
        <v>60</v>
      </c>
      <c r="G182" s="290">
        <f ca="1">KTVCOI!R181</f>
        <v>3.3192004207064145</v>
      </c>
      <c r="H182" s="290">
        <f ca="1">(H181-F182-G182)*(1+LS!$F$3)</f>
        <v>-13128.903598705152</v>
      </c>
      <c r="I182" s="953"/>
      <c r="J182" s="292">
        <f t="shared" ca="1" si="30"/>
        <v>-13128.903598705152</v>
      </c>
      <c r="K182" s="949"/>
      <c r="L182" s="949"/>
      <c r="M182" s="949"/>
      <c r="N182" s="950"/>
      <c r="O182" s="950"/>
      <c r="X182" s="1004"/>
      <c r="Y182" s="1004"/>
    </row>
    <row r="183" spans="2:25" ht="9.75" customHeight="1">
      <c r="B183" s="951"/>
      <c r="C183" s="951"/>
      <c r="D183" s="287">
        <f t="shared" ca="1" si="28"/>
        <v>51678</v>
      </c>
      <c r="E183" s="359">
        <f t="shared" si="31"/>
        <v>0</v>
      </c>
      <c r="F183" s="289">
        <f t="shared" ca="1" si="29"/>
        <v>60</v>
      </c>
      <c r="G183" s="290">
        <f ca="1">KTVCOI!R182</f>
        <v>3.3478704176698137</v>
      </c>
      <c r="H183" s="290">
        <f ca="1">(H182-F183-G183)*(1+LS!$F$3)</f>
        <v>-13241.785895635829</v>
      </c>
      <c r="I183" s="953"/>
      <c r="J183" s="293">
        <f ca="1">H183+I172</f>
        <v>-13241.785895635829</v>
      </c>
      <c r="K183" s="949"/>
      <c r="L183" s="949"/>
      <c r="M183" s="949"/>
      <c r="N183" s="950"/>
      <c r="O183" s="950"/>
      <c r="X183" s="1004"/>
      <c r="Y183" s="1004"/>
    </row>
    <row r="184" spans="2:25" ht="9.75" customHeight="1">
      <c r="B184" s="946">
        <f>B172+1</f>
        <v>16</v>
      </c>
      <c r="C184" s="947">
        <f ca="1">C172+1</f>
        <v>45</v>
      </c>
      <c r="D184" s="294">
        <f t="shared" ca="1" si="28"/>
        <v>51708</v>
      </c>
      <c r="E184" s="359">
        <f t="shared" si="31"/>
        <v>0</v>
      </c>
      <c r="F184" s="360">
        <f t="shared" ca="1" si="29"/>
        <v>60</v>
      </c>
      <c r="G184" s="290">
        <f ca="1">KTVCOI!R183</f>
        <v>3.6525259428795493</v>
      </c>
      <c r="H184" s="290">
        <f ca="1">(H183+KTVTDGTTKMH!F22-F184-G184)*(1+LS!$F$3)</f>
        <v>-13355.397843839542</v>
      </c>
      <c r="I184" s="948"/>
      <c r="J184" s="296">
        <f t="shared" ca="1" si="30"/>
        <v>-13355.397843839542</v>
      </c>
      <c r="K184" s="949">
        <f ca="1">J195</f>
        <v>-14635.770369819849</v>
      </c>
      <c r="L184" s="949"/>
      <c r="M184" s="949"/>
      <c r="N184" s="950">
        <f t="shared" ref="N184" ca="1" si="40">SUM(G184:G195)</f>
        <v>45.926666437945514</v>
      </c>
      <c r="O184" s="950"/>
      <c r="X184" s="945">
        <f t="shared" ref="X184:Y184" ca="1" si="41">SUM(F184:F195)</f>
        <v>720</v>
      </c>
      <c r="Y184" s="945">
        <f t="shared" ca="1" si="41"/>
        <v>45.926666437945514</v>
      </c>
    </row>
    <row r="185" spans="2:25" ht="9.75" customHeight="1">
      <c r="B185" s="946"/>
      <c r="C185" s="946"/>
      <c r="D185" s="294">
        <f t="shared" ca="1" si="28"/>
        <v>51739</v>
      </c>
      <c r="E185" s="359">
        <f t="shared" si="31"/>
        <v>0</v>
      </c>
      <c r="F185" s="360">
        <f t="shared" ca="1" si="29"/>
        <v>60</v>
      </c>
      <c r="G185" s="290">
        <f ca="1">KTVCOI!R184</f>
        <v>3.683863905259074</v>
      </c>
      <c r="H185" s="290">
        <f ca="1">(H184-F185-G185)*(1+LS!$F$3)</f>
        <v>-13469.467839200837</v>
      </c>
      <c r="I185" s="948"/>
      <c r="J185" s="296">
        <f t="shared" ca="1" si="30"/>
        <v>-13469.467839200837</v>
      </c>
      <c r="K185" s="949"/>
      <c r="L185" s="949"/>
      <c r="M185" s="949"/>
      <c r="N185" s="950"/>
      <c r="O185" s="950"/>
      <c r="X185" s="1004"/>
      <c r="Y185" s="1004"/>
    </row>
    <row r="186" spans="2:25" ht="9.75" customHeight="1">
      <c r="B186" s="946"/>
      <c r="C186" s="946"/>
      <c r="D186" s="294">
        <f t="shared" ca="1" si="28"/>
        <v>51770</v>
      </c>
      <c r="E186" s="359">
        <f t="shared" si="31"/>
        <v>0</v>
      </c>
      <c r="F186" s="360">
        <f t="shared" ca="1" si="29"/>
        <v>60</v>
      </c>
      <c r="G186" s="290">
        <f ca="1">KTVCOI!R185</f>
        <v>3.7153282123128974</v>
      </c>
      <c r="H186" s="290">
        <f ca="1">(H185-F186-G186)*(1+LS!$F$3)</f>
        <v>-13583.997728419836</v>
      </c>
      <c r="I186" s="948"/>
      <c r="J186" s="296">
        <f t="shared" ca="1" si="30"/>
        <v>-13583.997728419836</v>
      </c>
      <c r="K186" s="949"/>
      <c r="L186" s="949"/>
      <c r="M186" s="949"/>
      <c r="N186" s="950"/>
      <c r="O186" s="950"/>
      <c r="X186" s="1004"/>
      <c r="Y186" s="1004"/>
    </row>
    <row r="187" spans="2:25" ht="9.75" customHeight="1">
      <c r="B187" s="946"/>
      <c r="C187" s="946"/>
      <c r="D187" s="294">
        <f t="shared" ca="1" si="28"/>
        <v>51800</v>
      </c>
      <c r="E187" s="359">
        <f t="shared" si="31"/>
        <v>0</v>
      </c>
      <c r="F187" s="360">
        <f t="shared" ca="1" si="29"/>
        <v>60</v>
      </c>
      <c r="G187" s="290">
        <f ca="1">KTVCOI!R186</f>
        <v>3.7469193734224713</v>
      </c>
      <c r="H187" s="290">
        <f ca="1">(H186-F187-G187)*(1+LS!$F$3)</f>
        <v>-13698.989365641964</v>
      </c>
      <c r="I187" s="948"/>
      <c r="J187" s="296">
        <f t="shared" ca="1" si="30"/>
        <v>-13698.989365641964</v>
      </c>
      <c r="K187" s="949"/>
      <c r="L187" s="949"/>
      <c r="M187" s="949"/>
      <c r="N187" s="950"/>
      <c r="O187" s="950"/>
      <c r="X187" s="1004"/>
      <c r="Y187" s="1004"/>
    </row>
    <row r="188" spans="2:25" ht="9.75" customHeight="1">
      <c r="B188" s="946"/>
      <c r="C188" s="946"/>
      <c r="D188" s="294">
        <f t="shared" ca="1" si="28"/>
        <v>51831</v>
      </c>
      <c r="E188" s="359">
        <f t="shared" si="31"/>
        <v>0</v>
      </c>
      <c r="F188" s="360">
        <f t="shared" ca="1" si="29"/>
        <v>60</v>
      </c>
      <c r="G188" s="290">
        <f ca="1">KTVCOI!R187</f>
        <v>3.7786379000229089</v>
      </c>
      <c r="H188" s="290">
        <f ca="1">(H187-F188-G188)*(1+LS!$F$3)</f>
        <v>-13814.444612487974</v>
      </c>
      <c r="I188" s="948"/>
      <c r="J188" s="296">
        <f t="shared" ca="1" si="30"/>
        <v>-13814.444612487974</v>
      </c>
      <c r="K188" s="949"/>
      <c r="L188" s="949"/>
      <c r="M188" s="949"/>
      <c r="N188" s="950"/>
      <c r="O188" s="950"/>
      <c r="X188" s="1004"/>
      <c r="Y188" s="1004"/>
    </row>
    <row r="189" spans="2:25" ht="9.75" customHeight="1">
      <c r="B189" s="946"/>
      <c r="C189" s="946"/>
      <c r="D189" s="294">
        <f t="shared" ca="1" si="28"/>
        <v>51861</v>
      </c>
      <c r="E189" s="359">
        <f t="shared" si="31"/>
        <v>0</v>
      </c>
      <c r="F189" s="360">
        <f t="shared" ca="1" si="29"/>
        <v>60</v>
      </c>
      <c r="G189" s="290">
        <f ca="1">KTVCOI!R188</f>
        <v>3.8104843056112667</v>
      </c>
      <c r="H189" s="290">
        <f ca="1">(H188-F189-G189)*(1+LS!$F$3)</f>
        <v>-13930.365338084081</v>
      </c>
      <c r="I189" s="948"/>
      <c r="J189" s="296">
        <f t="shared" ca="1" si="30"/>
        <v>-13930.365338084081</v>
      </c>
      <c r="K189" s="949"/>
      <c r="L189" s="949"/>
      <c r="M189" s="949"/>
      <c r="N189" s="950"/>
      <c r="O189" s="950"/>
      <c r="X189" s="1004"/>
      <c r="Y189" s="1004"/>
    </row>
    <row r="190" spans="2:25" ht="9.75" customHeight="1">
      <c r="B190" s="946"/>
      <c r="C190" s="946"/>
      <c r="D190" s="294">
        <f t="shared" ca="1" si="28"/>
        <v>51892</v>
      </c>
      <c r="E190" s="359">
        <f t="shared" si="31"/>
        <v>0</v>
      </c>
      <c r="F190" s="360">
        <f t="shared" ca="1" si="29"/>
        <v>60</v>
      </c>
      <c r="G190" s="290">
        <f ca="1">KTVCOI!R189</f>
        <v>3.8424591057548589</v>
      </c>
      <c r="H190" s="290">
        <f ca="1">(H189-F190-G190)*(1+LS!$F$3)</f>
        <v>-14046.753419092214</v>
      </c>
      <c r="I190" s="948"/>
      <c r="J190" s="296">
        <f t="shared" ca="1" si="30"/>
        <v>-14046.753419092214</v>
      </c>
      <c r="K190" s="949"/>
      <c r="L190" s="949"/>
      <c r="M190" s="949"/>
      <c r="N190" s="950"/>
      <c r="O190" s="950"/>
      <c r="X190" s="1004"/>
      <c r="Y190" s="1004"/>
    </row>
    <row r="191" spans="2:25" ht="9.75" customHeight="1">
      <c r="B191" s="946"/>
      <c r="C191" s="946"/>
      <c r="D191" s="294">
        <f t="shared" ca="1" si="28"/>
        <v>51923</v>
      </c>
      <c r="E191" s="359">
        <f t="shared" si="31"/>
        <v>0</v>
      </c>
      <c r="F191" s="360">
        <f t="shared" ca="1" si="29"/>
        <v>60</v>
      </c>
      <c r="G191" s="290">
        <f ca="1">KTVCOI!R190</f>
        <v>3.8745628180996028</v>
      </c>
      <c r="H191" s="290">
        <f ca="1">(H190-F191-G191)*(1+LS!$F$3)</f>
        <v>-14163.610739740414</v>
      </c>
      <c r="I191" s="948"/>
      <c r="J191" s="296">
        <f t="shared" ca="1" si="30"/>
        <v>-14163.610739740414</v>
      </c>
      <c r="K191" s="949"/>
      <c r="L191" s="949"/>
      <c r="M191" s="949"/>
      <c r="N191" s="950"/>
      <c r="O191" s="950"/>
      <c r="X191" s="1004"/>
      <c r="Y191" s="1004"/>
    </row>
    <row r="192" spans="2:25" ht="9.75" customHeight="1">
      <c r="B192" s="946"/>
      <c r="C192" s="946"/>
      <c r="D192" s="294">
        <f t="shared" ca="1" si="28"/>
        <v>51951</v>
      </c>
      <c r="E192" s="359">
        <f t="shared" si="31"/>
        <v>0</v>
      </c>
      <c r="F192" s="360">
        <f t="shared" ca="1" si="29"/>
        <v>60</v>
      </c>
      <c r="G192" s="290">
        <f ca="1">KTVCOI!R191</f>
        <v>3.9067959623783981</v>
      </c>
      <c r="H192" s="290">
        <f ca="1">(H191-F192-G192)*(1+LS!$F$3)</f>
        <v>-14280.93919185332</v>
      </c>
      <c r="I192" s="948"/>
      <c r="J192" s="296">
        <f t="shared" ca="1" si="30"/>
        <v>-14280.93919185332</v>
      </c>
      <c r="K192" s="949"/>
      <c r="L192" s="949"/>
      <c r="M192" s="949"/>
      <c r="N192" s="950"/>
      <c r="O192" s="950"/>
      <c r="X192" s="1004"/>
      <c r="Y192" s="1004"/>
    </row>
    <row r="193" spans="2:25" ht="9.75" customHeight="1">
      <c r="B193" s="946"/>
      <c r="C193" s="946"/>
      <c r="D193" s="294">
        <f t="shared" ca="1" si="28"/>
        <v>51982</v>
      </c>
      <c r="E193" s="359">
        <f t="shared" si="31"/>
        <v>0</v>
      </c>
      <c r="F193" s="360">
        <f t="shared" ca="1" si="29"/>
        <v>60</v>
      </c>
      <c r="G193" s="290">
        <f ca="1">KTVCOI!R192</f>
        <v>3.939159060419541</v>
      </c>
      <c r="H193" s="290">
        <f ca="1">(H192-F193-G193)*(1+LS!$F$3)</f>
        <v>-14398.740674882811</v>
      </c>
      <c r="I193" s="948"/>
      <c r="J193" s="296">
        <f t="shared" ca="1" si="30"/>
        <v>-14398.740674882811</v>
      </c>
      <c r="K193" s="949"/>
      <c r="L193" s="949"/>
      <c r="M193" s="949"/>
      <c r="N193" s="950"/>
      <c r="O193" s="950"/>
      <c r="X193" s="1004"/>
      <c r="Y193" s="1004"/>
    </row>
    <row r="194" spans="2:25" ht="9.75" customHeight="1">
      <c r="B194" s="946"/>
      <c r="C194" s="946"/>
      <c r="D194" s="294">
        <f t="shared" ca="1" si="28"/>
        <v>52012</v>
      </c>
      <c r="E194" s="359">
        <f t="shared" si="31"/>
        <v>0</v>
      </c>
      <c r="F194" s="360">
        <f t="shared" ca="1" si="29"/>
        <v>60</v>
      </c>
      <c r="G194" s="290">
        <f ca="1">KTVCOI!R193</f>
        <v>3.9716526361551749</v>
      </c>
      <c r="H194" s="290">
        <f ca="1">(H193-F194-G194)*(1+LS!$F$3)</f>
        <v>-14517.017095938747</v>
      </c>
      <c r="I194" s="948"/>
      <c r="J194" s="296">
        <f t="shared" ca="1" si="30"/>
        <v>-14517.017095938747</v>
      </c>
      <c r="K194" s="949"/>
      <c r="L194" s="949"/>
      <c r="M194" s="949"/>
      <c r="N194" s="950"/>
      <c r="O194" s="950"/>
      <c r="X194" s="1004"/>
      <c r="Y194" s="1004"/>
    </row>
    <row r="195" spans="2:25" ht="9.75" customHeight="1">
      <c r="B195" s="946"/>
      <c r="C195" s="946"/>
      <c r="D195" s="294">
        <f t="shared" ca="1" si="28"/>
        <v>52043</v>
      </c>
      <c r="E195" s="359">
        <f t="shared" si="31"/>
        <v>0</v>
      </c>
      <c r="F195" s="360">
        <f t="shared" ca="1" si="29"/>
        <v>60</v>
      </c>
      <c r="G195" s="290">
        <f ca="1">KTVCOI!R194</f>
        <v>4.004277215629771</v>
      </c>
      <c r="H195" s="290">
        <f ca="1">(H194-F195-G195)*(1+LS!$F$3)</f>
        <v>-14635.770369819849</v>
      </c>
      <c r="I195" s="948"/>
      <c r="J195" s="297">
        <f ca="1">H195+I184</f>
        <v>-14635.770369819849</v>
      </c>
      <c r="K195" s="949"/>
      <c r="L195" s="949"/>
      <c r="M195" s="949"/>
      <c r="N195" s="950"/>
      <c r="O195" s="950"/>
      <c r="X195" s="1004"/>
      <c r="Y195" s="1004"/>
    </row>
    <row r="196" spans="2:25" ht="9.75" customHeight="1">
      <c r="B196" s="951">
        <f>B184+1</f>
        <v>17</v>
      </c>
      <c r="C196" s="952">
        <f ca="1">C184+1</f>
        <v>46</v>
      </c>
      <c r="D196" s="287">
        <f t="shared" ca="1" si="28"/>
        <v>52073</v>
      </c>
      <c r="E196" s="359">
        <f t="shared" si="31"/>
        <v>0</v>
      </c>
      <c r="F196" s="289">
        <f t="shared" ca="1" si="29"/>
        <v>60</v>
      </c>
      <c r="G196" s="290">
        <f ca="1">KTVCOI!R195</f>
        <v>4.3663381603295885</v>
      </c>
      <c r="H196" s="290">
        <f ca="1">(H195+KTVTDGTTKMH!F23-F196-G196)*(1+LS!$F$3)</f>
        <v>-14755.332960355816</v>
      </c>
      <c r="I196" s="953"/>
      <c r="J196" s="292">
        <f t="shared" ca="1" si="30"/>
        <v>-14755.332960355816</v>
      </c>
      <c r="K196" s="949">
        <f ca="1">J207</f>
        <v>-16102.950524524656</v>
      </c>
      <c r="L196" s="949"/>
      <c r="M196" s="949"/>
      <c r="N196" s="950">
        <f t="shared" ref="N196" ca="1" si="42">SUM(G196:G207)</f>
        <v>54.782352446923156</v>
      </c>
      <c r="O196" s="950"/>
      <c r="X196" s="945">
        <f t="shared" ref="X196:Y196" ca="1" si="43">SUM(F196:F207)</f>
        <v>720</v>
      </c>
      <c r="Y196" s="945">
        <f t="shared" ca="1" si="43"/>
        <v>54.782352446923156</v>
      </c>
    </row>
    <row r="197" spans="2:25" ht="9.75" customHeight="1">
      <c r="B197" s="951"/>
      <c r="C197" s="951"/>
      <c r="D197" s="287">
        <f t="shared" ref="D197:D243" ca="1" si="44">EDATE(D196,1)</f>
        <v>52104</v>
      </c>
      <c r="E197" s="359">
        <f t="shared" si="31"/>
        <v>0</v>
      </c>
      <c r="F197" s="289">
        <f t="shared" ref="F197:F243" ca="1" si="45">IF(YEAR(D197)=2025,40000,IF(YEAR(D197)=2026,40000,IF(YEAR(D197)=2027,40000,IF(YEAR(D197)=2028,40000,IF(YEAR(D197)=2029,40000,IF(YEAR(D197)=2030,50000,IF(YEAR(D197)=2031,50000,IF(YEAR(D197)=2032,50000,IF(YEAR(D197)=2033,50000,IF(YEAR(D197)=2034,50000,IF(YEAR(D197)&gt;=2035,60000,0)))))))))))/1000</f>
        <v>60</v>
      </c>
      <c r="G197" s="290">
        <f ca="1">KTVCOI!R196</f>
        <v>4.4020076665061518</v>
      </c>
      <c r="H197" s="290">
        <f ca="1">(H196-F197-G197)*(1+LS!$F$3)</f>
        <v>-14875.38028940161</v>
      </c>
      <c r="I197" s="953"/>
      <c r="J197" s="292">
        <f t="shared" ref="J197:J242" ca="1" si="46">H197</f>
        <v>-14875.38028940161</v>
      </c>
      <c r="K197" s="949"/>
      <c r="L197" s="949"/>
      <c r="M197" s="949"/>
      <c r="N197" s="950"/>
      <c r="O197" s="950"/>
      <c r="X197" s="1004"/>
      <c r="Y197" s="1004"/>
    </row>
    <row r="198" spans="2:25" ht="9.75" customHeight="1">
      <c r="B198" s="951"/>
      <c r="C198" s="951"/>
      <c r="D198" s="287">
        <f t="shared" ca="1" si="44"/>
        <v>52135</v>
      </c>
      <c r="E198" s="359">
        <f t="shared" ref="E198:E243" si="47">E197</f>
        <v>0</v>
      </c>
      <c r="F198" s="289">
        <f t="shared" ca="1" si="45"/>
        <v>60</v>
      </c>
      <c r="G198" s="290">
        <f ca="1">KTVCOI!R197</f>
        <v>4.4378217863381471</v>
      </c>
      <c r="H198" s="290">
        <f ca="1">(H197-F198-G198)*(1+LS!$F$3)</f>
        <v>-14995.914322215944</v>
      </c>
      <c r="I198" s="953"/>
      <c r="J198" s="292">
        <f t="shared" ca="1" si="46"/>
        <v>-14995.914322215944</v>
      </c>
      <c r="K198" s="949"/>
      <c r="L198" s="949"/>
      <c r="M198" s="949"/>
      <c r="N198" s="950"/>
      <c r="O198" s="950"/>
      <c r="X198" s="1004"/>
      <c r="Y198" s="1004"/>
    </row>
    <row r="199" spans="2:25" ht="9.75" customHeight="1">
      <c r="B199" s="951"/>
      <c r="C199" s="951"/>
      <c r="D199" s="287">
        <f t="shared" ca="1" si="44"/>
        <v>52165</v>
      </c>
      <c r="E199" s="359">
        <f t="shared" si="47"/>
        <v>0</v>
      </c>
      <c r="F199" s="289">
        <f t="shared" ca="1" si="45"/>
        <v>60</v>
      </c>
      <c r="G199" s="290">
        <f ca="1">KTVCOI!R198</f>
        <v>4.473781106127757</v>
      </c>
      <c r="H199" s="290">
        <f ca="1">(H198-F199-G199)*(1+LS!$F$3)</f>
        <v>-15116.937032025213</v>
      </c>
      <c r="I199" s="953"/>
      <c r="J199" s="292">
        <f t="shared" ca="1" si="46"/>
        <v>-15116.937032025213</v>
      </c>
      <c r="K199" s="949"/>
      <c r="L199" s="949"/>
      <c r="M199" s="949"/>
      <c r="N199" s="950"/>
      <c r="O199" s="950"/>
      <c r="X199" s="1004"/>
      <c r="Y199" s="1004"/>
    </row>
    <row r="200" spans="2:25" ht="9.75" customHeight="1">
      <c r="B200" s="951"/>
      <c r="C200" s="951"/>
      <c r="D200" s="287">
        <f t="shared" ca="1" si="44"/>
        <v>52196</v>
      </c>
      <c r="E200" s="359">
        <f t="shared" si="47"/>
        <v>0</v>
      </c>
      <c r="F200" s="289">
        <f t="shared" ca="1" si="45"/>
        <v>60</v>
      </c>
      <c r="G200" s="290">
        <f ca="1">KTVCOI!R199</f>
        <v>4.5098862145541885</v>
      </c>
      <c r="H200" s="290">
        <f ca="1">(H199-F200-G200)*(1+LS!$F$3)</f>
        <v>-15238.450400055799</v>
      </c>
      <c r="I200" s="953"/>
      <c r="J200" s="292">
        <f t="shared" ca="1" si="46"/>
        <v>-15238.450400055799</v>
      </c>
      <c r="K200" s="949"/>
      <c r="L200" s="949"/>
      <c r="M200" s="949"/>
      <c r="N200" s="950"/>
      <c r="O200" s="950"/>
      <c r="X200" s="1004"/>
      <c r="Y200" s="1004"/>
    </row>
    <row r="201" spans="2:25" ht="9.75" customHeight="1">
      <c r="B201" s="951"/>
      <c r="C201" s="951"/>
      <c r="D201" s="287">
        <f t="shared" ca="1" si="44"/>
        <v>52226</v>
      </c>
      <c r="E201" s="359">
        <f t="shared" si="47"/>
        <v>0</v>
      </c>
      <c r="F201" s="289">
        <f t="shared" ca="1" si="45"/>
        <v>60</v>
      </c>
      <c r="G201" s="290">
        <f ca="1">KTVCOI!R200</f>
        <v>4.5461377026833132</v>
      </c>
      <c r="H201" s="290">
        <f ca="1">(H200-F201-G201)*(1+LS!$F$3)</f>
        <v>-15360.456415566496</v>
      </c>
      <c r="I201" s="953"/>
      <c r="J201" s="292">
        <f t="shared" ca="1" si="46"/>
        <v>-15360.456415566496</v>
      </c>
      <c r="K201" s="949"/>
      <c r="L201" s="949"/>
      <c r="M201" s="949"/>
      <c r="N201" s="950"/>
      <c r="O201" s="950"/>
      <c r="X201" s="1004"/>
      <c r="Y201" s="1004"/>
    </row>
    <row r="202" spans="2:25" ht="9.75" customHeight="1">
      <c r="B202" s="951"/>
      <c r="C202" s="951"/>
      <c r="D202" s="287">
        <f t="shared" ca="1" si="44"/>
        <v>52257</v>
      </c>
      <c r="E202" s="359">
        <f t="shared" si="47"/>
        <v>0</v>
      </c>
      <c r="F202" s="289">
        <f t="shared" ca="1" si="45"/>
        <v>60</v>
      </c>
      <c r="G202" s="290">
        <f ca="1">KTVCOI!R201</f>
        <v>4.5825361639773385</v>
      </c>
      <c r="H202" s="290">
        <f ca="1">(H201-F202-G202)*(1+LS!$F$3)</f>
        <v>-15482.957075881086</v>
      </c>
      <c r="I202" s="953"/>
      <c r="J202" s="292">
        <f t="shared" ca="1" si="46"/>
        <v>-15482.957075881086</v>
      </c>
      <c r="K202" s="949"/>
      <c r="L202" s="949"/>
      <c r="M202" s="949"/>
      <c r="N202" s="950"/>
      <c r="O202" s="950"/>
      <c r="X202" s="1004"/>
      <c r="Y202" s="1004"/>
    </row>
    <row r="203" spans="2:25" ht="9.75" customHeight="1">
      <c r="B203" s="951"/>
      <c r="C203" s="951"/>
      <c r="D203" s="287">
        <f t="shared" ca="1" si="44"/>
        <v>52288</v>
      </c>
      <c r="E203" s="359">
        <f t="shared" si="47"/>
        <v>0</v>
      </c>
      <c r="F203" s="289">
        <f t="shared" ca="1" si="45"/>
        <v>60</v>
      </c>
      <c r="G203" s="290">
        <f ca="1">KTVCOI!R202</f>
        <v>4.6190821943045242</v>
      </c>
      <c r="H203" s="290">
        <f ca="1">(H202-F203-G203)*(1+LS!$F$3)</f>
        <v>-15605.954386421028</v>
      </c>
      <c r="I203" s="953"/>
      <c r="J203" s="292">
        <f t="shared" ca="1" si="46"/>
        <v>-15605.954386421028</v>
      </c>
      <c r="K203" s="949"/>
      <c r="L203" s="949"/>
      <c r="M203" s="949"/>
      <c r="N203" s="950"/>
      <c r="O203" s="950"/>
      <c r="X203" s="1004"/>
      <c r="Y203" s="1004"/>
    </row>
    <row r="204" spans="2:25" ht="9.75" customHeight="1">
      <c r="B204" s="951"/>
      <c r="C204" s="951"/>
      <c r="D204" s="287">
        <f t="shared" ca="1" si="44"/>
        <v>52316</v>
      </c>
      <c r="E204" s="359">
        <f t="shared" si="47"/>
        <v>0</v>
      </c>
      <c r="F204" s="289">
        <f t="shared" ca="1" si="45"/>
        <v>60</v>
      </c>
      <c r="G204" s="290">
        <f ca="1">KTVCOI!R203</f>
        <v>4.6557763919489403</v>
      </c>
      <c r="H204" s="290">
        <f ca="1">(H203-F204-G204)*(1+LS!$F$3)</f>
        <v>-15729.450360738299</v>
      </c>
      <c r="I204" s="953"/>
      <c r="J204" s="292">
        <f t="shared" ca="1" si="46"/>
        <v>-15729.450360738299</v>
      </c>
      <c r="K204" s="949"/>
      <c r="L204" s="949"/>
      <c r="M204" s="949"/>
      <c r="N204" s="950"/>
      <c r="O204" s="950"/>
      <c r="X204" s="1004"/>
      <c r="Y204" s="1004"/>
    </row>
    <row r="205" spans="2:25" ht="9.75" customHeight="1">
      <c r="B205" s="951"/>
      <c r="C205" s="951"/>
      <c r="D205" s="287">
        <f t="shared" ca="1" si="44"/>
        <v>52347</v>
      </c>
      <c r="E205" s="359">
        <f t="shared" si="47"/>
        <v>0</v>
      </c>
      <c r="F205" s="289">
        <f t="shared" ca="1" si="45"/>
        <v>60</v>
      </c>
      <c r="G205" s="290">
        <f ca="1">KTVCOI!R204</f>
        <v>4.6926193576202593</v>
      </c>
      <c r="H205" s="290">
        <f ca="1">(H204-F205-G205)*(1+LS!$F$3)</f>
        <v>-15853.447020548347</v>
      </c>
      <c r="I205" s="953"/>
      <c r="J205" s="292">
        <f t="shared" ca="1" si="46"/>
        <v>-15853.447020548347</v>
      </c>
      <c r="K205" s="949"/>
      <c r="L205" s="949"/>
      <c r="M205" s="949"/>
      <c r="N205" s="950"/>
      <c r="O205" s="950"/>
      <c r="X205" s="1004"/>
      <c r="Y205" s="1004"/>
    </row>
    <row r="206" spans="2:25" ht="9.75" customHeight="1">
      <c r="B206" s="951"/>
      <c r="C206" s="951"/>
      <c r="D206" s="287">
        <f t="shared" ca="1" si="44"/>
        <v>52377</v>
      </c>
      <c r="E206" s="359">
        <f t="shared" si="47"/>
        <v>0</v>
      </c>
      <c r="F206" s="289">
        <f t="shared" ca="1" si="45"/>
        <v>60</v>
      </c>
      <c r="G206" s="290">
        <f ca="1">KTVCOI!R205</f>
        <v>4.72961169446359</v>
      </c>
      <c r="H206" s="290">
        <f ca="1">(H205-F206-G206)*(1+LS!$F$3)</f>
        <v>-15977.946395763192</v>
      </c>
      <c r="I206" s="953"/>
      <c r="J206" s="292">
        <f t="shared" ca="1" si="46"/>
        <v>-15977.946395763192</v>
      </c>
      <c r="K206" s="949"/>
      <c r="L206" s="949"/>
      <c r="M206" s="949"/>
      <c r="N206" s="950"/>
      <c r="O206" s="950"/>
      <c r="X206" s="1004"/>
      <c r="Y206" s="1004"/>
    </row>
    <row r="207" spans="2:25" ht="9.75" customHeight="1">
      <c r="B207" s="951"/>
      <c r="C207" s="951"/>
      <c r="D207" s="287">
        <f t="shared" ca="1" si="44"/>
        <v>52408</v>
      </c>
      <c r="E207" s="359">
        <f t="shared" si="47"/>
        <v>0</v>
      </c>
      <c r="F207" s="289">
        <f t="shared" ca="1" si="45"/>
        <v>60</v>
      </c>
      <c r="G207" s="290">
        <f ca="1">KTVCOI!R206</f>
        <v>4.7667540080693529</v>
      </c>
      <c r="H207" s="290">
        <f ca="1">(H206-F207-G207)*(1+LS!$F$3)</f>
        <v>-16102.950524524656</v>
      </c>
      <c r="I207" s="953"/>
      <c r="J207" s="293">
        <f ca="1">H207+I196</f>
        <v>-16102.950524524656</v>
      </c>
      <c r="K207" s="949"/>
      <c r="L207" s="949"/>
      <c r="M207" s="949"/>
      <c r="N207" s="950"/>
      <c r="O207" s="950"/>
      <c r="X207" s="1004"/>
      <c r="Y207" s="1004"/>
    </row>
    <row r="208" spans="2:25" ht="9.75" customHeight="1">
      <c r="B208" s="946">
        <f>B196+1</f>
        <v>18</v>
      </c>
      <c r="C208" s="947">
        <f ca="1">C196+1</f>
        <v>47</v>
      </c>
      <c r="D208" s="294">
        <f t="shared" ca="1" si="44"/>
        <v>52438</v>
      </c>
      <c r="E208" s="359">
        <f t="shared" si="47"/>
        <v>0</v>
      </c>
      <c r="F208" s="360">
        <f t="shared" ca="1" si="45"/>
        <v>60</v>
      </c>
      <c r="G208" s="290">
        <f ca="1">KTVCOI!R207</f>
        <v>5.1932015441592023</v>
      </c>
      <c r="H208" s="290">
        <f ca="1">(H207+KTVTDGTTKMH!F24-F208-G208)*(1+LS!$F$3)</f>
        <v>-16228.852069077981</v>
      </c>
      <c r="I208" s="948"/>
      <c r="J208" s="296">
        <f t="shared" ca="1" si="46"/>
        <v>-16228.852069077981</v>
      </c>
      <c r="K208" s="949">
        <f ca="1">J219</f>
        <v>-17648.124554565526</v>
      </c>
      <c r="L208" s="949"/>
      <c r="M208" s="949"/>
      <c r="N208" s="950">
        <f t="shared" ref="N208" ca="1" si="48">SUM(G208:G219)</f>
        <v>65.035001707992947</v>
      </c>
      <c r="O208" s="950"/>
      <c r="X208" s="945">
        <f t="shared" ref="X208:Y208" ca="1" si="49">SUM(F208:F219)</f>
        <v>720</v>
      </c>
      <c r="Y208" s="945">
        <f t="shared" ca="1" si="49"/>
        <v>65.035001707992947</v>
      </c>
    </row>
    <row r="209" spans="2:25" ht="9.75" customHeight="1">
      <c r="B209" s="946"/>
      <c r="C209" s="946"/>
      <c r="D209" s="294">
        <f t="shared" ca="1" si="44"/>
        <v>52469</v>
      </c>
      <c r="E209" s="359">
        <f t="shared" si="47"/>
        <v>0</v>
      </c>
      <c r="F209" s="360">
        <f t="shared" ca="1" si="45"/>
        <v>60</v>
      </c>
      <c r="G209" s="290">
        <f ca="1">KTVCOI!R208</f>
        <v>5.2338047922776489</v>
      </c>
      <c r="H209" s="290">
        <f ca="1">(H208-F209-G209)*(1+LS!$F$3)</f>
        <v>-16355.267105990108</v>
      </c>
      <c r="I209" s="948"/>
      <c r="J209" s="296">
        <f t="shared" ca="1" si="46"/>
        <v>-16355.267105990108</v>
      </c>
      <c r="K209" s="949"/>
      <c r="L209" s="949"/>
      <c r="M209" s="949"/>
      <c r="N209" s="950"/>
      <c r="O209" s="950"/>
      <c r="X209" s="1004"/>
      <c r="Y209" s="1004"/>
    </row>
    <row r="210" spans="2:25" ht="9.75" customHeight="1">
      <c r="B210" s="946"/>
      <c r="C210" s="946"/>
      <c r="D210" s="294">
        <f t="shared" ca="1" si="44"/>
        <v>52500</v>
      </c>
      <c r="E210" s="359">
        <f t="shared" si="47"/>
        <v>0</v>
      </c>
      <c r="F210" s="360">
        <f t="shared" ca="1" si="45"/>
        <v>60</v>
      </c>
      <c r="G210" s="290">
        <f ca="1">KTVCOI!R209</f>
        <v>5.2745736416818092</v>
      </c>
      <c r="H210" s="290">
        <f ca="1">(H209-F210-G210)*(1+LS!$F$3)</f>
        <v>-16482.197729551488</v>
      </c>
      <c r="I210" s="948"/>
      <c r="J210" s="296">
        <f t="shared" ca="1" si="46"/>
        <v>-16482.197729551488</v>
      </c>
      <c r="K210" s="949"/>
      <c r="L210" s="949"/>
      <c r="M210" s="949"/>
      <c r="N210" s="950"/>
      <c r="O210" s="950"/>
      <c r="X210" s="1004"/>
      <c r="Y210" s="1004"/>
    </row>
    <row r="211" spans="2:25" ht="9.75" customHeight="1">
      <c r="B211" s="946"/>
      <c r="C211" s="946"/>
      <c r="D211" s="294">
        <f t="shared" ca="1" si="44"/>
        <v>52530</v>
      </c>
      <c r="E211" s="359">
        <f t="shared" si="47"/>
        <v>0</v>
      </c>
      <c r="F211" s="360">
        <f t="shared" ca="1" si="45"/>
        <v>60</v>
      </c>
      <c r="G211" s="290">
        <f ca="1">KTVCOI!R210</f>
        <v>5.3155087677803552</v>
      </c>
      <c r="H211" s="290">
        <f ca="1">(H210-F211-G211)*(1+LS!$F$3)</f>
        <v>-16609.646042594188</v>
      </c>
      <c r="I211" s="948"/>
      <c r="J211" s="296">
        <f t="shared" ca="1" si="46"/>
        <v>-16609.646042594188</v>
      </c>
      <c r="K211" s="949"/>
      <c r="L211" s="949"/>
      <c r="M211" s="949"/>
      <c r="N211" s="950"/>
      <c r="O211" s="950"/>
      <c r="X211" s="1004"/>
      <c r="Y211" s="1004"/>
    </row>
    <row r="212" spans="2:25" ht="9.75" customHeight="1">
      <c r="B212" s="946"/>
      <c r="C212" s="946"/>
      <c r="D212" s="294">
        <f t="shared" ca="1" si="44"/>
        <v>52561</v>
      </c>
      <c r="E212" s="359">
        <f t="shared" si="47"/>
        <v>0</v>
      </c>
      <c r="F212" s="360">
        <f t="shared" ca="1" si="45"/>
        <v>60</v>
      </c>
      <c r="G212" s="290">
        <f ca="1">KTVCOI!R211</f>
        <v>5.3566108487366257</v>
      </c>
      <c r="H212" s="290">
        <f ca="1">(H211-F212-G212)*(1+LS!$F$3)</f>
        <v>-16737.614156526717</v>
      </c>
      <c r="I212" s="948"/>
      <c r="J212" s="296">
        <f t="shared" ca="1" si="46"/>
        <v>-16737.614156526717</v>
      </c>
      <c r="K212" s="949"/>
      <c r="L212" s="949"/>
      <c r="M212" s="949"/>
      <c r="N212" s="950"/>
      <c r="O212" s="950"/>
      <c r="X212" s="1004"/>
      <c r="Y212" s="1004"/>
    </row>
    <row r="213" spans="2:25" ht="9.75" customHeight="1">
      <c r="B213" s="946"/>
      <c r="C213" s="946"/>
      <c r="D213" s="294">
        <f t="shared" ca="1" si="44"/>
        <v>52591</v>
      </c>
      <c r="E213" s="359">
        <f t="shared" si="47"/>
        <v>0</v>
      </c>
      <c r="F213" s="360">
        <f t="shared" ca="1" si="45"/>
        <v>60</v>
      </c>
      <c r="G213" s="290">
        <f ca="1">KTVCOI!R212</f>
        <v>5.3978805654798663</v>
      </c>
      <c r="H213" s="290">
        <f ca="1">(H212-F213-G213)*(1+LS!$F$3)</f>
        <v>-16866.104191369017</v>
      </c>
      <c r="I213" s="948"/>
      <c r="J213" s="296">
        <f t="shared" ca="1" si="46"/>
        <v>-16866.104191369017</v>
      </c>
      <c r="K213" s="949"/>
      <c r="L213" s="949"/>
      <c r="M213" s="949"/>
      <c r="N213" s="950"/>
      <c r="O213" s="950"/>
      <c r="X213" s="1004"/>
      <c r="Y213" s="1004"/>
    </row>
    <row r="214" spans="2:25" ht="9.75" customHeight="1">
      <c r="B214" s="946"/>
      <c r="C214" s="946"/>
      <c r="D214" s="294">
        <f t="shared" ca="1" si="44"/>
        <v>52622</v>
      </c>
      <c r="E214" s="359">
        <f t="shared" si="47"/>
        <v>0</v>
      </c>
      <c r="F214" s="360">
        <f t="shared" ca="1" si="45"/>
        <v>60</v>
      </c>
      <c r="G214" s="290">
        <f ca="1">KTVCOI!R213</f>
        <v>5.4393186017165078</v>
      </c>
      <c r="H214" s="290">
        <f ca="1">(H213-F214-G214)*(1+LS!$F$3)</f>
        <v>-16995.118275787576</v>
      </c>
      <c r="I214" s="948"/>
      <c r="J214" s="296">
        <f t="shared" ca="1" si="46"/>
        <v>-16995.118275787576</v>
      </c>
      <c r="K214" s="949"/>
      <c r="L214" s="949"/>
      <c r="M214" s="949"/>
      <c r="N214" s="950"/>
      <c r="O214" s="950"/>
      <c r="X214" s="1004"/>
      <c r="Y214" s="1004"/>
    </row>
    <row r="215" spans="2:25" ht="9.75" customHeight="1">
      <c r="B215" s="946"/>
      <c r="C215" s="946"/>
      <c r="D215" s="294">
        <f t="shared" ca="1" si="44"/>
        <v>52653</v>
      </c>
      <c r="E215" s="359">
        <f t="shared" si="47"/>
        <v>0</v>
      </c>
      <c r="F215" s="360">
        <f t="shared" ca="1" si="45"/>
        <v>60</v>
      </c>
      <c r="G215" s="290">
        <f ca="1">KTVCOI!R214</f>
        <v>5.4809256439414931</v>
      </c>
      <c r="H215" s="290">
        <f ca="1">(H214-F215-G215)*(1+LS!$F$3)</f>
        <v>-17124.658547130704</v>
      </c>
      <c r="I215" s="948"/>
      <c r="J215" s="296">
        <f t="shared" ca="1" si="46"/>
        <v>-17124.658547130704</v>
      </c>
      <c r="K215" s="949"/>
      <c r="L215" s="949"/>
      <c r="M215" s="949"/>
      <c r="N215" s="950"/>
      <c r="O215" s="950"/>
      <c r="X215" s="1004"/>
      <c r="Y215" s="1004"/>
    </row>
    <row r="216" spans="2:25" ht="9.75" customHeight="1">
      <c r="B216" s="946"/>
      <c r="C216" s="946"/>
      <c r="D216" s="294">
        <f t="shared" ca="1" si="44"/>
        <v>52682</v>
      </c>
      <c r="E216" s="359">
        <f t="shared" si="47"/>
        <v>0</v>
      </c>
      <c r="F216" s="360">
        <f t="shared" ca="1" si="45"/>
        <v>60</v>
      </c>
      <c r="G216" s="290">
        <f ca="1">KTVCOI!R215</f>
        <v>5.5227023814496521</v>
      </c>
      <c r="H216" s="290">
        <f ca="1">(H215-F216-G216)*(1+LS!$F$3)</f>
        <v>-17254.727151463932</v>
      </c>
      <c r="I216" s="948"/>
      <c r="J216" s="296">
        <f t="shared" ca="1" si="46"/>
        <v>-17254.727151463932</v>
      </c>
      <c r="K216" s="949"/>
      <c r="L216" s="949"/>
      <c r="M216" s="949"/>
      <c r="N216" s="950"/>
      <c r="O216" s="950"/>
      <c r="X216" s="1004"/>
      <c r="Y216" s="1004"/>
    </row>
    <row r="217" spans="2:25" ht="9.75" customHeight="1">
      <c r="B217" s="946"/>
      <c r="C217" s="946"/>
      <c r="D217" s="294">
        <f t="shared" ca="1" si="44"/>
        <v>52713</v>
      </c>
      <c r="E217" s="359">
        <f t="shared" si="47"/>
        <v>0</v>
      </c>
      <c r="F217" s="360">
        <f t="shared" ca="1" si="45"/>
        <v>60</v>
      </c>
      <c r="G217" s="290">
        <f ca="1">KTVCOI!R216</f>
        <v>5.5646495063471173</v>
      </c>
      <c r="H217" s="290">
        <f ca="1">(H216-F217-G217)*(1+LS!$F$3)</f>
        <v>-17385.32624360557</v>
      </c>
      <c r="I217" s="948"/>
      <c r="J217" s="296">
        <f t="shared" ca="1" si="46"/>
        <v>-17385.32624360557</v>
      </c>
      <c r="K217" s="949"/>
      <c r="L217" s="949"/>
      <c r="M217" s="949"/>
      <c r="N217" s="950"/>
      <c r="O217" s="950"/>
      <c r="X217" s="1004"/>
      <c r="Y217" s="1004"/>
    </row>
    <row r="218" spans="2:25" ht="9.75" customHeight="1">
      <c r="B218" s="946"/>
      <c r="C218" s="946"/>
      <c r="D218" s="294">
        <f t="shared" ca="1" si="44"/>
        <v>52743</v>
      </c>
      <c r="E218" s="359">
        <f t="shared" si="47"/>
        <v>0</v>
      </c>
      <c r="F218" s="360">
        <f t="shared" ca="1" si="45"/>
        <v>60</v>
      </c>
      <c r="G218" s="290">
        <f ca="1">KTVCOI!R217</f>
        <v>5.606767713562796</v>
      </c>
      <c r="H218" s="290">
        <f ca="1">(H217-F218-G218)*(1+LS!$F$3)</f>
        <v>-17516.457987162397</v>
      </c>
      <c r="I218" s="948"/>
      <c r="J218" s="296">
        <f t="shared" ca="1" si="46"/>
        <v>-17516.457987162397</v>
      </c>
      <c r="K218" s="949"/>
      <c r="L218" s="949"/>
      <c r="M218" s="949"/>
      <c r="N218" s="950"/>
      <c r="O218" s="950"/>
      <c r="X218" s="1004"/>
      <c r="Y218" s="1004"/>
    </row>
    <row r="219" spans="2:25" ht="9.75" customHeight="1">
      <c r="B219" s="946"/>
      <c r="C219" s="946"/>
      <c r="D219" s="294">
        <f t="shared" ca="1" si="44"/>
        <v>52774</v>
      </c>
      <c r="E219" s="359">
        <f t="shared" si="47"/>
        <v>0</v>
      </c>
      <c r="F219" s="360">
        <f t="shared" ca="1" si="45"/>
        <v>60</v>
      </c>
      <c r="G219" s="290">
        <f ca="1">KTVCOI!R218</f>
        <v>5.6490577008598741</v>
      </c>
      <c r="H219" s="290">
        <f ca="1">(H218-F219-G219)*(1+LS!$F$3)</f>
        <v>-17648.124554565526</v>
      </c>
      <c r="I219" s="948"/>
      <c r="J219" s="297">
        <f ca="1">H219+I208</f>
        <v>-17648.124554565526</v>
      </c>
      <c r="K219" s="949"/>
      <c r="L219" s="949"/>
      <c r="M219" s="949"/>
      <c r="N219" s="950"/>
      <c r="O219" s="950"/>
      <c r="X219" s="1004"/>
      <c r="Y219" s="1004"/>
    </row>
    <row r="220" spans="2:25" ht="9.75" customHeight="1">
      <c r="B220" s="951">
        <f>B208+1</f>
        <v>19</v>
      </c>
      <c r="C220" s="952">
        <f ca="1">C208+1</f>
        <v>48</v>
      </c>
      <c r="D220" s="287">
        <f t="shared" ca="1" si="44"/>
        <v>52804</v>
      </c>
      <c r="E220" s="359">
        <f t="shared" si="47"/>
        <v>0</v>
      </c>
      <c r="F220" s="289">
        <f t="shared" ca="1" si="45"/>
        <v>60</v>
      </c>
      <c r="G220" s="290">
        <f ca="1">KTVCOI!R219</f>
        <v>6.1474300531736574</v>
      </c>
      <c r="H220" s="290">
        <f ca="1">(H219+KTVTDGTTKMH!F25-F220-G220)*(1+LS!$F$3)</f>
        <v>-17780.78574884668</v>
      </c>
      <c r="I220" s="953"/>
      <c r="J220" s="292">
        <f t="shared" ca="1" si="46"/>
        <v>-17780.78574884668</v>
      </c>
      <c r="K220" s="949">
        <f ca="1">J231</f>
        <v>-19276.492242420394</v>
      </c>
      <c r="L220" s="949"/>
      <c r="M220" s="949"/>
      <c r="N220" s="950">
        <f t="shared" ref="N220" ca="1" si="50">SUM(G220:G231)</f>
        <v>76.861156366829022</v>
      </c>
      <c r="O220" s="950"/>
      <c r="X220" s="945">
        <f t="shared" ref="X220:Y220" ca="1" si="51">SUM(F220:F231)</f>
        <v>720</v>
      </c>
      <c r="Y220" s="945">
        <f t="shared" ca="1" si="51"/>
        <v>76.861156366829022</v>
      </c>
    </row>
    <row r="221" spans="2:25" ht="9.75" customHeight="1">
      <c r="B221" s="951"/>
      <c r="C221" s="951"/>
      <c r="D221" s="287">
        <f t="shared" ca="1" si="44"/>
        <v>52835</v>
      </c>
      <c r="E221" s="359">
        <f t="shared" si="47"/>
        <v>0</v>
      </c>
      <c r="F221" s="289">
        <f t="shared" ca="1" si="45"/>
        <v>60</v>
      </c>
      <c r="G221" s="290">
        <f ca="1">KTVCOI!R220</f>
        <v>6.1936403691815931</v>
      </c>
      <c r="H221" s="290">
        <f ca="1">(H220-F221-G221)*(1+LS!$F$3)</f>
        <v>-17913.991444823154</v>
      </c>
      <c r="I221" s="953"/>
      <c r="J221" s="292">
        <f t="shared" ca="1" si="46"/>
        <v>-17913.991444823154</v>
      </c>
      <c r="K221" s="949"/>
      <c r="L221" s="949"/>
      <c r="M221" s="949"/>
      <c r="N221" s="950"/>
      <c r="O221" s="950"/>
      <c r="X221" s="1004"/>
      <c r="Y221" s="1004"/>
    </row>
    <row r="222" spans="2:25" ht="9.75" customHeight="1">
      <c r="B222" s="951"/>
      <c r="C222" s="951"/>
      <c r="D222" s="287">
        <f t="shared" ca="1" si="44"/>
        <v>52866</v>
      </c>
      <c r="E222" s="359">
        <f t="shared" si="47"/>
        <v>0</v>
      </c>
      <c r="F222" s="289">
        <f t="shared" ca="1" si="45"/>
        <v>60</v>
      </c>
      <c r="G222" s="290">
        <f ca="1">KTVCOI!R221</f>
        <v>6.2400403532800652</v>
      </c>
      <c r="H222" s="290">
        <f ca="1">(H221-F222-G222)*(1+LS!$F$3)</f>
        <v>-18047.743877376804</v>
      </c>
      <c r="I222" s="953"/>
      <c r="J222" s="292">
        <f t="shared" ca="1" si="46"/>
        <v>-18047.743877376804</v>
      </c>
      <c r="K222" s="949"/>
      <c r="L222" s="949"/>
      <c r="M222" s="949"/>
      <c r="N222" s="950"/>
      <c r="O222" s="950"/>
      <c r="X222" s="1004"/>
      <c r="Y222" s="1004"/>
    </row>
    <row r="223" spans="2:25" ht="9.75" customHeight="1">
      <c r="B223" s="951"/>
      <c r="C223" s="951"/>
      <c r="D223" s="287">
        <f t="shared" ca="1" si="44"/>
        <v>52896</v>
      </c>
      <c r="E223" s="359">
        <f t="shared" si="47"/>
        <v>0</v>
      </c>
      <c r="F223" s="289">
        <f t="shared" ca="1" si="45"/>
        <v>60</v>
      </c>
      <c r="G223" s="290">
        <f ca="1">KTVCOI!R222</f>
        <v>6.2866307839529192</v>
      </c>
      <c r="H223" s="290">
        <f ca="1">(H222-F223-G223)*(1+LS!$F$3)</f>
        <v>-18182.045290562455</v>
      </c>
      <c r="I223" s="953"/>
      <c r="J223" s="292">
        <f t="shared" ca="1" si="46"/>
        <v>-18182.045290562455</v>
      </c>
      <c r="K223" s="949"/>
      <c r="L223" s="949"/>
      <c r="M223" s="949"/>
      <c r="N223" s="950"/>
      <c r="O223" s="950"/>
      <c r="X223" s="1004"/>
      <c r="Y223" s="1004"/>
    </row>
    <row r="224" spans="2:25" ht="9.75" customHeight="1">
      <c r="B224" s="951"/>
      <c r="C224" s="951"/>
      <c r="D224" s="287">
        <f t="shared" ca="1" si="44"/>
        <v>52927</v>
      </c>
      <c r="E224" s="359">
        <f t="shared" si="47"/>
        <v>0</v>
      </c>
      <c r="F224" s="289">
        <f t="shared" ca="1" si="45"/>
        <v>60</v>
      </c>
      <c r="G224" s="290">
        <f ca="1">KTVCOI!R223</f>
        <v>6.3334124428792551</v>
      </c>
      <c r="H224" s="290">
        <f ca="1">(H223-F224-G224)*(1+LS!$F$3)</f>
        <v>-18316.897937645546</v>
      </c>
      <c r="I224" s="953"/>
      <c r="J224" s="292">
        <f t="shared" ca="1" si="46"/>
        <v>-18316.897937645546</v>
      </c>
      <c r="K224" s="949"/>
      <c r="L224" s="949"/>
      <c r="M224" s="949"/>
      <c r="N224" s="950"/>
      <c r="O224" s="950"/>
      <c r="X224" s="1004"/>
      <c r="Y224" s="1004"/>
    </row>
    <row r="225" spans="2:25" ht="9.75" customHeight="1">
      <c r="B225" s="951"/>
      <c r="C225" s="951"/>
      <c r="D225" s="287">
        <f t="shared" ca="1" si="44"/>
        <v>52957</v>
      </c>
      <c r="E225" s="359">
        <f t="shared" si="47"/>
        <v>0</v>
      </c>
      <c r="F225" s="289">
        <f t="shared" ca="1" si="45"/>
        <v>60</v>
      </c>
      <c r="G225" s="290">
        <f ca="1">KTVCOI!R224</f>
        <v>6.3803861149465311</v>
      </c>
      <c r="H225" s="290">
        <f ca="1">(H224-F225-G225)*(1+LS!$F$3)</f>
        <v>-18452.304081139948</v>
      </c>
      <c r="I225" s="953"/>
      <c r="J225" s="292">
        <f t="shared" ca="1" si="46"/>
        <v>-18452.304081139948</v>
      </c>
      <c r="K225" s="949"/>
      <c r="L225" s="949"/>
      <c r="M225" s="949"/>
      <c r="N225" s="950"/>
      <c r="O225" s="950"/>
      <c r="X225" s="1004"/>
      <c r="Y225" s="1004"/>
    </row>
    <row r="226" spans="2:25" ht="9.75" customHeight="1">
      <c r="B226" s="951"/>
      <c r="C226" s="951"/>
      <c r="D226" s="287">
        <f t="shared" ca="1" si="44"/>
        <v>52988</v>
      </c>
      <c r="E226" s="359">
        <f t="shared" si="47"/>
        <v>0</v>
      </c>
      <c r="F226" s="289">
        <f t="shared" ca="1" si="45"/>
        <v>60</v>
      </c>
      <c r="G226" s="290">
        <f ca="1">KTVCOI!R225</f>
        <v>6.4275525882637483</v>
      </c>
      <c r="H226" s="290">
        <f ca="1">(H225-F226-G226)*(1+LS!$F$3)</f>
        <v>-18588.265992845911</v>
      </c>
      <c r="I226" s="953"/>
      <c r="J226" s="292">
        <f t="shared" ca="1" si="46"/>
        <v>-18588.265992845911</v>
      </c>
      <c r="K226" s="949"/>
      <c r="L226" s="949"/>
      <c r="M226" s="949"/>
      <c r="N226" s="950"/>
      <c r="O226" s="950"/>
      <c r="X226" s="1004"/>
      <c r="Y226" s="1004"/>
    </row>
    <row r="227" spans="2:25" ht="9.75" customHeight="1">
      <c r="B227" s="951"/>
      <c r="C227" s="951"/>
      <c r="D227" s="287">
        <f t="shared" ca="1" si="44"/>
        <v>53019</v>
      </c>
      <c r="E227" s="359">
        <f t="shared" si="47"/>
        <v>0</v>
      </c>
      <c r="F227" s="289">
        <f t="shared" ca="1" si="45"/>
        <v>60</v>
      </c>
      <c r="G227" s="290">
        <f ca="1">KTVCOI!R226</f>
        <v>6.4749126541746582</v>
      </c>
      <c r="H227" s="290">
        <f ca="1">(H226-F227-G227)*(1+LS!$F$3)</f>
        <v>-18724.785953888182</v>
      </c>
      <c r="I227" s="953"/>
      <c r="J227" s="292">
        <f t="shared" ca="1" si="46"/>
        <v>-18724.785953888182</v>
      </c>
      <c r="K227" s="949"/>
      <c r="L227" s="949"/>
      <c r="M227" s="949"/>
      <c r="N227" s="950"/>
      <c r="O227" s="950"/>
      <c r="X227" s="1004"/>
      <c r="Y227" s="1004"/>
    </row>
    <row r="228" spans="2:25" ht="9.75" customHeight="1">
      <c r="B228" s="951"/>
      <c r="C228" s="951"/>
      <c r="D228" s="287">
        <f t="shared" ca="1" si="44"/>
        <v>53047</v>
      </c>
      <c r="E228" s="359">
        <f t="shared" si="47"/>
        <v>0</v>
      </c>
      <c r="F228" s="289">
        <f t="shared" ca="1" si="45"/>
        <v>60</v>
      </c>
      <c r="G228" s="290">
        <f ca="1">KTVCOI!R227</f>
        <v>6.5224671072710487</v>
      </c>
      <c r="H228" s="290">
        <f ca="1">(H227-F228-G228)*(1+LS!$F$3)</f>
        <v>-18861.866254754281</v>
      </c>
      <c r="I228" s="953"/>
      <c r="J228" s="292">
        <f t="shared" ca="1" si="46"/>
        <v>-18861.866254754281</v>
      </c>
      <c r="K228" s="949"/>
      <c r="L228" s="949"/>
      <c r="M228" s="949"/>
      <c r="N228" s="950"/>
      <c r="O228" s="950"/>
      <c r="X228" s="1004"/>
      <c r="Y228" s="1004"/>
    </row>
    <row r="229" spans="2:25" ht="9.75" customHeight="1">
      <c r="B229" s="951"/>
      <c r="C229" s="951"/>
      <c r="D229" s="287">
        <f t="shared" ca="1" si="44"/>
        <v>53078</v>
      </c>
      <c r="E229" s="359">
        <f t="shared" si="47"/>
        <v>0</v>
      </c>
      <c r="F229" s="289">
        <f t="shared" ca="1" si="45"/>
        <v>60</v>
      </c>
      <c r="G229" s="290">
        <f ca="1">KTVCOI!R228</f>
        <v>6.570216745406074</v>
      </c>
      <c r="H229" s="290">
        <f ca="1">(H228-F229-G229)*(1+LS!$F$3)</f>
        <v>-18999.509195332925</v>
      </c>
      <c r="I229" s="953"/>
      <c r="J229" s="292">
        <f t="shared" ca="1" si="46"/>
        <v>-18999.509195332925</v>
      </c>
      <c r="K229" s="949"/>
      <c r="L229" s="949"/>
      <c r="M229" s="949"/>
      <c r="N229" s="950"/>
      <c r="O229" s="950"/>
      <c r="X229" s="1004"/>
      <c r="Y229" s="1004"/>
    </row>
    <row r="230" spans="2:25" ht="9.75" customHeight="1">
      <c r="B230" s="951"/>
      <c r="C230" s="951"/>
      <c r="D230" s="287">
        <f t="shared" ca="1" si="44"/>
        <v>53108</v>
      </c>
      <c r="E230" s="359">
        <f t="shared" si="47"/>
        <v>0</v>
      </c>
      <c r="F230" s="289">
        <f t="shared" ca="1" si="45"/>
        <v>60</v>
      </c>
      <c r="G230" s="290">
        <f ca="1">KTVCOI!R229</f>
        <v>6.6181623697076342</v>
      </c>
      <c r="H230" s="290">
        <f ca="1">(H229-F230-G230)*(1+LS!$F$3)</f>
        <v>-19137.717084952619</v>
      </c>
      <c r="I230" s="953"/>
      <c r="J230" s="292">
        <f t="shared" ca="1" si="46"/>
        <v>-19137.717084952619</v>
      </c>
      <c r="K230" s="949"/>
      <c r="L230" s="949"/>
      <c r="M230" s="949"/>
      <c r="N230" s="950"/>
      <c r="O230" s="950"/>
      <c r="X230" s="1004"/>
      <c r="Y230" s="1004"/>
    </row>
    <row r="231" spans="2:25" ht="9.75" customHeight="1">
      <c r="B231" s="951"/>
      <c r="C231" s="951"/>
      <c r="D231" s="287">
        <f t="shared" ca="1" si="44"/>
        <v>53139</v>
      </c>
      <c r="E231" s="359">
        <f t="shared" si="47"/>
        <v>0</v>
      </c>
      <c r="F231" s="289">
        <f t="shared" ca="1" si="45"/>
        <v>60</v>
      </c>
      <c r="G231" s="290">
        <f ca="1">KTVCOI!R230</f>
        <v>6.6663047845918291</v>
      </c>
      <c r="H231" s="290">
        <f ca="1">(H230-F231-G231)*(1+LS!$F$3)</f>
        <v>-19276.492242420394</v>
      </c>
      <c r="I231" s="953"/>
      <c r="J231" s="293">
        <f ca="1">H231+I220</f>
        <v>-19276.492242420394</v>
      </c>
      <c r="K231" s="949"/>
      <c r="L231" s="949"/>
      <c r="M231" s="949"/>
      <c r="N231" s="950"/>
      <c r="O231" s="950"/>
      <c r="X231" s="1004"/>
      <c r="Y231" s="1004"/>
    </row>
    <row r="232" spans="2:25" ht="9.75" customHeight="1">
      <c r="B232" s="946">
        <f>B220+1</f>
        <v>20</v>
      </c>
      <c r="C232" s="947">
        <f ca="1">C220+1</f>
        <v>49</v>
      </c>
      <c r="D232" s="294">
        <f t="shared" ca="1" si="44"/>
        <v>53169</v>
      </c>
      <c r="E232" s="359">
        <f t="shared" si="47"/>
        <v>0</v>
      </c>
      <c r="F232" s="360">
        <f t="shared" ca="1" si="45"/>
        <v>60</v>
      </c>
      <c r="G232" s="290">
        <f ca="1">KTVCOI!R231</f>
        <v>7.2608120779783478</v>
      </c>
      <c r="H232" s="290">
        <f ca="1">(H231+KTVTDGTTKMH!F26-F232-G232)*(1+LS!$F$3)</f>
        <v>-19416.385214096485</v>
      </c>
      <c r="I232" s="948">
        <f ca="1">IF(COUNTIF(KTVTDGTTKMH!$E$7:E26,0)&gt;0,0,'Tinh phi QL'!H12/1000)</f>
        <v>0</v>
      </c>
      <c r="J232" s="296">
        <f t="shared" ca="1" si="46"/>
        <v>-19416.385214096485</v>
      </c>
      <c r="K232" s="949">
        <f ca="1">J243</f>
        <v>-20993.897248596921</v>
      </c>
      <c r="L232" s="949"/>
      <c r="M232" s="949"/>
      <c r="N232" s="950">
        <f t="shared" ref="N232" ca="1" si="52">SUM(G232:G243)</f>
        <v>90.655843107561836</v>
      </c>
      <c r="O232" s="950"/>
      <c r="X232" s="945">
        <f t="shared" ref="X232:Y232" ca="1" si="53">SUM(F232:F243)</f>
        <v>720</v>
      </c>
      <c r="Y232" s="945">
        <f t="shared" ca="1" si="53"/>
        <v>90.655843107561836</v>
      </c>
    </row>
    <row r="233" spans="2:25" ht="9.75" customHeight="1">
      <c r="B233" s="946"/>
      <c r="C233" s="946"/>
      <c r="D233" s="294">
        <f t="shared" ca="1" si="44"/>
        <v>53200</v>
      </c>
      <c r="E233" s="359">
        <f t="shared" si="47"/>
        <v>0</v>
      </c>
      <c r="F233" s="360">
        <f t="shared" ca="1" si="45"/>
        <v>60</v>
      </c>
      <c r="G233" s="290">
        <f ca="1">KTVCOI!R232</f>
        <v>7.313505097309676</v>
      </c>
      <c r="H233" s="290">
        <f ca="1">(H232-F233-G233)*(1+LS!$F$3)</f>
        <v>-19556.856348478406</v>
      </c>
      <c r="I233" s="948"/>
      <c r="J233" s="296">
        <f t="shared" ca="1" si="46"/>
        <v>-19556.856348478406</v>
      </c>
      <c r="K233" s="949"/>
      <c r="L233" s="949"/>
      <c r="M233" s="949"/>
      <c r="N233" s="950"/>
      <c r="O233" s="950"/>
      <c r="X233" s="1004"/>
      <c r="Y233" s="1004"/>
    </row>
    <row r="234" spans="2:25" ht="9.75" customHeight="1">
      <c r="B234" s="946"/>
      <c r="C234" s="946"/>
      <c r="D234" s="294">
        <f t="shared" ca="1" si="44"/>
        <v>53231</v>
      </c>
      <c r="E234" s="359">
        <f t="shared" si="47"/>
        <v>0</v>
      </c>
      <c r="F234" s="360">
        <f t="shared" ca="1" si="45"/>
        <v>60</v>
      </c>
      <c r="G234" s="290">
        <f ca="1">KTVCOI!R233</f>
        <v>7.3664158912601989</v>
      </c>
      <c r="H234" s="290">
        <f ca="1">(H233-F234-G234)*(1+LS!$F$3)</f>
        <v>-19697.908035050848</v>
      </c>
      <c r="I234" s="948"/>
      <c r="J234" s="296">
        <f t="shared" ca="1" si="46"/>
        <v>-19697.908035050848</v>
      </c>
      <c r="K234" s="949"/>
      <c r="L234" s="949"/>
      <c r="M234" s="949"/>
      <c r="N234" s="950"/>
      <c r="O234" s="950"/>
      <c r="X234" s="1004"/>
      <c r="Y234" s="1004"/>
    </row>
    <row r="235" spans="2:25" ht="9.75" customHeight="1">
      <c r="B235" s="946"/>
      <c r="C235" s="946"/>
      <c r="D235" s="294">
        <f t="shared" ca="1" si="44"/>
        <v>53261</v>
      </c>
      <c r="E235" s="359">
        <f t="shared" si="47"/>
        <v>0</v>
      </c>
      <c r="F235" s="360">
        <f t="shared" ca="1" si="45"/>
        <v>60</v>
      </c>
      <c r="G235" s="290">
        <f ca="1">KTVCOI!R234</f>
        <v>7.4195453598691516</v>
      </c>
      <c r="H235" s="290">
        <f ca="1">(H234-F235-G235)*(1+LS!$F$3)</f>
        <v>-19839.542673173986</v>
      </c>
      <c r="I235" s="948"/>
      <c r="J235" s="296">
        <f t="shared" ca="1" si="46"/>
        <v>-19839.542673173986</v>
      </c>
      <c r="K235" s="949"/>
      <c r="L235" s="949"/>
      <c r="M235" s="949"/>
      <c r="N235" s="950"/>
      <c r="O235" s="950"/>
      <c r="X235" s="1004"/>
      <c r="Y235" s="1004"/>
    </row>
    <row r="236" spans="2:25" ht="9.75" customHeight="1">
      <c r="B236" s="946"/>
      <c r="C236" s="946"/>
      <c r="D236" s="294">
        <f t="shared" ca="1" si="44"/>
        <v>53292</v>
      </c>
      <c r="E236" s="359">
        <f t="shared" si="47"/>
        <v>0</v>
      </c>
      <c r="F236" s="360">
        <f t="shared" ca="1" si="45"/>
        <v>60</v>
      </c>
      <c r="G236" s="290">
        <f ca="1">KTVCOI!R235</f>
        <v>7.4728944068955343</v>
      </c>
      <c r="H236" s="290">
        <f ca="1">(H235-F236-G236)*(1+LS!$F$3)</f>
        <v>-19981.7626721243</v>
      </c>
      <c r="I236" s="948"/>
      <c r="J236" s="296">
        <f t="shared" ca="1" si="46"/>
        <v>-19981.7626721243</v>
      </c>
      <c r="K236" s="949"/>
      <c r="L236" s="949"/>
      <c r="M236" s="949"/>
      <c r="N236" s="950"/>
      <c r="O236" s="950"/>
      <c r="X236" s="1004"/>
      <c r="Y236" s="1004"/>
    </row>
    <row r="237" spans="2:25" ht="9.75" customHeight="1">
      <c r="B237" s="946"/>
      <c r="C237" s="946"/>
      <c r="D237" s="294">
        <f t="shared" ca="1" si="44"/>
        <v>53322</v>
      </c>
      <c r="E237" s="359">
        <f t="shared" si="47"/>
        <v>0</v>
      </c>
      <c r="F237" s="360">
        <f t="shared" ca="1" si="45"/>
        <v>60</v>
      </c>
      <c r="G237" s="290">
        <f ca="1">KTVCOI!R236</f>
        <v>7.5264639398334845</v>
      </c>
      <c r="H237" s="290">
        <f ca="1">(H236-F237-G237)*(1+LS!$F$3)</f>
        <v>-20124.570451135547</v>
      </c>
      <c r="I237" s="948"/>
      <c r="J237" s="296">
        <f t="shared" ca="1" si="46"/>
        <v>-20124.570451135547</v>
      </c>
      <c r="K237" s="949"/>
      <c r="L237" s="949"/>
      <c r="M237" s="949"/>
      <c r="N237" s="950"/>
      <c r="O237" s="950"/>
      <c r="X237" s="1004"/>
      <c r="Y237" s="1004"/>
    </row>
    <row r="238" spans="2:25" ht="9.75" customHeight="1">
      <c r="B238" s="946"/>
      <c r="C238" s="946"/>
      <c r="D238" s="294">
        <f t="shared" ca="1" si="44"/>
        <v>53353</v>
      </c>
      <c r="E238" s="359">
        <f t="shared" si="47"/>
        <v>0</v>
      </c>
      <c r="F238" s="360">
        <f t="shared" ca="1" si="45"/>
        <v>60</v>
      </c>
      <c r="G238" s="290">
        <f ca="1">KTVCOI!R237</f>
        <v>7.5802548699277219</v>
      </c>
      <c r="H238" s="290">
        <f ca="1">(H237-F238-G238)*(1+LS!$F$3)</f>
        <v>-20267.968439439923</v>
      </c>
      <c r="I238" s="948"/>
      <c r="J238" s="296">
        <f t="shared" ca="1" si="46"/>
        <v>-20267.968439439923</v>
      </c>
      <c r="K238" s="949"/>
      <c r="L238" s="949"/>
      <c r="M238" s="949"/>
      <c r="N238" s="950"/>
      <c r="O238" s="950"/>
      <c r="X238" s="1004"/>
      <c r="Y238" s="1004"/>
    </row>
    <row r="239" spans="2:25" ht="9.75" customHeight="1">
      <c r="B239" s="946"/>
      <c r="C239" s="946"/>
      <c r="D239" s="294">
        <f t="shared" ca="1" si="44"/>
        <v>53384</v>
      </c>
      <c r="E239" s="359">
        <f t="shared" si="47"/>
        <v>0</v>
      </c>
      <c r="F239" s="360">
        <f t="shared" ca="1" si="45"/>
        <v>60</v>
      </c>
      <c r="G239" s="290">
        <f ca="1">KTVCOI!R238</f>
        <v>7.6342681121890372</v>
      </c>
      <c r="H239" s="290">
        <f ca="1">(H238-F239-G239)*(1+LS!$F$3)</f>
        <v>-20411.959076309377</v>
      </c>
      <c r="I239" s="948"/>
      <c r="J239" s="296">
        <f t="shared" ca="1" si="46"/>
        <v>-20411.959076309377</v>
      </c>
      <c r="K239" s="949"/>
      <c r="L239" s="949"/>
      <c r="M239" s="949"/>
      <c r="N239" s="950"/>
      <c r="O239" s="950"/>
      <c r="X239" s="1004"/>
      <c r="Y239" s="1004"/>
    </row>
    <row r="240" spans="2:25" ht="9.75" customHeight="1">
      <c r="B240" s="946"/>
      <c r="C240" s="946"/>
      <c r="D240" s="294">
        <f t="shared" ca="1" si="44"/>
        <v>53412</v>
      </c>
      <c r="E240" s="359">
        <f t="shared" si="47"/>
        <v>0</v>
      </c>
      <c r="F240" s="360">
        <f t="shared" ca="1" si="45"/>
        <v>60</v>
      </c>
      <c r="G240" s="290">
        <f ca="1">KTVCOI!R239</f>
        <v>7.6885045854098637</v>
      </c>
      <c r="H240" s="290">
        <f ca="1">(H239-F240-G240)*(1+LS!$F$3)</f>
        <v>-20556.544811097112</v>
      </c>
      <c r="I240" s="948"/>
      <c r="J240" s="296">
        <f t="shared" ca="1" si="46"/>
        <v>-20556.544811097112</v>
      </c>
      <c r="K240" s="949"/>
      <c r="L240" s="949"/>
      <c r="M240" s="949"/>
      <c r="N240" s="950"/>
      <c r="O240" s="950"/>
      <c r="X240" s="1004"/>
      <c r="Y240" s="1004"/>
    </row>
    <row r="241" spans="2:25" ht="9.75" customHeight="1">
      <c r="B241" s="946"/>
      <c r="C241" s="946"/>
      <c r="D241" s="294">
        <f t="shared" ca="1" si="44"/>
        <v>53443</v>
      </c>
      <c r="E241" s="359">
        <f t="shared" si="47"/>
        <v>0</v>
      </c>
      <c r="F241" s="360">
        <f t="shared" ca="1" si="45"/>
        <v>60</v>
      </c>
      <c r="G241" s="290">
        <f ca="1">KTVCOI!R240</f>
        <v>7.7429652121799117</v>
      </c>
      <c r="H241" s="290">
        <f ca="1">(H240-F241-G241)*(1+LS!$F$3)</f>
        <v>-20701.728103279242</v>
      </c>
      <c r="I241" s="948"/>
      <c r="J241" s="296">
        <f t="shared" ca="1" si="46"/>
        <v>-20701.728103279242</v>
      </c>
      <c r="K241" s="949"/>
      <c r="L241" s="949"/>
      <c r="M241" s="949"/>
      <c r="N241" s="950"/>
      <c r="O241" s="950"/>
      <c r="X241" s="1004"/>
      <c r="Y241" s="1004"/>
    </row>
    <row r="242" spans="2:25" ht="9.75" customHeight="1">
      <c r="B242" s="946"/>
      <c r="C242" s="946"/>
      <c r="D242" s="294">
        <f t="shared" ca="1" si="44"/>
        <v>53473</v>
      </c>
      <c r="E242" s="359">
        <f t="shared" si="47"/>
        <v>0</v>
      </c>
      <c r="F242" s="360">
        <f t="shared" ca="1" si="45"/>
        <v>60</v>
      </c>
      <c r="G242" s="290">
        <f ca="1">KTVCOI!R241</f>
        <v>7.797650918901847</v>
      </c>
      <c r="H242" s="290">
        <f ca="1">(H241-F242-G242)*(1+LS!$F$3)</f>
        <v>-20847.511422496635</v>
      </c>
      <c r="I242" s="948"/>
      <c r="J242" s="296">
        <f t="shared" ca="1" si="46"/>
        <v>-20847.511422496635</v>
      </c>
      <c r="K242" s="949"/>
      <c r="L242" s="949"/>
      <c r="M242" s="949"/>
      <c r="N242" s="950"/>
      <c r="O242" s="950"/>
      <c r="X242" s="1004"/>
      <c r="Y242" s="1004"/>
    </row>
    <row r="243" spans="2:25" ht="9.75" customHeight="1">
      <c r="B243" s="946"/>
      <c r="C243" s="946"/>
      <c r="D243" s="294">
        <f t="shared" ca="1" si="44"/>
        <v>53504</v>
      </c>
      <c r="E243" s="359">
        <f t="shared" si="47"/>
        <v>0</v>
      </c>
      <c r="F243" s="360">
        <f t="shared" ca="1" si="45"/>
        <v>60</v>
      </c>
      <c r="G243" s="290">
        <f ca="1">KTVCOI!R242</f>
        <v>7.8525626358070646</v>
      </c>
      <c r="H243" s="290">
        <f ca="1">(H242-F243-G243)*(1+LS!$F$3)</f>
        <v>-20993.897248596921</v>
      </c>
      <c r="I243" s="948"/>
      <c r="J243" s="297">
        <f ca="1">H243+I232</f>
        <v>-20993.897248596921</v>
      </c>
      <c r="K243" s="949"/>
      <c r="L243" s="949"/>
      <c r="M243" s="949"/>
      <c r="N243" s="950"/>
      <c r="O243" s="950"/>
      <c r="X243" s="1004"/>
      <c r="Y243" s="1004"/>
    </row>
  </sheetData>
  <sheetProtection selectLockedCells="1"/>
  <mergeCells count="138">
    <mergeCell ref="B2:I2"/>
    <mergeCell ref="B4:B15"/>
    <mergeCell ref="C4:C15"/>
    <mergeCell ref="K4:M15"/>
    <mergeCell ref="N4:O15"/>
    <mergeCell ref="B16:B27"/>
    <mergeCell ref="C16:C27"/>
    <mergeCell ref="K16:M27"/>
    <mergeCell ref="N16:O27"/>
    <mergeCell ref="B28:B39"/>
    <mergeCell ref="C28:C39"/>
    <mergeCell ref="K28:M39"/>
    <mergeCell ref="N28:O39"/>
    <mergeCell ref="B40:B51"/>
    <mergeCell ref="C40:C51"/>
    <mergeCell ref="I40:I51"/>
    <mergeCell ref="K40:M51"/>
    <mergeCell ref="N40:O51"/>
    <mergeCell ref="B52:B63"/>
    <mergeCell ref="C52:C63"/>
    <mergeCell ref="I52:I63"/>
    <mergeCell ref="K52:M63"/>
    <mergeCell ref="N52:O63"/>
    <mergeCell ref="B64:B75"/>
    <mergeCell ref="C64:C75"/>
    <mergeCell ref="I64:I75"/>
    <mergeCell ref="K64:M75"/>
    <mergeCell ref="N64:O75"/>
    <mergeCell ref="B76:B87"/>
    <mergeCell ref="C76:C87"/>
    <mergeCell ref="I76:I87"/>
    <mergeCell ref="K76:M87"/>
    <mergeCell ref="N76:O87"/>
    <mergeCell ref="B88:B99"/>
    <mergeCell ref="C88:C99"/>
    <mergeCell ref="I88:I99"/>
    <mergeCell ref="K88:M99"/>
    <mergeCell ref="N88:O99"/>
    <mergeCell ref="B100:B111"/>
    <mergeCell ref="C100:C111"/>
    <mergeCell ref="I100:I111"/>
    <mergeCell ref="K100:M111"/>
    <mergeCell ref="N100:O111"/>
    <mergeCell ref="B112:B123"/>
    <mergeCell ref="C112:C123"/>
    <mergeCell ref="I112:I123"/>
    <mergeCell ref="K112:M123"/>
    <mergeCell ref="N112:O123"/>
    <mergeCell ref="K148:M159"/>
    <mergeCell ref="N148:O159"/>
    <mergeCell ref="B160:B171"/>
    <mergeCell ref="C160:C171"/>
    <mergeCell ref="I160:I171"/>
    <mergeCell ref="K160:M171"/>
    <mergeCell ref="N160:O171"/>
    <mergeCell ref="B124:B135"/>
    <mergeCell ref="C124:C135"/>
    <mergeCell ref="I124:I135"/>
    <mergeCell ref="K124:M135"/>
    <mergeCell ref="N124:O135"/>
    <mergeCell ref="B136:B147"/>
    <mergeCell ref="C136:C147"/>
    <mergeCell ref="I136:I147"/>
    <mergeCell ref="K136:M147"/>
    <mergeCell ref="N136:O147"/>
    <mergeCell ref="B232:B243"/>
    <mergeCell ref="C232:C243"/>
    <mergeCell ref="I232:I243"/>
    <mergeCell ref="K232:M243"/>
    <mergeCell ref="N232:O243"/>
    <mergeCell ref="B196:B207"/>
    <mergeCell ref="C196:C207"/>
    <mergeCell ref="I196:I207"/>
    <mergeCell ref="K196:M207"/>
    <mergeCell ref="N196:O207"/>
    <mergeCell ref="B208:B219"/>
    <mergeCell ref="C208:C219"/>
    <mergeCell ref="I208:I219"/>
    <mergeCell ref="K208:M219"/>
    <mergeCell ref="N208:O219"/>
    <mergeCell ref="X4:X15"/>
    <mergeCell ref="Y4:Y15"/>
    <mergeCell ref="X16:X27"/>
    <mergeCell ref="Y16:Y27"/>
    <mergeCell ref="X28:X39"/>
    <mergeCell ref="Y28:Y39"/>
    <mergeCell ref="B220:B231"/>
    <mergeCell ref="C220:C231"/>
    <mergeCell ref="I220:I231"/>
    <mergeCell ref="K220:M231"/>
    <mergeCell ref="N220:O231"/>
    <mergeCell ref="B172:B183"/>
    <mergeCell ref="C172:C183"/>
    <mergeCell ref="I172:I183"/>
    <mergeCell ref="K172:M183"/>
    <mergeCell ref="N172:O183"/>
    <mergeCell ref="B184:B195"/>
    <mergeCell ref="C184:C195"/>
    <mergeCell ref="I184:I195"/>
    <mergeCell ref="K184:M195"/>
    <mergeCell ref="N184:O195"/>
    <mergeCell ref="B148:B159"/>
    <mergeCell ref="C148:C159"/>
    <mergeCell ref="I148:I159"/>
    <mergeCell ref="X76:X87"/>
    <mergeCell ref="Y76:Y87"/>
    <mergeCell ref="X88:X99"/>
    <mergeCell ref="Y88:Y99"/>
    <mergeCell ref="X100:X111"/>
    <mergeCell ref="Y100:Y111"/>
    <mergeCell ref="X40:X51"/>
    <mergeCell ref="Y40:Y51"/>
    <mergeCell ref="X52:X63"/>
    <mergeCell ref="Y52:Y63"/>
    <mergeCell ref="X64:X75"/>
    <mergeCell ref="Y64:Y75"/>
    <mergeCell ref="X148:X159"/>
    <mergeCell ref="Y148:Y159"/>
    <mergeCell ref="X160:X171"/>
    <mergeCell ref="Y160:Y171"/>
    <mergeCell ref="X172:X183"/>
    <mergeCell ref="Y172:Y183"/>
    <mergeCell ref="X112:X123"/>
    <mergeCell ref="Y112:Y123"/>
    <mergeCell ref="X124:X135"/>
    <mergeCell ref="Y124:Y135"/>
    <mergeCell ref="X136:X147"/>
    <mergeCell ref="Y136:Y147"/>
    <mergeCell ref="X220:X231"/>
    <mergeCell ref="Y220:Y231"/>
    <mergeCell ref="X232:X243"/>
    <mergeCell ref="Y232:Y243"/>
    <mergeCell ref="X184:X195"/>
    <mergeCell ref="Y184:Y195"/>
    <mergeCell ref="X196:X207"/>
    <mergeCell ref="Y196:Y207"/>
    <mergeCell ref="X208:X219"/>
    <mergeCell ref="Y208:Y219"/>
  </mergeCells>
  <conditionalFormatting sqref="H1:J5 I6:J52 H6:H243 J53:J63 I64:J243 H244:J1048576">
    <cfRule type="cellIs" dxfId="216" priority="1" operator="lessThan">
      <formula>0</formula>
    </cfRule>
  </conditionalFormatting>
  <pageMargins left="0.75" right="0.75" top="1" bottom="1" header="0.5" footer="0.5"/>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9A1391-0FD4-476B-AE3B-21B63E8B47DC}">
  <dimension ref="B1:P26"/>
  <sheetViews>
    <sheetView showGridLines="0" workbookViewId="0">
      <selection activeCell="C7" sqref="C7:C26"/>
    </sheetView>
  </sheetViews>
  <sheetFormatPr defaultColWidth="8.19921875" defaultRowHeight="14.5"/>
  <cols>
    <col min="1" max="1" width="3.69921875" style="301" customWidth="1"/>
    <col min="2" max="2" width="6.796875" style="301" customWidth="1"/>
    <col min="3" max="3" width="9" style="301" customWidth="1"/>
    <col min="4" max="4" width="7" style="301" customWidth="1"/>
    <col min="5" max="5" width="15.19921875" style="301" customWidth="1"/>
    <col min="6" max="6" width="19.296875" style="301" customWidth="1"/>
    <col min="7" max="7" width="16.69921875" style="301" customWidth="1"/>
    <col min="8" max="8" width="23.19921875" style="301" customWidth="1"/>
    <col min="9" max="9" width="17.796875" style="301" customWidth="1"/>
    <col min="10" max="10" width="18.19921875" style="301" customWidth="1"/>
    <col min="11" max="11" width="16" style="301" customWidth="1"/>
    <col min="12" max="12" width="18.19921875" style="301" customWidth="1"/>
    <col min="13" max="13" width="17.69921875" style="301" customWidth="1"/>
    <col min="14" max="14" width="18.19921875" style="301" customWidth="1"/>
    <col min="15" max="15" width="8.19921875" style="301"/>
    <col min="16" max="16" width="12.796875" style="301" customWidth="1"/>
    <col min="17" max="16384" width="8.19921875" style="301"/>
  </cols>
  <sheetData>
    <row r="1" spans="2:16" ht="6" customHeight="1"/>
    <row r="2" spans="2:16" ht="9.75" customHeight="1">
      <c r="B2" s="1005" t="s">
        <v>817</v>
      </c>
      <c r="C2" s="1005"/>
      <c r="D2" s="1005"/>
      <c r="E2" s="1005"/>
      <c r="F2" s="1005"/>
      <c r="G2" s="1006"/>
      <c r="H2" s="909" t="s">
        <v>695</v>
      </c>
      <c r="I2" s="909"/>
      <c r="J2" s="909"/>
      <c r="K2" s="909"/>
      <c r="L2" s="909"/>
      <c r="M2" s="909"/>
      <c r="N2" s="302"/>
      <c r="O2" s="910"/>
      <c r="P2" s="910"/>
    </row>
    <row r="3" spans="2:16" ht="5.25" customHeight="1">
      <c r="B3" s="1005"/>
      <c r="C3" s="1005"/>
      <c r="D3" s="1005"/>
      <c r="E3" s="1005"/>
      <c r="F3" s="1005"/>
      <c r="G3" s="1006"/>
      <c r="H3" s="909"/>
      <c r="I3" s="909"/>
      <c r="J3" s="909"/>
      <c r="K3" s="909"/>
      <c r="L3" s="909"/>
      <c r="M3" s="909"/>
      <c r="N3" s="302"/>
      <c r="O3" s="910"/>
      <c r="P3" s="910"/>
    </row>
    <row r="4" spans="2:16" ht="17.25" customHeight="1">
      <c r="B4" s="917" t="s">
        <v>689</v>
      </c>
      <c r="C4" s="917"/>
      <c r="D4" s="917"/>
      <c r="E4" s="917"/>
      <c r="F4" s="917"/>
      <c r="G4" s="917"/>
      <c r="H4" s="917"/>
      <c r="I4" s="917"/>
      <c r="J4" s="917"/>
      <c r="K4" s="917"/>
      <c r="L4" s="917"/>
      <c r="M4" s="303" t="s">
        <v>712</v>
      </c>
    </row>
    <row r="5" spans="2:16" ht="13.5" customHeight="1">
      <c r="B5" s="931" t="s">
        <v>670</v>
      </c>
      <c r="C5" s="931" t="s">
        <v>842</v>
      </c>
      <c r="D5" s="931" t="s">
        <v>1</v>
      </c>
      <c r="E5" s="931" t="s">
        <v>692</v>
      </c>
      <c r="F5" s="931" t="s">
        <v>693</v>
      </c>
      <c r="G5" s="933" t="s">
        <v>694</v>
      </c>
      <c r="H5" s="928" t="s">
        <v>690</v>
      </c>
      <c r="I5" s="929"/>
      <c r="J5" s="929"/>
      <c r="K5" s="929"/>
      <c r="L5" s="929"/>
      <c r="M5" s="930"/>
    </row>
    <row r="6" spans="2:16" ht="24" customHeight="1">
      <c r="B6" s="932"/>
      <c r="C6" s="932"/>
      <c r="D6" s="932"/>
      <c r="E6" s="932"/>
      <c r="F6" s="932"/>
      <c r="G6" s="934"/>
      <c r="H6" s="317" t="s">
        <v>700</v>
      </c>
      <c r="I6" s="317" t="s">
        <v>696</v>
      </c>
      <c r="J6" s="317" t="s">
        <v>697</v>
      </c>
      <c r="K6" s="317" t="s">
        <v>698</v>
      </c>
      <c r="L6" s="317" t="s">
        <v>699</v>
      </c>
      <c r="M6" s="317" t="s">
        <v>701</v>
      </c>
    </row>
    <row r="7" spans="2:16" s="307" customFormat="1" ht="12" customHeight="1">
      <c r="B7" s="304">
        <v>1</v>
      </c>
      <c r="C7" s="304">
        <f>IF(ROW(A1)&gt;'Tinh phi QL'!$D$12,"",ROW(A1))</f>
        <v>1</v>
      </c>
      <c r="D7" s="305">
        <f ca="1">'Tinh phi QL'!I8</f>
        <v>30</v>
      </c>
      <c r="E7" s="306">
        <f ca="1">IF(IFERROR(--TRIM(C7),0)=0,0,'Tinh phi QL'!$H$12/1000)</f>
        <v>0</v>
      </c>
      <c r="F7" s="306">
        <f ca="1">E7*50%</f>
        <v>0</v>
      </c>
      <c r="G7" s="306">
        <f ca="1">KTVBVPhi20nam!AI4</f>
        <v>6571</v>
      </c>
      <c r="H7" s="306">
        <f ca="1">MAX('Tinh phi QL'!$E$12/1000,J7)</f>
        <v>0</v>
      </c>
      <c r="I7" s="306"/>
      <c r="J7" s="306" t="str">
        <f ca="1">IF(VLOOKUP(B7,KTVTRD20namcamket!$B$4:$M$243,10,0)&lt;=0,"Mất hiệu lực",VLOOKUP(B7,KTVTRD20namcamket!$B$4:$M$243,10,0))</f>
        <v>Mất hiệu lực</v>
      </c>
      <c r="K7" s="306"/>
      <c r="L7" s="306" t="str">
        <f ca="1">J7</f>
        <v>Mất hiệu lực</v>
      </c>
      <c r="M7" s="306" t="e">
        <f ca="1">IF(L7-100%*E7&gt;0,L7-100%*E7,0)</f>
        <v>#VALUE!</v>
      </c>
    </row>
    <row r="8" spans="2:16" s="307" customFormat="1" ht="12" customHeight="1">
      <c r="B8" s="304">
        <v>2</v>
      </c>
      <c r="C8" s="304">
        <f>IF(ROW(A2)&gt;'Tinh phi QL'!$D$12,"",ROW(A2))</f>
        <v>2</v>
      </c>
      <c r="D8" s="305">
        <f ca="1">D7+1</f>
        <v>31</v>
      </c>
      <c r="E8" s="306">
        <f ca="1">IF(IFERROR(--TRIM(C8),0)=0,0,'Tinh phi QL'!$H$12/1000)</f>
        <v>0</v>
      </c>
      <c r="F8" s="306">
        <f ca="1">E8*70%</f>
        <v>0</v>
      </c>
      <c r="G8" s="306">
        <f ca="1">KTVBVPhi20nam!AI5</f>
        <v>6571</v>
      </c>
      <c r="H8" s="306">
        <f ca="1">MAX('Tinh phi QL'!$E$12/1000,J8)</f>
        <v>0</v>
      </c>
      <c r="I8" s="306"/>
      <c r="J8" s="306" t="str">
        <f ca="1">IF(VLOOKUP(B8,KTVTRD20namcamket!$B$4:$M$243,10,0)&lt;=0,"Mất hiệu lực",VLOOKUP(B8,KTVTRD20namcamket!$B$4:$M$243,10,0))</f>
        <v>Mất hiệu lực</v>
      </c>
      <c r="K8" s="306"/>
      <c r="L8" s="306" t="str">
        <f t="shared" ref="L8:L26" ca="1" si="0">J8</f>
        <v>Mất hiệu lực</v>
      </c>
      <c r="M8" s="306" t="e">
        <f ca="1">IF(L8-100%*E8&gt;0,L8-100%*E8,0)</f>
        <v>#VALUE!</v>
      </c>
    </row>
    <row r="9" spans="2:16" s="307" customFormat="1" ht="12" customHeight="1">
      <c r="B9" s="304">
        <v>3</v>
      </c>
      <c r="C9" s="304">
        <f>IF(ROW(A3)&gt;'Tinh phi QL'!$D$12,"",ROW(A3))</f>
        <v>3</v>
      </c>
      <c r="D9" s="305">
        <f t="shared" ref="D9:D26" ca="1" si="1">D8+1</f>
        <v>32</v>
      </c>
      <c r="E9" s="306">
        <f ca="1">IF(IFERROR(--TRIM(C9),0)=0,0,'Tinh phi QL'!$H$12/1000)</f>
        <v>0</v>
      </c>
      <c r="F9" s="306">
        <f ca="1">E9*80%</f>
        <v>0</v>
      </c>
      <c r="G9" s="306">
        <f ca="1">KTVBVPhi20nam!AI6</f>
        <v>6571</v>
      </c>
      <c r="H9" s="306">
        <f ca="1">MAX('Tinh phi QL'!$E$12/1000,J9)</f>
        <v>0</v>
      </c>
      <c r="I9" s="306"/>
      <c r="J9" s="306" t="str">
        <f ca="1">IF(VLOOKUP(B9,KTVTRD20namcamket!$B$4:$M$243,10,0)&lt;=0,"Mất hiệu lực",VLOOKUP(B9,KTVTRD20namcamket!$B$4:$M$243,10,0))</f>
        <v>Mất hiệu lực</v>
      </c>
      <c r="K9" s="306"/>
      <c r="L9" s="306" t="str">
        <f t="shared" ca="1" si="0"/>
        <v>Mất hiệu lực</v>
      </c>
      <c r="M9" s="306" t="e">
        <f ca="1">L9-45%*E9</f>
        <v>#VALUE!</v>
      </c>
    </row>
    <row r="10" spans="2:16" s="307" customFormat="1" ht="12" customHeight="1">
      <c r="B10" s="304">
        <v>4</v>
      </c>
      <c r="C10" s="304">
        <f>IF(ROW(A4)&gt;'Tinh phi QL'!$D$12,"",ROW(A4))</f>
        <v>4</v>
      </c>
      <c r="D10" s="305">
        <f t="shared" ca="1" si="1"/>
        <v>33</v>
      </c>
      <c r="E10" s="306">
        <f ca="1">IF(IFERROR(--TRIM(C10),0)=0,0,'Tinh phi QL'!$H$12/1000)</f>
        <v>0</v>
      </c>
      <c r="F10" s="306">
        <f ca="1">E10*80%</f>
        <v>0</v>
      </c>
      <c r="G10" s="306">
        <f ca="1">KTVBVPhi20nam!AI7</f>
        <v>6571</v>
      </c>
      <c r="H10" s="306">
        <f ca="1">MAX('Tinh phi QL'!$E$12/1000,J10)</f>
        <v>0</v>
      </c>
      <c r="I10" s="306"/>
      <c r="J10" s="306" t="str">
        <f ca="1">IF(VLOOKUP(B10,KTVTRD20namcamket!$B$4:$M$243,10,0)&lt;=0,"Mất hiệu lực",VLOOKUP(B10,KTVTRD20namcamket!$B$4:$M$243,10,0))</f>
        <v>Mất hiệu lực</v>
      </c>
      <c r="K10" s="306"/>
      <c r="L10" s="306" t="str">
        <f t="shared" ca="1" si="0"/>
        <v>Mất hiệu lực</v>
      </c>
      <c r="M10" s="306" t="e">
        <f ca="1">L10-30%*E10</f>
        <v>#VALUE!</v>
      </c>
    </row>
    <row r="11" spans="2:16" s="328" customFormat="1" ht="12" customHeight="1">
      <c r="B11" s="312">
        <v>5</v>
      </c>
      <c r="C11" s="304">
        <f>IF(ROW(A5)&gt;'Tinh phi QL'!$D$12,"",ROW(A5))</f>
        <v>5</v>
      </c>
      <c r="D11" s="313">
        <f t="shared" ca="1" si="1"/>
        <v>34</v>
      </c>
      <c r="E11" s="306">
        <f ca="1">IF(IFERROR(--TRIM(C11),0)=0,0,'Tinh phi QL'!$H$12/1000)</f>
        <v>0</v>
      </c>
      <c r="F11" s="311">
        <f ca="1">E11*80%</f>
        <v>0</v>
      </c>
      <c r="G11" s="311">
        <f ca="1">KTVBVPhi20nam!AI8</f>
        <v>6571</v>
      </c>
      <c r="H11" s="311">
        <f ca="1">MAX('Tinh phi QL'!$E$12/1000,J11)</f>
        <v>0</v>
      </c>
      <c r="I11" s="311"/>
      <c r="J11" s="311" t="str">
        <f ca="1">IF(VLOOKUP(B11,KTVTRD20namcamket!$B$4:$M$243,10,0)&lt;=0,"Mất hiệu lực",VLOOKUP(B11,KTVTRD20namcamket!$B$4:$M$243,10,0))</f>
        <v>Mất hiệu lực</v>
      </c>
      <c r="K11" s="311"/>
      <c r="L11" s="311" t="str">
        <f t="shared" ca="1" si="0"/>
        <v>Mất hiệu lực</v>
      </c>
      <c r="M11" s="311" t="e">
        <f ca="1">L11-20%*E11</f>
        <v>#VALUE!</v>
      </c>
    </row>
    <row r="12" spans="2:16" s="307" customFormat="1" ht="12" customHeight="1">
      <c r="B12" s="304">
        <v>6</v>
      </c>
      <c r="C12" s="304">
        <f>IF(ROW(A6)&gt;'Tinh phi QL'!$D$12,"",ROW(A6))</f>
        <v>6</v>
      </c>
      <c r="D12" s="305">
        <f t="shared" ca="1" si="1"/>
        <v>35</v>
      </c>
      <c r="E12" s="306">
        <f ca="1">IF(IFERROR(--TRIM(C12),0)=0,0,'Tinh phi QL'!$H$12/1000)</f>
        <v>0</v>
      </c>
      <c r="F12" s="306">
        <f ca="1">E12*98%</f>
        <v>0</v>
      </c>
      <c r="G12" s="306">
        <f ca="1">KTVBVPhi20nam!AI9</f>
        <v>7495</v>
      </c>
      <c r="H12" s="306">
        <f ca="1">MAX('Tinh phi QL'!$E$12/1000,J12)</f>
        <v>0</v>
      </c>
      <c r="I12" s="306"/>
      <c r="J12" s="306" t="str">
        <f ca="1">IF(VLOOKUP(B12,KTVTRD20namcamket!$B$4:$M$243,10,0)&lt;=0,"Mất hiệu lực",VLOOKUP(B12,KTVTRD20namcamket!$B$4:$M$243,10,0))</f>
        <v>Mất hiệu lực</v>
      </c>
      <c r="K12" s="306"/>
      <c r="L12" s="306" t="str">
        <f t="shared" ca="1" si="0"/>
        <v>Mất hiệu lực</v>
      </c>
      <c r="M12" s="306" t="str">
        <f ca="1">L12</f>
        <v>Mất hiệu lực</v>
      </c>
    </row>
    <row r="13" spans="2:16" s="307" customFormat="1" ht="12" customHeight="1">
      <c r="B13" s="304">
        <v>7</v>
      </c>
      <c r="C13" s="304">
        <f>IF(ROW(A7)&gt;'Tinh phi QL'!$D$12,"",ROW(A7))</f>
        <v>7</v>
      </c>
      <c r="D13" s="305">
        <f t="shared" ca="1" si="1"/>
        <v>36</v>
      </c>
      <c r="E13" s="306">
        <f ca="1">IF(IFERROR(--TRIM(C13),0)=0,0,'Tinh phi QL'!$H$12/1000)</f>
        <v>0</v>
      </c>
      <c r="F13" s="306">
        <f t="shared" ref="F13:F16" ca="1" si="2">E13*98%</f>
        <v>0</v>
      </c>
      <c r="G13" s="306">
        <f ca="1">KTVBVPhi20nam!AI10</f>
        <v>7495</v>
      </c>
      <c r="H13" s="306">
        <f ca="1">MAX('Tinh phi QL'!$E$12/1000,J13)</f>
        <v>0</v>
      </c>
      <c r="I13" s="306"/>
      <c r="J13" s="306" t="str">
        <f ca="1">IF(VLOOKUP(B13,KTVTRD20namcamket!$B$4:$M$243,10,0)&lt;=0,"Mất hiệu lực",VLOOKUP(B13,KTVTRD20namcamket!$B$4:$M$243,10,0))</f>
        <v>Mất hiệu lực</v>
      </c>
      <c r="K13" s="306"/>
      <c r="L13" s="306" t="str">
        <f t="shared" ca="1" si="0"/>
        <v>Mất hiệu lực</v>
      </c>
      <c r="M13" s="306" t="str">
        <f t="shared" ref="M13:M26" ca="1" si="3">L13</f>
        <v>Mất hiệu lực</v>
      </c>
    </row>
    <row r="14" spans="2:16" s="307" customFormat="1" ht="12" customHeight="1">
      <c r="B14" s="304">
        <v>8</v>
      </c>
      <c r="C14" s="304">
        <f>IF(ROW(A8)&gt;'Tinh phi QL'!$D$12,"",ROW(A8))</f>
        <v>8</v>
      </c>
      <c r="D14" s="305">
        <f t="shared" ca="1" si="1"/>
        <v>37</v>
      </c>
      <c r="E14" s="306">
        <f ca="1">IF(IFERROR(--TRIM(C14),0)=0,0,'Tinh phi QL'!$H$12/1000)</f>
        <v>0</v>
      </c>
      <c r="F14" s="306">
        <f t="shared" ca="1" si="2"/>
        <v>0</v>
      </c>
      <c r="G14" s="306">
        <f ca="1">KTVBVPhi20nam!AI11</f>
        <v>7495</v>
      </c>
      <c r="H14" s="306">
        <f ca="1">MAX('Tinh phi QL'!$E$12/1000,J14)</f>
        <v>0</v>
      </c>
      <c r="I14" s="306"/>
      <c r="J14" s="306" t="str">
        <f ca="1">IF(VLOOKUP(B14,KTVTRD20namcamket!$B$4:$M$243,10,0)&lt;=0,"Mất hiệu lực",VLOOKUP(B14,KTVTRD20namcamket!$B$4:$M$243,10,0))</f>
        <v>Mất hiệu lực</v>
      </c>
      <c r="K14" s="306"/>
      <c r="L14" s="306" t="str">
        <f t="shared" ca="1" si="0"/>
        <v>Mất hiệu lực</v>
      </c>
      <c r="M14" s="306" t="str">
        <f t="shared" ca="1" si="3"/>
        <v>Mất hiệu lực</v>
      </c>
    </row>
    <row r="15" spans="2:16" s="307" customFormat="1" ht="12" customHeight="1">
      <c r="B15" s="304">
        <v>9</v>
      </c>
      <c r="C15" s="304">
        <f>IF(ROW(A9)&gt;'Tinh phi QL'!$D$12,"",ROW(A9))</f>
        <v>9</v>
      </c>
      <c r="D15" s="305">
        <f t="shared" ca="1" si="1"/>
        <v>38</v>
      </c>
      <c r="E15" s="306">
        <f ca="1">IF(IFERROR(--TRIM(C15),0)=0,0,'Tinh phi QL'!$H$12/1000)</f>
        <v>0</v>
      </c>
      <c r="F15" s="306">
        <f t="shared" ca="1" si="2"/>
        <v>0</v>
      </c>
      <c r="G15" s="306">
        <f ca="1">KTVBVPhi20nam!AI12</f>
        <v>7495</v>
      </c>
      <c r="H15" s="306">
        <f ca="1">MAX('Tinh phi QL'!$E$12/1000,J15)</f>
        <v>0</v>
      </c>
      <c r="I15" s="306"/>
      <c r="J15" s="306" t="str">
        <f ca="1">IF(VLOOKUP(B15,KTVTRD20namcamket!$B$4:$M$243,10,0)&lt;=0,"Mất hiệu lực",VLOOKUP(B15,KTVTRD20namcamket!$B$4:$M$243,10,0))</f>
        <v>Mất hiệu lực</v>
      </c>
      <c r="K15" s="306"/>
      <c r="L15" s="306" t="str">
        <f t="shared" ca="1" si="0"/>
        <v>Mất hiệu lực</v>
      </c>
      <c r="M15" s="306" t="str">
        <f t="shared" ca="1" si="3"/>
        <v>Mất hiệu lực</v>
      </c>
    </row>
    <row r="16" spans="2:16" s="328" customFormat="1" ht="12" customHeight="1">
      <c r="B16" s="308">
        <v>10</v>
      </c>
      <c r="C16" s="312">
        <f>IF(ROW(A10)&gt;'Tinh phi QL'!$D$12,"",ROW(A10))</f>
        <v>10</v>
      </c>
      <c r="D16" s="309">
        <f t="shared" ca="1" si="1"/>
        <v>39</v>
      </c>
      <c r="E16" s="311">
        <f ca="1">IF(IFERROR(--TRIM(C16),0)=0,0,'Tinh phi QL'!$H$12/1000)</f>
        <v>0</v>
      </c>
      <c r="F16" s="311">
        <f t="shared" ca="1" si="2"/>
        <v>0</v>
      </c>
      <c r="G16" s="311">
        <f ca="1">KTVBVPhi20nam!AI13</f>
        <v>7495</v>
      </c>
      <c r="H16" s="311">
        <f ca="1">MAX('Tinh phi QL'!$E$12/1000,J16)</f>
        <v>0</v>
      </c>
      <c r="I16" s="311">
        <f ca="1">KTVTRD20namMH!I112</f>
        <v>0</v>
      </c>
      <c r="J16" s="311" t="str">
        <f ca="1">IF(VLOOKUP(B16,KTVTRD20namcamket!$B$4:$M$243,10,0)&lt;=0,"Mất hiệu lực",VLOOKUP(B16,KTVTRD20namcamket!$B$4:$M$243,10,0))</f>
        <v>Mất hiệu lực</v>
      </c>
      <c r="K16" s="310"/>
      <c r="L16" s="311" t="str">
        <f t="shared" ca="1" si="0"/>
        <v>Mất hiệu lực</v>
      </c>
      <c r="M16" s="311" t="str">
        <f t="shared" ca="1" si="3"/>
        <v>Mất hiệu lực</v>
      </c>
    </row>
    <row r="17" spans="2:13" s="307" customFormat="1" ht="12" customHeight="1">
      <c r="B17" s="304">
        <v>11</v>
      </c>
      <c r="C17" s="304">
        <f>IF(ROW(A11)&gt;'Tinh phi QL'!$D$12,"",ROW(A11))</f>
        <v>11</v>
      </c>
      <c r="D17" s="305">
        <f t="shared" ca="1" si="1"/>
        <v>40</v>
      </c>
      <c r="E17" s="306">
        <f ca="1">IF(IFERROR(--TRIM(C17),0)=0,0,'Tinh phi QL'!$H$12/1000)</f>
        <v>0</v>
      </c>
      <c r="F17" s="306">
        <f ca="1">E17</f>
        <v>0</v>
      </c>
      <c r="G17" s="306">
        <f ca="1">KTVBVPhi20nam!AI14</f>
        <v>8533</v>
      </c>
      <c r="H17" s="306">
        <f ca="1">MAX('Tinh phi QL'!$E$12/1000,J17)</f>
        <v>0</v>
      </c>
      <c r="I17" s="306"/>
      <c r="J17" s="306" t="str">
        <f ca="1">IF(VLOOKUP(B17,KTVTRD20namcamket!$B$4:$M$243,10,0)&lt;=0,"Mất hiệu lực",VLOOKUP(B17,KTVTRD20namcamket!$B$4:$M$243,10,0))</f>
        <v>Mất hiệu lực</v>
      </c>
      <c r="K17" s="306"/>
      <c r="L17" s="306" t="str">
        <f t="shared" ca="1" si="0"/>
        <v>Mất hiệu lực</v>
      </c>
      <c r="M17" s="306" t="str">
        <f t="shared" ca="1" si="3"/>
        <v>Mất hiệu lực</v>
      </c>
    </row>
    <row r="18" spans="2:13" s="307" customFormat="1" ht="12" customHeight="1">
      <c r="B18" s="304">
        <v>12</v>
      </c>
      <c r="C18" s="304">
        <f>IF(ROW(A12)&gt;'Tinh phi QL'!$D$12,"",ROW(A12))</f>
        <v>12</v>
      </c>
      <c r="D18" s="305">
        <f t="shared" ca="1" si="1"/>
        <v>41</v>
      </c>
      <c r="E18" s="306">
        <f ca="1">IF(IFERROR(--TRIM(C18),0)=0,0,'Tinh phi QL'!$H$12/1000)</f>
        <v>0</v>
      </c>
      <c r="F18" s="306">
        <f t="shared" ref="F18:F26" ca="1" si="4">E18</f>
        <v>0</v>
      </c>
      <c r="G18" s="306">
        <f ca="1">KTVBVPhi20nam!AI15</f>
        <v>8533</v>
      </c>
      <c r="H18" s="306">
        <f ca="1">MAX('Tinh phi QL'!$E$12/1000,J18)</f>
        <v>0</v>
      </c>
      <c r="I18" s="306"/>
      <c r="J18" s="306" t="str">
        <f ca="1">IF(VLOOKUP(B18,KTVTRD20namcamket!$B$4:$M$243,10,0)&lt;=0,"Mất hiệu lực",VLOOKUP(B18,KTVTRD20namcamket!$B$4:$M$243,10,0))</f>
        <v>Mất hiệu lực</v>
      </c>
      <c r="K18" s="306"/>
      <c r="L18" s="306" t="str">
        <f t="shared" ca="1" si="0"/>
        <v>Mất hiệu lực</v>
      </c>
      <c r="M18" s="306" t="str">
        <f t="shared" ca="1" si="3"/>
        <v>Mất hiệu lực</v>
      </c>
    </row>
    <row r="19" spans="2:13" s="307" customFormat="1" ht="12" customHeight="1">
      <c r="B19" s="304">
        <v>13</v>
      </c>
      <c r="C19" s="304">
        <f>IF(ROW(A13)&gt;'Tinh phi QL'!$D$12,"",ROW(A13))</f>
        <v>13</v>
      </c>
      <c r="D19" s="305">
        <f t="shared" ca="1" si="1"/>
        <v>42</v>
      </c>
      <c r="E19" s="306">
        <f ca="1">IF(IFERROR(--TRIM(C19),0)=0,0,'Tinh phi QL'!$H$12/1000)</f>
        <v>0</v>
      </c>
      <c r="F19" s="306">
        <f t="shared" ca="1" si="4"/>
        <v>0</v>
      </c>
      <c r="G19" s="306">
        <f ca="1">KTVBVPhi20nam!AI16</f>
        <v>8533</v>
      </c>
      <c r="H19" s="306">
        <f ca="1">MAX('Tinh phi QL'!$E$12/1000,J19)</f>
        <v>0</v>
      </c>
      <c r="I19" s="306"/>
      <c r="J19" s="306" t="str">
        <f ca="1">IF(VLOOKUP(B19,KTVTRD20namcamket!$B$4:$M$243,10,0)&lt;=0,"Mất hiệu lực",VLOOKUP(B19,KTVTRD20namcamket!$B$4:$M$243,10,0))</f>
        <v>Mất hiệu lực</v>
      </c>
      <c r="K19" s="306"/>
      <c r="L19" s="306" t="str">
        <f t="shared" ca="1" si="0"/>
        <v>Mất hiệu lực</v>
      </c>
      <c r="M19" s="306" t="str">
        <f t="shared" ca="1" si="3"/>
        <v>Mất hiệu lực</v>
      </c>
    </row>
    <row r="20" spans="2:13" s="307" customFormat="1" ht="12" customHeight="1">
      <c r="B20" s="304">
        <v>14</v>
      </c>
      <c r="C20" s="304">
        <f>IF(ROW(A14)&gt;'Tinh phi QL'!$D$12,"",ROW(A14))</f>
        <v>14</v>
      </c>
      <c r="D20" s="305">
        <f t="shared" ca="1" si="1"/>
        <v>43</v>
      </c>
      <c r="E20" s="306">
        <f ca="1">IF(IFERROR(--TRIM(C20),0)=0,0,'Tinh phi QL'!$H$12/1000)</f>
        <v>0</v>
      </c>
      <c r="F20" s="306">
        <f t="shared" ca="1" si="4"/>
        <v>0</v>
      </c>
      <c r="G20" s="306">
        <f ca="1">KTVBVPhi20nam!AI17</f>
        <v>8533</v>
      </c>
      <c r="H20" s="306">
        <f ca="1">MAX('Tinh phi QL'!$E$12/1000,J20)</f>
        <v>0</v>
      </c>
      <c r="I20" s="306"/>
      <c r="J20" s="306" t="str">
        <f ca="1">IF(VLOOKUP(B20,KTVTRD20namcamket!$B$4:$M$243,10,0)&lt;=0,"Mất hiệu lực",VLOOKUP(B20,KTVTRD20namcamket!$B$4:$M$243,10,0))</f>
        <v>Mất hiệu lực</v>
      </c>
      <c r="K20" s="306"/>
      <c r="L20" s="306" t="str">
        <f t="shared" ca="1" si="0"/>
        <v>Mất hiệu lực</v>
      </c>
      <c r="M20" s="306" t="str">
        <f t="shared" ca="1" si="3"/>
        <v>Mất hiệu lực</v>
      </c>
    </row>
    <row r="21" spans="2:13" s="328" customFormat="1" ht="12" customHeight="1">
      <c r="B21" s="312">
        <v>15</v>
      </c>
      <c r="C21" s="312">
        <f>IF(ROW(A15)&gt;'Tinh phi QL'!$D$12,"",ROW(A15))</f>
        <v>15</v>
      </c>
      <c r="D21" s="313">
        <f t="shared" ca="1" si="1"/>
        <v>44</v>
      </c>
      <c r="E21" s="311">
        <f ca="1">IF(IFERROR(--TRIM(C21),0)=0,0,'Tinh phi QL'!$H$12/1000)</f>
        <v>0</v>
      </c>
      <c r="F21" s="311">
        <f t="shared" ca="1" si="4"/>
        <v>0</v>
      </c>
      <c r="G21" s="311">
        <f ca="1">KTVBVPhi20nam!AI18</f>
        <v>8533</v>
      </c>
      <c r="H21" s="311">
        <f ca="1">MAX('Tinh phi QL'!$E$12/1000,J21)</f>
        <v>0</v>
      </c>
      <c r="I21" s="311"/>
      <c r="J21" s="311" t="str">
        <f ca="1">IF(VLOOKUP(B21,KTVTRD20namcamket!$B$4:$M$243,10,0)&lt;=0,"Mất hiệu lực",VLOOKUP(B21,KTVTRD20namcamket!$B$4:$M$243,10,0))</f>
        <v>Mất hiệu lực</v>
      </c>
      <c r="K21" s="311"/>
      <c r="L21" s="311" t="str">
        <f t="shared" ca="1" si="0"/>
        <v>Mất hiệu lực</v>
      </c>
      <c r="M21" s="311" t="str">
        <f t="shared" ca="1" si="3"/>
        <v>Mất hiệu lực</v>
      </c>
    </row>
    <row r="22" spans="2:13" s="307" customFormat="1" ht="12" customHeight="1">
      <c r="B22" s="304">
        <v>16</v>
      </c>
      <c r="C22" s="304" t="str">
        <f>IF(ROW(A16)&gt;'Tinh phi QL'!$D$12,"",ROW(A16))</f>
        <v/>
      </c>
      <c r="D22" s="305">
        <f t="shared" ca="1" si="1"/>
        <v>45</v>
      </c>
      <c r="E22" s="306">
        <f>IF(IFERROR(--TRIM(C22),0)=0,0,'Tinh phi QL'!$H$12/1000)</f>
        <v>0</v>
      </c>
      <c r="F22" s="306">
        <f t="shared" si="4"/>
        <v>0</v>
      </c>
      <c r="G22" s="306">
        <f ca="1">KTVBVPhi20nam!AI19</f>
        <v>10469</v>
      </c>
      <c r="H22" s="306">
        <f ca="1">MAX('Tinh phi QL'!$E$12/1000,J22)</f>
        <v>0</v>
      </c>
      <c r="I22" s="306"/>
      <c r="J22" s="306" t="str">
        <f ca="1">IF(VLOOKUP(B22,KTVTRD20namcamket!$B$4:$M$243,10,0)&lt;=0,"Mất hiệu lực",VLOOKUP(B22,KTVTRD20namcamket!$B$4:$M$243,10,0))</f>
        <v>Mất hiệu lực</v>
      </c>
      <c r="K22" s="306"/>
      <c r="L22" s="306" t="str">
        <f t="shared" ca="1" si="0"/>
        <v>Mất hiệu lực</v>
      </c>
      <c r="M22" s="306" t="str">
        <f t="shared" ca="1" si="3"/>
        <v>Mất hiệu lực</v>
      </c>
    </row>
    <row r="23" spans="2:13" s="307" customFormat="1" ht="12" customHeight="1">
      <c r="B23" s="304">
        <v>17</v>
      </c>
      <c r="C23" s="304" t="str">
        <f>IF(ROW(A17)&gt;'Tinh phi QL'!$D$12,"",ROW(A17))</f>
        <v/>
      </c>
      <c r="D23" s="305">
        <f t="shared" ca="1" si="1"/>
        <v>46</v>
      </c>
      <c r="E23" s="306">
        <f>IF(IFERROR(--TRIM(C23),0)=0,0,'Tinh phi QL'!$H$12/1000)</f>
        <v>0</v>
      </c>
      <c r="F23" s="306">
        <f t="shared" si="4"/>
        <v>0</v>
      </c>
      <c r="G23" s="306">
        <f ca="1">KTVBVPhi20nam!AI20</f>
        <v>10469</v>
      </c>
      <c r="H23" s="306">
        <f ca="1">MAX('Tinh phi QL'!$E$12/1000,J23)</f>
        <v>0</v>
      </c>
      <c r="I23" s="306"/>
      <c r="J23" s="306" t="str">
        <f ca="1">IF(VLOOKUP(B23,KTVTRD20namcamket!$B$4:$M$243,10,0)&lt;=0,"Mất hiệu lực",VLOOKUP(B23,KTVTRD20namcamket!$B$4:$M$243,10,0))</f>
        <v>Mất hiệu lực</v>
      </c>
      <c r="K23" s="306"/>
      <c r="L23" s="306" t="str">
        <f t="shared" ca="1" si="0"/>
        <v>Mất hiệu lực</v>
      </c>
      <c r="M23" s="306" t="str">
        <f t="shared" ca="1" si="3"/>
        <v>Mất hiệu lực</v>
      </c>
    </row>
    <row r="24" spans="2:13" s="307" customFormat="1" ht="12" customHeight="1">
      <c r="B24" s="304">
        <v>18</v>
      </c>
      <c r="C24" s="304" t="str">
        <f>IF(ROW(A18)&gt;'Tinh phi QL'!$D$12,"",ROW(A18))</f>
        <v/>
      </c>
      <c r="D24" s="305">
        <f t="shared" ca="1" si="1"/>
        <v>47</v>
      </c>
      <c r="E24" s="306">
        <f>IF(IFERROR(--TRIM(C24),0)=0,0,'Tinh phi QL'!$H$12/1000)</f>
        <v>0</v>
      </c>
      <c r="F24" s="306">
        <f t="shared" si="4"/>
        <v>0</v>
      </c>
      <c r="G24" s="306">
        <f ca="1">KTVBVPhi20nam!AI21</f>
        <v>10469</v>
      </c>
      <c r="H24" s="306">
        <f ca="1">MAX('Tinh phi QL'!$E$12/1000,J24)</f>
        <v>0</v>
      </c>
      <c r="I24" s="306"/>
      <c r="J24" s="306" t="str">
        <f ca="1">IF(VLOOKUP(B24,KTVTRD20namcamket!$B$4:$M$243,10,0)&lt;=0,"Mất hiệu lực",VLOOKUP(B24,KTVTRD20namcamket!$B$4:$M$243,10,0))</f>
        <v>Mất hiệu lực</v>
      </c>
      <c r="K24" s="306"/>
      <c r="L24" s="306" t="str">
        <f t="shared" ca="1" si="0"/>
        <v>Mất hiệu lực</v>
      </c>
      <c r="M24" s="306" t="str">
        <f t="shared" ca="1" si="3"/>
        <v>Mất hiệu lực</v>
      </c>
    </row>
    <row r="25" spans="2:13" s="307" customFormat="1" ht="12" customHeight="1">
      <c r="B25" s="304">
        <v>19</v>
      </c>
      <c r="C25" s="304" t="str">
        <f>IF(ROW(A19)&gt;'Tinh phi QL'!$D$12,"",ROW(A19))</f>
        <v/>
      </c>
      <c r="D25" s="305">
        <f t="shared" ca="1" si="1"/>
        <v>48</v>
      </c>
      <c r="E25" s="306">
        <f>IF(IFERROR(--TRIM(C25),0)=0,0,'Tinh phi QL'!$H$12/1000)</f>
        <v>0</v>
      </c>
      <c r="F25" s="306">
        <f t="shared" si="4"/>
        <v>0</v>
      </c>
      <c r="G25" s="306">
        <f ca="1">KTVBVPhi20nam!AI22</f>
        <v>10469</v>
      </c>
      <c r="H25" s="306">
        <f ca="1">MAX('Tinh phi QL'!$E$12/1000,J25)</f>
        <v>0</v>
      </c>
      <c r="I25" s="306"/>
      <c r="J25" s="306" t="str">
        <f ca="1">IF(VLOOKUP(B25,KTVTRD20namcamket!$B$4:$M$243,10,0)&lt;=0,"Mất hiệu lực",VLOOKUP(B25,KTVTRD20namcamket!$B$4:$M$243,10,0))</f>
        <v>Mất hiệu lực</v>
      </c>
      <c r="K25" s="306"/>
      <c r="L25" s="306" t="str">
        <f t="shared" ca="1" si="0"/>
        <v>Mất hiệu lực</v>
      </c>
      <c r="M25" s="306" t="str">
        <f t="shared" ca="1" si="3"/>
        <v>Mất hiệu lực</v>
      </c>
    </row>
    <row r="26" spans="2:13" s="328" customFormat="1" ht="12" customHeight="1">
      <c r="B26" s="312">
        <v>20</v>
      </c>
      <c r="C26" s="312" t="str">
        <f>IF(ROW(A20)&gt;'Tinh phi QL'!$D$12,"",ROW(A20))</f>
        <v/>
      </c>
      <c r="D26" s="313">
        <f t="shared" ca="1" si="1"/>
        <v>49</v>
      </c>
      <c r="E26" s="311">
        <f>IF(IFERROR(--TRIM(C26),0)=0,0,'Tinh phi QL'!$H$12/1000)</f>
        <v>0</v>
      </c>
      <c r="F26" s="311">
        <f t="shared" si="4"/>
        <v>0</v>
      </c>
      <c r="G26" s="311">
        <f ca="1">KTVBVPhi20nam!AI23</f>
        <v>10469</v>
      </c>
      <c r="H26" s="311">
        <f ca="1">MAX('Tinh phi QL'!$E$12/1000,J26)</f>
        <v>0</v>
      </c>
      <c r="I26" s="311">
        <f ca="1">KTVTRD20namMH!I232</f>
        <v>0</v>
      </c>
      <c r="J26" s="311" t="str">
        <f ca="1">IF(VLOOKUP(B26,KTVTRD20namcamket!$B$4:$M$243,10,0)&lt;=0,"Mất hiệu lực",VLOOKUP(B26,KTVTRD20namcamket!$B$4:$M$243,10,0))</f>
        <v>Mất hiệu lực</v>
      </c>
      <c r="K26" s="311"/>
      <c r="L26" s="311" t="str">
        <f t="shared" ca="1" si="0"/>
        <v>Mất hiệu lực</v>
      </c>
      <c r="M26" s="311" t="str">
        <f t="shared" ca="1" si="3"/>
        <v>Mất hiệu lực</v>
      </c>
    </row>
  </sheetData>
  <sheetProtection selectLockedCells="1"/>
  <mergeCells count="12">
    <mergeCell ref="H5:M5"/>
    <mergeCell ref="H2:M3"/>
    <mergeCell ref="O2:P2"/>
    <mergeCell ref="O3:P3"/>
    <mergeCell ref="C5:C6"/>
    <mergeCell ref="D5:D6"/>
    <mergeCell ref="E5:E6"/>
    <mergeCell ref="F5:F6"/>
    <mergeCell ref="G5:G6"/>
    <mergeCell ref="B2:G3"/>
    <mergeCell ref="B4:L4"/>
    <mergeCell ref="B5:B6"/>
  </mergeCells>
  <conditionalFormatting sqref="B7:G26">
    <cfRule type="expression" dxfId="215" priority="1">
      <formula>MOD(ROW(),2)&gt;0</formula>
    </cfRule>
    <cfRule type="expression" dxfId="214" priority="2">
      <formula>"mod(row(),2).0"</formula>
    </cfRule>
  </conditionalFormatting>
  <conditionalFormatting sqref="H7:M26">
    <cfRule type="expression" dxfId="213" priority="12">
      <formula>MOD(ROW(),2)&gt;0</formula>
    </cfRule>
    <cfRule type="expression" dxfId="212" priority="13">
      <formula>"mod(row(),2).0"</formula>
    </cfRule>
  </conditionalFormatting>
  <conditionalFormatting sqref="J7:J26">
    <cfRule type="cellIs" dxfId="211" priority="10" operator="lessThan">
      <formula>0</formula>
    </cfRule>
  </conditionalFormatting>
  <conditionalFormatting sqref="J1:M1048576">
    <cfRule type="containsText" dxfId="210" priority="7" operator="containsText" text="mất">
      <formula>NOT(ISERROR(SEARCH("mất",J1)))</formula>
    </cfRule>
  </conditionalFormatting>
  <conditionalFormatting sqref="L1:M3 M4">
    <cfRule type="cellIs" dxfId="209" priority="14" operator="lessThan">
      <formula>0</formula>
    </cfRule>
  </conditionalFormatting>
  <conditionalFormatting sqref="L6:M1048576">
    <cfRule type="cellIs" dxfId="208" priority="11" operator="lessThan">
      <formula>0</formula>
    </cfRule>
  </conditionalFormatting>
  <conditionalFormatting sqref="O3:P3">
    <cfRule type="containsText" dxfId="207" priority="15" operator="containsText" text="Chỉ">
      <formula>NOT(ISERROR(SEARCH("Chỉ",O3)))</formula>
    </cfRule>
    <cfRule type="containsText" dxfId="206" priority="16" operator="containsText" text="Phải">
      <formula>NOT(ISERROR(SEARCH("Phải",O3)))</formula>
    </cfRule>
  </conditionalFormatting>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BB8BE1-5C69-4F5A-B1DD-449EAAE182BA}">
  <dimension ref="B1:P26"/>
  <sheetViews>
    <sheetView showGridLines="0" workbookViewId="0">
      <selection activeCell="C7" sqref="C7"/>
    </sheetView>
  </sheetViews>
  <sheetFormatPr defaultColWidth="8.19921875" defaultRowHeight="14.5"/>
  <cols>
    <col min="1" max="1" width="1.5" style="301" customWidth="1"/>
    <col min="2" max="2" width="5.5" style="301" customWidth="1"/>
    <col min="3" max="3" width="9" style="301" customWidth="1"/>
    <col min="4" max="4" width="7.5" style="301" customWidth="1"/>
    <col min="5" max="5" width="15.19921875" style="301" customWidth="1"/>
    <col min="6" max="6" width="19.296875" style="301" customWidth="1"/>
    <col min="7" max="7" width="19.796875" style="301" customWidth="1"/>
    <col min="8" max="8" width="23.19921875" style="301" customWidth="1"/>
    <col min="9" max="12" width="18.19921875" style="301" customWidth="1"/>
    <col min="13" max="13" width="17.69921875" style="301" customWidth="1"/>
    <col min="14" max="14" width="18.19921875" style="301" customWidth="1"/>
    <col min="15" max="15" width="8.19921875" style="301"/>
    <col min="16" max="16" width="12.796875" style="301" customWidth="1"/>
    <col min="17" max="16384" width="8.19921875" style="301"/>
  </cols>
  <sheetData>
    <row r="1" spans="2:16" ht="6" customHeight="1"/>
    <row r="2" spans="2:16" ht="9.75" customHeight="1">
      <c r="B2" s="927" t="s">
        <v>817</v>
      </c>
      <c r="C2" s="927"/>
      <c r="D2" s="927"/>
      <c r="E2" s="927"/>
      <c r="F2" s="1007" t="s">
        <v>854</v>
      </c>
      <c r="G2" s="1007"/>
      <c r="H2" s="1007"/>
      <c r="I2" s="1007"/>
      <c r="J2" s="1007"/>
      <c r="K2" s="1007"/>
      <c r="L2" s="1007"/>
      <c r="M2" s="1008">
        <v>4.5999999999999999E-2</v>
      </c>
      <c r="N2" s="302"/>
      <c r="O2" s="910"/>
      <c r="P2" s="910"/>
    </row>
    <row r="3" spans="2:16" ht="9.75" customHeight="1">
      <c r="B3" s="927"/>
      <c r="C3" s="927"/>
      <c r="D3" s="927"/>
      <c r="E3" s="927"/>
      <c r="F3" s="1007"/>
      <c r="G3" s="1007"/>
      <c r="H3" s="1007"/>
      <c r="I3" s="1007"/>
      <c r="J3" s="1007"/>
      <c r="K3" s="1007"/>
      <c r="L3" s="1007"/>
      <c r="M3" s="1008"/>
      <c r="N3" s="302"/>
      <c r="O3" s="910"/>
      <c r="P3" s="910"/>
    </row>
    <row r="4" spans="2:16" ht="17.25" customHeight="1">
      <c r="B4" s="919" t="s">
        <v>689</v>
      </c>
      <c r="C4" s="919"/>
      <c r="D4" s="919"/>
      <c r="E4" s="919"/>
      <c r="F4" s="919"/>
      <c r="G4" s="919"/>
      <c r="H4" s="919"/>
      <c r="I4" s="919"/>
      <c r="J4" s="919"/>
      <c r="K4" s="919"/>
      <c r="L4" s="919"/>
      <c r="M4" s="524" t="s">
        <v>712</v>
      </c>
    </row>
    <row r="5" spans="2:16" ht="14.25" customHeight="1">
      <c r="B5" s="925" t="s">
        <v>670</v>
      </c>
      <c r="C5" s="925" t="s">
        <v>842</v>
      </c>
      <c r="D5" s="925" t="s">
        <v>1</v>
      </c>
      <c r="E5" s="925" t="s">
        <v>692</v>
      </c>
      <c r="F5" s="925" t="s">
        <v>693</v>
      </c>
      <c r="G5" s="926" t="s">
        <v>694</v>
      </c>
      <c r="H5" s="924" t="s">
        <v>690</v>
      </c>
      <c r="I5" s="924"/>
      <c r="J5" s="924"/>
      <c r="K5" s="924"/>
      <c r="L5" s="924"/>
      <c r="M5" s="924"/>
    </row>
    <row r="6" spans="2:16" ht="21" customHeight="1">
      <c r="B6" s="925"/>
      <c r="C6" s="925"/>
      <c r="D6" s="925"/>
      <c r="E6" s="925"/>
      <c r="F6" s="925"/>
      <c r="G6" s="926"/>
      <c r="H6" s="317" t="s">
        <v>700</v>
      </c>
      <c r="I6" s="317" t="s">
        <v>696</v>
      </c>
      <c r="J6" s="317" t="s">
        <v>697</v>
      </c>
      <c r="K6" s="317" t="s">
        <v>698</v>
      </c>
      <c r="L6" s="317" t="s">
        <v>699</v>
      </c>
      <c r="M6" s="317" t="s">
        <v>701</v>
      </c>
    </row>
    <row r="7" spans="2:16" s="307" customFormat="1" ht="12" customHeight="1">
      <c r="B7" s="304">
        <v>1</v>
      </c>
      <c r="C7" s="304">
        <f>IF(ROW(A1)&gt;'Tinh phi QL'!$D$12,"",ROW(A1))</f>
        <v>1</v>
      </c>
      <c r="D7" s="305">
        <f ca="1">'Tinh phi QL'!I8</f>
        <v>30</v>
      </c>
      <c r="E7" s="306">
        <f ca="1">IF(IFERROR(--TRIM(C7),0)=0,0,'Tinh phi QL'!$H$12/1000)</f>
        <v>0</v>
      </c>
      <c r="F7" s="306">
        <f ca="1">E7*50%</f>
        <v>0</v>
      </c>
      <c r="G7" s="306">
        <f ca="1">KTVBVPhi20nam!AI4</f>
        <v>6571</v>
      </c>
      <c r="H7" s="306">
        <f ca="1">MAX('Tinh phi QL'!$E$12/1000,J7)</f>
        <v>0</v>
      </c>
      <c r="I7" s="306"/>
      <c r="J7" s="306" t="str">
        <f ca="1">IF(VLOOKUP(B7,KTVTRD20namMH!$B$4:$M$243,10,0)&lt;=0,"Mất hiệu lực",VLOOKUP(B7,KTVTRD20namMH!$B$4:$M$243,10,0))</f>
        <v>Mất hiệu lực</v>
      </c>
      <c r="K7" s="306"/>
      <c r="L7" s="306" t="str">
        <f ca="1">J7</f>
        <v>Mất hiệu lực</v>
      </c>
      <c r="M7" s="306" t="e">
        <f ca="1">IF(L7-100%*E7&gt;0,L7-100%*E7,0)</f>
        <v>#VALUE!</v>
      </c>
    </row>
    <row r="8" spans="2:16" s="307" customFormat="1" ht="12" customHeight="1">
      <c r="B8" s="304">
        <v>2</v>
      </c>
      <c r="C8" s="304">
        <f>IF(ROW(A2)&gt;'Tinh phi QL'!$D$12,"",ROW(A2))</f>
        <v>2</v>
      </c>
      <c r="D8" s="305">
        <f ca="1">D7+1</f>
        <v>31</v>
      </c>
      <c r="E8" s="306">
        <f ca="1">IF(IFERROR(--TRIM(C8),0)=0,0,'Tinh phi QL'!$H$12/1000)</f>
        <v>0</v>
      </c>
      <c r="F8" s="306">
        <f ca="1">E8*70%</f>
        <v>0</v>
      </c>
      <c r="G8" s="306">
        <f ca="1">KTVBVPhi20nam!AI5</f>
        <v>6571</v>
      </c>
      <c r="H8" s="306">
        <f ca="1">MAX('Tinh phi QL'!$E$12/1000,J8)</f>
        <v>0</v>
      </c>
      <c r="I8" s="306"/>
      <c r="J8" s="306" t="str">
        <f ca="1">IF(VLOOKUP(B8,KTVTRD20namMH!$B$4:$M$243,10,0)&lt;=0,"Mất hiệu lực",VLOOKUP(B8,KTVTRD20namMH!$B$4:$M$243,10,0))</f>
        <v>Mất hiệu lực</v>
      </c>
      <c r="K8" s="306"/>
      <c r="L8" s="306" t="str">
        <f t="shared" ref="L8:L26" ca="1" si="0">J8</f>
        <v>Mất hiệu lực</v>
      </c>
      <c r="M8" s="306" t="e">
        <f ca="1">IF(L8-100%*E8&gt;0,L8-100%*E8,0)</f>
        <v>#VALUE!</v>
      </c>
    </row>
    <row r="9" spans="2:16" s="307" customFormat="1" ht="12" customHeight="1">
      <c r="B9" s="304">
        <v>3</v>
      </c>
      <c r="C9" s="304">
        <f>IF(ROW(A3)&gt;'Tinh phi QL'!$D$12,"",ROW(A3))</f>
        <v>3</v>
      </c>
      <c r="D9" s="305">
        <f t="shared" ref="D9:D26" ca="1" si="1">D8+1</f>
        <v>32</v>
      </c>
      <c r="E9" s="306">
        <f ca="1">IF(IFERROR(--TRIM(C9),0)=0,0,'Tinh phi QL'!$H$12/1000)</f>
        <v>0</v>
      </c>
      <c r="F9" s="306">
        <f ca="1">E9*80%</f>
        <v>0</v>
      </c>
      <c r="G9" s="306">
        <f ca="1">KTVBVPhi20nam!AI6</f>
        <v>6571</v>
      </c>
      <c r="H9" s="306">
        <f ca="1">MAX('Tinh phi QL'!$E$12/1000,J9)</f>
        <v>0</v>
      </c>
      <c r="I9" s="306"/>
      <c r="J9" s="306" t="str">
        <f ca="1">IF(VLOOKUP(B9,KTVTRD20namMH!$B$4:$M$243,10,0)&lt;=0,"Mất hiệu lực",VLOOKUP(B9,KTVTRD20namMH!$B$4:$M$243,10,0))</f>
        <v>Mất hiệu lực</v>
      </c>
      <c r="K9" s="306"/>
      <c r="L9" s="306" t="str">
        <f t="shared" ca="1" si="0"/>
        <v>Mất hiệu lực</v>
      </c>
      <c r="M9" s="306" t="e">
        <f ca="1">L9-45%*E9</f>
        <v>#VALUE!</v>
      </c>
    </row>
    <row r="10" spans="2:16" s="307" customFormat="1" ht="12" customHeight="1">
      <c r="B10" s="304">
        <v>4</v>
      </c>
      <c r="C10" s="304">
        <f>IF(ROW(A4)&gt;'Tinh phi QL'!$D$12,"",ROW(A4))</f>
        <v>4</v>
      </c>
      <c r="D10" s="305">
        <f t="shared" ca="1" si="1"/>
        <v>33</v>
      </c>
      <c r="E10" s="306">
        <f ca="1">IF(IFERROR(--TRIM(C10),0)=0,0,'Tinh phi QL'!$H$12/1000)</f>
        <v>0</v>
      </c>
      <c r="F10" s="306">
        <f ca="1">E10*80%</f>
        <v>0</v>
      </c>
      <c r="G10" s="306">
        <f ca="1">KTVBVPhi20nam!AI7</f>
        <v>6571</v>
      </c>
      <c r="H10" s="306">
        <f ca="1">MAX('Tinh phi QL'!$E$12/1000,J10)</f>
        <v>0</v>
      </c>
      <c r="I10" s="306"/>
      <c r="J10" s="306" t="str">
        <f ca="1">IF(VLOOKUP(B10,KTVTRD20namMH!$B$4:$M$243,10,0)&lt;=0,"Mất hiệu lực",VLOOKUP(B10,KTVTRD20namMH!$B$4:$M$243,10,0))</f>
        <v>Mất hiệu lực</v>
      </c>
      <c r="K10" s="306"/>
      <c r="L10" s="306" t="str">
        <f t="shared" ca="1" si="0"/>
        <v>Mất hiệu lực</v>
      </c>
      <c r="M10" s="306" t="e">
        <f ca="1">L10-30%*E10</f>
        <v>#VALUE!</v>
      </c>
    </row>
    <row r="11" spans="2:16" s="328" customFormat="1" ht="12" customHeight="1">
      <c r="B11" s="312">
        <v>5</v>
      </c>
      <c r="C11" s="304">
        <f>IF(ROW(A5)&gt;'Tinh phi QL'!$D$12,"",ROW(A5))</f>
        <v>5</v>
      </c>
      <c r="D11" s="313">
        <f t="shared" ca="1" si="1"/>
        <v>34</v>
      </c>
      <c r="E11" s="306">
        <f ca="1">IF(IFERROR(--TRIM(C11),0)=0,0,'Tinh phi QL'!$H$12/1000)</f>
        <v>0</v>
      </c>
      <c r="F11" s="311">
        <f ca="1">E11*80%</f>
        <v>0</v>
      </c>
      <c r="G11" s="311">
        <f ca="1">KTVBVPhi20nam!AI8</f>
        <v>6571</v>
      </c>
      <c r="H11" s="311">
        <f ca="1">MAX('Tinh phi QL'!$E$12/1000,J11)</f>
        <v>0</v>
      </c>
      <c r="I11" s="311"/>
      <c r="J11" s="311" t="str">
        <f ca="1">IF(VLOOKUP(B11,KTVTRD20namMH!$B$4:$M$243,10,0)&lt;=0,"Mất hiệu lực",VLOOKUP(B11,KTVTRD20namMH!$B$4:$M$243,10,0))</f>
        <v>Mất hiệu lực</v>
      </c>
      <c r="K11" s="311"/>
      <c r="L11" s="311" t="str">
        <f t="shared" ca="1" si="0"/>
        <v>Mất hiệu lực</v>
      </c>
      <c r="M11" s="311" t="e">
        <f ca="1">L11-20%*E11</f>
        <v>#VALUE!</v>
      </c>
    </row>
    <row r="12" spans="2:16" s="307" customFormat="1" ht="12" customHeight="1">
      <c r="B12" s="304">
        <v>6</v>
      </c>
      <c r="C12" s="304">
        <f>IF(ROW(A6)&gt;'Tinh phi QL'!$D$12,"",ROW(A6))</f>
        <v>6</v>
      </c>
      <c r="D12" s="305">
        <f t="shared" ca="1" si="1"/>
        <v>35</v>
      </c>
      <c r="E12" s="306">
        <f ca="1">IF(IFERROR(--TRIM(C12),0)=0,0,'Tinh phi QL'!$H$12/1000)</f>
        <v>0</v>
      </c>
      <c r="F12" s="306">
        <f ca="1">E12*98%</f>
        <v>0</v>
      </c>
      <c r="G12" s="306">
        <f ca="1">KTVBVPhi20nam!AI9</f>
        <v>7495</v>
      </c>
      <c r="H12" s="306">
        <f ca="1">MAX('Tinh phi QL'!$E$12/1000,J12)</f>
        <v>0</v>
      </c>
      <c r="I12" s="306"/>
      <c r="J12" s="306" t="str">
        <f ca="1">IF(VLOOKUP(B12,KTVTRD20namMH!$B$4:$M$243,10,0)&lt;=0,"Mất hiệu lực",VLOOKUP(B12,KTVTRD20namMH!$B$4:$M$243,10,0))</f>
        <v>Mất hiệu lực</v>
      </c>
      <c r="K12" s="306"/>
      <c r="L12" s="306" t="str">
        <f t="shared" ca="1" si="0"/>
        <v>Mất hiệu lực</v>
      </c>
      <c r="M12" s="306" t="str">
        <f ca="1">L12</f>
        <v>Mất hiệu lực</v>
      </c>
    </row>
    <row r="13" spans="2:16" s="307" customFormat="1" ht="12" customHeight="1">
      <c r="B13" s="304">
        <v>7</v>
      </c>
      <c r="C13" s="304">
        <f>IF(ROW(A7)&gt;'Tinh phi QL'!$D$12,"",ROW(A7))</f>
        <v>7</v>
      </c>
      <c r="D13" s="305">
        <f t="shared" ca="1" si="1"/>
        <v>36</v>
      </c>
      <c r="E13" s="306">
        <f ca="1">IF(IFERROR(--TRIM(C13),0)=0,0,'Tinh phi QL'!$H$12/1000)</f>
        <v>0</v>
      </c>
      <c r="F13" s="306">
        <f t="shared" ref="F13:F16" ca="1" si="2">E13*98%</f>
        <v>0</v>
      </c>
      <c r="G13" s="306">
        <f ca="1">KTVBVPhi20nam!AI10</f>
        <v>7495</v>
      </c>
      <c r="H13" s="306">
        <f ca="1">MAX('Tinh phi QL'!$E$12/1000,J13)</f>
        <v>0</v>
      </c>
      <c r="I13" s="306"/>
      <c r="J13" s="306" t="str">
        <f ca="1">IF(VLOOKUP(B13,KTVTRD20namMH!$B$4:$M$243,10,0)&lt;=0,"Mất hiệu lực",VLOOKUP(B13,KTVTRD20namMH!$B$4:$M$243,10,0))</f>
        <v>Mất hiệu lực</v>
      </c>
      <c r="K13" s="306"/>
      <c r="L13" s="306" t="str">
        <f t="shared" ca="1" si="0"/>
        <v>Mất hiệu lực</v>
      </c>
      <c r="M13" s="306" t="str">
        <f t="shared" ref="M13:M26" ca="1" si="3">L13</f>
        <v>Mất hiệu lực</v>
      </c>
    </row>
    <row r="14" spans="2:16" s="307" customFormat="1" ht="12" customHeight="1">
      <c r="B14" s="304">
        <v>8</v>
      </c>
      <c r="C14" s="304">
        <f>IF(ROW(A8)&gt;'Tinh phi QL'!$D$12,"",ROW(A8))</f>
        <v>8</v>
      </c>
      <c r="D14" s="305">
        <f t="shared" ca="1" si="1"/>
        <v>37</v>
      </c>
      <c r="E14" s="306">
        <f ca="1">IF(IFERROR(--TRIM(C14),0)=0,0,'Tinh phi QL'!$H$12/1000)</f>
        <v>0</v>
      </c>
      <c r="F14" s="306">
        <f t="shared" ca="1" si="2"/>
        <v>0</v>
      </c>
      <c r="G14" s="306">
        <f ca="1">KTVBVPhi20nam!AI11</f>
        <v>7495</v>
      </c>
      <c r="H14" s="306">
        <f ca="1">MAX('Tinh phi QL'!$E$12/1000,J14)</f>
        <v>0</v>
      </c>
      <c r="I14" s="306"/>
      <c r="J14" s="306" t="str">
        <f ca="1">IF(VLOOKUP(B14,KTVTRD20namMH!$B$4:$M$243,10,0)&lt;=0,"Mất hiệu lực",VLOOKUP(B14,KTVTRD20namMH!$B$4:$M$243,10,0))</f>
        <v>Mất hiệu lực</v>
      </c>
      <c r="K14" s="306"/>
      <c r="L14" s="306" t="str">
        <f t="shared" ca="1" si="0"/>
        <v>Mất hiệu lực</v>
      </c>
      <c r="M14" s="306" t="str">
        <f t="shared" ca="1" si="3"/>
        <v>Mất hiệu lực</v>
      </c>
    </row>
    <row r="15" spans="2:16" s="307" customFormat="1" ht="12" customHeight="1">
      <c r="B15" s="304">
        <v>9</v>
      </c>
      <c r="C15" s="304">
        <f>IF(ROW(A9)&gt;'Tinh phi QL'!$D$12,"",ROW(A9))</f>
        <v>9</v>
      </c>
      <c r="D15" s="305">
        <f t="shared" ca="1" si="1"/>
        <v>38</v>
      </c>
      <c r="E15" s="306">
        <f ca="1">IF(IFERROR(--TRIM(C15),0)=0,0,'Tinh phi QL'!$H$12/1000)</f>
        <v>0</v>
      </c>
      <c r="F15" s="306">
        <f t="shared" ca="1" si="2"/>
        <v>0</v>
      </c>
      <c r="G15" s="306">
        <f ca="1">KTVBVPhi20nam!AI12</f>
        <v>7495</v>
      </c>
      <c r="H15" s="306">
        <f ca="1">MAX('Tinh phi QL'!$E$12/1000,J15)</f>
        <v>0</v>
      </c>
      <c r="I15" s="306"/>
      <c r="J15" s="306" t="str">
        <f ca="1">IF(VLOOKUP(B15,KTVTRD20namMH!$B$4:$M$243,10,0)&lt;=0,"Mất hiệu lực",VLOOKUP(B15,KTVTRD20namMH!$B$4:$M$243,10,0))</f>
        <v>Mất hiệu lực</v>
      </c>
      <c r="K15" s="306"/>
      <c r="L15" s="306" t="str">
        <f t="shared" ca="1" si="0"/>
        <v>Mất hiệu lực</v>
      </c>
      <c r="M15" s="306" t="str">
        <f t="shared" ca="1" si="3"/>
        <v>Mất hiệu lực</v>
      </c>
    </row>
    <row r="16" spans="2:16" s="328" customFormat="1" ht="12" customHeight="1">
      <c r="B16" s="308">
        <v>10</v>
      </c>
      <c r="C16" s="312">
        <f>IF(ROW(A10)&gt;'Tinh phi QL'!$D$12,"",ROW(A10))</f>
        <v>10</v>
      </c>
      <c r="D16" s="309">
        <f t="shared" ca="1" si="1"/>
        <v>39</v>
      </c>
      <c r="E16" s="311">
        <f ca="1">IF(IFERROR(--TRIM(C16),0)=0,0,'Tinh phi QL'!$H$12/1000)</f>
        <v>0</v>
      </c>
      <c r="F16" s="311">
        <f t="shared" ca="1" si="2"/>
        <v>0</v>
      </c>
      <c r="G16" s="311">
        <f ca="1">KTVBVPhi20nam!AI13</f>
        <v>7495</v>
      </c>
      <c r="H16" s="311">
        <f ca="1">MAX('Tinh phi QL'!$E$12/1000,J16)</f>
        <v>0</v>
      </c>
      <c r="I16" s="311">
        <f ca="1">KTVTRD20namMH!I112</f>
        <v>0</v>
      </c>
      <c r="J16" s="311" t="str">
        <f ca="1">IF(VLOOKUP(B16,KTVTRD20namMH!$B$4:$M$243,10,0)&lt;=0,"Mất hiệu lực",VLOOKUP(B16,KTVTRD20namMH!$B$4:$M$243,10,0))</f>
        <v>Mất hiệu lực</v>
      </c>
      <c r="K16" s="310"/>
      <c r="L16" s="311" t="str">
        <f t="shared" ca="1" si="0"/>
        <v>Mất hiệu lực</v>
      </c>
      <c r="M16" s="311" t="str">
        <f t="shared" ca="1" si="3"/>
        <v>Mất hiệu lực</v>
      </c>
    </row>
    <row r="17" spans="2:13" s="307" customFormat="1" ht="12" customHeight="1">
      <c r="B17" s="304">
        <v>11</v>
      </c>
      <c r="C17" s="304">
        <f>IF(ROW(A11)&gt;'Tinh phi QL'!$D$12,"",ROW(A11))</f>
        <v>11</v>
      </c>
      <c r="D17" s="305">
        <f t="shared" ca="1" si="1"/>
        <v>40</v>
      </c>
      <c r="E17" s="306">
        <f ca="1">IF(IFERROR(--TRIM(C17),0)=0,0,'Tinh phi QL'!$H$12/1000)</f>
        <v>0</v>
      </c>
      <c r="F17" s="306">
        <f ca="1">E17</f>
        <v>0</v>
      </c>
      <c r="G17" s="306">
        <f ca="1">KTVBVPhi20nam!AI14</f>
        <v>8533</v>
      </c>
      <c r="H17" s="306">
        <f ca="1">MAX('Tinh phi QL'!$E$12/1000,J17)</f>
        <v>0</v>
      </c>
      <c r="I17" s="306"/>
      <c r="J17" s="306" t="str">
        <f ca="1">IF(VLOOKUP(B17,KTVTRD20namMH!$B$4:$M$243,10,0)&lt;=0,"Mất hiệu lực",VLOOKUP(B17,KTVTRD20namMH!$B$4:$M$243,10,0))</f>
        <v>Mất hiệu lực</v>
      </c>
      <c r="K17" s="306"/>
      <c r="L17" s="306" t="str">
        <f t="shared" ca="1" si="0"/>
        <v>Mất hiệu lực</v>
      </c>
      <c r="M17" s="306" t="str">
        <f t="shared" ca="1" si="3"/>
        <v>Mất hiệu lực</v>
      </c>
    </row>
    <row r="18" spans="2:13" s="307" customFormat="1" ht="12" customHeight="1">
      <c r="B18" s="304">
        <v>12</v>
      </c>
      <c r="C18" s="304">
        <f>IF(ROW(A12)&gt;'Tinh phi QL'!$D$12,"",ROW(A12))</f>
        <v>12</v>
      </c>
      <c r="D18" s="305">
        <f t="shared" ca="1" si="1"/>
        <v>41</v>
      </c>
      <c r="E18" s="306">
        <f ca="1">IF(IFERROR(--TRIM(C18),0)=0,0,'Tinh phi QL'!$H$12/1000)</f>
        <v>0</v>
      </c>
      <c r="F18" s="306">
        <f t="shared" ref="F18:F26" ca="1" si="4">E18</f>
        <v>0</v>
      </c>
      <c r="G18" s="306">
        <f ca="1">KTVBVPhi20nam!AI15</f>
        <v>8533</v>
      </c>
      <c r="H18" s="306">
        <f ca="1">MAX('Tinh phi QL'!$E$12/1000,J18)</f>
        <v>0</v>
      </c>
      <c r="I18" s="306"/>
      <c r="J18" s="306" t="str">
        <f ca="1">IF(VLOOKUP(B18,KTVTRD20namMH!$B$4:$M$243,10,0)&lt;=0,"Mất hiệu lực",VLOOKUP(B18,KTVTRD20namMH!$B$4:$M$243,10,0))</f>
        <v>Mất hiệu lực</v>
      </c>
      <c r="K18" s="306"/>
      <c r="L18" s="306" t="str">
        <f t="shared" ca="1" si="0"/>
        <v>Mất hiệu lực</v>
      </c>
      <c r="M18" s="306" t="str">
        <f t="shared" ca="1" si="3"/>
        <v>Mất hiệu lực</v>
      </c>
    </row>
    <row r="19" spans="2:13" s="307" customFormat="1" ht="12" customHeight="1">
      <c r="B19" s="304">
        <v>13</v>
      </c>
      <c r="C19" s="304">
        <f>IF(ROW(A13)&gt;'Tinh phi QL'!$D$12,"",ROW(A13))</f>
        <v>13</v>
      </c>
      <c r="D19" s="305">
        <f t="shared" ca="1" si="1"/>
        <v>42</v>
      </c>
      <c r="E19" s="306">
        <f ca="1">IF(IFERROR(--TRIM(C19),0)=0,0,'Tinh phi QL'!$H$12/1000)</f>
        <v>0</v>
      </c>
      <c r="F19" s="306">
        <f t="shared" ca="1" si="4"/>
        <v>0</v>
      </c>
      <c r="G19" s="306">
        <f ca="1">KTVBVPhi20nam!AI16</f>
        <v>8533</v>
      </c>
      <c r="H19" s="306">
        <f ca="1">MAX('Tinh phi QL'!$E$12/1000,J19)</f>
        <v>0</v>
      </c>
      <c r="I19" s="306"/>
      <c r="J19" s="306" t="str">
        <f ca="1">IF(VLOOKUP(B19,KTVTRD20namMH!$B$4:$M$243,10,0)&lt;=0,"Mất hiệu lực",VLOOKUP(B19,KTVTRD20namMH!$B$4:$M$243,10,0))</f>
        <v>Mất hiệu lực</v>
      </c>
      <c r="K19" s="306"/>
      <c r="L19" s="306" t="str">
        <f t="shared" ca="1" si="0"/>
        <v>Mất hiệu lực</v>
      </c>
      <c r="M19" s="306" t="str">
        <f t="shared" ca="1" si="3"/>
        <v>Mất hiệu lực</v>
      </c>
    </row>
    <row r="20" spans="2:13" s="307" customFormat="1" ht="12" customHeight="1">
      <c r="B20" s="304">
        <v>14</v>
      </c>
      <c r="C20" s="304">
        <f>IF(ROW(A14)&gt;'Tinh phi QL'!$D$12,"",ROW(A14))</f>
        <v>14</v>
      </c>
      <c r="D20" s="305">
        <f t="shared" ca="1" si="1"/>
        <v>43</v>
      </c>
      <c r="E20" s="306">
        <f ca="1">IF(IFERROR(--TRIM(C20),0)=0,0,'Tinh phi QL'!$H$12/1000)</f>
        <v>0</v>
      </c>
      <c r="F20" s="306">
        <f t="shared" ca="1" si="4"/>
        <v>0</v>
      </c>
      <c r="G20" s="306">
        <f ca="1">KTVBVPhi20nam!AI17</f>
        <v>8533</v>
      </c>
      <c r="H20" s="306">
        <f ca="1">MAX('Tinh phi QL'!$E$12/1000,J20)</f>
        <v>0</v>
      </c>
      <c r="I20" s="306"/>
      <c r="J20" s="306" t="str">
        <f ca="1">IF(VLOOKUP(B20,KTVTRD20namMH!$B$4:$M$243,10,0)&lt;=0,"Mất hiệu lực",VLOOKUP(B20,KTVTRD20namMH!$B$4:$M$243,10,0))</f>
        <v>Mất hiệu lực</v>
      </c>
      <c r="K20" s="306"/>
      <c r="L20" s="306" t="str">
        <f t="shared" ca="1" si="0"/>
        <v>Mất hiệu lực</v>
      </c>
      <c r="M20" s="306" t="str">
        <f t="shared" ca="1" si="3"/>
        <v>Mất hiệu lực</v>
      </c>
    </row>
    <row r="21" spans="2:13" s="328" customFormat="1" ht="12" customHeight="1">
      <c r="B21" s="312">
        <v>15</v>
      </c>
      <c r="C21" s="312">
        <f>IF(ROW(A15)&gt;'Tinh phi QL'!$D$12,"",ROW(A15))</f>
        <v>15</v>
      </c>
      <c r="D21" s="313">
        <f t="shared" ca="1" si="1"/>
        <v>44</v>
      </c>
      <c r="E21" s="311">
        <f ca="1">IF(IFERROR(--TRIM(C21),0)=0,0,'Tinh phi QL'!$H$12/1000)</f>
        <v>0</v>
      </c>
      <c r="F21" s="311">
        <f t="shared" ca="1" si="4"/>
        <v>0</v>
      </c>
      <c r="G21" s="311">
        <f ca="1">KTVBVPhi20nam!AI18</f>
        <v>8533</v>
      </c>
      <c r="H21" s="311">
        <f ca="1">MAX('Tinh phi QL'!$E$12/1000,J21)</f>
        <v>0</v>
      </c>
      <c r="I21" s="311"/>
      <c r="J21" s="311" t="str">
        <f ca="1">IF(VLOOKUP(B21,KTVTRD20namMH!$B$4:$M$243,10,0)&lt;=0,"Mất hiệu lực",VLOOKUP(B21,KTVTRD20namMH!$B$4:$M$243,10,0))</f>
        <v>Mất hiệu lực</v>
      </c>
      <c r="K21" s="311"/>
      <c r="L21" s="311" t="str">
        <f t="shared" ca="1" si="0"/>
        <v>Mất hiệu lực</v>
      </c>
      <c r="M21" s="311" t="str">
        <f t="shared" ca="1" si="3"/>
        <v>Mất hiệu lực</v>
      </c>
    </row>
    <row r="22" spans="2:13" s="307" customFormat="1" ht="12" customHeight="1">
      <c r="B22" s="304">
        <v>16</v>
      </c>
      <c r="C22" s="304" t="str">
        <f>IF(ROW(A16)&gt;'Tinh phi QL'!$D$12,"",ROW(A16))</f>
        <v/>
      </c>
      <c r="D22" s="305">
        <f t="shared" ca="1" si="1"/>
        <v>45</v>
      </c>
      <c r="E22" s="306">
        <f>IF(IFERROR(--TRIM(C22),0)=0,0,'Tinh phi QL'!$H$12/1000)</f>
        <v>0</v>
      </c>
      <c r="F22" s="306">
        <f t="shared" si="4"/>
        <v>0</v>
      </c>
      <c r="G22" s="306">
        <f ca="1">KTVBVPhi20nam!AI19</f>
        <v>10469</v>
      </c>
      <c r="H22" s="306">
        <f ca="1">MAX('Tinh phi QL'!$E$12/1000,J22)</f>
        <v>0</v>
      </c>
      <c r="I22" s="306"/>
      <c r="J22" s="306" t="str">
        <f ca="1">IF(VLOOKUP(B22,KTVTRD20namMH!$B$4:$M$243,10,0)&lt;=0,"Mất hiệu lực",VLOOKUP(B22,KTVTRD20namMH!$B$4:$M$243,10,0))</f>
        <v>Mất hiệu lực</v>
      </c>
      <c r="K22" s="306"/>
      <c r="L22" s="306" t="str">
        <f t="shared" ca="1" si="0"/>
        <v>Mất hiệu lực</v>
      </c>
      <c r="M22" s="306" t="str">
        <f t="shared" ca="1" si="3"/>
        <v>Mất hiệu lực</v>
      </c>
    </row>
    <row r="23" spans="2:13" s="307" customFormat="1" ht="12" customHeight="1">
      <c r="B23" s="304">
        <v>17</v>
      </c>
      <c r="C23" s="304" t="str">
        <f>IF(ROW(A17)&gt;'Tinh phi QL'!$D$12,"",ROW(A17))</f>
        <v/>
      </c>
      <c r="D23" s="305">
        <f t="shared" ca="1" si="1"/>
        <v>46</v>
      </c>
      <c r="E23" s="306">
        <f>IF(IFERROR(--TRIM(C23),0)=0,0,'Tinh phi QL'!$H$12/1000)</f>
        <v>0</v>
      </c>
      <c r="F23" s="306">
        <f t="shared" si="4"/>
        <v>0</v>
      </c>
      <c r="G23" s="306">
        <f ca="1">KTVBVPhi20nam!AI20</f>
        <v>10469</v>
      </c>
      <c r="H23" s="306">
        <f ca="1">MAX('Tinh phi QL'!$E$12/1000,J23)</f>
        <v>0</v>
      </c>
      <c r="I23" s="306"/>
      <c r="J23" s="306" t="str">
        <f ca="1">IF(VLOOKUP(B23,KTVTRD20namMH!$B$4:$M$243,10,0)&lt;=0,"Mất hiệu lực",VLOOKUP(B23,KTVTRD20namMH!$B$4:$M$243,10,0))</f>
        <v>Mất hiệu lực</v>
      </c>
      <c r="K23" s="306"/>
      <c r="L23" s="306" t="str">
        <f t="shared" ca="1" si="0"/>
        <v>Mất hiệu lực</v>
      </c>
      <c r="M23" s="306" t="str">
        <f t="shared" ca="1" si="3"/>
        <v>Mất hiệu lực</v>
      </c>
    </row>
    <row r="24" spans="2:13" s="307" customFormat="1" ht="12" customHeight="1">
      <c r="B24" s="304">
        <v>18</v>
      </c>
      <c r="C24" s="304" t="str">
        <f>IF(ROW(A18)&gt;'Tinh phi QL'!$D$12,"",ROW(A18))</f>
        <v/>
      </c>
      <c r="D24" s="305">
        <f t="shared" ca="1" si="1"/>
        <v>47</v>
      </c>
      <c r="E24" s="306">
        <f>IF(IFERROR(--TRIM(C24),0)=0,0,'Tinh phi QL'!$H$12/1000)</f>
        <v>0</v>
      </c>
      <c r="F24" s="306">
        <f t="shared" si="4"/>
        <v>0</v>
      </c>
      <c r="G24" s="306">
        <f ca="1">KTVBVPhi20nam!AI21</f>
        <v>10469</v>
      </c>
      <c r="H24" s="306">
        <f ca="1">MAX('Tinh phi QL'!$E$12/1000,J24)</f>
        <v>0</v>
      </c>
      <c r="I24" s="306"/>
      <c r="J24" s="306" t="str">
        <f ca="1">IF(VLOOKUP(B24,KTVTRD20namMH!$B$4:$M$243,10,0)&lt;=0,"Mất hiệu lực",VLOOKUP(B24,KTVTRD20namMH!$B$4:$M$243,10,0))</f>
        <v>Mất hiệu lực</v>
      </c>
      <c r="K24" s="306"/>
      <c r="L24" s="306" t="str">
        <f t="shared" ca="1" si="0"/>
        <v>Mất hiệu lực</v>
      </c>
      <c r="M24" s="306" t="str">
        <f t="shared" ca="1" si="3"/>
        <v>Mất hiệu lực</v>
      </c>
    </row>
    <row r="25" spans="2:13" s="307" customFormat="1" ht="12" customHeight="1">
      <c r="B25" s="304">
        <v>19</v>
      </c>
      <c r="C25" s="304" t="str">
        <f>IF(ROW(A19)&gt;'Tinh phi QL'!$D$12,"",ROW(A19))</f>
        <v/>
      </c>
      <c r="D25" s="305">
        <f t="shared" ca="1" si="1"/>
        <v>48</v>
      </c>
      <c r="E25" s="306">
        <f>IF(IFERROR(--TRIM(C25),0)=0,0,'Tinh phi QL'!$H$12/1000)</f>
        <v>0</v>
      </c>
      <c r="F25" s="306">
        <f t="shared" si="4"/>
        <v>0</v>
      </c>
      <c r="G25" s="306">
        <f ca="1">KTVBVPhi20nam!AI22</f>
        <v>10469</v>
      </c>
      <c r="H25" s="306">
        <f ca="1">MAX('Tinh phi QL'!$E$12/1000,J25)</f>
        <v>0</v>
      </c>
      <c r="I25" s="306"/>
      <c r="J25" s="306" t="str">
        <f ca="1">IF(VLOOKUP(B25,KTVTRD20namMH!$B$4:$M$243,10,0)&lt;=0,"Mất hiệu lực",VLOOKUP(B25,KTVTRD20namMH!$B$4:$M$243,10,0))</f>
        <v>Mất hiệu lực</v>
      </c>
      <c r="K25" s="306"/>
      <c r="L25" s="306" t="str">
        <f t="shared" ca="1" si="0"/>
        <v>Mất hiệu lực</v>
      </c>
      <c r="M25" s="306" t="str">
        <f t="shared" ca="1" si="3"/>
        <v>Mất hiệu lực</v>
      </c>
    </row>
    <row r="26" spans="2:13" s="328" customFormat="1" ht="12" customHeight="1">
      <c r="B26" s="312">
        <v>20</v>
      </c>
      <c r="C26" s="312" t="str">
        <f>IF(ROW(A20)&gt;'Tinh phi QL'!$D$12,"",ROW(A20))</f>
        <v/>
      </c>
      <c r="D26" s="313">
        <f t="shared" ca="1" si="1"/>
        <v>49</v>
      </c>
      <c r="E26" s="311">
        <f>IF(IFERROR(--TRIM(C26),0)=0,0,'Tinh phi QL'!$H$12/1000)</f>
        <v>0</v>
      </c>
      <c r="F26" s="311">
        <f t="shared" si="4"/>
        <v>0</v>
      </c>
      <c r="G26" s="311">
        <f ca="1">KTVBVPhi20nam!AI23</f>
        <v>10469</v>
      </c>
      <c r="H26" s="311">
        <f ca="1">MAX('Tinh phi QL'!$E$12/1000,J26)</f>
        <v>0</v>
      </c>
      <c r="I26" s="311">
        <f ca="1">KTVTRD20namMH!I232</f>
        <v>0</v>
      </c>
      <c r="J26" s="311" t="str">
        <f ca="1">IF(VLOOKUP(B26,KTVTRD20namMH!$B$4:$M$243,10,0)&lt;=0,"Mất hiệu lực",VLOOKUP(B26,KTVTRD20namMH!$B$4:$M$243,10,0))</f>
        <v>Mất hiệu lực</v>
      </c>
      <c r="K26" s="311"/>
      <c r="L26" s="311" t="str">
        <f t="shared" ca="1" si="0"/>
        <v>Mất hiệu lực</v>
      </c>
      <c r="M26" s="311" t="str">
        <f t="shared" ca="1" si="3"/>
        <v>Mất hiệu lực</v>
      </c>
    </row>
  </sheetData>
  <sheetProtection selectLockedCells="1"/>
  <mergeCells count="13">
    <mergeCell ref="O2:P2"/>
    <mergeCell ref="O3:P3"/>
    <mergeCell ref="C5:C6"/>
    <mergeCell ref="D5:D6"/>
    <mergeCell ref="E5:E6"/>
    <mergeCell ref="F5:F6"/>
    <mergeCell ref="G5:G6"/>
    <mergeCell ref="B2:E3"/>
    <mergeCell ref="B4:L4"/>
    <mergeCell ref="B5:B6"/>
    <mergeCell ref="H5:M5"/>
    <mergeCell ref="F2:L3"/>
    <mergeCell ref="M2:M3"/>
  </mergeCells>
  <conditionalFormatting sqref="B7:G26">
    <cfRule type="expression" dxfId="205" priority="1">
      <formula>MOD(ROW(),2)&gt;0</formula>
    </cfRule>
    <cfRule type="expression" dxfId="204" priority="2">
      <formula>"mod(row(),2).0"</formula>
    </cfRule>
  </conditionalFormatting>
  <conditionalFormatting sqref="H16:I26">
    <cfRule type="expression" dxfId="203" priority="12">
      <formula>MOD(ROW(),2)&gt;0</formula>
    </cfRule>
    <cfRule type="expression" dxfId="202" priority="13">
      <formula>"mod(row(),2).0"</formula>
    </cfRule>
  </conditionalFormatting>
  <conditionalFormatting sqref="H7:M15 L8:L26 M13:M26 J16:M26 J8:J26">
    <cfRule type="expression" dxfId="201" priority="18">
      <formula>MOD(ROW(),2)&gt;0</formula>
    </cfRule>
    <cfRule type="expression" dxfId="200" priority="19">
      <formula>"mod(row(),2).0"</formula>
    </cfRule>
  </conditionalFormatting>
  <conditionalFormatting sqref="J7:J26">
    <cfRule type="cellIs" dxfId="199" priority="16" operator="lessThan">
      <formula>0</formula>
    </cfRule>
  </conditionalFormatting>
  <conditionalFormatting sqref="J1:M1048576">
    <cfRule type="containsText" dxfId="198" priority="7" operator="containsText" text="mất">
      <formula>NOT(ISERROR(SEARCH("mất",J1)))</formula>
    </cfRule>
  </conditionalFormatting>
  <conditionalFormatting sqref="L1:M1 M2 M4">
    <cfRule type="cellIs" dxfId="197" priority="20" operator="lessThan">
      <formula>0</formula>
    </cfRule>
  </conditionalFormatting>
  <conditionalFormatting sqref="L6:M1048576">
    <cfRule type="cellIs" dxfId="196" priority="17" operator="lessThan">
      <formula>0</formula>
    </cfRule>
  </conditionalFormatting>
  <conditionalFormatting sqref="O3:P3">
    <cfRule type="containsText" dxfId="195" priority="21" operator="containsText" text="Chỉ">
      <formula>NOT(ISERROR(SEARCH("Chỉ",O3)))</formula>
    </cfRule>
    <cfRule type="containsText" dxfId="194" priority="22" operator="containsText" text="Phải">
      <formula>NOT(ISERROR(SEARCH("Phải",O3)))</formula>
    </cfRule>
  </conditionalFormatting>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E2E883-C754-437D-9A0F-3E09817DAC92}">
  <dimension ref="B1:P23"/>
  <sheetViews>
    <sheetView showGridLines="0" zoomScale="85" zoomScaleNormal="85" workbookViewId="0">
      <selection activeCell="K8" sqref="K8"/>
    </sheetView>
  </sheetViews>
  <sheetFormatPr defaultColWidth="9.296875" defaultRowHeight="15.5"/>
  <cols>
    <col min="1" max="1" width="1.796875" style="354" customWidth="1"/>
    <col min="2" max="3" width="6" style="354" customWidth="1"/>
    <col min="4" max="4" width="12.5" style="354" customWidth="1"/>
    <col min="5" max="5" width="13.5" style="354" customWidth="1"/>
    <col min="6" max="6" width="15.19921875" style="354" customWidth="1"/>
    <col min="7" max="7" width="14.5" style="354" customWidth="1"/>
    <col min="8" max="8" width="11.5" style="354" customWidth="1"/>
    <col min="9" max="9" width="12.69921875" style="354" customWidth="1"/>
    <col min="10" max="10" width="11.69921875" style="354" customWidth="1"/>
    <col min="11" max="11" width="20.5" style="354" customWidth="1"/>
    <col min="12" max="12" width="18.796875" style="354" customWidth="1"/>
    <col min="13" max="13" width="15" style="354" customWidth="1"/>
    <col min="14" max="14" width="10.796875" style="354" customWidth="1"/>
    <col min="15" max="16" width="17.69921875" style="354" customWidth="1"/>
    <col min="17" max="16384" width="9.296875" style="354"/>
  </cols>
  <sheetData>
    <row r="1" spans="2:16" ht="15.75" customHeight="1">
      <c r="B1" s="1009" t="s">
        <v>820</v>
      </c>
      <c r="C1" s="1009"/>
      <c r="D1" s="1009"/>
      <c r="E1" s="1009"/>
      <c r="F1" s="1009"/>
      <c r="G1" s="1009"/>
      <c r="H1" s="1009"/>
      <c r="I1" s="1009"/>
      <c r="J1" s="1009"/>
      <c r="K1" s="1009"/>
      <c r="L1" s="1009"/>
      <c r="M1" s="1009"/>
      <c r="N1" s="1009"/>
      <c r="O1" s="1009"/>
      <c r="P1" s="353" t="s">
        <v>712</v>
      </c>
    </row>
    <row r="2" spans="2:16" ht="20.25" customHeight="1">
      <c r="B2" s="969" t="s">
        <v>670</v>
      </c>
      <c r="C2" s="969" t="s">
        <v>842</v>
      </c>
      <c r="D2" s="970" t="s">
        <v>735</v>
      </c>
      <c r="E2" s="971"/>
      <c r="F2" s="972"/>
      <c r="G2" s="973" t="s">
        <v>736</v>
      </c>
      <c r="H2" s="969" t="s">
        <v>725</v>
      </c>
      <c r="I2" s="969"/>
      <c r="J2" s="969"/>
      <c r="K2" s="969" t="s">
        <v>737</v>
      </c>
      <c r="L2" s="969"/>
      <c r="M2" s="969"/>
      <c r="N2" s="973" t="s">
        <v>726</v>
      </c>
      <c r="O2" s="970" t="s">
        <v>738</v>
      </c>
      <c r="P2" s="972"/>
    </row>
    <row r="3" spans="2:16" ht="33.75" customHeight="1">
      <c r="B3" s="969"/>
      <c r="C3" s="969"/>
      <c r="D3" s="355" t="s">
        <v>727</v>
      </c>
      <c r="E3" s="355" t="s">
        <v>728</v>
      </c>
      <c r="F3" s="355" t="s">
        <v>729</v>
      </c>
      <c r="G3" s="974"/>
      <c r="H3" s="355" t="s">
        <v>727</v>
      </c>
      <c r="I3" s="355" t="s">
        <v>728</v>
      </c>
      <c r="J3" s="355" t="s">
        <v>730</v>
      </c>
      <c r="K3" s="355" t="s">
        <v>731</v>
      </c>
      <c r="L3" s="355" t="s">
        <v>732</v>
      </c>
      <c r="M3" s="355" t="s">
        <v>733</v>
      </c>
      <c r="N3" s="974"/>
      <c r="O3" s="355" t="s">
        <v>739</v>
      </c>
      <c r="P3" s="355" t="s">
        <v>813</v>
      </c>
    </row>
    <row r="4" spans="2:16" ht="12.75" customHeight="1">
      <c r="B4" s="356">
        <v>1</v>
      </c>
      <c r="C4" s="356">
        <f>IF(ROW(A1)&gt;'Tinh phi QL'!$D$12,"",ROW(A1))</f>
        <v>1</v>
      </c>
      <c r="D4" s="357">
        <f ca="1">IF(IFERROR(--TRIM(C4),0)=0,0,'Tinh phi QL'!$H$12/1000)</f>
        <v>0</v>
      </c>
      <c r="E4" s="358">
        <v>0</v>
      </c>
      <c r="F4" s="358">
        <f ca="1">D4+E4</f>
        <v>0</v>
      </c>
      <c r="G4" s="358">
        <f ca="1">_xlfn.AGGREGATE(9,6,KTVTDPhi20nam!E4:AG4)</f>
        <v>6571</v>
      </c>
      <c r="H4" s="358">
        <f ca="1">D4*50%</f>
        <v>0</v>
      </c>
      <c r="I4" s="358">
        <f>E4*1.5%</f>
        <v>0</v>
      </c>
      <c r="J4" s="358">
        <f ca="1">H4+I4</f>
        <v>0</v>
      </c>
      <c r="K4" s="358">
        <f t="shared" ref="K4:L23" ca="1" si="0">D4-H4</f>
        <v>0</v>
      </c>
      <c r="L4" s="358">
        <f t="shared" si="0"/>
        <v>0</v>
      </c>
      <c r="M4" s="358">
        <f ca="1">K4+L4</f>
        <v>0</v>
      </c>
      <c r="N4" s="358">
        <f ca="1">VLOOKUP(B4,KTVTRD20namcamket!$B$4:$Y$243,23,0)</f>
        <v>480</v>
      </c>
      <c r="O4" s="358">
        <f ca="1">VLOOKUP(B4,KTVTRD20namcamket!$B$4:$Y$243,24,0)</f>
        <v>0.2740849208134159</v>
      </c>
      <c r="P4" s="358">
        <f ca="1">VLOOKUP(B4,KTVTRD20namMH!$B$4:$Y$243,24,0)</f>
        <v>0.27513926435729708</v>
      </c>
    </row>
    <row r="5" spans="2:16" ht="12.75" customHeight="1">
      <c r="B5" s="356">
        <v>2</v>
      </c>
      <c r="C5" s="356">
        <f>IF(ROW(A2)&gt;'Tinh phi QL'!$D$12,"",ROW(A2))</f>
        <v>2</v>
      </c>
      <c r="D5" s="357">
        <f ca="1">IF(IFERROR(--TRIM(C5),0)=0,0,'Tinh phi QL'!$H$12/1000)</f>
        <v>0</v>
      </c>
      <c r="E5" s="358">
        <f>E4</f>
        <v>0</v>
      </c>
      <c r="F5" s="358">
        <f t="shared" ref="F5:F23" ca="1" si="1">D5+E5</f>
        <v>0</v>
      </c>
      <c r="G5" s="358">
        <f ca="1">_xlfn.AGGREGATE(9,6,KTVTDPhi20nam!E5:AG5)</f>
        <v>6571</v>
      </c>
      <c r="H5" s="358">
        <f ca="1">D5*30%</f>
        <v>0</v>
      </c>
      <c r="I5" s="358">
        <f t="shared" ref="I5:I8" si="2">E5*1.5%</f>
        <v>0</v>
      </c>
      <c r="J5" s="358">
        <f t="shared" ref="J5:J23" ca="1" si="3">H5+I5</f>
        <v>0</v>
      </c>
      <c r="K5" s="358">
        <f t="shared" ca="1" si="0"/>
        <v>0</v>
      </c>
      <c r="L5" s="358">
        <f t="shared" si="0"/>
        <v>0</v>
      </c>
      <c r="M5" s="358">
        <f t="shared" ref="M5:M23" ca="1" si="4">K5+L5</f>
        <v>0</v>
      </c>
      <c r="N5" s="358">
        <f ca="1">VLOOKUP(B5,KTVTRD20namcamket!$B$4:$Y$243,23,0)</f>
        <v>480</v>
      </c>
      <c r="O5" s="358">
        <f ca="1">VLOOKUP(B5,KTVTRD20namcamket!$B$4:$Y$243,24,0)</f>
        <v>0.90563021965211399</v>
      </c>
      <c r="P5" s="358">
        <f ca="1">VLOOKUP(B5,KTVTRD20namMH!$B$4:$Y$243,24,0)</f>
        <v>0.91530746640379246</v>
      </c>
    </row>
    <row r="6" spans="2:16" ht="12.75" customHeight="1">
      <c r="B6" s="356">
        <v>3</v>
      </c>
      <c r="C6" s="356">
        <f>IF(ROW(A3)&gt;'Tinh phi QL'!$D$12,"",ROW(A3))</f>
        <v>3</v>
      </c>
      <c r="D6" s="357">
        <f ca="1">IF(IFERROR(--TRIM(C6),0)=0,0,'Tinh phi QL'!$H$12/1000)</f>
        <v>0</v>
      </c>
      <c r="E6" s="358">
        <f t="shared" ref="E6:E21" si="5">E5</f>
        <v>0</v>
      </c>
      <c r="F6" s="358">
        <f t="shared" ca="1" si="1"/>
        <v>0</v>
      </c>
      <c r="G6" s="358">
        <f ca="1">_xlfn.AGGREGATE(9,6,KTVTDPhi20nam!E6:AG6)</f>
        <v>6571</v>
      </c>
      <c r="H6" s="358">
        <f ca="1">D6*20%</f>
        <v>0</v>
      </c>
      <c r="I6" s="358">
        <f t="shared" si="2"/>
        <v>0</v>
      </c>
      <c r="J6" s="358">
        <f t="shared" ca="1" si="3"/>
        <v>0</v>
      </c>
      <c r="K6" s="358">
        <f t="shared" ca="1" si="0"/>
        <v>0</v>
      </c>
      <c r="L6" s="358">
        <f t="shared" si="0"/>
        <v>0</v>
      </c>
      <c r="M6" s="358">
        <f t="shared" ca="1" si="4"/>
        <v>0</v>
      </c>
      <c r="N6" s="358">
        <f ca="1">VLOOKUP(B6,KTVTRD20namcamket!$B$4:$Y$243,23,0)</f>
        <v>480</v>
      </c>
      <c r="O6" s="358">
        <f ca="1">VLOOKUP(B6,KTVTRD20namcamket!$B$4:$Y$243,24,0)</f>
        <v>1.6104150615685178</v>
      </c>
      <c r="P6" s="358">
        <f ca="1">VLOOKUP(B6,KTVTRD20namMH!$B$4:$Y$243,24,0)</f>
        <v>1.6414295503766305</v>
      </c>
    </row>
    <row r="7" spans="2:16" ht="12.75" customHeight="1">
      <c r="B7" s="356">
        <v>4</v>
      </c>
      <c r="C7" s="356">
        <f>IF(ROW(A4)&gt;'Tinh phi QL'!$D$12,"",ROW(A4))</f>
        <v>4</v>
      </c>
      <c r="D7" s="357">
        <f ca="1">IF(IFERROR(--TRIM(C7),0)=0,0,'Tinh phi QL'!$H$12/1000)</f>
        <v>0</v>
      </c>
      <c r="E7" s="358">
        <f t="shared" si="5"/>
        <v>0</v>
      </c>
      <c r="F7" s="358">
        <f t="shared" ca="1" si="1"/>
        <v>0</v>
      </c>
      <c r="G7" s="358">
        <f ca="1">_xlfn.AGGREGATE(9,6,KTVTDPhi20nam!E7:AG7)</f>
        <v>6571</v>
      </c>
      <c r="H7" s="358">
        <f ca="1">D7*20%</f>
        <v>0</v>
      </c>
      <c r="I7" s="358">
        <f t="shared" si="2"/>
        <v>0</v>
      </c>
      <c r="J7" s="358">
        <f t="shared" ca="1" si="3"/>
        <v>0</v>
      </c>
      <c r="K7" s="358">
        <f t="shared" ca="1" si="0"/>
        <v>0</v>
      </c>
      <c r="L7" s="358">
        <f t="shared" si="0"/>
        <v>0</v>
      </c>
      <c r="M7" s="358">
        <f t="shared" ca="1" si="4"/>
        <v>0</v>
      </c>
      <c r="N7" s="358">
        <f ca="1">VLOOKUP(B7,KTVTRD20namcamket!$B$4:$Y$243,23,0)</f>
        <v>540</v>
      </c>
      <c r="O7" s="358">
        <f ca="1">VLOOKUP(B7,KTVTRD20namcamket!$B$4:$Y$243,24,0)</f>
        <v>2.4123786441312647</v>
      </c>
      <c r="P7" s="358">
        <f ca="1">VLOOKUP(B7,KTVTRD20namMH!$B$4:$Y$243,24,0)</f>
        <v>2.489551285641721</v>
      </c>
    </row>
    <row r="8" spans="2:16" ht="12.75" customHeight="1">
      <c r="B8" s="356">
        <v>5</v>
      </c>
      <c r="C8" s="356">
        <f>IF(ROW(A5)&gt;'Tinh phi QL'!$D$12,"",ROW(A5))</f>
        <v>5</v>
      </c>
      <c r="D8" s="357">
        <f ca="1">IF(IFERROR(--TRIM(C8),0)=0,0,'Tinh phi QL'!$H$12/1000)</f>
        <v>0</v>
      </c>
      <c r="E8" s="358">
        <f t="shared" si="5"/>
        <v>0</v>
      </c>
      <c r="F8" s="358">
        <f t="shared" ca="1" si="1"/>
        <v>0</v>
      </c>
      <c r="G8" s="358">
        <f ca="1">_xlfn.AGGREGATE(9,6,KTVTDPhi20nam!E8:AG8)</f>
        <v>6571</v>
      </c>
      <c r="H8" s="358">
        <f ca="1">D8*20%</f>
        <v>0</v>
      </c>
      <c r="I8" s="358">
        <f t="shared" si="2"/>
        <v>0</v>
      </c>
      <c r="J8" s="358">
        <f t="shared" ca="1" si="3"/>
        <v>0</v>
      </c>
      <c r="K8" s="358">
        <f t="shared" ca="1" si="0"/>
        <v>0</v>
      </c>
      <c r="L8" s="358">
        <f t="shared" si="0"/>
        <v>0</v>
      </c>
      <c r="M8" s="358">
        <f t="shared" ca="1" si="4"/>
        <v>0</v>
      </c>
      <c r="N8" s="358">
        <f ca="1">VLOOKUP(B8,KTVTRD20namcamket!$B$4:$Y$243,23,0)</f>
        <v>600</v>
      </c>
      <c r="O8" s="358">
        <f ca="1">VLOOKUP(B8,KTVTRD20namcamket!$B$4:$Y$243,24,0)</f>
        <v>3.4382242426968466</v>
      </c>
      <c r="P8" s="358">
        <f ca="1">VLOOKUP(B8,KTVTRD20namMH!$B$4:$Y$243,24,0)</f>
        <v>3.6007062456627557</v>
      </c>
    </row>
    <row r="9" spans="2:16" ht="12.75" customHeight="1">
      <c r="B9" s="356">
        <v>6</v>
      </c>
      <c r="C9" s="356">
        <f>IF(ROW(A6)&gt;'Tinh phi QL'!$D$12,"",ROW(A6))</f>
        <v>6</v>
      </c>
      <c r="D9" s="357">
        <f ca="1">IF(IFERROR(--TRIM(C9),0)=0,0,'Tinh phi QL'!$H$12/1000)</f>
        <v>0</v>
      </c>
      <c r="E9" s="358">
        <f t="shared" si="5"/>
        <v>0</v>
      </c>
      <c r="F9" s="358">
        <f t="shared" ca="1" si="1"/>
        <v>0</v>
      </c>
      <c r="G9" s="358">
        <f ca="1">_xlfn.AGGREGATE(9,6,KTVTDPhi20nam!E9:AG9)</f>
        <v>7495</v>
      </c>
      <c r="H9" s="358">
        <f ca="1">D9*2%</f>
        <v>0</v>
      </c>
      <c r="I9" s="358">
        <f>E9*1%</f>
        <v>0</v>
      </c>
      <c r="J9" s="358">
        <f t="shared" ca="1" si="3"/>
        <v>0</v>
      </c>
      <c r="K9" s="358">
        <f t="shared" ca="1" si="0"/>
        <v>0</v>
      </c>
      <c r="L9" s="358">
        <f t="shared" si="0"/>
        <v>0</v>
      </c>
      <c r="M9" s="358">
        <f t="shared" ca="1" si="4"/>
        <v>0</v>
      </c>
      <c r="N9" s="358">
        <f ca="1">VLOOKUP(B9,KTVTRD20namcamket!$B$4:$Y$243,23,0)</f>
        <v>600</v>
      </c>
      <c r="O9" s="358">
        <f ca="1">VLOOKUP(B9,KTVTRD20namcamket!$B$4:$Y$243,24,0)</f>
        <v>4.6195317307817962</v>
      </c>
      <c r="P9" s="358">
        <f ca="1">VLOOKUP(B9,KTVTRD20namMH!$B$4:$Y$243,24,0)</f>
        <v>4.9166739062154639</v>
      </c>
    </row>
    <row r="10" spans="2:16" ht="12.75" customHeight="1">
      <c r="B10" s="356">
        <v>7</v>
      </c>
      <c r="C10" s="356">
        <f>IF(ROW(A7)&gt;'Tinh phi QL'!$D$12,"",ROW(A7))</f>
        <v>7</v>
      </c>
      <c r="D10" s="357">
        <f ca="1">IF(IFERROR(--TRIM(C10),0)=0,0,'Tinh phi QL'!$H$12/1000)</f>
        <v>0</v>
      </c>
      <c r="E10" s="358">
        <f t="shared" si="5"/>
        <v>0</v>
      </c>
      <c r="F10" s="358">
        <f t="shared" ca="1" si="1"/>
        <v>0</v>
      </c>
      <c r="G10" s="358">
        <f ca="1">_xlfn.AGGREGATE(9,6,KTVTDPhi20nam!E10:AG10)</f>
        <v>7495</v>
      </c>
      <c r="H10" s="358">
        <f ca="1">D10*2%</f>
        <v>0</v>
      </c>
      <c r="I10" s="358">
        <f t="shared" ref="I10:I13" si="6">E10*1%</f>
        <v>0</v>
      </c>
      <c r="J10" s="358">
        <f t="shared" ca="1" si="3"/>
        <v>0</v>
      </c>
      <c r="K10" s="358">
        <f t="shared" ca="1" si="0"/>
        <v>0</v>
      </c>
      <c r="L10" s="358">
        <f t="shared" si="0"/>
        <v>0</v>
      </c>
      <c r="M10" s="358">
        <f t="shared" ca="1" si="4"/>
        <v>0</v>
      </c>
      <c r="N10" s="358">
        <f ca="1">VLOOKUP(B10,KTVTRD20namcamket!$B$4:$Y$243,23,0)</f>
        <v>600</v>
      </c>
      <c r="O10" s="358">
        <f ca="1">VLOOKUP(B10,KTVTRD20namcamket!$B$4:$Y$243,24,0)</f>
        <v>5.9857325220498145</v>
      </c>
      <c r="P10" s="358">
        <f ca="1">VLOOKUP(B10,KTVTRD20namMH!$B$4:$Y$243,24,0)</f>
        <v>6.4865668642277958</v>
      </c>
    </row>
    <row r="11" spans="2:16" ht="12.75" customHeight="1">
      <c r="B11" s="356">
        <v>8</v>
      </c>
      <c r="C11" s="356">
        <f>IF(ROW(A8)&gt;'Tinh phi QL'!$D$12,"",ROW(A8))</f>
        <v>8</v>
      </c>
      <c r="D11" s="357">
        <f ca="1">IF(IFERROR(--TRIM(C11),0)=0,0,'Tinh phi QL'!$H$12/1000)</f>
        <v>0</v>
      </c>
      <c r="E11" s="358">
        <f t="shared" si="5"/>
        <v>0</v>
      </c>
      <c r="F11" s="358">
        <f t="shared" ca="1" si="1"/>
        <v>0</v>
      </c>
      <c r="G11" s="358">
        <f ca="1">_xlfn.AGGREGATE(9,6,KTVTDPhi20nam!E11:AG11)</f>
        <v>7495</v>
      </c>
      <c r="H11" s="358">
        <f ca="1">D11*2%</f>
        <v>0</v>
      </c>
      <c r="I11" s="358">
        <f t="shared" si="6"/>
        <v>0</v>
      </c>
      <c r="J11" s="358">
        <f t="shared" ca="1" si="3"/>
        <v>0</v>
      </c>
      <c r="K11" s="358">
        <f t="shared" ca="1" si="0"/>
        <v>0</v>
      </c>
      <c r="L11" s="358">
        <f t="shared" si="0"/>
        <v>0</v>
      </c>
      <c r="M11" s="358">
        <f t="shared" ca="1" si="4"/>
        <v>0</v>
      </c>
      <c r="N11" s="358">
        <f ca="1">VLOOKUP(B11,KTVTRD20namcamket!$B$4:$Y$243,23,0)</f>
        <v>600</v>
      </c>
      <c r="O11" s="358">
        <f ca="1">VLOOKUP(B11,KTVTRD20namcamket!$B$4:$Y$243,24,0)</f>
        <v>7.5897914456429341</v>
      </c>
      <c r="P11" s="358">
        <f ca="1">VLOOKUP(B11,KTVTRD20namMH!$B$4:$Y$243,24,0)</f>
        <v>8.3704413126438393</v>
      </c>
    </row>
    <row r="12" spans="2:16" ht="12.75" customHeight="1">
      <c r="B12" s="356">
        <v>9</v>
      </c>
      <c r="C12" s="356">
        <f>IF(ROW(A9)&gt;'Tinh phi QL'!$D$12,"",ROW(A9))</f>
        <v>9</v>
      </c>
      <c r="D12" s="357">
        <f ca="1">IF(IFERROR(--TRIM(C12),0)=0,0,'Tinh phi QL'!$H$12/1000)</f>
        <v>0</v>
      </c>
      <c r="E12" s="358">
        <f t="shared" si="5"/>
        <v>0</v>
      </c>
      <c r="F12" s="358">
        <f t="shared" ca="1" si="1"/>
        <v>0</v>
      </c>
      <c r="G12" s="358">
        <f ca="1">_xlfn.AGGREGATE(9,6,KTVTDPhi20nam!E12:AG12)</f>
        <v>7495</v>
      </c>
      <c r="H12" s="358">
        <f ca="1">D12*2%</f>
        <v>0</v>
      </c>
      <c r="I12" s="358">
        <f t="shared" si="6"/>
        <v>0</v>
      </c>
      <c r="J12" s="358">
        <f t="shared" ca="1" si="3"/>
        <v>0</v>
      </c>
      <c r="K12" s="358">
        <f t="shared" ca="1" si="0"/>
        <v>0</v>
      </c>
      <c r="L12" s="358">
        <f t="shared" si="0"/>
        <v>0</v>
      </c>
      <c r="M12" s="358">
        <f t="shared" ca="1" si="4"/>
        <v>0</v>
      </c>
      <c r="N12" s="358">
        <f ca="1">VLOOKUP(B12,KTVTRD20namcamket!$B$4:$Y$243,23,0)</f>
        <v>660</v>
      </c>
      <c r="O12" s="358">
        <f ca="1">VLOOKUP(B12,KTVTRD20namcamket!$B$4:$Y$243,24,0)</f>
        <v>9.5001892965913441</v>
      </c>
      <c r="P12" s="358">
        <f ca="1">VLOOKUP(B12,KTVTRD20namMH!$B$4:$Y$243,24,0)</f>
        <v>10.657647979326496</v>
      </c>
    </row>
    <row r="13" spans="2:16" ht="12.75" customHeight="1">
      <c r="B13" s="356">
        <v>10</v>
      </c>
      <c r="C13" s="356">
        <f>IF(ROW(A10)&gt;'Tinh phi QL'!$D$12,"",ROW(A10))</f>
        <v>10</v>
      </c>
      <c r="D13" s="357">
        <f ca="1">IF(IFERROR(--TRIM(C13),0)=0,0,'Tinh phi QL'!$H$12/1000)</f>
        <v>0</v>
      </c>
      <c r="E13" s="358">
        <f t="shared" si="5"/>
        <v>0</v>
      </c>
      <c r="F13" s="358">
        <f t="shared" ca="1" si="1"/>
        <v>0</v>
      </c>
      <c r="G13" s="358">
        <f ca="1">_xlfn.AGGREGATE(9,6,KTVTDPhi20nam!E13:AG13)</f>
        <v>7495</v>
      </c>
      <c r="H13" s="358">
        <f ca="1">D13*2%</f>
        <v>0</v>
      </c>
      <c r="I13" s="358">
        <f t="shared" si="6"/>
        <v>0</v>
      </c>
      <c r="J13" s="358">
        <f t="shared" ca="1" si="3"/>
        <v>0</v>
      </c>
      <c r="K13" s="358">
        <f t="shared" ca="1" si="0"/>
        <v>0</v>
      </c>
      <c r="L13" s="358">
        <f t="shared" si="0"/>
        <v>0</v>
      </c>
      <c r="M13" s="358">
        <f t="shared" ca="1" si="4"/>
        <v>0</v>
      </c>
      <c r="N13" s="358">
        <f ca="1">VLOOKUP(B13,KTVTRD20namcamket!$B$4:$Y$243,23,0)</f>
        <v>720</v>
      </c>
      <c r="O13" s="358">
        <f ca="1">VLOOKUP(B13,KTVTRD20namcamket!$B$4:$Y$243,24,0)</f>
        <v>11.871133639480286</v>
      </c>
      <c r="P13" s="358">
        <f ca="1">VLOOKUP(B13,KTVTRD20namMH!$B$4:$Y$243,24,0)</f>
        <v>13.523015714774928</v>
      </c>
    </row>
    <row r="14" spans="2:16" ht="12.75" customHeight="1">
      <c r="B14" s="356">
        <v>11</v>
      </c>
      <c r="C14" s="356">
        <f>IF(ROW(A11)&gt;'Tinh phi QL'!$D$12,"",ROW(A11))</f>
        <v>11</v>
      </c>
      <c r="D14" s="357">
        <f ca="1">IF(IFERROR(--TRIM(C14),0)=0,0,'Tinh phi QL'!$H$12/1000)</f>
        <v>0</v>
      </c>
      <c r="E14" s="358">
        <f t="shared" si="5"/>
        <v>0</v>
      </c>
      <c r="F14" s="358">
        <f t="shared" ca="1" si="1"/>
        <v>0</v>
      </c>
      <c r="G14" s="358">
        <f ca="1">_xlfn.AGGREGATE(9,6,KTVTDPhi20nam!E14:AG14)</f>
        <v>8533</v>
      </c>
      <c r="H14" s="358">
        <f ca="1">D14*0%</f>
        <v>0</v>
      </c>
      <c r="I14" s="358">
        <f>E14*0%</f>
        <v>0</v>
      </c>
      <c r="J14" s="358">
        <f t="shared" ca="1" si="3"/>
        <v>0</v>
      </c>
      <c r="K14" s="358">
        <f t="shared" ca="1" si="0"/>
        <v>0</v>
      </c>
      <c r="L14" s="358">
        <f t="shared" si="0"/>
        <v>0</v>
      </c>
      <c r="M14" s="358">
        <f t="shared" ca="1" si="4"/>
        <v>0</v>
      </c>
      <c r="N14" s="358">
        <f ca="1">VLOOKUP(B14,KTVTRD20namcamket!$B$4:$Y$243,23,0)</f>
        <v>720</v>
      </c>
      <c r="O14" s="358">
        <f ca="1">VLOOKUP(B14,KTVTRD20namcamket!$B$4:$Y$243,24,0)</f>
        <v>14.717964955455326</v>
      </c>
      <c r="P14" s="358">
        <f ca="1">VLOOKUP(B14,KTVTRD20namMH!$B$4:$Y$243,24,0)</f>
        <v>17.06410764588712</v>
      </c>
    </row>
    <row r="15" spans="2:16" ht="12.75" customHeight="1">
      <c r="B15" s="356">
        <v>12</v>
      </c>
      <c r="C15" s="356">
        <f>IF(ROW(A12)&gt;'Tinh phi QL'!$D$12,"",ROW(A12))</f>
        <v>12</v>
      </c>
      <c r="D15" s="357">
        <f ca="1">IF(IFERROR(--TRIM(C15),0)=0,0,'Tinh phi QL'!$H$12/1000)</f>
        <v>0</v>
      </c>
      <c r="E15" s="358">
        <f t="shared" si="5"/>
        <v>0</v>
      </c>
      <c r="F15" s="358">
        <f t="shared" ca="1" si="1"/>
        <v>0</v>
      </c>
      <c r="G15" s="358">
        <f ca="1">_xlfn.AGGREGATE(9,6,KTVTDPhi20nam!E15:AG15)</f>
        <v>8533</v>
      </c>
      <c r="H15" s="358">
        <f t="shared" ref="H15:H23" ca="1" si="7">D15*0%</f>
        <v>0</v>
      </c>
      <c r="I15" s="358">
        <f t="shared" ref="I15:I23" si="8">E15*0%</f>
        <v>0</v>
      </c>
      <c r="J15" s="358">
        <f t="shared" ca="1" si="3"/>
        <v>0</v>
      </c>
      <c r="K15" s="358">
        <f t="shared" ca="1" si="0"/>
        <v>0</v>
      </c>
      <c r="L15" s="358">
        <f t="shared" si="0"/>
        <v>0</v>
      </c>
      <c r="M15" s="358">
        <f t="shared" ca="1" si="4"/>
        <v>0</v>
      </c>
      <c r="N15" s="358">
        <f ca="1">VLOOKUP(B15,KTVTRD20namcamket!$B$4:$Y$243,23,0)</f>
        <v>720</v>
      </c>
      <c r="O15" s="358">
        <f ca="1">VLOOKUP(B15,KTVTRD20namcamket!$B$4:$Y$243,24,0)</f>
        <v>17.844756893513281</v>
      </c>
      <c r="P15" s="358">
        <f ca="1">VLOOKUP(B15,KTVTRD20namMH!$B$4:$Y$243,24,0)</f>
        <v>21.112442123143971</v>
      </c>
    </row>
    <row r="16" spans="2:16" ht="12.75" customHeight="1">
      <c r="B16" s="356">
        <v>13</v>
      </c>
      <c r="C16" s="356">
        <f>IF(ROW(A13)&gt;'Tinh phi QL'!$D$12,"",ROW(A13))</f>
        <v>13</v>
      </c>
      <c r="D16" s="357">
        <f ca="1">IF(IFERROR(--TRIM(C16),0)=0,0,'Tinh phi QL'!$H$12/1000)</f>
        <v>0</v>
      </c>
      <c r="E16" s="358">
        <f t="shared" si="5"/>
        <v>0</v>
      </c>
      <c r="F16" s="358">
        <f t="shared" ca="1" si="1"/>
        <v>0</v>
      </c>
      <c r="G16" s="358">
        <f ca="1">_xlfn.AGGREGATE(9,6,KTVTDPhi20nam!E16:AG16)</f>
        <v>8533</v>
      </c>
      <c r="H16" s="358">
        <f t="shared" ca="1" si="7"/>
        <v>0</v>
      </c>
      <c r="I16" s="358">
        <f t="shared" si="8"/>
        <v>0</v>
      </c>
      <c r="J16" s="358">
        <f t="shared" ca="1" si="3"/>
        <v>0</v>
      </c>
      <c r="K16" s="358">
        <f t="shared" ca="1" si="0"/>
        <v>0</v>
      </c>
      <c r="L16" s="358">
        <f t="shared" si="0"/>
        <v>0</v>
      </c>
      <c r="M16" s="358">
        <f t="shared" ca="1" si="4"/>
        <v>0</v>
      </c>
      <c r="N16" s="358">
        <f ca="1">VLOOKUP(B16,KTVTRD20namcamket!$B$4:$Y$243,23,0)</f>
        <v>720</v>
      </c>
      <c r="O16" s="358">
        <f ca="1">VLOOKUP(B16,KTVTRD20namcamket!$B$4:$Y$243,24,0)</f>
        <v>21.539980989073818</v>
      </c>
      <c r="P16" s="358">
        <f ca="1">VLOOKUP(B16,KTVTRD20namMH!$B$4:$Y$243,24,0)</f>
        <v>26.004429795472468</v>
      </c>
    </row>
    <row r="17" spans="2:16" ht="12.75" customHeight="1">
      <c r="B17" s="356">
        <v>14</v>
      </c>
      <c r="C17" s="356">
        <f>IF(ROW(A14)&gt;'Tinh phi QL'!$D$12,"",ROW(A14))</f>
        <v>14</v>
      </c>
      <c r="D17" s="357">
        <f ca="1">IF(IFERROR(--TRIM(C17),0)=0,0,'Tinh phi QL'!$H$12/1000)</f>
        <v>0</v>
      </c>
      <c r="E17" s="358">
        <f t="shared" si="5"/>
        <v>0</v>
      </c>
      <c r="F17" s="358">
        <f t="shared" ca="1" si="1"/>
        <v>0</v>
      </c>
      <c r="G17" s="358">
        <f ca="1">_xlfn.AGGREGATE(9,6,KTVTDPhi20nam!E17:AG17)</f>
        <v>8533</v>
      </c>
      <c r="H17" s="358">
        <f t="shared" ca="1" si="7"/>
        <v>0</v>
      </c>
      <c r="I17" s="358">
        <f t="shared" si="8"/>
        <v>0</v>
      </c>
      <c r="J17" s="358">
        <f t="shared" ca="1" si="3"/>
        <v>0</v>
      </c>
      <c r="K17" s="358">
        <f t="shared" ca="1" si="0"/>
        <v>0</v>
      </c>
      <c r="L17" s="358">
        <f t="shared" si="0"/>
        <v>0</v>
      </c>
      <c r="M17" s="358">
        <f t="shared" ca="1" si="4"/>
        <v>0</v>
      </c>
      <c r="N17" s="358">
        <f ca="1">VLOOKUP(B17,KTVTRD20namcamket!$B$4:$Y$243,23,0)</f>
        <v>720</v>
      </c>
      <c r="O17" s="358">
        <f ca="1">VLOOKUP(B17,KTVTRD20namcamket!$B$4:$Y$243,24,0)</f>
        <v>25.704023936360215</v>
      </c>
      <c r="P17" s="358">
        <f ca="1">VLOOKUP(B17,KTVTRD20namMH!$B$4:$Y$243,24,0)</f>
        <v>31.665349090033377</v>
      </c>
    </row>
    <row r="18" spans="2:16" ht="12.75" customHeight="1">
      <c r="B18" s="356">
        <v>15</v>
      </c>
      <c r="C18" s="356">
        <f>IF(ROW(A15)&gt;'Tinh phi QL'!$D$12,"",ROW(A15))</f>
        <v>15</v>
      </c>
      <c r="D18" s="357">
        <f ca="1">IF(IFERROR(--TRIM(C18),0)=0,0,'Tinh phi QL'!$H$12/1000)</f>
        <v>0</v>
      </c>
      <c r="E18" s="358">
        <f t="shared" si="5"/>
        <v>0</v>
      </c>
      <c r="F18" s="358">
        <f t="shared" ca="1" si="1"/>
        <v>0</v>
      </c>
      <c r="G18" s="358">
        <f ca="1">_xlfn.AGGREGATE(9,6,KTVTDPhi20nam!E18:AG18)</f>
        <v>8533</v>
      </c>
      <c r="H18" s="358">
        <f t="shared" ca="1" si="7"/>
        <v>0</v>
      </c>
      <c r="I18" s="358">
        <f t="shared" si="8"/>
        <v>0</v>
      </c>
      <c r="J18" s="358">
        <f t="shared" ca="1" si="3"/>
        <v>0</v>
      </c>
      <c r="K18" s="358">
        <f t="shared" ca="1" si="0"/>
        <v>0</v>
      </c>
      <c r="L18" s="358">
        <f t="shared" si="0"/>
        <v>0</v>
      </c>
      <c r="M18" s="358">
        <f t="shared" ca="1" si="4"/>
        <v>0</v>
      </c>
      <c r="N18" s="358">
        <f ca="1">VLOOKUP(B18,KTVTRD20namcamket!$B$4:$Y$243,23,0)</f>
        <v>720</v>
      </c>
      <c r="O18" s="358">
        <f ca="1">VLOOKUP(B18,KTVTRD20namcamket!$B$4:$Y$243,24,0)</f>
        <v>30.47136095121887</v>
      </c>
      <c r="P18" s="358">
        <f ca="1">VLOOKUP(B18,KTVTRD20namMH!$B$4:$Y$243,24,0)</f>
        <v>38.307196651418238</v>
      </c>
    </row>
    <row r="19" spans="2:16" ht="12.75" customHeight="1">
      <c r="B19" s="356">
        <v>16</v>
      </c>
      <c r="C19" s="356" t="str">
        <f>IF(ROW(A16)&gt;'Tinh phi QL'!$D$12,"",ROW(A16))</f>
        <v/>
      </c>
      <c r="D19" s="357">
        <f>IF(IFERROR(--TRIM(C19),0)=0,0,'Tinh phi QL'!$H$12/1000)</f>
        <v>0</v>
      </c>
      <c r="E19" s="358">
        <f t="shared" si="5"/>
        <v>0</v>
      </c>
      <c r="F19" s="358">
        <f t="shared" si="1"/>
        <v>0</v>
      </c>
      <c r="G19" s="358">
        <f ca="1">_xlfn.AGGREGATE(9,6,KTVTDPhi20nam!E19:AG19)</f>
        <v>10469</v>
      </c>
      <c r="H19" s="358">
        <f t="shared" si="7"/>
        <v>0</v>
      </c>
      <c r="I19" s="358">
        <f t="shared" si="8"/>
        <v>0</v>
      </c>
      <c r="J19" s="358">
        <f t="shared" si="3"/>
        <v>0</v>
      </c>
      <c r="K19" s="358">
        <f t="shared" si="0"/>
        <v>0</v>
      </c>
      <c r="L19" s="358">
        <f t="shared" si="0"/>
        <v>0</v>
      </c>
      <c r="M19" s="358">
        <f t="shared" si="4"/>
        <v>0</v>
      </c>
      <c r="N19" s="358">
        <f ca="1">VLOOKUP(B19,KTVTRD20namcamket!$B$4:$Y$243,23,0)</f>
        <v>720</v>
      </c>
      <c r="O19" s="358">
        <f ca="1">VLOOKUP(B19,KTVTRD20namcamket!$B$4:$Y$243,24,0)</f>
        <v>35.715033424548388</v>
      </c>
      <c r="P19" s="358">
        <f ca="1">VLOOKUP(B19,KTVTRD20namMH!$B$4:$Y$243,24,0)</f>
        <v>45.926666437945514</v>
      </c>
    </row>
    <row r="20" spans="2:16" ht="12.75" customHeight="1">
      <c r="B20" s="356">
        <v>17</v>
      </c>
      <c r="C20" s="356" t="str">
        <f>IF(ROW(A17)&gt;'Tinh phi QL'!$D$12,"",ROW(A17))</f>
        <v/>
      </c>
      <c r="D20" s="357">
        <f>IF(IFERROR(--TRIM(C20),0)=0,0,'Tinh phi QL'!$H$12/1000)</f>
        <v>0</v>
      </c>
      <c r="E20" s="358">
        <f t="shared" si="5"/>
        <v>0</v>
      </c>
      <c r="F20" s="358">
        <f t="shared" si="1"/>
        <v>0</v>
      </c>
      <c r="G20" s="358">
        <f ca="1">_xlfn.AGGREGATE(9,6,KTVTDPhi20nam!E20:AG20)</f>
        <v>10469</v>
      </c>
      <c r="H20" s="358">
        <f t="shared" si="7"/>
        <v>0</v>
      </c>
      <c r="I20" s="358">
        <f t="shared" si="8"/>
        <v>0</v>
      </c>
      <c r="J20" s="358">
        <f t="shared" si="3"/>
        <v>0</v>
      </c>
      <c r="K20" s="358">
        <f t="shared" si="0"/>
        <v>0</v>
      </c>
      <c r="L20" s="358">
        <f t="shared" si="0"/>
        <v>0</v>
      </c>
      <c r="M20" s="358">
        <f t="shared" si="4"/>
        <v>0</v>
      </c>
      <c r="N20" s="358">
        <f ca="1">VLOOKUP(B20,KTVTRD20namcamket!$B$4:$Y$243,23,0)</f>
        <v>720</v>
      </c>
      <c r="O20" s="358">
        <f ca="1">VLOOKUP(B20,KTVTRD20namcamket!$B$4:$Y$243,24,0)</f>
        <v>41.543773364425306</v>
      </c>
      <c r="P20" s="358">
        <f ca="1">VLOOKUP(B20,KTVTRD20namMH!$B$4:$Y$243,24,0)</f>
        <v>54.782352446923156</v>
      </c>
    </row>
    <row r="21" spans="2:16" ht="12.75" customHeight="1">
      <c r="B21" s="356">
        <v>18</v>
      </c>
      <c r="C21" s="356" t="str">
        <f>IF(ROW(A18)&gt;'Tinh phi QL'!$D$12,"",ROW(A18))</f>
        <v/>
      </c>
      <c r="D21" s="357">
        <f>IF(IFERROR(--TRIM(C21),0)=0,0,'Tinh phi QL'!$H$12/1000)</f>
        <v>0</v>
      </c>
      <c r="E21" s="358">
        <f t="shared" si="5"/>
        <v>0</v>
      </c>
      <c r="F21" s="358">
        <f t="shared" si="1"/>
        <v>0</v>
      </c>
      <c r="G21" s="358">
        <f ca="1">_xlfn.AGGREGATE(9,6,KTVTDPhi20nam!E21:AG21)</f>
        <v>10469</v>
      </c>
      <c r="H21" s="358">
        <f t="shared" si="7"/>
        <v>0</v>
      </c>
      <c r="I21" s="358">
        <f t="shared" si="8"/>
        <v>0</v>
      </c>
      <c r="J21" s="358">
        <f t="shared" si="3"/>
        <v>0</v>
      </c>
      <c r="K21" s="358">
        <f t="shared" si="0"/>
        <v>0</v>
      </c>
      <c r="L21" s="358">
        <f t="shared" si="0"/>
        <v>0</v>
      </c>
      <c r="M21" s="358">
        <f t="shared" si="4"/>
        <v>0</v>
      </c>
      <c r="N21" s="358">
        <f ca="1">VLOOKUP(B21,KTVTRD20namcamket!$B$4:$Y$243,23,0)</f>
        <v>720</v>
      </c>
      <c r="O21" s="358">
        <f ca="1">VLOOKUP(B21,KTVTRD20namcamket!$B$4:$Y$243,24,0)</f>
        <v>48.100307685331003</v>
      </c>
      <c r="P21" s="358">
        <f ca="1">VLOOKUP(B21,KTVTRD20namMH!$B$4:$Y$243,24,0)</f>
        <v>65.035001707992947</v>
      </c>
    </row>
    <row r="22" spans="2:16" ht="12.75" customHeight="1">
      <c r="B22" s="356">
        <v>19</v>
      </c>
      <c r="C22" s="356" t="str">
        <f>IF(ROW(A19)&gt;'Tinh phi QL'!$D$12,"",ROW(A19))</f>
        <v/>
      </c>
      <c r="D22" s="357">
        <f>IF(IFERROR(--TRIM(C22),0)=0,0,'Tinh phi QL'!$H$12/1000)</f>
        <v>0</v>
      </c>
      <c r="E22" s="358">
        <f t="shared" ref="E22:E23" si="9">E21</f>
        <v>0</v>
      </c>
      <c r="F22" s="358">
        <f t="shared" si="1"/>
        <v>0</v>
      </c>
      <c r="G22" s="358">
        <f ca="1">_xlfn.AGGREGATE(9,6,KTVTDPhi20nam!E22:AG22)</f>
        <v>10469</v>
      </c>
      <c r="H22" s="358">
        <f t="shared" si="7"/>
        <v>0</v>
      </c>
      <c r="I22" s="358">
        <f t="shared" si="8"/>
        <v>0</v>
      </c>
      <c r="J22" s="358">
        <f t="shared" si="3"/>
        <v>0</v>
      </c>
      <c r="K22" s="358">
        <f t="shared" si="0"/>
        <v>0</v>
      </c>
      <c r="L22" s="358">
        <f t="shared" si="0"/>
        <v>0</v>
      </c>
      <c r="M22" s="358">
        <f t="shared" si="4"/>
        <v>0</v>
      </c>
      <c r="N22" s="358">
        <f ca="1">VLOOKUP(B22,KTVTRD20namcamket!$B$4:$Y$243,23,0)</f>
        <v>720</v>
      </c>
      <c r="O22" s="358">
        <f ca="1">VLOOKUP(B22,KTVTRD20namcamket!$B$4:$Y$243,24,0)</f>
        <v>55.446412002658143</v>
      </c>
      <c r="P22" s="358">
        <f ca="1">VLOOKUP(B22,KTVTRD20namMH!$B$4:$Y$243,24,0)</f>
        <v>76.861156366829022</v>
      </c>
    </row>
    <row r="23" spans="2:16" ht="12.75" customHeight="1">
      <c r="B23" s="356">
        <v>20</v>
      </c>
      <c r="C23" s="356" t="str">
        <f>IF(ROW(A20)&gt;'Tinh phi QL'!$D$12,"",ROW(A20))</f>
        <v/>
      </c>
      <c r="D23" s="357">
        <f>IF(IFERROR(--TRIM(C23),0)=0,0,'Tinh phi QL'!$H$12/1000)</f>
        <v>0</v>
      </c>
      <c r="E23" s="358">
        <f t="shared" si="9"/>
        <v>0</v>
      </c>
      <c r="F23" s="358">
        <f t="shared" si="1"/>
        <v>0</v>
      </c>
      <c r="G23" s="358">
        <f ca="1">_xlfn.AGGREGATE(9,6,KTVTDPhi20nam!E23:AG23)</f>
        <v>10469</v>
      </c>
      <c r="H23" s="358">
        <f t="shared" si="7"/>
        <v>0</v>
      </c>
      <c r="I23" s="358">
        <f t="shared" si="8"/>
        <v>0</v>
      </c>
      <c r="J23" s="358">
        <f t="shared" si="3"/>
        <v>0</v>
      </c>
      <c r="K23" s="358">
        <f t="shared" si="0"/>
        <v>0</v>
      </c>
      <c r="L23" s="358">
        <f t="shared" si="0"/>
        <v>0</v>
      </c>
      <c r="M23" s="358">
        <f t="shared" si="4"/>
        <v>0</v>
      </c>
      <c r="N23" s="358">
        <f ca="1">VLOOKUP(B23,KTVTRD20namcamket!$B$4:$Y$243,23,0)</f>
        <v>720</v>
      </c>
      <c r="O23" s="358">
        <f ca="1">VLOOKUP(B23,KTVTRD20namcamket!$B$4:$Y$243,24,0)</f>
        <v>63.787875889549007</v>
      </c>
      <c r="P23" s="358">
        <f ca="1">VLOOKUP(B23,KTVTRD20namMH!$B$4:$Y$243,24,0)</f>
        <v>90.655843107561836</v>
      </c>
    </row>
  </sheetData>
  <mergeCells count="9">
    <mergeCell ref="B1:O1"/>
    <mergeCell ref="B2:B3"/>
    <mergeCell ref="D2:F2"/>
    <mergeCell ref="G2:G3"/>
    <mergeCell ref="H2:J2"/>
    <mergeCell ref="K2:M2"/>
    <mergeCell ref="N2:N3"/>
    <mergeCell ref="O2:P2"/>
    <mergeCell ref="C2:C3"/>
  </mergeCells>
  <conditionalFormatting sqref="B4:P23">
    <cfRule type="expression" dxfId="193" priority="1">
      <formula>MOD(ROW(),2)&gt;0</formula>
    </cfRule>
    <cfRule type="expression" dxfId="192" priority="2">
      <formula>"mod(row(),2).0"</formula>
    </cfRule>
  </conditionalFormatting>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7747F4-95C8-4311-A369-0AC6B2BD3AA1}">
  <dimension ref="B1:Y243"/>
  <sheetViews>
    <sheetView showGridLines="0" zoomScaleNormal="100" workbookViewId="0">
      <pane ySplit="3" topLeftCell="A232" activePane="bottomLeft" state="frozen"/>
      <selection activeCell="O4" sqref="O4"/>
      <selection pane="bottomLeft" activeCell="I244" sqref="I244"/>
    </sheetView>
  </sheetViews>
  <sheetFormatPr defaultColWidth="7.796875" defaultRowHeight="9.75" customHeight="1"/>
  <cols>
    <col min="1" max="1" width="2.19921875" style="277" customWidth="1"/>
    <col min="2" max="2" width="5.796875" style="270" customWidth="1"/>
    <col min="3" max="3" width="6.796875" style="270" customWidth="1"/>
    <col min="4" max="4" width="9.19921875" style="270" customWidth="1"/>
    <col min="5" max="5" width="14.296875" style="271" customWidth="1"/>
    <col min="6" max="6" width="11.5" style="299" customWidth="1"/>
    <col min="7" max="7" width="13.796875" style="272" customWidth="1"/>
    <col min="8" max="8" width="14.796875" style="271" customWidth="1"/>
    <col min="9" max="9" width="17.296875" style="273" customWidth="1"/>
    <col min="10" max="10" width="15.796875" style="300" customWidth="1"/>
    <col min="11" max="11" width="2.19921875" style="318" hidden="1" customWidth="1"/>
    <col min="12" max="12" width="2.69921875" style="318" hidden="1" customWidth="1"/>
    <col min="13" max="13" width="8.19921875" style="319" hidden="1" customWidth="1"/>
    <col min="14" max="15" width="0" style="298" hidden="1" customWidth="1"/>
    <col min="16" max="23" width="8.19921875" style="277" hidden="1" customWidth="1"/>
    <col min="24" max="16384" width="7.796875" style="277"/>
  </cols>
  <sheetData>
    <row r="1" spans="2:25" ht="9.75" customHeight="1">
      <c r="F1" s="271"/>
      <c r="J1" s="274" t="s">
        <v>681</v>
      </c>
      <c r="N1" s="275" t="s">
        <v>682</v>
      </c>
      <c r="O1" s="275" t="s">
        <v>683</v>
      </c>
      <c r="P1" s="276">
        <v>1</v>
      </c>
      <c r="Q1" s="276">
        <v>2</v>
      </c>
      <c r="R1" s="314">
        <v>3</v>
      </c>
      <c r="S1" s="314">
        <v>4</v>
      </c>
      <c r="T1" s="314">
        <v>5</v>
      </c>
      <c r="U1" s="322" t="s">
        <v>682</v>
      </c>
      <c r="V1" s="322" t="s">
        <v>702</v>
      </c>
      <c r="W1" s="314" t="s">
        <v>703</v>
      </c>
    </row>
    <row r="2" spans="2:25" ht="12" customHeight="1">
      <c r="B2" s="956" t="s">
        <v>819</v>
      </c>
      <c r="C2" s="956"/>
      <c r="D2" s="956"/>
      <c r="E2" s="956"/>
      <c r="F2" s="956"/>
      <c r="G2" s="956"/>
      <c r="H2" s="956"/>
      <c r="I2" s="956"/>
      <c r="J2" s="463">
        <f>KTVTDGTTKMH!M2</f>
        <v>4.5999999999999999E-2</v>
      </c>
      <c r="N2" s="278">
        <v>0.02</v>
      </c>
      <c r="O2" s="279">
        <v>0.01</v>
      </c>
      <c r="P2" s="315">
        <v>3.5000000000000003E-2</v>
      </c>
      <c r="Q2" s="315">
        <v>0.03</v>
      </c>
      <c r="R2" s="315">
        <v>0.03</v>
      </c>
      <c r="S2" s="315">
        <v>0.02</v>
      </c>
      <c r="T2" s="315">
        <v>0.02</v>
      </c>
      <c r="U2" s="315">
        <v>1.4999999999999999E-2</v>
      </c>
      <c r="V2" s="315">
        <v>0.01</v>
      </c>
      <c r="W2" s="323">
        <v>5.0000000000000001E-3</v>
      </c>
    </row>
    <row r="3" spans="2:25" s="286" customFormat="1" ht="39" customHeight="1">
      <c r="B3" s="280" t="s">
        <v>670</v>
      </c>
      <c r="C3" s="280" t="s">
        <v>1</v>
      </c>
      <c r="D3" s="280" t="s">
        <v>671</v>
      </c>
      <c r="E3" s="281" t="s">
        <v>678</v>
      </c>
      <c r="F3" s="281" t="s">
        <v>684</v>
      </c>
      <c r="G3" s="282" t="s">
        <v>685</v>
      </c>
      <c r="H3" s="281" t="s">
        <v>686</v>
      </c>
      <c r="I3" s="283" t="s">
        <v>804</v>
      </c>
      <c r="J3" s="284" t="s">
        <v>688</v>
      </c>
      <c r="K3" s="320"/>
      <c r="L3" s="320"/>
      <c r="M3" s="321"/>
      <c r="N3" s="285">
        <f t="shared" ref="N3:W3" si="0">(1+N2)^(1/12)-1</f>
        <v>1.6515813019202241E-3</v>
      </c>
      <c r="O3" s="285">
        <f t="shared" si="0"/>
        <v>8.295381143461622E-4</v>
      </c>
      <c r="P3" s="316">
        <f t="shared" si="0"/>
        <v>2.8708987190766422E-3</v>
      </c>
      <c r="Q3" s="316">
        <f t="shared" si="0"/>
        <v>2.4662697723036864E-3</v>
      </c>
      <c r="R3" s="316">
        <f t="shared" si="0"/>
        <v>2.4662697723036864E-3</v>
      </c>
      <c r="S3" s="316">
        <f t="shared" si="0"/>
        <v>1.6515813019202241E-3</v>
      </c>
      <c r="T3" s="316">
        <f t="shared" si="0"/>
        <v>1.6515813019202241E-3</v>
      </c>
      <c r="U3" s="316">
        <f t="shared" si="0"/>
        <v>1.2414877164492744E-3</v>
      </c>
      <c r="V3" s="316">
        <f t="shared" si="0"/>
        <v>8.295381143461622E-4</v>
      </c>
      <c r="W3" s="316">
        <f t="shared" si="0"/>
        <v>4.1571484472902043E-4</v>
      </c>
    </row>
    <row r="4" spans="2:25" ht="9.75" customHeight="1">
      <c r="B4" s="954">
        <v>1</v>
      </c>
      <c r="C4" s="952">
        <f ca="1">'Tinh phi QL'!I8</f>
        <v>30</v>
      </c>
      <c r="D4" s="287">
        <f ca="1">'Hoach dinh tai chinh'!J3</f>
        <v>46229</v>
      </c>
      <c r="E4" s="288">
        <f>'Tinh phi QL'!E12/1000</f>
        <v>0</v>
      </c>
      <c r="F4" s="289">
        <f ca="1">IF(YEAR(D4)=2025,40000,IF(YEAR(D4)=2026,40000,IF(YEAR(D4)=2027,40000,IF(YEAR(D4)=2028,40000,IF(YEAR(D4)=2029,40000,IF(YEAR(D4)=2030,50000,IF(YEAR(D4)=2031,50000,IF(YEAR(D4)=2032,50000,IF(YEAR(D4)=2033,50000,IF(YEAR(D4)=2034,50000,IF(YEAR(D4)&gt;=2035,60000,0)))))))))))/1000</f>
        <v>40</v>
      </c>
      <c r="G4" s="290">
        <f ca="1">KTVCOI!R3</f>
        <v>0</v>
      </c>
      <c r="H4" s="290">
        <f ca="1">(KTVTRDGTTKcamket!F7-KTVTRD20namMH!F4-G4)*(1+LS!F3)</f>
        <v>-40.150192487245846</v>
      </c>
      <c r="I4" s="291"/>
      <c r="J4" s="292">
        <f ca="1">H4</f>
        <v>-40.150192487245846</v>
      </c>
      <c r="K4" s="949">
        <f ca="1">J15</f>
        <v>-492.15747012288949</v>
      </c>
      <c r="L4" s="949"/>
      <c r="M4" s="949"/>
      <c r="N4" s="950">
        <f ca="1">SUM(G4:G15)</f>
        <v>0.27513926435729708</v>
      </c>
      <c r="O4" s="950"/>
      <c r="X4" s="945">
        <f ca="1">SUM(F4:F15)</f>
        <v>480</v>
      </c>
      <c r="Y4" s="945">
        <f ca="1">SUM(G4:G15)</f>
        <v>0.27513926435729708</v>
      </c>
    </row>
    <row r="5" spans="2:25" ht="9.75" customHeight="1">
      <c r="B5" s="954"/>
      <c r="C5" s="952"/>
      <c r="D5" s="287">
        <f t="shared" ref="D5:D68" ca="1" si="1">EDATE(D4,1)</f>
        <v>46260</v>
      </c>
      <c r="E5" s="288">
        <f>E4</f>
        <v>0</v>
      </c>
      <c r="F5" s="289">
        <f t="shared" ref="F5:F68" ca="1" si="2">IF(YEAR(D5)=2025,40000,IF(YEAR(D5)=2026,40000,IF(YEAR(D5)=2027,40000,IF(YEAR(D5)=2028,40000,IF(YEAR(D5)=2029,40000,IF(YEAR(D5)=2030,50000,IF(YEAR(D5)=2031,50000,IF(YEAR(D5)=2032,50000,IF(YEAR(D5)=2033,50000,IF(YEAR(D5)=2034,50000,IF(YEAR(D5)&gt;=2035,60000,0)))))))))))/1000</f>
        <v>40</v>
      </c>
      <c r="G5" s="290">
        <f ca="1">KTVCOI!R4</f>
        <v>4.1153947299426988E-3</v>
      </c>
      <c r="H5" s="290">
        <f ca="1">(H4-F5-G5)*(1+LS!$F$3)</f>
        <v>-80.455272253582365</v>
      </c>
      <c r="I5" s="291"/>
      <c r="J5" s="292">
        <f t="shared" ref="J5:J68" ca="1" si="3">H5</f>
        <v>-80.455272253582365</v>
      </c>
      <c r="K5" s="949"/>
      <c r="L5" s="949"/>
      <c r="M5" s="949"/>
      <c r="N5" s="950"/>
      <c r="O5" s="950"/>
      <c r="X5" s="1004"/>
      <c r="Y5" s="1004"/>
    </row>
    <row r="6" spans="2:25" ht="9.75" customHeight="1">
      <c r="B6" s="954"/>
      <c r="C6" s="952"/>
      <c r="D6" s="287">
        <f t="shared" ca="1" si="1"/>
        <v>46291</v>
      </c>
      <c r="E6" s="288">
        <f t="shared" ref="E6:E69" si="4">E5</f>
        <v>0</v>
      </c>
      <c r="F6" s="289">
        <f t="shared" ca="1" si="2"/>
        <v>40</v>
      </c>
      <c r="G6" s="290">
        <f ca="1">KTVCOI!R5</f>
        <v>8.2466654059921915E-3</v>
      </c>
      <c r="H6" s="290">
        <f ca="1">(H5-F6-G6)*(1+LS!$F$3)</f>
        <v>-120.9158368072091</v>
      </c>
      <c r="I6" s="291"/>
      <c r="J6" s="292">
        <f t="shared" ca="1" si="3"/>
        <v>-120.9158368072091</v>
      </c>
      <c r="K6" s="949"/>
      <c r="L6" s="949"/>
      <c r="M6" s="949"/>
      <c r="N6" s="950"/>
      <c r="O6" s="950"/>
      <c r="X6" s="1004"/>
      <c r="Y6" s="1004"/>
    </row>
    <row r="7" spans="2:25" ht="9.75" customHeight="1">
      <c r="B7" s="954"/>
      <c r="C7" s="952"/>
      <c r="D7" s="287">
        <f t="shared" ca="1" si="1"/>
        <v>46321</v>
      </c>
      <c r="E7" s="288">
        <f t="shared" si="4"/>
        <v>0</v>
      </c>
      <c r="F7" s="289">
        <f t="shared" ca="1" si="2"/>
        <v>40</v>
      </c>
      <c r="G7" s="290">
        <f ca="1">KTVCOI!R6</f>
        <v>1.2393873272738934E-2</v>
      </c>
      <c r="H7" s="290">
        <f ca="1">(H6-F7-G7)*(1+LS!$F$3)</f>
        <v>-161.53248596133122</v>
      </c>
      <c r="I7" s="291"/>
      <c r="J7" s="292">
        <f t="shared" ca="1" si="3"/>
        <v>-161.53248596133122</v>
      </c>
      <c r="K7" s="949"/>
      <c r="L7" s="949"/>
      <c r="M7" s="949"/>
      <c r="N7" s="950"/>
      <c r="O7" s="950"/>
      <c r="X7" s="1004"/>
      <c r="Y7" s="1004"/>
    </row>
    <row r="8" spans="2:25" ht="9.75" customHeight="1">
      <c r="B8" s="954"/>
      <c r="C8" s="952"/>
      <c r="D8" s="287">
        <f t="shared" ca="1" si="1"/>
        <v>46352</v>
      </c>
      <c r="E8" s="288">
        <f t="shared" si="4"/>
        <v>0</v>
      </c>
      <c r="F8" s="289">
        <f t="shared" ca="1" si="2"/>
        <v>40</v>
      </c>
      <c r="G8" s="290">
        <f ca="1">KTVCOI!R7</f>
        <v>1.6557079811036449E-2</v>
      </c>
      <c r="H8" s="290">
        <f ca="1">(H7-F8-G8)*(1+LS!$F$3)</f>
        <v>-202.30582184305149</v>
      </c>
      <c r="I8" s="291"/>
      <c r="J8" s="292">
        <f t="shared" ca="1" si="3"/>
        <v>-202.30582184305149</v>
      </c>
      <c r="K8" s="949"/>
      <c r="L8" s="949"/>
      <c r="M8" s="949"/>
      <c r="N8" s="950"/>
      <c r="O8" s="950"/>
      <c r="X8" s="1004"/>
      <c r="Y8" s="1004"/>
    </row>
    <row r="9" spans="2:25" ht="9.75" customHeight="1">
      <c r="B9" s="954"/>
      <c r="C9" s="952"/>
      <c r="D9" s="287">
        <f t="shared" ca="1" si="1"/>
        <v>46382</v>
      </c>
      <c r="E9" s="288">
        <f t="shared" si="4"/>
        <v>0</v>
      </c>
      <c r="F9" s="289">
        <f t="shared" ca="1" si="2"/>
        <v>40</v>
      </c>
      <c r="G9" s="290">
        <f ca="1">KTVCOI!R8</f>
        <v>2.0736346738912777E-2</v>
      </c>
      <c r="H9" s="290">
        <f ca="1">(H8-F9-G9)*(1+LS!$F$3)</f>
        <v>-243.23644890229664</v>
      </c>
      <c r="I9" s="291"/>
      <c r="J9" s="292">
        <f t="shared" ca="1" si="3"/>
        <v>-243.23644890229664</v>
      </c>
      <c r="K9" s="949"/>
      <c r="L9" s="949"/>
      <c r="M9" s="949"/>
      <c r="N9" s="950"/>
      <c r="O9" s="950"/>
      <c r="X9" s="1004"/>
      <c r="Y9" s="1004"/>
    </row>
    <row r="10" spans="2:25" ht="9.75" customHeight="1">
      <c r="B10" s="954"/>
      <c r="C10" s="952"/>
      <c r="D10" s="287">
        <f t="shared" ca="1" si="1"/>
        <v>46413</v>
      </c>
      <c r="E10" s="288">
        <f t="shared" si="4"/>
        <v>0</v>
      </c>
      <c r="F10" s="289">
        <f t="shared" ca="1" si="2"/>
        <v>40</v>
      </c>
      <c r="G10" s="290">
        <f ca="1">KTVCOI!R9</f>
        <v>2.4931736012485408E-2</v>
      </c>
      <c r="H10" s="290">
        <f ca="1">(H9-F10-G10)*(1+LS!$F$3)</f>
        <v>-284.32497392077812</v>
      </c>
      <c r="I10" s="291"/>
      <c r="J10" s="292">
        <f t="shared" ca="1" si="3"/>
        <v>-284.32497392077812</v>
      </c>
      <c r="K10" s="949"/>
      <c r="L10" s="949"/>
      <c r="M10" s="949"/>
      <c r="N10" s="950"/>
      <c r="O10" s="950"/>
      <c r="X10" s="1004"/>
      <c r="Y10" s="1004"/>
    </row>
    <row r="11" spans="2:25" ht="9.75" customHeight="1">
      <c r="B11" s="954"/>
      <c r="C11" s="952"/>
      <c r="D11" s="287">
        <f t="shared" ca="1" si="1"/>
        <v>46444</v>
      </c>
      <c r="E11" s="288">
        <f t="shared" si="4"/>
        <v>0</v>
      </c>
      <c r="F11" s="289">
        <f t="shared" ca="1" si="2"/>
        <v>40</v>
      </c>
      <c r="G11" s="290">
        <f ca="1">KTVCOI!R10</f>
        <v>2.9143309826879755E-2</v>
      </c>
      <c r="H11" s="290">
        <f ca="1">(H10-F11-G11)*(1+LS!$F$3)</f>
        <v>-325.57200602098743</v>
      </c>
      <c r="I11" s="291"/>
      <c r="J11" s="292">
        <f t="shared" ca="1" si="3"/>
        <v>-325.57200602098743</v>
      </c>
      <c r="K11" s="949"/>
      <c r="L11" s="949"/>
      <c r="M11" s="949"/>
      <c r="N11" s="950"/>
      <c r="O11" s="950"/>
      <c r="X11" s="1004"/>
      <c r="Y11" s="1004"/>
    </row>
    <row r="12" spans="2:25" ht="9.75" customHeight="1">
      <c r="B12" s="954"/>
      <c r="C12" s="952"/>
      <c r="D12" s="287">
        <f t="shared" ca="1" si="1"/>
        <v>46472</v>
      </c>
      <c r="E12" s="288">
        <f t="shared" si="4"/>
        <v>0</v>
      </c>
      <c r="F12" s="289">
        <f t="shared" ca="1" si="2"/>
        <v>40</v>
      </c>
      <c r="G12" s="290">
        <f ca="1">KTVCOI!R11</f>
        <v>3.3371130617151211E-2</v>
      </c>
      <c r="H12" s="290">
        <f ca="1">(H11-F12-G12)*(1+LS!$F$3)</f>
        <v>-366.97815667522593</v>
      </c>
      <c r="I12" s="291"/>
      <c r="J12" s="292">
        <f t="shared" ca="1" si="3"/>
        <v>-366.97815667522593</v>
      </c>
      <c r="K12" s="949"/>
      <c r="L12" s="949"/>
      <c r="M12" s="949"/>
      <c r="N12" s="950"/>
      <c r="O12" s="950"/>
      <c r="X12" s="1004"/>
      <c r="Y12" s="1004"/>
    </row>
    <row r="13" spans="2:25" ht="9.75" customHeight="1">
      <c r="B13" s="954"/>
      <c r="C13" s="952"/>
      <c r="D13" s="287">
        <f t="shared" ca="1" si="1"/>
        <v>46503</v>
      </c>
      <c r="E13" s="288">
        <f t="shared" si="4"/>
        <v>0</v>
      </c>
      <c r="F13" s="289">
        <f t="shared" ca="1" si="2"/>
        <v>40</v>
      </c>
      <c r="G13" s="290">
        <f ca="1">KTVCOI!R12</f>
        <v>3.7615261059210654E-2</v>
      </c>
      <c r="H13" s="290">
        <f ca="1">(H12-F13-G13)*(1+LS!$F$3)</f>
        <v>-408.54403971467013</v>
      </c>
      <c r="I13" s="291"/>
      <c r="J13" s="292">
        <f t="shared" ca="1" si="3"/>
        <v>-408.54403971467013</v>
      </c>
      <c r="K13" s="949"/>
      <c r="L13" s="949"/>
      <c r="M13" s="949"/>
      <c r="N13" s="950"/>
      <c r="O13" s="950"/>
      <c r="X13" s="1004"/>
      <c r="Y13" s="1004"/>
    </row>
    <row r="14" spans="2:25" ht="9.75" customHeight="1">
      <c r="B14" s="954"/>
      <c r="C14" s="952"/>
      <c r="D14" s="287">
        <f t="shared" ca="1" si="1"/>
        <v>46533</v>
      </c>
      <c r="E14" s="288">
        <f t="shared" si="4"/>
        <v>0</v>
      </c>
      <c r="F14" s="289">
        <f t="shared" ca="1" si="2"/>
        <v>40</v>
      </c>
      <c r="G14" s="290">
        <f ca="1">KTVCOI!R13</f>
        <v>4.187576407075369E-2</v>
      </c>
      <c r="H14" s="290">
        <f ca="1">(H13-F14-G14)*(1+LS!$F$3)</f>
        <v>-450.27027133847105</v>
      </c>
      <c r="I14" s="291"/>
      <c r="J14" s="292">
        <f t="shared" ca="1" si="3"/>
        <v>-450.27027133847105</v>
      </c>
      <c r="K14" s="949"/>
      <c r="L14" s="949"/>
      <c r="M14" s="949"/>
      <c r="N14" s="950"/>
      <c r="O14" s="950"/>
      <c r="X14" s="1004"/>
      <c r="Y14" s="1004"/>
    </row>
    <row r="15" spans="2:25" ht="9.75" customHeight="1">
      <c r="B15" s="954"/>
      <c r="C15" s="952"/>
      <c r="D15" s="287">
        <f t="shared" ca="1" si="1"/>
        <v>46564</v>
      </c>
      <c r="E15" s="288">
        <f t="shared" si="4"/>
        <v>0</v>
      </c>
      <c r="F15" s="289">
        <f t="shared" ca="1" si="2"/>
        <v>40</v>
      </c>
      <c r="G15" s="290">
        <f ca="1">KTVCOI!R14</f>
        <v>4.6152702812193275E-2</v>
      </c>
      <c r="H15" s="290">
        <f ca="1">(H14-F15-G15)*(1+LS!$F$3)</f>
        <v>-492.15747012288949</v>
      </c>
      <c r="I15" s="291"/>
      <c r="J15" s="293">
        <f t="shared" ca="1" si="3"/>
        <v>-492.15747012288949</v>
      </c>
      <c r="K15" s="949"/>
      <c r="L15" s="949"/>
      <c r="M15" s="949"/>
      <c r="N15" s="950"/>
      <c r="O15" s="950"/>
      <c r="X15" s="1004"/>
      <c r="Y15" s="1004"/>
    </row>
    <row r="16" spans="2:25" ht="9.75" customHeight="1">
      <c r="B16" s="955">
        <v>2</v>
      </c>
      <c r="C16" s="947">
        <f ca="1">C4+1</f>
        <v>31</v>
      </c>
      <c r="D16" s="294">
        <f t="shared" ca="1" si="1"/>
        <v>46594</v>
      </c>
      <c r="E16" s="359">
        <f>E15</f>
        <v>0</v>
      </c>
      <c r="F16" s="360">
        <f t="shared" ca="1" si="2"/>
        <v>40</v>
      </c>
      <c r="G16" s="290">
        <f ca="1">KTVCOI!R15</f>
        <v>5.1676534362903398E-2</v>
      </c>
      <c r="H16" s="290">
        <f ca="1">(H15+KTVTRDGTTKMH!F8-F16-G16)*(1+LS!$F$3)</f>
        <v>-534.2074920440383</v>
      </c>
      <c r="I16" s="324"/>
      <c r="J16" s="296">
        <f t="shared" ca="1" si="3"/>
        <v>-534.2074920440383</v>
      </c>
      <c r="K16" s="949">
        <f ca="1">J27</f>
        <v>-1007.6100254281246</v>
      </c>
      <c r="L16" s="949"/>
      <c r="M16" s="949"/>
      <c r="N16" s="950">
        <f ca="1">SUM(G16:G27)</f>
        <v>0.91530746640379246</v>
      </c>
      <c r="O16" s="950"/>
      <c r="X16" s="945">
        <f t="shared" ref="X16:Y16" ca="1" si="5">SUM(F16:F27)</f>
        <v>480</v>
      </c>
      <c r="Y16" s="945">
        <f t="shared" ca="1" si="5"/>
        <v>0.91530746640379246</v>
      </c>
    </row>
    <row r="17" spans="2:25" ht="9.75" customHeight="1">
      <c r="B17" s="955"/>
      <c r="C17" s="947"/>
      <c r="D17" s="294">
        <f t="shared" ca="1" si="1"/>
        <v>46625</v>
      </c>
      <c r="E17" s="359">
        <f t="shared" si="4"/>
        <v>0</v>
      </c>
      <c r="F17" s="360">
        <f t="shared" ca="1" si="2"/>
        <v>40</v>
      </c>
      <c r="G17" s="290">
        <f ca="1">KTVCOI!R16</f>
        <v>5.609178666462402E-2</v>
      </c>
      <c r="H17" s="290">
        <f ca="1">(H16-F17-G17)*(1+LS!$F$3)</f>
        <v>-576.41983573045911</v>
      </c>
      <c r="I17" s="324"/>
      <c r="J17" s="296">
        <f t="shared" ca="1" si="3"/>
        <v>-576.41983573045911</v>
      </c>
      <c r="K17" s="949"/>
      <c r="L17" s="949"/>
      <c r="M17" s="949"/>
      <c r="N17" s="950"/>
      <c r="O17" s="950"/>
      <c r="X17" s="1004"/>
      <c r="Y17" s="1004"/>
    </row>
    <row r="18" spans="2:25" ht="9.75" customHeight="1">
      <c r="B18" s="955"/>
      <c r="C18" s="947"/>
      <c r="D18" s="294">
        <f t="shared" ca="1" si="1"/>
        <v>46656</v>
      </c>
      <c r="E18" s="359">
        <f t="shared" si="4"/>
        <v>0</v>
      </c>
      <c r="F18" s="360">
        <f t="shared" ca="1" si="2"/>
        <v>40</v>
      </c>
      <c r="G18" s="290">
        <f ca="1">KTVCOI!R17</f>
        <v>6.0524082751698211E-2</v>
      </c>
      <c r="H18" s="290">
        <f ca="1">(H17-F18-G18)*(1+LS!$F$3)</f>
        <v>-618.79512777767479</v>
      </c>
      <c r="I18" s="324"/>
      <c r="J18" s="296">
        <f t="shared" ca="1" si="3"/>
        <v>-618.79512777767479</v>
      </c>
      <c r="K18" s="949"/>
      <c r="L18" s="949"/>
      <c r="M18" s="949"/>
      <c r="N18" s="950"/>
      <c r="O18" s="950"/>
      <c r="X18" s="1004"/>
      <c r="Y18" s="1004"/>
    </row>
    <row r="19" spans="2:25" ht="9.75" customHeight="1">
      <c r="B19" s="955"/>
      <c r="C19" s="947"/>
      <c r="D19" s="294">
        <f t="shared" ca="1" si="1"/>
        <v>46686</v>
      </c>
      <c r="E19" s="359">
        <f t="shared" si="4"/>
        <v>0</v>
      </c>
      <c r="F19" s="360">
        <f t="shared" ca="1" si="2"/>
        <v>40</v>
      </c>
      <c r="G19" s="290">
        <f ca="1">KTVCOI!R18</f>
        <v>6.4973488416655859E-2</v>
      </c>
      <c r="H19" s="290">
        <f ca="1">(H18-F19-G19)*(1+LS!$F$3)</f>
        <v>-661.33399719999647</v>
      </c>
      <c r="I19" s="324"/>
      <c r="J19" s="296">
        <f t="shared" ca="1" si="3"/>
        <v>-661.33399719999647</v>
      </c>
      <c r="K19" s="949"/>
      <c r="L19" s="949"/>
      <c r="M19" s="949"/>
      <c r="N19" s="950"/>
      <c r="O19" s="950"/>
      <c r="X19" s="1004"/>
      <c r="Y19" s="1004"/>
    </row>
    <row r="20" spans="2:25" ht="9.75" customHeight="1">
      <c r="B20" s="955"/>
      <c r="C20" s="947"/>
      <c r="D20" s="294">
        <f t="shared" ca="1" si="1"/>
        <v>46717</v>
      </c>
      <c r="E20" s="359">
        <f t="shared" si="4"/>
        <v>0</v>
      </c>
      <c r="F20" s="360">
        <f t="shared" ca="1" si="2"/>
        <v>40</v>
      </c>
      <c r="G20" s="290">
        <f ca="1">KTVCOI!R19</f>
        <v>6.9440069705999627E-2</v>
      </c>
      <c r="H20" s="290">
        <f ca="1">(H19-F20-G20)*(1+LS!$F$3)</f>
        <v>-704.03707543986059</v>
      </c>
      <c r="I20" s="324"/>
      <c r="J20" s="296">
        <f t="shared" ca="1" si="3"/>
        <v>-704.03707543986059</v>
      </c>
      <c r="K20" s="949"/>
      <c r="L20" s="949"/>
      <c r="M20" s="949"/>
      <c r="N20" s="950"/>
      <c r="O20" s="950"/>
      <c r="X20" s="1004"/>
      <c r="Y20" s="1004"/>
    </row>
    <row r="21" spans="2:25" ht="9.75" customHeight="1">
      <c r="B21" s="955"/>
      <c r="C21" s="947"/>
      <c r="D21" s="294">
        <f t="shared" ca="1" si="1"/>
        <v>46747</v>
      </c>
      <c r="E21" s="359">
        <f t="shared" si="4"/>
        <v>0</v>
      </c>
      <c r="F21" s="360">
        <f t="shared" ca="1" si="2"/>
        <v>40</v>
      </c>
      <c r="G21" s="290">
        <f ca="1">KTVCOI!R20</f>
        <v>7.3923892921185355E-2</v>
      </c>
      <c r="H21" s="290">
        <f ca="1">(H20-F21-G21)*(1+LS!$F$3)</f>
        <v>-746.90499637720131</v>
      </c>
      <c r="I21" s="324"/>
      <c r="J21" s="296">
        <f t="shared" ca="1" si="3"/>
        <v>-746.90499637720131</v>
      </c>
      <c r="K21" s="949"/>
      <c r="L21" s="949"/>
      <c r="M21" s="949"/>
      <c r="N21" s="950"/>
      <c r="O21" s="950"/>
      <c r="X21" s="1004"/>
      <c r="Y21" s="1004"/>
    </row>
    <row r="22" spans="2:25" ht="9.75" customHeight="1">
      <c r="B22" s="955"/>
      <c r="C22" s="947"/>
      <c r="D22" s="294">
        <f t="shared" ca="1" si="1"/>
        <v>46778</v>
      </c>
      <c r="E22" s="359">
        <f t="shared" si="4"/>
        <v>0</v>
      </c>
      <c r="F22" s="360">
        <f t="shared" ca="1" si="2"/>
        <v>40</v>
      </c>
      <c r="G22" s="290">
        <f ca="1">KTVCOI!R21</f>
        <v>7.842502461960614E-2</v>
      </c>
      <c r="H22" s="290">
        <f ca="1">(H21-F22-G22)*(1+LS!$F$3)</f>
        <v>-789.93839633886057</v>
      </c>
      <c r="I22" s="324"/>
      <c r="J22" s="296">
        <f t="shared" ca="1" si="3"/>
        <v>-789.93839633886057</v>
      </c>
      <c r="K22" s="949"/>
      <c r="L22" s="949"/>
      <c r="M22" s="949"/>
      <c r="N22" s="950"/>
      <c r="O22" s="950"/>
      <c r="X22" s="1004"/>
      <c r="Y22" s="1004"/>
    </row>
    <row r="23" spans="2:25" ht="9.75" customHeight="1">
      <c r="B23" s="955"/>
      <c r="C23" s="947"/>
      <c r="D23" s="294">
        <f t="shared" ca="1" si="1"/>
        <v>46809</v>
      </c>
      <c r="E23" s="359">
        <f t="shared" si="4"/>
        <v>0</v>
      </c>
      <c r="F23" s="360">
        <f t="shared" ca="1" si="2"/>
        <v>40</v>
      </c>
      <c r="G23" s="290">
        <f ca="1">KTVCOI!R22</f>
        <v>8.2943531615580365E-2</v>
      </c>
      <c r="H23" s="290">
        <f ca="1">(H22-F23-G23)*(1+LS!$F$3)</f>
        <v>-833.1379141080331</v>
      </c>
      <c r="I23" s="324"/>
      <c r="J23" s="296">
        <f t="shared" ca="1" si="3"/>
        <v>-833.1379141080331</v>
      </c>
      <c r="K23" s="949"/>
      <c r="L23" s="949"/>
      <c r="M23" s="949"/>
      <c r="N23" s="950"/>
      <c r="O23" s="950"/>
      <c r="X23" s="1004"/>
      <c r="Y23" s="1004"/>
    </row>
    <row r="24" spans="2:25" ht="9.75" customHeight="1">
      <c r="B24" s="955"/>
      <c r="C24" s="947"/>
      <c r="D24" s="294">
        <f t="shared" ca="1" si="1"/>
        <v>46838</v>
      </c>
      <c r="E24" s="359">
        <f t="shared" si="4"/>
        <v>0</v>
      </c>
      <c r="F24" s="360">
        <f t="shared" ca="1" si="2"/>
        <v>40</v>
      </c>
      <c r="G24" s="290">
        <f ca="1">KTVCOI!R23</f>
        <v>8.7479480981343491E-2</v>
      </c>
      <c r="H24" s="290">
        <f ca="1">(H23-F24-G24)*(1+LS!$F$3)</f>
        <v>-876.50419093374853</v>
      </c>
      <c r="I24" s="324"/>
      <c r="J24" s="296">
        <f t="shared" ca="1" si="3"/>
        <v>-876.50419093374853</v>
      </c>
      <c r="K24" s="949"/>
      <c r="L24" s="949"/>
      <c r="M24" s="949"/>
      <c r="N24" s="950"/>
      <c r="O24" s="950"/>
      <c r="X24" s="1004"/>
      <c r="Y24" s="1004"/>
    </row>
    <row r="25" spans="2:25" ht="9.75" customHeight="1">
      <c r="B25" s="955"/>
      <c r="C25" s="947"/>
      <c r="D25" s="294">
        <f t="shared" ca="1" si="1"/>
        <v>46869</v>
      </c>
      <c r="E25" s="359">
        <f t="shared" si="4"/>
        <v>0</v>
      </c>
      <c r="F25" s="360">
        <f t="shared" ca="1" si="2"/>
        <v>40</v>
      </c>
      <c r="G25" s="290">
        <f ca="1">KTVCOI!R24</f>
        <v>9.2032940048043591E-2</v>
      </c>
      <c r="H25" s="290">
        <f ca="1">(H24-F25-G25)*(1+LS!$F$3)</f>
        <v>-920.03787054039049</v>
      </c>
      <c r="I25" s="324"/>
      <c r="J25" s="296">
        <f t="shared" ca="1" si="3"/>
        <v>-920.03787054039049</v>
      </c>
      <c r="K25" s="949"/>
      <c r="L25" s="949"/>
      <c r="M25" s="949"/>
      <c r="N25" s="950"/>
      <c r="O25" s="950"/>
      <c r="X25" s="1004"/>
      <c r="Y25" s="1004"/>
    </row>
    <row r="26" spans="2:25" ht="9.75" customHeight="1">
      <c r="B26" s="955"/>
      <c r="C26" s="947"/>
      <c r="D26" s="294">
        <f t="shared" ca="1" si="1"/>
        <v>46899</v>
      </c>
      <c r="E26" s="359">
        <f t="shared" si="4"/>
        <v>0</v>
      </c>
      <c r="F26" s="360">
        <f t="shared" ca="1" si="2"/>
        <v>40</v>
      </c>
      <c r="G26" s="290">
        <f ca="1">KTVCOI!R25</f>
        <v>9.660397640674101E-2</v>
      </c>
      <c r="H26" s="290">
        <f ca="1">(H25-F26-G26)*(1+LS!$F$3)</f>
        <v>-963.73959913725128</v>
      </c>
      <c r="I26" s="324"/>
      <c r="J26" s="296">
        <f t="shared" ca="1" si="3"/>
        <v>-963.73959913725128</v>
      </c>
      <c r="K26" s="949"/>
      <c r="L26" s="949"/>
      <c r="M26" s="949"/>
      <c r="N26" s="950"/>
      <c r="O26" s="950"/>
      <c r="X26" s="1004"/>
      <c r="Y26" s="1004"/>
    </row>
    <row r="27" spans="2:25" ht="9.75" customHeight="1">
      <c r="B27" s="955"/>
      <c r="C27" s="947"/>
      <c r="D27" s="294">
        <f t="shared" ca="1" si="1"/>
        <v>46930</v>
      </c>
      <c r="E27" s="359">
        <f t="shared" si="4"/>
        <v>0</v>
      </c>
      <c r="F27" s="360">
        <f t="shared" ca="1" si="2"/>
        <v>40</v>
      </c>
      <c r="G27" s="290">
        <f ca="1">KTVCOI!R26</f>
        <v>0.10119265790941138</v>
      </c>
      <c r="H27" s="290">
        <f ca="1">(H26-F27-G27)*(1+LS!$F$3)</f>
        <v>-1007.6100254281246</v>
      </c>
      <c r="I27" s="324"/>
      <c r="J27" s="297">
        <f t="shared" ca="1" si="3"/>
        <v>-1007.6100254281246</v>
      </c>
      <c r="K27" s="949"/>
      <c r="L27" s="949"/>
      <c r="M27" s="949"/>
      <c r="N27" s="950"/>
      <c r="O27" s="950"/>
      <c r="X27" s="1004"/>
      <c r="Y27" s="1004"/>
    </row>
    <row r="28" spans="2:25" ht="9.75" customHeight="1">
      <c r="B28" s="954">
        <v>3</v>
      </c>
      <c r="C28" s="952">
        <f ca="1">C16+1</f>
        <v>32</v>
      </c>
      <c r="D28" s="287">
        <f t="shared" ca="1" si="1"/>
        <v>46960</v>
      </c>
      <c r="E28" s="359">
        <f t="shared" si="4"/>
        <v>0</v>
      </c>
      <c r="F28" s="289">
        <f t="shared" ca="1" si="2"/>
        <v>40</v>
      </c>
      <c r="G28" s="290">
        <f ca="1">KTVCOI!R27</f>
        <v>0.1099974277759036</v>
      </c>
      <c r="H28" s="290">
        <f ca="1">(H27+KTVTRDGTTKMH!F9-F28-G28)*(1+LS!$F$3)</f>
        <v>-1051.6540147601504</v>
      </c>
      <c r="I28" s="291"/>
      <c r="J28" s="292">
        <f t="shared" ca="1" si="3"/>
        <v>-1051.6540147601504</v>
      </c>
      <c r="K28" s="949">
        <f ca="1">J39</f>
        <v>-1547.5172685759376</v>
      </c>
      <c r="L28" s="949"/>
      <c r="M28" s="949"/>
      <c r="N28" s="950">
        <f t="shared" ref="N28" ca="1" si="6">SUM(G28:G39)</f>
        <v>1.6414295503766305</v>
      </c>
      <c r="O28" s="950"/>
      <c r="X28" s="945">
        <f t="shared" ref="X28:Y28" ca="1" si="7">SUM(F28:F39)</f>
        <v>480</v>
      </c>
      <c r="Y28" s="945">
        <f t="shared" ca="1" si="7"/>
        <v>1.6414295503766305</v>
      </c>
    </row>
    <row r="29" spans="2:25" ht="9.75" customHeight="1">
      <c r="B29" s="954"/>
      <c r="C29" s="952"/>
      <c r="D29" s="287">
        <f t="shared" ca="1" si="1"/>
        <v>46991</v>
      </c>
      <c r="E29" s="359">
        <f t="shared" si="4"/>
        <v>0</v>
      </c>
      <c r="F29" s="289">
        <f t="shared" ca="1" si="2"/>
        <v>40</v>
      </c>
      <c r="G29" s="290">
        <f ca="1">KTVCOI!R28</f>
        <v>0.11480556327798308</v>
      </c>
      <c r="H29" s="290">
        <f ca="1">(H28-F29-G29)*(1+LS!$F$3)</f>
        <v>-1095.8682071889743</v>
      </c>
      <c r="I29" s="291"/>
      <c r="J29" s="292">
        <f t="shared" ca="1" si="3"/>
        <v>-1095.8682071889743</v>
      </c>
      <c r="K29" s="949"/>
      <c r="L29" s="949"/>
      <c r="M29" s="949"/>
      <c r="N29" s="950"/>
      <c r="O29" s="950"/>
      <c r="X29" s="1004"/>
      <c r="Y29" s="1004"/>
    </row>
    <row r="30" spans="2:25" ht="9.75" customHeight="1">
      <c r="B30" s="954"/>
      <c r="C30" s="952"/>
      <c r="D30" s="287">
        <f t="shared" ca="1" si="1"/>
        <v>47022</v>
      </c>
      <c r="E30" s="359">
        <f t="shared" si="4"/>
        <v>0</v>
      </c>
      <c r="F30" s="289">
        <f t="shared" ca="1" si="2"/>
        <v>40</v>
      </c>
      <c r="G30" s="290">
        <f ca="1">KTVCOI!R29</f>
        <v>0.11963227928479636</v>
      </c>
      <c r="H30" s="290">
        <f ca="1">(H29-F30-G30)*(1+LS!$F$3)</f>
        <v>-1140.2532604455284</v>
      </c>
      <c r="I30" s="291"/>
      <c r="J30" s="292">
        <f t="shared" ca="1" si="3"/>
        <v>-1140.2532604455284</v>
      </c>
      <c r="K30" s="949"/>
      <c r="L30" s="949"/>
      <c r="M30" s="949"/>
      <c r="N30" s="950"/>
      <c r="O30" s="950"/>
      <c r="X30" s="1004"/>
      <c r="Y30" s="1004"/>
    </row>
    <row r="31" spans="2:25" ht="9.75" customHeight="1">
      <c r="B31" s="954"/>
      <c r="C31" s="952"/>
      <c r="D31" s="287">
        <f t="shared" ca="1" si="1"/>
        <v>47052</v>
      </c>
      <c r="E31" s="359">
        <f t="shared" si="4"/>
        <v>0</v>
      </c>
      <c r="F31" s="289">
        <f t="shared" ca="1" si="2"/>
        <v>40</v>
      </c>
      <c r="G31" s="290">
        <f ca="1">KTVCOI!R30</f>
        <v>0.12447764759863687</v>
      </c>
      <c r="H31" s="290">
        <f ca="1">(H30-F31-G31)*(1+LS!$F$3)</f>
        <v>-1184.809834802473</v>
      </c>
      <c r="I31" s="291"/>
      <c r="J31" s="292">
        <f t="shared" ca="1" si="3"/>
        <v>-1184.809834802473</v>
      </c>
      <c r="K31" s="949"/>
      <c r="L31" s="949"/>
      <c r="M31" s="949"/>
      <c r="N31" s="950"/>
      <c r="O31" s="950"/>
      <c r="X31" s="1004"/>
      <c r="Y31" s="1004"/>
    </row>
    <row r="32" spans="2:25" ht="9.75" customHeight="1">
      <c r="B32" s="954"/>
      <c r="C32" s="952"/>
      <c r="D32" s="287">
        <f t="shared" ca="1" si="1"/>
        <v>47083</v>
      </c>
      <c r="E32" s="359">
        <f t="shared" si="4"/>
        <v>0</v>
      </c>
      <c r="F32" s="289">
        <f t="shared" ca="1" si="2"/>
        <v>40</v>
      </c>
      <c r="G32" s="290">
        <f ca="1">KTVCOI!R31</f>
        <v>0.12934174029926995</v>
      </c>
      <c r="H32" s="290">
        <f ca="1">(H31-F32-G32)*(1+LS!$F$3)</f>
        <v>-1229.5385930840182</v>
      </c>
      <c r="I32" s="291"/>
      <c r="J32" s="292">
        <f t="shared" ca="1" si="3"/>
        <v>-1229.5385930840182</v>
      </c>
      <c r="K32" s="949"/>
      <c r="L32" s="949"/>
      <c r="M32" s="949"/>
      <c r="N32" s="950"/>
      <c r="O32" s="950"/>
      <c r="X32" s="1004"/>
      <c r="Y32" s="1004"/>
    </row>
    <row r="33" spans="2:25" ht="9.75" customHeight="1">
      <c r="B33" s="954"/>
      <c r="C33" s="952"/>
      <c r="D33" s="287">
        <f t="shared" ca="1" si="1"/>
        <v>47113</v>
      </c>
      <c r="E33" s="359">
        <f t="shared" si="4"/>
        <v>0</v>
      </c>
      <c r="F33" s="289">
        <f t="shared" ca="1" si="2"/>
        <v>40</v>
      </c>
      <c r="G33" s="290">
        <f ca="1">KTVCOI!R32</f>
        <v>0.13422462974500532</v>
      </c>
      <c r="H33" s="290">
        <f ca="1">(H32-F33-G33)*(1+LS!$F$3)</f>
        <v>-1274.440200675785</v>
      </c>
      <c r="I33" s="291"/>
      <c r="J33" s="292">
        <f t="shared" ca="1" si="3"/>
        <v>-1274.440200675785</v>
      </c>
      <c r="K33" s="949"/>
      <c r="L33" s="949"/>
      <c r="M33" s="949"/>
      <c r="N33" s="950"/>
      <c r="O33" s="950"/>
      <c r="X33" s="1004"/>
      <c r="Y33" s="1004"/>
    </row>
    <row r="34" spans="2:25" ht="9.75" customHeight="1">
      <c r="B34" s="954"/>
      <c r="C34" s="952"/>
      <c r="D34" s="287">
        <f t="shared" ca="1" si="1"/>
        <v>47144</v>
      </c>
      <c r="E34" s="359">
        <f t="shared" si="4"/>
        <v>0</v>
      </c>
      <c r="F34" s="289">
        <f t="shared" ca="1" si="2"/>
        <v>40</v>
      </c>
      <c r="G34" s="290">
        <f ca="1">KTVCOI!R33</f>
        <v>0.13912638857377321</v>
      </c>
      <c r="H34" s="290">
        <f ca="1">(H33-F34-G34)*(1+LS!$F$3)</f>
        <v>-1319.5153255347029</v>
      </c>
      <c r="I34" s="291"/>
      <c r="J34" s="292">
        <f t="shared" ca="1" si="3"/>
        <v>-1319.5153255347029</v>
      </c>
      <c r="K34" s="949"/>
      <c r="L34" s="949"/>
      <c r="M34" s="949"/>
      <c r="N34" s="950"/>
      <c r="O34" s="950"/>
      <c r="X34" s="1004"/>
      <c r="Y34" s="1004"/>
    </row>
    <row r="35" spans="2:25" ht="9.75" customHeight="1">
      <c r="B35" s="954"/>
      <c r="C35" s="952"/>
      <c r="D35" s="287">
        <f t="shared" ca="1" si="1"/>
        <v>47175</v>
      </c>
      <c r="E35" s="359">
        <f t="shared" si="4"/>
        <v>0</v>
      </c>
      <c r="F35" s="289">
        <f t="shared" ca="1" si="2"/>
        <v>40</v>
      </c>
      <c r="G35" s="290">
        <f ca="1">KTVCOI!R34</f>
        <v>0.14404708970420507</v>
      </c>
      <c r="H35" s="290">
        <f ca="1">(H34-F35-G35)*(1+LS!$F$3)</f>
        <v>-1364.7646381989466</v>
      </c>
      <c r="I35" s="291"/>
      <c r="J35" s="292">
        <f t="shared" ca="1" si="3"/>
        <v>-1364.7646381989466</v>
      </c>
      <c r="K35" s="949"/>
      <c r="L35" s="949"/>
      <c r="M35" s="949"/>
      <c r="N35" s="950"/>
      <c r="O35" s="950"/>
      <c r="X35" s="1004"/>
      <c r="Y35" s="1004"/>
    </row>
    <row r="36" spans="2:25" ht="9.75" customHeight="1">
      <c r="B36" s="954"/>
      <c r="C36" s="952"/>
      <c r="D36" s="287">
        <f t="shared" ca="1" si="1"/>
        <v>47203</v>
      </c>
      <c r="E36" s="359">
        <f t="shared" si="4"/>
        <v>0</v>
      </c>
      <c r="F36" s="289">
        <f t="shared" ca="1" si="2"/>
        <v>40</v>
      </c>
      <c r="G36" s="290">
        <f ca="1">KTVCOI!R35</f>
        <v>0.14898680633671835</v>
      </c>
      <c r="H36" s="290">
        <f ca="1">(H35-F36-G36)*(1+LS!$F$3)</f>
        <v>-1410.1888117979115</v>
      </c>
      <c r="I36" s="291"/>
      <c r="J36" s="292">
        <f t="shared" ca="1" si="3"/>
        <v>-1410.1888117979115</v>
      </c>
      <c r="K36" s="949"/>
      <c r="L36" s="949"/>
      <c r="M36" s="949"/>
      <c r="N36" s="950"/>
      <c r="O36" s="950"/>
      <c r="X36" s="1004"/>
      <c r="Y36" s="1004"/>
    </row>
    <row r="37" spans="2:25" ht="9.75" customHeight="1">
      <c r="B37" s="954"/>
      <c r="C37" s="952"/>
      <c r="D37" s="287">
        <f t="shared" ca="1" si="1"/>
        <v>47234</v>
      </c>
      <c r="E37" s="359">
        <f t="shared" si="4"/>
        <v>0</v>
      </c>
      <c r="F37" s="289">
        <f t="shared" ca="1" si="2"/>
        <v>40</v>
      </c>
      <c r="G37" s="290">
        <f ca="1">KTVCOI!R36</f>
        <v>0.15394561195460535</v>
      </c>
      <c r="H37" s="290">
        <f ca="1">(H36-F37-G37)*(1+LS!$F$3)</f>
        <v>-1455.7885220622259</v>
      </c>
      <c r="I37" s="291"/>
      <c r="J37" s="292">
        <f t="shared" ca="1" si="3"/>
        <v>-1455.7885220622259</v>
      </c>
      <c r="K37" s="949"/>
      <c r="L37" s="949"/>
      <c r="M37" s="949"/>
      <c r="N37" s="950"/>
      <c r="O37" s="950"/>
      <c r="X37" s="1004"/>
      <c r="Y37" s="1004"/>
    </row>
    <row r="38" spans="2:25" ht="9.75" customHeight="1">
      <c r="B38" s="954"/>
      <c r="C38" s="952"/>
      <c r="D38" s="287">
        <f t="shared" ca="1" si="1"/>
        <v>47264</v>
      </c>
      <c r="E38" s="359">
        <f t="shared" si="4"/>
        <v>0</v>
      </c>
      <c r="F38" s="289">
        <f t="shared" ca="1" si="2"/>
        <v>40</v>
      </c>
      <c r="G38" s="290">
        <f ca="1">KTVCOI!R37</f>
        <v>0.15892358032512635</v>
      </c>
      <c r="H38" s="290">
        <f ca="1">(H37-F38-G38)*(1+LS!$F$3)</f>
        <v>-1501.5644473338041</v>
      </c>
      <c r="I38" s="291"/>
      <c r="J38" s="292">
        <f t="shared" ca="1" si="3"/>
        <v>-1501.5644473338041</v>
      </c>
      <c r="K38" s="949"/>
      <c r="L38" s="949"/>
      <c r="M38" s="949"/>
      <c r="N38" s="950"/>
      <c r="O38" s="950"/>
      <c r="X38" s="1004"/>
      <c r="Y38" s="1004"/>
    </row>
    <row r="39" spans="2:25" ht="9.75" customHeight="1">
      <c r="B39" s="954"/>
      <c r="C39" s="952"/>
      <c r="D39" s="287">
        <f t="shared" ca="1" si="1"/>
        <v>47295</v>
      </c>
      <c r="E39" s="359">
        <f t="shared" si="4"/>
        <v>0</v>
      </c>
      <c r="F39" s="289">
        <f t="shared" ca="1" si="2"/>
        <v>40</v>
      </c>
      <c r="G39" s="290">
        <f ca="1">KTVCOI!R38</f>
        <v>0.16392078550060696</v>
      </c>
      <c r="H39" s="290">
        <f ca="1">(H38-F39-G39)*(1+LS!$F$3)</f>
        <v>-1547.5172685759376</v>
      </c>
      <c r="I39" s="291"/>
      <c r="J39" s="293">
        <f t="shared" ca="1" si="3"/>
        <v>-1547.5172685759376</v>
      </c>
      <c r="K39" s="949"/>
      <c r="L39" s="949"/>
      <c r="M39" s="949"/>
      <c r="N39" s="950"/>
      <c r="O39" s="950"/>
      <c r="X39" s="1004"/>
      <c r="Y39" s="1004"/>
    </row>
    <row r="40" spans="2:25" ht="9.75" customHeight="1">
      <c r="B40" s="955">
        <v>4</v>
      </c>
      <c r="C40" s="947">
        <f ca="1">C28+1</f>
        <v>33</v>
      </c>
      <c r="D40" s="294">
        <f t="shared" ca="1" si="1"/>
        <v>47325</v>
      </c>
      <c r="E40" s="359">
        <f t="shared" si="4"/>
        <v>0</v>
      </c>
      <c r="F40" s="360">
        <f t="shared" ca="1" si="2"/>
        <v>40</v>
      </c>
      <c r="G40" s="290">
        <f ca="1">KTVCOI!R39</f>
        <v>0.17667488816241952</v>
      </c>
      <c r="H40" s="290">
        <f ca="1">(H39+KTVTRDGTTKMH!F10-F40-G40)*(1+LS!$F$3)</f>
        <v>-1593.6554360229509</v>
      </c>
      <c r="I40" s="948"/>
      <c r="J40" s="296">
        <f t="shared" ca="1" si="3"/>
        <v>-1593.6554360229509</v>
      </c>
      <c r="K40" s="949">
        <f ca="1">J51</f>
        <v>-2173.9222844230135</v>
      </c>
      <c r="L40" s="949"/>
      <c r="M40" s="949"/>
      <c r="N40" s="950">
        <f t="shared" ref="N40" ca="1" si="8">SUM(G40:G51)</f>
        <v>2.489551285641721</v>
      </c>
      <c r="O40" s="950"/>
      <c r="X40" s="945">
        <f t="shared" ref="X40:Y40" ca="1" si="9">SUM(F40:F51)</f>
        <v>540</v>
      </c>
      <c r="Y40" s="945">
        <f t="shared" ca="1" si="9"/>
        <v>2.489551285641721</v>
      </c>
    </row>
    <row r="41" spans="2:25" ht="9.75" customHeight="1">
      <c r="B41" s="955"/>
      <c r="C41" s="946"/>
      <c r="D41" s="294">
        <f t="shared" ca="1" si="1"/>
        <v>47356</v>
      </c>
      <c r="E41" s="359">
        <f t="shared" si="4"/>
        <v>0</v>
      </c>
      <c r="F41" s="360">
        <f t="shared" ca="1" si="2"/>
        <v>40</v>
      </c>
      <c r="G41" s="290">
        <f ca="1">KTVCOI!R40</f>
        <v>0.18194232894595361</v>
      </c>
      <c r="H41" s="290">
        <f ca="1">(H40-F41-G41)*(1+LS!$F$3)</f>
        <v>-1639.9721308421445</v>
      </c>
      <c r="I41" s="948"/>
      <c r="J41" s="296">
        <f t="shared" ca="1" si="3"/>
        <v>-1639.9721308421445</v>
      </c>
      <c r="K41" s="949"/>
      <c r="L41" s="949"/>
      <c r="M41" s="949"/>
      <c r="N41" s="950"/>
      <c r="O41" s="950"/>
      <c r="X41" s="1004"/>
      <c r="Y41" s="1004"/>
    </row>
    <row r="42" spans="2:25" ht="9.75" customHeight="1">
      <c r="B42" s="955"/>
      <c r="C42" s="946"/>
      <c r="D42" s="294">
        <f t="shared" ca="1" si="1"/>
        <v>47387</v>
      </c>
      <c r="E42" s="359">
        <f t="shared" si="4"/>
        <v>0</v>
      </c>
      <c r="F42" s="360">
        <f t="shared" ca="1" si="2"/>
        <v>40</v>
      </c>
      <c r="G42" s="290">
        <f ca="1">KTVCOI!R41</f>
        <v>0.18723015160447817</v>
      </c>
      <c r="H42" s="290">
        <f ca="1">(H41-F42-G42)*(1+LS!$F$3)</f>
        <v>-1686.468043828675</v>
      </c>
      <c r="I42" s="948"/>
      <c r="J42" s="296">
        <f t="shared" ca="1" si="3"/>
        <v>-1686.468043828675</v>
      </c>
      <c r="K42" s="949"/>
      <c r="L42" s="949"/>
      <c r="M42" s="949"/>
      <c r="N42" s="950"/>
      <c r="O42" s="950"/>
      <c r="X42" s="1004"/>
      <c r="Y42" s="1004"/>
    </row>
    <row r="43" spans="2:25" ht="9.75" customHeight="1">
      <c r="B43" s="955"/>
      <c r="C43" s="946"/>
      <c r="D43" s="294">
        <f t="shared" ca="1" si="1"/>
        <v>47417</v>
      </c>
      <c r="E43" s="359">
        <f t="shared" si="4"/>
        <v>0</v>
      </c>
      <c r="F43" s="360">
        <f t="shared" ca="1" si="2"/>
        <v>40</v>
      </c>
      <c r="G43" s="290">
        <f ca="1">KTVCOI!R42</f>
        <v>0.19253843500377374</v>
      </c>
      <c r="H43" s="290">
        <f ca="1">(H42-F43-G43)*(1+LS!$F$3)</f>
        <v>-1733.1438684506675</v>
      </c>
      <c r="I43" s="948"/>
      <c r="J43" s="296">
        <f t="shared" ca="1" si="3"/>
        <v>-1733.1438684506675</v>
      </c>
      <c r="K43" s="949"/>
      <c r="L43" s="949"/>
      <c r="M43" s="949"/>
      <c r="N43" s="950"/>
      <c r="O43" s="950"/>
      <c r="X43" s="1004"/>
      <c r="Y43" s="1004"/>
    </row>
    <row r="44" spans="2:25" ht="9.75" customHeight="1">
      <c r="B44" s="955"/>
      <c r="C44" s="946"/>
      <c r="D44" s="294">
        <f t="shared" ca="1" si="1"/>
        <v>47448</v>
      </c>
      <c r="E44" s="359">
        <f t="shared" si="4"/>
        <v>0</v>
      </c>
      <c r="F44" s="360">
        <f t="shared" ca="1" si="2"/>
        <v>40</v>
      </c>
      <c r="G44" s="290">
        <f ca="1">KTVCOI!R43</f>
        <v>0.19786725831478458</v>
      </c>
      <c r="H44" s="290">
        <f ca="1">(H43-F44-G44)*(1+LS!$F$3)</f>
        <v>-1780.0003008595572</v>
      </c>
      <c r="I44" s="948"/>
      <c r="J44" s="296">
        <f t="shared" ca="1" si="3"/>
        <v>-1780.0003008595572</v>
      </c>
      <c r="K44" s="949"/>
      <c r="L44" s="949"/>
      <c r="M44" s="949"/>
      <c r="N44" s="950"/>
      <c r="O44" s="950"/>
      <c r="X44" s="1004"/>
      <c r="Y44" s="1004"/>
    </row>
    <row r="45" spans="2:25" ht="9.75" customHeight="1">
      <c r="B45" s="955"/>
      <c r="C45" s="946"/>
      <c r="D45" s="294">
        <f t="shared" ca="1" si="1"/>
        <v>47478</v>
      </c>
      <c r="E45" s="359">
        <f t="shared" si="4"/>
        <v>0</v>
      </c>
      <c r="F45" s="360">
        <f t="shared" ca="1" si="2"/>
        <v>40</v>
      </c>
      <c r="G45" s="290">
        <f ca="1">KTVCOI!R44</f>
        <v>0.20321670101479947</v>
      </c>
      <c r="H45" s="290">
        <f ca="1">(H44-F45-G45)*(1+LS!$F$3)</f>
        <v>-1827.0380399004734</v>
      </c>
      <c r="I45" s="948"/>
      <c r="J45" s="296">
        <f t="shared" ca="1" si="3"/>
        <v>-1827.0380399004734</v>
      </c>
      <c r="K45" s="949"/>
      <c r="L45" s="949"/>
      <c r="M45" s="949"/>
      <c r="N45" s="950"/>
      <c r="O45" s="950"/>
      <c r="X45" s="1004"/>
      <c r="Y45" s="1004"/>
    </row>
    <row r="46" spans="2:25" ht="9.75" customHeight="1">
      <c r="B46" s="955"/>
      <c r="C46" s="946"/>
      <c r="D46" s="294">
        <f t="shared" ca="1" si="1"/>
        <v>47509</v>
      </c>
      <c r="E46" s="359">
        <f t="shared" si="4"/>
        <v>0</v>
      </c>
      <c r="F46" s="360">
        <f t="shared" ca="1" si="2"/>
        <v>50</v>
      </c>
      <c r="G46" s="290">
        <f ca="1">KTVCOI!R45</f>
        <v>0.20858684288863741</v>
      </c>
      <c r="H46" s="290">
        <f ca="1">(H45-F46-G46)*(1+LS!$F$3)</f>
        <v>-1884.2953352444738</v>
      </c>
      <c r="I46" s="948"/>
      <c r="J46" s="296">
        <f t="shared" ca="1" si="3"/>
        <v>-1884.2953352444738</v>
      </c>
      <c r="K46" s="949"/>
      <c r="L46" s="949"/>
      <c r="M46" s="949"/>
      <c r="N46" s="950"/>
      <c r="O46" s="950"/>
      <c r="X46" s="1004"/>
      <c r="Y46" s="1004"/>
    </row>
    <row r="47" spans="2:25" ht="9.75" customHeight="1">
      <c r="B47" s="955"/>
      <c r="C47" s="946"/>
      <c r="D47" s="294">
        <f t="shared" ca="1" si="1"/>
        <v>47540</v>
      </c>
      <c r="E47" s="359">
        <f t="shared" si="4"/>
        <v>0</v>
      </c>
      <c r="F47" s="360">
        <f t="shared" ca="1" si="2"/>
        <v>50</v>
      </c>
      <c r="G47" s="290">
        <f ca="1">KTVCOI!R46</f>
        <v>0.21512371744041078</v>
      </c>
      <c r="H47" s="290">
        <f ca="1">(H46-F47-G47)*(1+LS!$F$3)</f>
        <v>-1941.7741823977792</v>
      </c>
      <c r="I47" s="948"/>
      <c r="J47" s="296">
        <f t="shared" ca="1" si="3"/>
        <v>-1941.7741823977792</v>
      </c>
      <c r="K47" s="949"/>
      <c r="L47" s="949"/>
      <c r="M47" s="949"/>
      <c r="N47" s="950"/>
      <c r="O47" s="950"/>
      <c r="X47" s="1004"/>
      <c r="Y47" s="1004"/>
    </row>
    <row r="48" spans="2:25" ht="9.75" customHeight="1">
      <c r="B48" s="955"/>
      <c r="C48" s="946"/>
      <c r="D48" s="294">
        <f t="shared" ca="1" si="1"/>
        <v>47568</v>
      </c>
      <c r="E48" s="359">
        <f t="shared" si="4"/>
        <v>0</v>
      </c>
      <c r="F48" s="360">
        <f t="shared" ca="1" si="2"/>
        <v>50</v>
      </c>
      <c r="G48" s="290">
        <f ca="1">KTVCOI!R47</f>
        <v>0.22168588582374646</v>
      </c>
      <c r="H48" s="290">
        <f ca="1">(H47-F48-G48)*(1+LS!$F$3)</f>
        <v>-1999.4754386346269</v>
      </c>
      <c r="I48" s="948"/>
      <c r="J48" s="296">
        <f t="shared" ca="1" si="3"/>
        <v>-1999.4754386346269</v>
      </c>
      <c r="K48" s="949"/>
      <c r="L48" s="949"/>
      <c r="M48" s="949"/>
      <c r="N48" s="950"/>
      <c r="O48" s="950"/>
      <c r="X48" s="1004"/>
      <c r="Y48" s="1004"/>
    </row>
    <row r="49" spans="2:25" ht="9.75" customHeight="1">
      <c r="B49" s="955"/>
      <c r="C49" s="946"/>
      <c r="D49" s="294">
        <f t="shared" ca="1" si="1"/>
        <v>47599</v>
      </c>
      <c r="E49" s="359">
        <f t="shared" si="4"/>
        <v>0</v>
      </c>
      <c r="F49" s="360">
        <f t="shared" ca="1" si="2"/>
        <v>50</v>
      </c>
      <c r="G49" s="290">
        <f ca="1">KTVCOI!R48</f>
        <v>0.2282734459107866</v>
      </c>
      <c r="H49" s="290">
        <f ca="1">(H48-F49-G49)*(1+LS!$F$3)</f>
        <v>-2057.3999645463982</v>
      </c>
      <c r="I49" s="948"/>
      <c r="J49" s="296">
        <f t="shared" ca="1" si="3"/>
        <v>-2057.3999645463982</v>
      </c>
      <c r="K49" s="949"/>
      <c r="L49" s="949"/>
      <c r="M49" s="949"/>
      <c r="N49" s="950"/>
      <c r="O49" s="950"/>
      <c r="X49" s="1004"/>
      <c r="Y49" s="1004"/>
    </row>
    <row r="50" spans="2:25" ht="9.75" customHeight="1">
      <c r="B50" s="955"/>
      <c r="C50" s="946"/>
      <c r="D50" s="294">
        <f t="shared" ca="1" si="1"/>
        <v>47629</v>
      </c>
      <c r="E50" s="359">
        <f t="shared" si="4"/>
        <v>0</v>
      </c>
      <c r="F50" s="360">
        <f t="shared" ca="1" si="2"/>
        <v>50</v>
      </c>
      <c r="G50" s="290">
        <f ca="1">KTVCOI!R49</f>
        <v>0.23488649595238051</v>
      </c>
      <c r="H50" s="290">
        <f ca="1">(H49-F50-G50)*(1+LS!$F$3)</f>
        <v>-2115.5486240544524</v>
      </c>
      <c r="I50" s="948"/>
      <c r="J50" s="296">
        <f t="shared" ca="1" si="3"/>
        <v>-2115.5486240544524</v>
      </c>
      <c r="K50" s="949"/>
      <c r="L50" s="949"/>
      <c r="M50" s="949"/>
      <c r="N50" s="950"/>
      <c r="O50" s="950"/>
      <c r="X50" s="1004"/>
      <c r="Y50" s="1004"/>
    </row>
    <row r="51" spans="2:25" ht="9.75" customHeight="1">
      <c r="B51" s="955"/>
      <c r="C51" s="946"/>
      <c r="D51" s="294">
        <f t="shared" ca="1" si="1"/>
        <v>47660</v>
      </c>
      <c r="E51" s="359">
        <f t="shared" si="4"/>
        <v>0</v>
      </c>
      <c r="F51" s="360">
        <f t="shared" ca="1" si="2"/>
        <v>50</v>
      </c>
      <c r="G51" s="290">
        <f ca="1">KTVCOI!R50</f>
        <v>0.24152513457955002</v>
      </c>
      <c r="H51" s="290">
        <f ca="1">(H50-F51-G51)*(1+LS!$F$3)</f>
        <v>-2173.9222844230135</v>
      </c>
      <c r="I51" s="948"/>
      <c r="J51" s="297">
        <f ca="1">H51+I40</f>
        <v>-2173.9222844230135</v>
      </c>
      <c r="K51" s="949"/>
      <c r="L51" s="949"/>
      <c r="M51" s="949"/>
      <c r="N51" s="950"/>
      <c r="O51" s="950"/>
      <c r="X51" s="1004"/>
      <c r="Y51" s="1004"/>
    </row>
    <row r="52" spans="2:25" ht="9.75" customHeight="1">
      <c r="B52" s="954">
        <v>5</v>
      </c>
      <c r="C52" s="952">
        <f ca="1">C40+1</f>
        <v>34</v>
      </c>
      <c r="D52" s="287">
        <f t="shared" ca="1" si="1"/>
        <v>47690</v>
      </c>
      <c r="E52" s="359">
        <f t="shared" si="4"/>
        <v>0</v>
      </c>
      <c r="F52" s="289">
        <f t="shared" ca="1" si="2"/>
        <v>50</v>
      </c>
      <c r="G52" s="290">
        <f ca="1">KTVCOI!R51</f>
        <v>0.26087067413076165</v>
      </c>
      <c r="H52" s="290">
        <f ca="1">(H51+KTVTRDGTTKMH!F11-F52-G52)*(1+LS!$F$3)</f>
        <v>-2232.534545101003</v>
      </c>
      <c r="I52" s="953"/>
      <c r="J52" s="292">
        <f t="shared" ca="1" si="3"/>
        <v>-2232.534545101003</v>
      </c>
      <c r="K52" s="949">
        <f ca="1">J63</f>
        <v>-2892.4558618858987</v>
      </c>
      <c r="L52" s="949"/>
      <c r="M52" s="949"/>
      <c r="N52" s="950">
        <f t="shared" ref="N52" ca="1" si="10">SUM(G52:G63)</f>
        <v>3.6007062456627557</v>
      </c>
      <c r="O52" s="950"/>
      <c r="X52" s="945">
        <f t="shared" ref="X52:Y52" ca="1" si="11">SUM(F52:F63)</f>
        <v>600</v>
      </c>
      <c r="Y52" s="945">
        <f t="shared" ca="1" si="11"/>
        <v>3.6007062456627557</v>
      </c>
    </row>
    <row r="53" spans="2:25" ht="9.75" customHeight="1">
      <c r="B53" s="954"/>
      <c r="C53" s="951"/>
      <c r="D53" s="287">
        <f t="shared" ca="1" si="1"/>
        <v>47721</v>
      </c>
      <c r="E53" s="359">
        <f t="shared" si="4"/>
        <v>0</v>
      </c>
      <c r="F53" s="289">
        <f t="shared" ca="1" si="2"/>
        <v>50</v>
      </c>
      <c r="G53" s="290">
        <f ca="1">KTVCOI!R52</f>
        <v>0.26790414541212038</v>
      </c>
      <c r="H53" s="290">
        <f ca="1">(H52-F53-G53)*(1+LS!$F$3)</f>
        <v>-2291.3739436899959</v>
      </c>
      <c r="I53" s="953"/>
      <c r="J53" s="292">
        <f t="shared" ca="1" si="3"/>
        <v>-2291.3739436899959</v>
      </c>
      <c r="K53" s="949"/>
      <c r="L53" s="949"/>
      <c r="M53" s="949"/>
      <c r="N53" s="950"/>
      <c r="O53" s="950"/>
      <c r="X53" s="1004"/>
      <c r="Y53" s="1004"/>
    </row>
    <row r="54" spans="2:25" ht="9.75" customHeight="1">
      <c r="B54" s="954"/>
      <c r="C54" s="951"/>
      <c r="D54" s="287">
        <f t="shared" ca="1" si="1"/>
        <v>47752</v>
      </c>
      <c r="E54" s="359">
        <f t="shared" si="4"/>
        <v>0</v>
      </c>
      <c r="F54" s="289">
        <f t="shared" ca="1" si="2"/>
        <v>50</v>
      </c>
      <c r="G54" s="290">
        <f ca="1">KTVCOI!R53</f>
        <v>0.2749648732427995</v>
      </c>
      <c r="H54" s="290">
        <f ca="1">(H53-F54-G54)*(1+LS!$F$3)</f>
        <v>-2350.4413604090796</v>
      </c>
      <c r="I54" s="953"/>
      <c r="J54" s="292">
        <f t="shared" ca="1" si="3"/>
        <v>-2350.4413604090796</v>
      </c>
      <c r="K54" s="949"/>
      <c r="L54" s="949"/>
      <c r="M54" s="949"/>
      <c r="N54" s="950"/>
      <c r="O54" s="950"/>
      <c r="X54" s="1004"/>
      <c r="Y54" s="1004"/>
    </row>
    <row r="55" spans="2:25" ht="9.75" customHeight="1">
      <c r="B55" s="954"/>
      <c r="C55" s="951"/>
      <c r="D55" s="287">
        <f t="shared" ca="1" si="1"/>
        <v>47782</v>
      </c>
      <c r="E55" s="359">
        <f t="shared" si="4"/>
        <v>0</v>
      </c>
      <c r="F55" s="289">
        <f t="shared" ca="1" si="2"/>
        <v>50</v>
      </c>
      <c r="G55" s="290">
        <f ca="1">KTVCOI!R54</f>
        <v>0.28205296324908952</v>
      </c>
      <c r="H55" s="290">
        <f ca="1">(H54-F55-G55)*(1+LS!$F$3)</f>
        <v>-2409.7376788884217</v>
      </c>
      <c r="I55" s="953"/>
      <c r="J55" s="292">
        <f t="shared" ca="1" si="3"/>
        <v>-2409.7376788884217</v>
      </c>
      <c r="K55" s="949"/>
      <c r="L55" s="949"/>
      <c r="M55" s="949"/>
      <c r="N55" s="950"/>
      <c r="O55" s="950"/>
      <c r="X55" s="1004"/>
      <c r="Y55" s="1004"/>
    </row>
    <row r="56" spans="2:25" ht="9.75" customHeight="1">
      <c r="B56" s="954"/>
      <c r="C56" s="951"/>
      <c r="D56" s="287">
        <f t="shared" ca="1" si="1"/>
        <v>47813</v>
      </c>
      <c r="E56" s="359">
        <f t="shared" si="4"/>
        <v>0</v>
      </c>
      <c r="F56" s="289">
        <f t="shared" ca="1" si="2"/>
        <v>50</v>
      </c>
      <c r="G56" s="290">
        <f ca="1">KTVCOI!R55</f>
        <v>0.2891685214666106</v>
      </c>
      <c r="H56" s="290">
        <f ca="1">(H55-F56-G56)*(1+LS!$F$3)</f>
        <v>-2469.2637861824896</v>
      </c>
      <c r="I56" s="953"/>
      <c r="J56" s="292">
        <f t="shared" ca="1" si="3"/>
        <v>-2469.2637861824896</v>
      </c>
      <c r="K56" s="949"/>
      <c r="L56" s="949"/>
      <c r="M56" s="949"/>
      <c r="N56" s="950"/>
      <c r="O56" s="950"/>
      <c r="X56" s="1004"/>
      <c r="Y56" s="1004"/>
    </row>
    <row r="57" spans="2:25" ht="9.75" customHeight="1">
      <c r="B57" s="954"/>
      <c r="C57" s="951"/>
      <c r="D57" s="287">
        <f t="shared" ca="1" si="1"/>
        <v>47843</v>
      </c>
      <c r="E57" s="359">
        <f t="shared" si="4"/>
        <v>0</v>
      </c>
      <c r="F57" s="289">
        <f t="shared" ca="1" si="2"/>
        <v>50</v>
      </c>
      <c r="G57" s="290">
        <f ca="1">KTVCOI!R56</f>
        <v>0.29631165434189871</v>
      </c>
      <c r="H57" s="290">
        <f ca="1">(H56-F57-G57)*(1+LS!$F$3)</f>
        <v>-2529.020572783319</v>
      </c>
      <c r="I57" s="953"/>
      <c r="J57" s="292">
        <f t="shared" ca="1" si="3"/>
        <v>-2529.020572783319</v>
      </c>
      <c r="K57" s="949"/>
      <c r="L57" s="949"/>
      <c r="M57" s="949"/>
      <c r="N57" s="950"/>
      <c r="O57" s="950"/>
      <c r="X57" s="1004"/>
      <c r="Y57" s="1004"/>
    </row>
    <row r="58" spans="2:25" ht="9.75" customHeight="1">
      <c r="B58" s="954"/>
      <c r="C58" s="951"/>
      <c r="D58" s="287">
        <f t="shared" ca="1" si="1"/>
        <v>47874</v>
      </c>
      <c r="E58" s="359">
        <f t="shared" si="4"/>
        <v>0</v>
      </c>
      <c r="F58" s="289">
        <f t="shared" ca="1" si="2"/>
        <v>50</v>
      </c>
      <c r="G58" s="290">
        <f ca="1">KTVCOI!R57</f>
        <v>0.30348246873399826</v>
      </c>
      <c r="H58" s="290">
        <f ca="1">(H57-F58-G58)*(1+LS!$F$3)</f>
        <v>-2589.0089326338366</v>
      </c>
      <c r="I58" s="953"/>
      <c r="J58" s="292">
        <f t="shared" ca="1" si="3"/>
        <v>-2589.0089326338366</v>
      </c>
      <c r="K58" s="949"/>
      <c r="L58" s="949"/>
      <c r="M58" s="949"/>
      <c r="N58" s="950"/>
      <c r="O58" s="950"/>
      <c r="X58" s="1004"/>
      <c r="Y58" s="1004"/>
    </row>
    <row r="59" spans="2:25" ht="9.75" customHeight="1">
      <c r="B59" s="954"/>
      <c r="C59" s="951"/>
      <c r="D59" s="287">
        <f t="shared" ca="1" si="1"/>
        <v>47905</v>
      </c>
      <c r="E59" s="359">
        <f t="shared" si="4"/>
        <v>0</v>
      </c>
      <c r="F59" s="289">
        <f t="shared" ca="1" si="2"/>
        <v>50</v>
      </c>
      <c r="G59" s="290">
        <f ca="1">KTVCOI!R58</f>
        <v>0.31068107191606037</v>
      </c>
      <c r="H59" s="290">
        <f ca="1">(H58-F59-G59)*(1+LS!$F$3)</f>
        <v>-2649.229763141233</v>
      </c>
      <c r="I59" s="953"/>
      <c r="J59" s="292">
        <f t="shared" ca="1" si="3"/>
        <v>-2649.229763141233</v>
      </c>
      <c r="K59" s="949"/>
      <c r="L59" s="949"/>
      <c r="M59" s="949"/>
      <c r="N59" s="950"/>
      <c r="O59" s="950"/>
      <c r="X59" s="1004"/>
      <c r="Y59" s="1004"/>
    </row>
    <row r="60" spans="2:25" ht="9.75" customHeight="1">
      <c r="B60" s="954"/>
      <c r="C60" s="951"/>
      <c r="D60" s="287">
        <f t="shared" ca="1" si="1"/>
        <v>47933</v>
      </c>
      <c r="E60" s="359">
        <f t="shared" si="4"/>
        <v>0</v>
      </c>
      <c r="F60" s="289">
        <f t="shared" ca="1" si="2"/>
        <v>50</v>
      </c>
      <c r="G60" s="290">
        <f ca="1">KTVCOI!R59</f>
        <v>0.31790757157694793</v>
      </c>
      <c r="H60" s="290">
        <f ca="1">(H59-F60-G60)*(1+LS!$F$3)</f>
        <v>-2709.6839651903874</v>
      </c>
      <c r="I60" s="953"/>
      <c r="J60" s="292">
        <f t="shared" ca="1" si="3"/>
        <v>-2709.6839651903874</v>
      </c>
      <c r="K60" s="949"/>
      <c r="L60" s="949"/>
      <c r="M60" s="949"/>
      <c r="N60" s="950"/>
      <c r="O60" s="950"/>
      <c r="X60" s="1004"/>
      <c r="Y60" s="1004"/>
    </row>
    <row r="61" spans="2:25" ht="9.75" customHeight="1">
      <c r="B61" s="954"/>
      <c r="C61" s="951"/>
      <c r="D61" s="287">
        <f t="shared" ca="1" si="1"/>
        <v>47964</v>
      </c>
      <c r="E61" s="359">
        <f t="shared" si="4"/>
        <v>0</v>
      </c>
      <c r="F61" s="289">
        <f t="shared" ca="1" si="2"/>
        <v>50</v>
      </c>
      <c r="G61" s="290">
        <f ca="1">KTVCOI!R60</f>
        <v>0.32516207582284651</v>
      </c>
      <c r="H61" s="290">
        <f ca="1">(H60-F61-G61)*(1+LS!$F$3)</f>
        <v>-2770.3724431573442</v>
      </c>
      <c r="I61" s="953"/>
      <c r="J61" s="292">
        <f t="shared" ca="1" si="3"/>
        <v>-2770.3724431573442</v>
      </c>
      <c r="K61" s="949"/>
      <c r="L61" s="949"/>
      <c r="M61" s="949"/>
      <c r="N61" s="950"/>
      <c r="O61" s="950"/>
      <c r="X61" s="1004"/>
      <c r="Y61" s="1004"/>
    </row>
    <row r="62" spans="2:25" ht="9.75" customHeight="1">
      <c r="B62" s="954"/>
      <c r="C62" s="951"/>
      <c r="D62" s="287">
        <f t="shared" ca="1" si="1"/>
        <v>47994</v>
      </c>
      <c r="E62" s="359">
        <f t="shared" si="4"/>
        <v>0</v>
      </c>
      <c r="F62" s="289">
        <f t="shared" ca="1" si="2"/>
        <v>50</v>
      </c>
      <c r="G62" s="290">
        <f ca="1">KTVCOI!R61</f>
        <v>0.33244469317888131</v>
      </c>
      <c r="H62" s="290">
        <f ca="1">(H61-F62-G62)*(1+LS!$F$3)</f>
        <v>-2831.2961049228425</v>
      </c>
      <c r="I62" s="953"/>
      <c r="J62" s="292">
        <f t="shared" ca="1" si="3"/>
        <v>-2831.2961049228425</v>
      </c>
      <c r="K62" s="949"/>
      <c r="L62" s="949"/>
      <c r="M62" s="949"/>
      <c r="N62" s="950"/>
      <c r="O62" s="950"/>
      <c r="X62" s="1004"/>
      <c r="Y62" s="1004"/>
    </row>
    <row r="63" spans="2:25" ht="9.75" customHeight="1">
      <c r="B63" s="954"/>
      <c r="C63" s="951"/>
      <c r="D63" s="287">
        <f t="shared" ca="1" si="1"/>
        <v>48025</v>
      </c>
      <c r="E63" s="359">
        <f t="shared" si="4"/>
        <v>0</v>
      </c>
      <c r="F63" s="289">
        <f t="shared" ca="1" si="2"/>
        <v>50</v>
      </c>
      <c r="G63" s="290">
        <f ca="1">KTVCOI!R62</f>
        <v>0.33975553259074109</v>
      </c>
      <c r="H63" s="290">
        <f ca="1">(H62-F63-G63)*(1+LS!$F$3)</f>
        <v>-2892.4558618858987</v>
      </c>
      <c r="I63" s="953"/>
      <c r="J63" s="293">
        <f ca="1">H63+I52</f>
        <v>-2892.4558618858987</v>
      </c>
      <c r="K63" s="949"/>
      <c r="L63" s="949"/>
      <c r="M63" s="949"/>
      <c r="N63" s="950"/>
      <c r="O63" s="950"/>
      <c r="X63" s="1004"/>
      <c r="Y63" s="1004"/>
    </row>
    <row r="64" spans="2:25" ht="9.75" customHeight="1">
      <c r="B64" s="946">
        <f>B52+1</f>
        <v>6</v>
      </c>
      <c r="C64" s="947">
        <f ca="1">C52+1</f>
        <v>35</v>
      </c>
      <c r="D64" s="294">
        <f t="shared" ca="1" si="1"/>
        <v>48055</v>
      </c>
      <c r="E64" s="359">
        <f t="shared" si="4"/>
        <v>0</v>
      </c>
      <c r="F64" s="360">
        <f t="shared" ca="1" si="2"/>
        <v>50</v>
      </c>
      <c r="G64" s="290">
        <f ca="1">KTVCOI!R63</f>
        <v>0.36637774250554717</v>
      </c>
      <c r="H64" s="290">
        <f ca="1">(H63+KTVTRDGTTKMH!F12-F64-G64)*(1+LS!$F$3)</f>
        <v>-2953.8719844207085</v>
      </c>
      <c r="I64" s="948"/>
      <c r="J64" s="296">
        <f t="shared" ca="1" si="3"/>
        <v>-2953.8719844207085</v>
      </c>
      <c r="K64" s="949">
        <f ca="1">J75</f>
        <v>-3645.3900980282538</v>
      </c>
      <c r="L64" s="949"/>
      <c r="M64" s="949"/>
      <c r="N64" s="950">
        <f t="shared" ref="N64" ca="1" si="12">SUM(G64:G75)</f>
        <v>4.9166739062154639</v>
      </c>
      <c r="O64" s="950"/>
      <c r="X64" s="945">
        <f t="shared" ref="X64:Y64" ca="1" si="13">SUM(F64:F75)</f>
        <v>600</v>
      </c>
      <c r="Y64" s="945">
        <f t="shared" ca="1" si="13"/>
        <v>4.9166739062154639</v>
      </c>
    </row>
    <row r="65" spans="2:25" ht="9.75" customHeight="1">
      <c r="B65" s="946"/>
      <c r="C65" s="946"/>
      <c r="D65" s="294">
        <f t="shared" ca="1" si="1"/>
        <v>48086</v>
      </c>
      <c r="E65" s="359">
        <f t="shared" si="4"/>
        <v>0</v>
      </c>
      <c r="F65" s="360">
        <f t="shared" ca="1" si="2"/>
        <v>50</v>
      </c>
      <c r="G65" s="290">
        <f ca="1">KTVCOI!R64</f>
        <v>0.37415711802662316</v>
      </c>
      <c r="H65" s="290">
        <f ca="1">(H64-F65-G65)*(1+LS!$F$3)</f>
        <v>-3015.5265215461463</v>
      </c>
      <c r="I65" s="948"/>
      <c r="J65" s="296">
        <f t="shared" ca="1" si="3"/>
        <v>-3015.5265215461463</v>
      </c>
      <c r="K65" s="949"/>
      <c r="L65" s="949"/>
      <c r="M65" s="949"/>
      <c r="N65" s="950"/>
      <c r="O65" s="950"/>
      <c r="X65" s="1004"/>
      <c r="Y65" s="1004"/>
    </row>
    <row r="66" spans="2:25" ht="9.75" customHeight="1">
      <c r="B66" s="946"/>
      <c r="C66" s="946"/>
      <c r="D66" s="294">
        <f t="shared" ca="1" si="1"/>
        <v>48117</v>
      </c>
      <c r="E66" s="359">
        <f t="shared" si="4"/>
        <v>0</v>
      </c>
      <c r="F66" s="360">
        <f t="shared" ca="1" si="2"/>
        <v>50</v>
      </c>
      <c r="G66" s="290">
        <f ca="1">KTVCOI!R65</f>
        <v>0.38196669272917855</v>
      </c>
      <c r="H66" s="290">
        <f ca="1">(H65-F66-G66)*(1+LS!$F$3)</f>
        <v>-3077.4203987767942</v>
      </c>
      <c r="I66" s="948"/>
      <c r="J66" s="296">
        <f t="shared" ca="1" si="3"/>
        <v>-3077.4203987767942</v>
      </c>
      <c r="K66" s="949"/>
      <c r="L66" s="949"/>
      <c r="M66" s="949"/>
      <c r="N66" s="950"/>
      <c r="O66" s="950"/>
      <c r="X66" s="1004"/>
      <c r="Y66" s="1004"/>
    </row>
    <row r="67" spans="2:25" ht="9.75" customHeight="1">
      <c r="B67" s="946"/>
      <c r="C67" s="946"/>
      <c r="D67" s="294">
        <f t="shared" ca="1" si="1"/>
        <v>48147</v>
      </c>
      <c r="E67" s="359">
        <f t="shared" si="4"/>
        <v>0</v>
      </c>
      <c r="F67" s="360">
        <f t="shared" ca="1" si="2"/>
        <v>50</v>
      </c>
      <c r="G67" s="290">
        <f ca="1">KTVCOI!R66</f>
        <v>0.38980658384506062</v>
      </c>
      <c r="H67" s="290">
        <f ca="1">(H66-F67-G67)*(1+LS!$F$3)</f>
        <v>-3139.5545452200408</v>
      </c>
      <c r="I67" s="948"/>
      <c r="J67" s="296">
        <f t="shared" ca="1" si="3"/>
        <v>-3139.5545452200408</v>
      </c>
      <c r="K67" s="949"/>
      <c r="L67" s="949"/>
      <c r="M67" s="949"/>
      <c r="N67" s="950"/>
      <c r="O67" s="950"/>
      <c r="X67" s="1004"/>
      <c r="Y67" s="1004"/>
    </row>
    <row r="68" spans="2:25" ht="9.75" customHeight="1">
      <c r="B68" s="946"/>
      <c r="C68" s="946"/>
      <c r="D68" s="294">
        <f t="shared" ca="1" si="1"/>
        <v>48178</v>
      </c>
      <c r="E68" s="359">
        <f t="shared" si="4"/>
        <v>0</v>
      </c>
      <c r="F68" s="360">
        <f t="shared" ca="1" si="2"/>
        <v>50</v>
      </c>
      <c r="G68" s="290">
        <f ca="1">KTVCOI!R67</f>
        <v>0.39767690906120512</v>
      </c>
      <c r="H68" s="290">
        <f ca="1">(H67-F68-G68)*(1+LS!$F$3)</f>
        <v>-3201.9298935900269</v>
      </c>
      <c r="I68" s="948"/>
      <c r="J68" s="296">
        <f t="shared" ca="1" si="3"/>
        <v>-3201.9298935900269</v>
      </c>
      <c r="K68" s="949"/>
      <c r="L68" s="949"/>
      <c r="M68" s="949"/>
      <c r="N68" s="950"/>
      <c r="O68" s="950"/>
      <c r="X68" s="1004"/>
      <c r="Y68" s="1004"/>
    </row>
    <row r="69" spans="2:25" ht="9.75" customHeight="1">
      <c r="B69" s="946"/>
      <c r="C69" s="946"/>
      <c r="D69" s="294">
        <f t="shared" ref="D69:D132" ca="1" si="14">EDATE(D68,1)</f>
        <v>48208</v>
      </c>
      <c r="E69" s="359">
        <f t="shared" si="4"/>
        <v>0</v>
      </c>
      <c r="F69" s="360">
        <f t="shared" ref="F69:F132" ca="1" si="15">IF(YEAR(D69)=2025,40000,IF(YEAR(D69)=2026,40000,IF(YEAR(D69)=2027,40000,IF(YEAR(D69)=2028,40000,IF(YEAR(D69)=2029,40000,IF(YEAR(D69)=2030,50000,IF(YEAR(D69)=2031,50000,IF(YEAR(D69)=2032,50000,IF(YEAR(D69)=2033,50000,IF(YEAR(D69)=2034,50000,IF(YEAR(D69)&gt;=2035,60000,0)))))))))))/1000</f>
        <v>50</v>
      </c>
      <c r="G69" s="290">
        <f ca="1">KTVCOI!R68</f>
        <v>0.40557778652140342</v>
      </c>
      <c r="H69" s="290">
        <f ca="1">(H68-F69-G69)*(1+LS!$F$3)</f>
        <v>-3264.5473802216466</v>
      </c>
      <c r="I69" s="948"/>
      <c r="J69" s="296">
        <f t="shared" ref="J69:J132" ca="1" si="16">H69</f>
        <v>-3264.5473802216466</v>
      </c>
      <c r="K69" s="949"/>
      <c r="L69" s="949"/>
      <c r="M69" s="949"/>
      <c r="N69" s="950"/>
      <c r="O69" s="950"/>
      <c r="X69" s="1004"/>
      <c r="Y69" s="1004"/>
    </row>
    <row r="70" spans="2:25" ht="9.75" customHeight="1">
      <c r="B70" s="946"/>
      <c r="C70" s="946"/>
      <c r="D70" s="294">
        <f t="shared" ca="1" si="14"/>
        <v>48239</v>
      </c>
      <c r="E70" s="359">
        <f t="shared" ref="E70:E133" si="17">E69</f>
        <v>0</v>
      </c>
      <c r="F70" s="360">
        <f t="shared" ca="1" si="15"/>
        <v>50</v>
      </c>
      <c r="G70" s="290">
        <f ca="1">KTVCOI!R69</f>
        <v>0.41350933482807523</v>
      </c>
      <c r="H70" s="290">
        <f ca="1">(H69-F70-G70)*(1+LS!$F$3)</f>
        <v>-3327.4079450846043</v>
      </c>
      <c r="I70" s="948"/>
      <c r="J70" s="296">
        <f t="shared" ca="1" si="16"/>
        <v>-3327.4079450846043</v>
      </c>
      <c r="K70" s="949"/>
      <c r="L70" s="949"/>
      <c r="M70" s="949"/>
      <c r="N70" s="950"/>
      <c r="O70" s="950"/>
      <c r="X70" s="1004"/>
      <c r="Y70" s="1004"/>
    </row>
    <row r="71" spans="2:25" ht="9.75" customHeight="1">
      <c r="B71" s="946"/>
      <c r="C71" s="946"/>
      <c r="D71" s="294">
        <f t="shared" ca="1" si="14"/>
        <v>48270</v>
      </c>
      <c r="E71" s="359">
        <f t="shared" si="17"/>
        <v>0</v>
      </c>
      <c r="F71" s="360">
        <f t="shared" ca="1" si="15"/>
        <v>50</v>
      </c>
      <c r="G71" s="290">
        <f ca="1">KTVCOI!R70</f>
        <v>0.42147167304404992</v>
      </c>
      <c r="H71" s="290">
        <f ca="1">(H70-F71-G71)*(1+LS!$F$3)</f>
        <v>-3390.5125317975235</v>
      </c>
      <c r="I71" s="948"/>
      <c r="J71" s="296">
        <f t="shared" ca="1" si="16"/>
        <v>-3390.5125317975235</v>
      </c>
      <c r="K71" s="949"/>
      <c r="L71" s="949"/>
      <c r="M71" s="949"/>
      <c r="N71" s="950"/>
      <c r="O71" s="950"/>
      <c r="X71" s="1004"/>
      <c r="Y71" s="1004"/>
    </row>
    <row r="72" spans="2:25" ht="9.75" customHeight="1">
      <c r="B72" s="946"/>
      <c r="C72" s="946"/>
      <c r="D72" s="294">
        <f t="shared" ca="1" si="14"/>
        <v>48299</v>
      </c>
      <c r="E72" s="359">
        <f t="shared" si="17"/>
        <v>0</v>
      </c>
      <c r="F72" s="360">
        <f t="shared" ca="1" si="15"/>
        <v>50</v>
      </c>
      <c r="G72" s="290">
        <f ca="1">KTVCOI!R71</f>
        <v>0.42946492069435305</v>
      </c>
      <c r="H72" s="290">
        <f ca="1">(H71-F72-G72)*(1+LS!$F$3)</f>
        <v>-3453.8620876421128</v>
      </c>
      <c r="I72" s="948"/>
      <c r="J72" s="296">
        <f t="shared" ca="1" si="16"/>
        <v>-3453.8620876421128</v>
      </c>
      <c r="K72" s="949"/>
      <c r="L72" s="949"/>
      <c r="M72" s="949"/>
      <c r="N72" s="950"/>
      <c r="O72" s="950"/>
      <c r="X72" s="1004"/>
      <c r="Y72" s="1004"/>
    </row>
    <row r="73" spans="2:25" ht="9.75" customHeight="1">
      <c r="B73" s="946"/>
      <c r="C73" s="946"/>
      <c r="D73" s="294">
        <f t="shared" ca="1" si="14"/>
        <v>48330</v>
      </c>
      <c r="E73" s="359">
        <f t="shared" si="17"/>
        <v>0</v>
      </c>
      <c r="F73" s="360">
        <f t="shared" ca="1" si="15"/>
        <v>50</v>
      </c>
      <c r="G73" s="290">
        <f ca="1">KTVCOI!R72</f>
        <v>0.43748919776800094</v>
      </c>
      <c r="H73" s="290">
        <f ca="1">(H72-F73-G73)*(1+LS!$F$3)</f>
        <v>-3517.4575635773845</v>
      </c>
      <c r="I73" s="948"/>
      <c r="J73" s="296">
        <f t="shared" ca="1" si="16"/>
        <v>-3517.4575635773845</v>
      </c>
      <c r="K73" s="949"/>
      <c r="L73" s="949"/>
      <c r="M73" s="949"/>
      <c r="N73" s="950"/>
      <c r="O73" s="950"/>
      <c r="X73" s="1004"/>
      <c r="Y73" s="1004"/>
    </row>
    <row r="74" spans="2:25" ht="9.75" customHeight="1">
      <c r="B74" s="946"/>
      <c r="C74" s="946"/>
      <c r="D74" s="294">
        <f t="shared" ca="1" si="14"/>
        <v>48360</v>
      </c>
      <c r="E74" s="359">
        <f t="shared" si="17"/>
        <v>0</v>
      </c>
      <c r="F74" s="360">
        <f t="shared" ca="1" si="15"/>
        <v>50</v>
      </c>
      <c r="G74" s="290">
        <f ca="1">KTVCOI!R73</f>
        <v>0.44554462471980205</v>
      </c>
      <c r="H74" s="290">
        <f ca="1">(H73-F74-G74)*(1+LS!$F$3)</f>
        <v>-3581.2999142539306</v>
      </c>
      <c r="I74" s="948"/>
      <c r="J74" s="296">
        <f t="shared" ca="1" si="16"/>
        <v>-3581.2999142539306</v>
      </c>
      <c r="K74" s="949"/>
      <c r="L74" s="949"/>
      <c r="M74" s="949"/>
      <c r="N74" s="950"/>
      <c r="O74" s="950"/>
      <c r="X74" s="1004"/>
      <c r="Y74" s="1004"/>
    </row>
    <row r="75" spans="2:25" ht="9.75" customHeight="1">
      <c r="B75" s="946"/>
      <c r="C75" s="946"/>
      <c r="D75" s="294">
        <f t="shared" ca="1" si="14"/>
        <v>48391</v>
      </c>
      <c r="E75" s="359">
        <f t="shared" si="17"/>
        <v>0</v>
      </c>
      <c r="F75" s="360">
        <f t="shared" ca="1" si="15"/>
        <v>50</v>
      </c>
      <c r="G75" s="290">
        <f ca="1">KTVCOI!R74</f>
        <v>0.45363132247216459</v>
      </c>
      <c r="H75" s="290">
        <f ca="1">(H74-F75-G75)*(1+LS!$F$3)</f>
        <v>-3645.3900980282538</v>
      </c>
      <c r="I75" s="948"/>
      <c r="J75" s="297">
        <f ca="1">H75+I64</f>
        <v>-3645.3900980282538</v>
      </c>
      <c r="K75" s="949"/>
      <c r="L75" s="949"/>
      <c r="M75" s="949"/>
      <c r="N75" s="950"/>
      <c r="O75" s="950"/>
      <c r="X75" s="1004"/>
      <c r="Y75" s="1004"/>
    </row>
    <row r="76" spans="2:25" ht="9.75" customHeight="1">
      <c r="B76" s="951">
        <f>B64+1</f>
        <v>7</v>
      </c>
      <c r="C76" s="952">
        <f ca="1">C64+1</f>
        <v>36</v>
      </c>
      <c r="D76" s="287">
        <f t="shared" ca="1" si="14"/>
        <v>48421</v>
      </c>
      <c r="E76" s="359">
        <f t="shared" si="17"/>
        <v>0</v>
      </c>
      <c r="F76" s="289">
        <f t="shared" ca="1" si="15"/>
        <v>50</v>
      </c>
      <c r="G76" s="290">
        <f ca="1">KTVCOI!R75</f>
        <v>0.49212766323381429</v>
      </c>
      <c r="H76" s="290">
        <f ca="1">(H75+KTVTRDGTTKMH!F13-F76-G76)*(1+LS!$F$3)</f>
        <v>-3709.7595692925956</v>
      </c>
      <c r="I76" s="953"/>
      <c r="J76" s="292">
        <f t="shared" ca="1" si="16"/>
        <v>-3709.7595692925956</v>
      </c>
      <c r="K76" s="949">
        <f ca="1">J87</f>
        <v>-4434.5675397127143</v>
      </c>
      <c r="L76" s="949"/>
      <c r="M76" s="949"/>
      <c r="N76" s="950">
        <f t="shared" ref="N76" ca="1" si="18">SUM(G76:G87)</f>
        <v>6.4865668642277958</v>
      </c>
      <c r="O76" s="950"/>
      <c r="X76" s="945">
        <f t="shared" ref="X76:Y76" ca="1" si="19">SUM(F76:F87)</f>
        <v>600</v>
      </c>
      <c r="Y76" s="945">
        <f t="shared" ca="1" si="19"/>
        <v>6.4865668642277958</v>
      </c>
    </row>
    <row r="77" spans="2:25" ht="9.75" customHeight="1">
      <c r="B77" s="951"/>
      <c r="C77" s="951"/>
      <c r="D77" s="287">
        <f t="shared" ca="1" si="14"/>
        <v>48452</v>
      </c>
      <c r="E77" s="359">
        <f t="shared" si="17"/>
        <v>0</v>
      </c>
      <c r="F77" s="289">
        <f t="shared" ca="1" si="15"/>
        <v>50</v>
      </c>
      <c r="G77" s="290">
        <f ca="1">KTVCOI!R76</f>
        <v>0.50081754185450045</v>
      </c>
      <c r="H77" s="290">
        <f ca="1">(H76-F77-G77)*(1+LS!$F$3)</f>
        <v>-3774.3794583392173</v>
      </c>
      <c r="I77" s="953"/>
      <c r="J77" s="292">
        <f t="shared" ca="1" si="16"/>
        <v>-3774.3794583392173</v>
      </c>
      <c r="K77" s="949"/>
      <c r="L77" s="949"/>
      <c r="M77" s="949"/>
      <c r="N77" s="950"/>
      <c r="O77" s="950"/>
      <c r="X77" s="1004"/>
      <c r="Y77" s="1004"/>
    </row>
    <row r="78" spans="2:25" ht="9.75" customHeight="1">
      <c r="B78" s="951"/>
      <c r="C78" s="951"/>
      <c r="D78" s="287">
        <f t="shared" ca="1" si="14"/>
        <v>48483</v>
      </c>
      <c r="E78" s="359">
        <f t="shared" si="17"/>
        <v>0</v>
      </c>
      <c r="F78" s="289">
        <f t="shared" ca="1" si="15"/>
        <v>50</v>
      </c>
      <c r="G78" s="290">
        <f ca="1">KTVCOI!R77</f>
        <v>0.50954122687579428</v>
      </c>
      <c r="H78" s="290">
        <f ca="1">(H77-F78-G78)*(1+LS!$F$3)</f>
        <v>-3839.2507393731958</v>
      </c>
      <c r="I78" s="953"/>
      <c r="J78" s="292">
        <f t="shared" ca="1" si="16"/>
        <v>-3839.2507393731958</v>
      </c>
      <c r="K78" s="949"/>
      <c r="L78" s="949"/>
      <c r="M78" s="949"/>
      <c r="N78" s="950"/>
      <c r="O78" s="950"/>
      <c r="X78" s="1004"/>
      <c r="Y78" s="1004"/>
    </row>
    <row r="79" spans="2:25" ht="9.75" customHeight="1">
      <c r="B79" s="951"/>
      <c r="C79" s="951"/>
      <c r="D79" s="287">
        <f t="shared" ca="1" si="14"/>
        <v>48513</v>
      </c>
      <c r="E79" s="359">
        <f t="shared" si="17"/>
        <v>0</v>
      </c>
      <c r="F79" s="289">
        <f t="shared" ca="1" si="15"/>
        <v>50</v>
      </c>
      <c r="G79" s="290">
        <f ca="1">KTVCOI!R78</f>
        <v>0.51829884981538143</v>
      </c>
      <c r="H79" s="290">
        <f ca="1">(H78-F79-G79)*(1+LS!$F$3)</f>
        <v>-3904.3743903895761</v>
      </c>
      <c r="I79" s="953"/>
      <c r="J79" s="292">
        <f t="shared" ca="1" si="16"/>
        <v>-3904.3743903895761</v>
      </c>
      <c r="K79" s="949"/>
      <c r="L79" s="949"/>
      <c r="M79" s="949"/>
      <c r="N79" s="950"/>
      <c r="O79" s="950"/>
      <c r="X79" s="1004"/>
      <c r="Y79" s="1004"/>
    </row>
    <row r="80" spans="2:25" ht="9.75" customHeight="1">
      <c r="B80" s="951"/>
      <c r="C80" s="951"/>
      <c r="D80" s="287">
        <f t="shared" ca="1" si="14"/>
        <v>48544</v>
      </c>
      <c r="E80" s="359">
        <f t="shared" si="17"/>
        <v>0</v>
      </c>
      <c r="F80" s="289">
        <f t="shared" ca="1" si="15"/>
        <v>50</v>
      </c>
      <c r="G80" s="290">
        <f ca="1">KTVCOI!R79</f>
        <v>0.52709054270259281</v>
      </c>
      <c r="H80" s="290">
        <f ca="1">(H79-F80-G80)*(1+LS!$F$3)</f>
        <v>-3969.7513931881163</v>
      </c>
      <c r="I80" s="953"/>
      <c r="J80" s="292">
        <f t="shared" ca="1" si="16"/>
        <v>-3969.7513931881163</v>
      </c>
      <c r="K80" s="949"/>
      <c r="L80" s="949"/>
      <c r="M80" s="949"/>
      <c r="N80" s="950"/>
      <c r="O80" s="950"/>
      <c r="X80" s="1004"/>
      <c r="Y80" s="1004"/>
    </row>
    <row r="81" spans="2:25" ht="9.75" customHeight="1">
      <c r="B81" s="951"/>
      <c r="C81" s="951"/>
      <c r="D81" s="287">
        <f t="shared" ca="1" si="14"/>
        <v>48574</v>
      </c>
      <c r="E81" s="359">
        <f t="shared" si="17"/>
        <v>0</v>
      </c>
      <c r="F81" s="289">
        <f t="shared" ca="1" si="15"/>
        <v>50</v>
      </c>
      <c r="G81" s="290">
        <f ca="1">KTVCOI!R80</f>
        <v>0.53591643808039569</v>
      </c>
      <c r="H81" s="290">
        <f ca="1">(H80-F81-G81)*(1+LS!$F$3)</f>
        <v>-4035.3827333880881</v>
      </c>
      <c r="I81" s="953"/>
      <c r="J81" s="292">
        <f t="shared" ca="1" si="16"/>
        <v>-4035.3827333880881</v>
      </c>
      <c r="K81" s="949"/>
      <c r="L81" s="949"/>
      <c r="M81" s="949"/>
      <c r="N81" s="950"/>
      <c r="O81" s="950"/>
      <c r="X81" s="1004"/>
      <c r="Y81" s="1004"/>
    </row>
    <row r="82" spans="2:25" ht="9.75" customHeight="1">
      <c r="B82" s="951"/>
      <c r="C82" s="951"/>
      <c r="D82" s="287">
        <f t="shared" ca="1" si="14"/>
        <v>48605</v>
      </c>
      <c r="E82" s="359">
        <f t="shared" si="17"/>
        <v>0</v>
      </c>
      <c r="F82" s="289">
        <f t="shared" ca="1" si="15"/>
        <v>50</v>
      </c>
      <c r="G82" s="290">
        <f ca="1">KTVCOI!R81</f>
        <v>0.54477666900739197</v>
      </c>
      <c r="H82" s="290">
        <f ca="1">(H81-F82-G82)*(1+LS!$F$3)</f>
        <v>-4101.2694004431378</v>
      </c>
      <c r="I82" s="953"/>
      <c r="J82" s="292">
        <f t="shared" ca="1" si="16"/>
        <v>-4101.2694004431378</v>
      </c>
      <c r="K82" s="949"/>
      <c r="L82" s="949"/>
      <c r="M82" s="949"/>
      <c r="N82" s="950"/>
      <c r="O82" s="950"/>
      <c r="X82" s="1004"/>
      <c r="Y82" s="1004"/>
    </row>
    <row r="83" spans="2:25" ht="9.75" customHeight="1">
      <c r="B83" s="951"/>
      <c r="C83" s="951"/>
      <c r="D83" s="287">
        <f t="shared" ca="1" si="14"/>
        <v>48636</v>
      </c>
      <c r="E83" s="359">
        <f t="shared" si="17"/>
        <v>0</v>
      </c>
      <c r="F83" s="289">
        <f t="shared" ca="1" si="15"/>
        <v>50</v>
      </c>
      <c r="G83" s="290">
        <f ca="1">KTVCOI!R82</f>
        <v>0.55367136905982373</v>
      </c>
      <c r="H83" s="290">
        <f ca="1">(H82-F83-G83)*(1+LS!$F$3)</f>
        <v>-4167.4123876562016</v>
      </c>
      <c r="I83" s="953"/>
      <c r="J83" s="292">
        <f t="shared" ca="1" si="16"/>
        <v>-4167.4123876562016</v>
      </c>
      <c r="K83" s="949"/>
      <c r="L83" s="949"/>
      <c r="M83" s="949"/>
      <c r="N83" s="950"/>
      <c r="O83" s="950"/>
      <c r="X83" s="1004"/>
      <c r="Y83" s="1004"/>
    </row>
    <row r="84" spans="2:25" ht="9.75" customHeight="1">
      <c r="B84" s="951"/>
      <c r="C84" s="951"/>
      <c r="D84" s="287">
        <f t="shared" ca="1" si="14"/>
        <v>48664</v>
      </c>
      <c r="E84" s="359">
        <f t="shared" si="17"/>
        <v>0</v>
      </c>
      <c r="F84" s="289">
        <f t="shared" ca="1" si="15"/>
        <v>50</v>
      </c>
      <c r="G84" s="290">
        <f ca="1">KTVCOI!R83</f>
        <v>0.56260067233358724</v>
      </c>
      <c r="H84" s="290">
        <f ca="1">(H83-F84-G84)*(1+LS!$F$3)</f>
        <v>-4233.8126921944804</v>
      </c>
      <c r="I84" s="953"/>
      <c r="J84" s="292">
        <f t="shared" ca="1" si="16"/>
        <v>-4233.8126921944804</v>
      </c>
      <c r="K84" s="949"/>
      <c r="L84" s="949"/>
      <c r="M84" s="949"/>
      <c r="N84" s="950"/>
      <c r="O84" s="950"/>
      <c r="X84" s="1004"/>
      <c r="Y84" s="1004"/>
    </row>
    <row r="85" spans="2:25" ht="9.75" customHeight="1">
      <c r="B85" s="951"/>
      <c r="C85" s="951"/>
      <c r="D85" s="287">
        <f t="shared" ca="1" si="14"/>
        <v>48695</v>
      </c>
      <c r="E85" s="359">
        <f t="shared" si="17"/>
        <v>0</v>
      </c>
      <c r="F85" s="289">
        <f t="shared" ca="1" si="15"/>
        <v>50</v>
      </c>
      <c r="G85" s="290">
        <f ca="1">KTVCOI!R84</f>
        <v>0.57156471344625492</v>
      </c>
      <c r="H85" s="290">
        <f ca="1">(H84-F85-G85)*(1+LS!$F$3)</f>
        <v>-4300.4713151044753</v>
      </c>
      <c r="I85" s="953"/>
      <c r="J85" s="292">
        <f t="shared" ca="1" si="16"/>
        <v>-4300.4713151044753</v>
      </c>
      <c r="K85" s="949"/>
      <c r="L85" s="949"/>
      <c r="M85" s="949"/>
      <c r="N85" s="950"/>
      <c r="O85" s="950"/>
      <c r="X85" s="1004"/>
      <c r="Y85" s="1004"/>
    </row>
    <row r="86" spans="2:25" ht="9.75" customHeight="1">
      <c r="B86" s="951"/>
      <c r="C86" s="951"/>
      <c r="D86" s="287">
        <f t="shared" ca="1" si="14"/>
        <v>48725</v>
      </c>
      <c r="E86" s="359">
        <f t="shared" si="17"/>
        <v>0</v>
      </c>
      <c r="F86" s="289">
        <f t="shared" ca="1" si="15"/>
        <v>50</v>
      </c>
      <c r="G86" s="290">
        <f ca="1">KTVCOI!R85</f>
        <v>0.58056362753910418</v>
      </c>
      <c r="H86" s="290">
        <f ca="1">(H85-F86-G86)*(1+LS!$F$3)</f>
        <v>-4367.3892613270764</v>
      </c>
      <c r="I86" s="953"/>
      <c r="J86" s="292">
        <f t="shared" ca="1" si="16"/>
        <v>-4367.3892613270764</v>
      </c>
      <c r="K86" s="949"/>
      <c r="L86" s="949"/>
      <c r="M86" s="949"/>
      <c r="N86" s="950"/>
      <c r="O86" s="950"/>
      <c r="X86" s="1004"/>
      <c r="Y86" s="1004"/>
    </row>
    <row r="87" spans="2:25" ht="9.75" customHeight="1">
      <c r="B87" s="951"/>
      <c r="C87" s="951"/>
      <c r="D87" s="287">
        <f t="shared" ca="1" si="14"/>
        <v>48756</v>
      </c>
      <c r="E87" s="359">
        <f t="shared" si="17"/>
        <v>0</v>
      </c>
      <c r="F87" s="289">
        <f t="shared" ca="1" si="15"/>
        <v>50</v>
      </c>
      <c r="G87" s="290">
        <f ca="1">KTVCOI!R86</f>
        <v>0.58959755027915539</v>
      </c>
      <c r="H87" s="290">
        <f ca="1">(H86-F87-G87)*(1+LS!$F$3)</f>
        <v>-4434.5675397127143</v>
      </c>
      <c r="I87" s="953"/>
      <c r="J87" s="293">
        <f ca="1">H87+I76</f>
        <v>-4434.5675397127143</v>
      </c>
      <c r="K87" s="949"/>
      <c r="L87" s="949"/>
      <c r="M87" s="949"/>
      <c r="N87" s="950"/>
      <c r="O87" s="950"/>
      <c r="X87" s="1004"/>
      <c r="Y87" s="1004"/>
    </row>
    <row r="88" spans="2:25" ht="9.75" customHeight="1">
      <c r="B88" s="946">
        <f>B76+1</f>
        <v>8</v>
      </c>
      <c r="C88" s="947">
        <f ca="1">C76+1</f>
        <v>37</v>
      </c>
      <c r="D88" s="294">
        <f t="shared" ca="1" si="14"/>
        <v>48786</v>
      </c>
      <c r="E88" s="359">
        <f t="shared" si="17"/>
        <v>0</v>
      </c>
      <c r="F88" s="360">
        <f t="shared" ca="1" si="15"/>
        <v>50</v>
      </c>
      <c r="G88" s="290">
        <f ca="1">KTVCOI!R87</f>
        <v>0.64301229325834353</v>
      </c>
      <c r="H88" s="290">
        <f ca="1">(H87+KTVTRDGTTKMH!F14-F88-G88)*(1+LS!$F$3)</f>
        <v>-4502.0516752216499</v>
      </c>
      <c r="I88" s="948"/>
      <c r="J88" s="296">
        <f t="shared" ca="1" si="16"/>
        <v>-4502.0516752216499</v>
      </c>
      <c r="K88" s="949">
        <f ca="1">J99</f>
        <v>-5261.9770219227312</v>
      </c>
      <c r="L88" s="949"/>
      <c r="M88" s="949"/>
      <c r="N88" s="950">
        <f t="shared" ref="N88" ca="1" si="20">SUM(G88:G99)</f>
        <v>8.3704413126438393</v>
      </c>
      <c r="O88" s="950"/>
      <c r="X88" s="945">
        <f t="shared" ref="X88:Y88" ca="1" si="21">SUM(F88:F99)</f>
        <v>600</v>
      </c>
      <c r="Y88" s="945">
        <f t="shared" ca="1" si="21"/>
        <v>8.3704413126438393</v>
      </c>
    </row>
    <row r="89" spans="2:25" ht="9.75" customHeight="1">
      <c r="B89" s="946"/>
      <c r="C89" s="946"/>
      <c r="D89" s="294">
        <f t="shared" ca="1" si="14"/>
        <v>48817</v>
      </c>
      <c r="E89" s="359">
        <f t="shared" si="17"/>
        <v>0</v>
      </c>
      <c r="F89" s="360">
        <f t="shared" ca="1" si="15"/>
        <v>50</v>
      </c>
      <c r="G89" s="290">
        <f ca="1">KTVCOI!R88</f>
        <v>0.65279749290713929</v>
      </c>
      <c r="H89" s="290">
        <f ca="1">(H88-F89-G89)*(1+LS!$F$3)</f>
        <v>-4569.7990229258639</v>
      </c>
      <c r="I89" s="948"/>
      <c r="J89" s="296">
        <f t="shared" ca="1" si="16"/>
        <v>-4569.7990229258639</v>
      </c>
      <c r="K89" s="949"/>
      <c r="L89" s="949"/>
      <c r="M89" s="949"/>
      <c r="N89" s="950"/>
      <c r="O89" s="950"/>
      <c r="X89" s="1004"/>
      <c r="Y89" s="1004"/>
    </row>
    <row r="90" spans="2:25" ht="9.75" customHeight="1">
      <c r="B90" s="946"/>
      <c r="C90" s="946"/>
      <c r="D90" s="294">
        <f t="shared" ca="1" si="14"/>
        <v>48848</v>
      </c>
      <c r="E90" s="359">
        <f t="shared" si="17"/>
        <v>0</v>
      </c>
      <c r="F90" s="360">
        <f t="shared" ca="1" si="15"/>
        <v>50</v>
      </c>
      <c r="G90" s="290">
        <f ca="1">KTVCOI!R89</f>
        <v>0.66262085832425022</v>
      </c>
      <c r="H90" s="290">
        <f ca="1">(H89-F90-G90)*(1+LS!$F$3)</f>
        <v>-4637.8106094467876</v>
      </c>
      <c r="I90" s="948"/>
      <c r="J90" s="296">
        <f t="shared" ca="1" si="16"/>
        <v>-4637.8106094467876</v>
      </c>
      <c r="K90" s="949"/>
      <c r="L90" s="949"/>
      <c r="M90" s="949"/>
      <c r="N90" s="950"/>
      <c r="O90" s="950"/>
      <c r="X90" s="1004"/>
      <c r="Y90" s="1004"/>
    </row>
    <row r="91" spans="2:25" ht="9.75" customHeight="1">
      <c r="B91" s="946"/>
      <c r="C91" s="946"/>
      <c r="D91" s="294">
        <f t="shared" ca="1" si="14"/>
        <v>48878</v>
      </c>
      <c r="E91" s="359">
        <f t="shared" si="17"/>
        <v>0</v>
      </c>
      <c r="F91" s="360">
        <f t="shared" ca="1" si="15"/>
        <v>50</v>
      </c>
      <c r="G91" s="290">
        <f ca="1">KTVCOI!R90</f>
        <v>0.67248253836978422</v>
      </c>
      <c r="H91" s="290">
        <f ca="1">(H90-F91-G91)*(1+LS!$F$3)</f>
        <v>-4706.0874654100407</v>
      </c>
      <c r="I91" s="948"/>
      <c r="J91" s="296">
        <f t="shared" ca="1" si="16"/>
        <v>-4706.0874654100407</v>
      </c>
      <c r="K91" s="949"/>
      <c r="L91" s="949"/>
      <c r="M91" s="949"/>
      <c r="N91" s="950"/>
      <c r="O91" s="950"/>
      <c r="X91" s="1004"/>
      <c r="Y91" s="1004"/>
    </row>
    <row r="92" spans="2:25" ht="9.75" customHeight="1">
      <c r="B92" s="946"/>
      <c r="C92" s="946"/>
      <c r="D92" s="294">
        <f t="shared" ca="1" si="14"/>
        <v>48909</v>
      </c>
      <c r="E92" s="359">
        <f t="shared" si="17"/>
        <v>0</v>
      </c>
      <c r="F92" s="360">
        <f t="shared" ca="1" si="15"/>
        <v>50</v>
      </c>
      <c r="G92" s="290">
        <f ca="1">KTVCOI!R91</f>
        <v>0.68238268248445599</v>
      </c>
      <c r="H92" s="290">
        <f ca="1">(H91-F92-G92)*(1+LS!$F$3)</f>
        <v>-4774.6306254610517</v>
      </c>
      <c r="I92" s="948"/>
      <c r="J92" s="296">
        <f t="shared" ca="1" si="16"/>
        <v>-4774.6306254610517</v>
      </c>
      <c r="K92" s="949"/>
      <c r="L92" s="949"/>
      <c r="M92" s="949"/>
      <c r="N92" s="950"/>
      <c r="O92" s="950"/>
      <c r="X92" s="1004"/>
      <c r="Y92" s="1004"/>
    </row>
    <row r="93" spans="2:25" ht="9.75" customHeight="1">
      <c r="B93" s="946"/>
      <c r="C93" s="946"/>
      <c r="D93" s="294">
        <f t="shared" ca="1" si="14"/>
        <v>48939</v>
      </c>
      <c r="E93" s="359">
        <f t="shared" si="17"/>
        <v>0</v>
      </c>
      <c r="F93" s="360">
        <f t="shared" ca="1" si="15"/>
        <v>50</v>
      </c>
      <c r="G93" s="290">
        <f ca="1">KTVCOI!R92</f>
        <v>0.69232144069185253</v>
      </c>
      <c r="H93" s="290">
        <f ca="1">(H92-F93-G93)*(1+LS!$F$3)</f>
        <v>-4843.4411282807341</v>
      </c>
      <c r="I93" s="948"/>
      <c r="J93" s="296">
        <f t="shared" ca="1" si="16"/>
        <v>-4843.4411282807341</v>
      </c>
      <c r="K93" s="949"/>
      <c r="L93" s="949"/>
      <c r="M93" s="949"/>
      <c r="N93" s="950"/>
      <c r="O93" s="950"/>
      <c r="X93" s="1004"/>
      <c r="Y93" s="1004"/>
    </row>
    <row r="94" spans="2:25" ht="9.75" customHeight="1">
      <c r="B94" s="946"/>
      <c r="C94" s="946"/>
      <c r="D94" s="294">
        <f t="shared" ca="1" si="14"/>
        <v>48970</v>
      </c>
      <c r="E94" s="359">
        <f t="shared" si="17"/>
        <v>0</v>
      </c>
      <c r="F94" s="360">
        <f t="shared" ca="1" si="15"/>
        <v>50</v>
      </c>
      <c r="G94" s="290">
        <f ca="1">KTVCOI!R93</f>
        <v>0.70229896360070654</v>
      </c>
      <c r="H94" s="290">
        <f ca="1">(H93-F94-G94)*(1+LS!$F$3)</f>
        <v>-4912.5200166012282</v>
      </c>
      <c r="I94" s="948"/>
      <c r="J94" s="296">
        <f t="shared" ca="1" si="16"/>
        <v>-4912.5200166012282</v>
      </c>
      <c r="K94" s="949"/>
      <c r="L94" s="949"/>
      <c r="M94" s="949"/>
      <c r="N94" s="950"/>
      <c r="O94" s="950"/>
      <c r="X94" s="1004"/>
      <c r="Y94" s="1004"/>
    </row>
    <row r="95" spans="2:25" ht="9.75" customHeight="1">
      <c r="B95" s="946"/>
      <c r="C95" s="946"/>
      <c r="D95" s="294">
        <f t="shared" ca="1" si="14"/>
        <v>49001</v>
      </c>
      <c r="E95" s="359">
        <f t="shared" si="17"/>
        <v>0</v>
      </c>
      <c r="F95" s="360">
        <f t="shared" ca="1" si="15"/>
        <v>50</v>
      </c>
      <c r="G95" s="290">
        <f ca="1">KTVCOI!R94</f>
        <v>0.71231540240717806</v>
      </c>
      <c r="H95" s="290">
        <f ca="1">(H94-F95-G95)*(1+LS!$F$3)</f>
        <v>-4981.868337221701</v>
      </c>
      <c r="I95" s="948"/>
      <c r="J95" s="296">
        <f t="shared" ca="1" si="16"/>
        <v>-4981.868337221701</v>
      </c>
      <c r="K95" s="949"/>
      <c r="L95" s="949"/>
      <c r="M95" s="949"/>
      <c r="N95" s="950"/>
      <c r="O95" s="950"/>
      <c r="X95" s="1004"/>
      <c r="Y95" s="1004"/>
    </row>
    <row r="96" spans="2:25" ht="9.75" customHeight="1">
      <c r="B96" s="946"/>
      <c r="C96" s="946"/>
      <c r="D96" s="294">
        <f t="shared" ca="1" si="14"/>
        <v>49029</v>
      </c>
      <c r="E96" s="359">
        <f t="shared" si="17"/>
        <v>0</v>
      </c>
      <c r="F96" s="360">
        <f t="shared" ca="1" si="15"/>
        <v>50</v>
      </c>
      <c r="G96" s="290">
        <f ca="1">KTVCOI!R95</f>
        <v>0.72237090889714661</v>
      </c>
      <c r="H96" s="290">
        <f ca="1">(H95-F96-G96)*(1+LS!$F$3)</f>
        <v>-5051.4871410242104</v>
      </c>
      <c r="I96" s="948"/>
      <c r="J96" s="296">
        <f t="shared" ca="1" si="16"/>
        <v>-5051.4871410242104</v>
      </c>
      <c r="K96" s="949"/>
      <c r="L96" s="949"/>
      <c r="M96" s="949"/>
      <c r="N96" s="950"/>
      <c r="O96" s="950"/>
      <c r="X96" s="1004"/>
      <c r="Y96" s="1004"/>
    </row>
    <row r="97" spans="2:25" ht="9.75" customHeight="1">
      <c r="B97" s="946"/>
      <c r="C97" s="946"/>
      <c r="D97" s="294">
        <f t="shared" ca="1" si="14"/>
        <v>49060</v>
      </c>
      <c r="E97" s="359">
        <f t="shared" si="17"/>
        <v>0</v>
      </c>
      <c r="F97" s="360">
        <f t="shared" ca="1" si="15"/>
        <v>50</v>
      </c>
      <c r="G97" s="290">
        <f ca="1">KTVCOI!R96</f>
        <v>0.73246563544851051</v>
      </c>
      <c r="H97" s="290">
        <f ca="1">(H96-F97-G97)*(1+LS!$F$3)</f>
        <v>-5121.3774829896274</v>
      </c>
      <c r="I97" s="948"/>
      <c r="J97" s="296">
        <f t="shared" ca="1" si="16"/>
        <v>-5121.3774829896274</v>
      </c>
      <c r="K97" s="949"/>
      <c r="L97" s="949"/>
      <c r="M97" s="949"/>
      <c r="N97" s="950"/>
      <c r="O97" s="950"/>
      <c r="X97" s="1004"/>
      <c r="Y97" s="1004"/>
    </row>
    <row r="98" spans="2:25" ht="9.75" customHeight="1">
      <c r="B98" s="946"/>
      <c r="C98" s="946"/>
      <c r="D98" s="294">
        <f t="shared" ca="1" si="14"/>
        <v>49090</v>
      </c>
      <c r="E98" s="359">
        <f t="shared" si="17"/>
        <v>0</v>
      </c>
      <c r="F98" s="360">
        <f t="shared" ca="1" si="15"/>
        <v>50</v>
      </c>
      <c r="G98" s="290">
        <f ca="1">KTVCOI!R97</f>
        <v>0.74259973503349608</v>
      </c>
      <c r="H98" s="290">
        <f ca="1">(H97-F98-G98)*(1+LS!$F$3)</f>
        <v>-5191.5404222136267</v>
      </c>
      <c r="I98" s="948"/>
      <c r="J98" s="296">
        <f t="shared" ca="1" si="16"/>
        <v>-5191.5404222136267</v>
      </c>
      <c r="K98" s="949"/>
      <c r="L98" s="949"/>
      <c r="M98" s="949"/>
      <c r="N98" s="950"/>
      <c r="O98" s="950"/>
      <c r="X98" s="1004"/>
      <c r="Y98" s="1004"/>
    </row>
    <row r="99" spans="2:25" ht="9.75" customHeight="1">
      <c r="B99" s="946"/>
      <c r="C99" s="946"/>
      <c r="D99" s="294">
        <f t="shared" ca="1" si="14"/>
        <v>49121</v>
      </c>
      <c r="E99" s="359">
        <f t="shared" si="17"/>
        <v>0</v>
      </c>
      <c r="F99" s="360">
        <f t="shared" ca="1" si="15"/>
        <v>50</v>
      </c>
      <c r="G99" s="290">
        <f ca="1">KTVCOI!R98</f>
        <v>0.75277336122097582</v>
      </c>
      <c r="H99" s="290">
        <f ca="1">(H98-F99-G99)*(1+LS!$F$3)</f>
        <v>-5261.9770219227312</v>
      </c>
      <c r="I99" s="948"/>
      <c r="J99" s="297">
        <f ca="1">H99+I88</f>
        <v>-5261.9770219227312</v>
      </c>
      <c r="K99" s="949"/>
      <c r="L99" s="949"/>
      <c r="M99" s="949"/>
      <c r="N99" s="950"/>
      <c r="O99" s="950"/>
      <c r="X99" s="1004"/>
      <c r="Y99" s="1004"/>
    </row>
    <row r="100" spans="2:25" ht="9.75" customHeight="1">
      <c r="B100" s="951">
        <f>B88+1</f>
        <v>9</v>
      </c>
      <c r="C100" s="952">
        <f ca="1">C88+1</f>
        <v>38</v>
      </c>
      <c r="D100" s="287">
        <f t="shared" ca="1" si="14"/>
        <v>49151</v>
      </c>
      <c r="E100" s="359">
        <f t="shared" si="17"/>
        <v>0</v>
      </c>
      <c r="F100" s="289">
        <f t="shared" ca="1" si="15"/>
        <v>50</v>
      </c>
      <c r="G100" s="290">
        <f ca="1">KTVCOI!R99</f>
        <v>0.8243764001012277</v>
      </c>
      <c r="H100" s="290">
        <f ca="1">(H99+KTVTRDGTTKMH!F15-F100-G100)*(1+LS!$F$3)</f>
        <v>-5332.7499697292651</v>
      </c>
      <c r="I100" s="953"/>
      <c r="J100" s="292">
        <f t="shared" ca="1" si="16"/>
        <v>-5332.7499697292651</v>
      </c>
      <c r="K100" s="949">
        <f ca="1">J111</f>
        <v>-6190.5835003557886</v>
      </c>
      <c r="L100" s="949"/>
      <c r="M100" s="949"/>
      <c r="N100" s="950">
        <f t="shared" ref="N100" ca="1" si="22">SUM(G100:G111)</f>
        <v>10.657647979326496</v>
      </c>
      <c r="O100" s="950"/>
      <c r="X100" s="945">
        <f t="shared" ref="X100:Y100" ca="1" si="23">SUM(F100:F111)</f>
        <v>660</v>
      </c>
      <c r="Y100" s="945">
        <f t="shared" ca="1" si="23"/>
        <v>10.657647979326496</v>
      </c>
    </row>
    <row r="101" spans="2:25" ht="9.75" customHeight="1">
      <c r="B101" s="951"/>
      <c r="C101" s="951"/>
      <c r="D101" s="287">
        <f t="shared" ca="1" si="14"/>
        <v>49182</v>
      </c>
      <c r="E101" s="359">
        <f t="shared" si="17"/>
        <v>0</v>
      </c>
      <c r="F101" s="289">
        <f t="shared" ca="1" si="15"/>
        <v>50</v>
      </c>
      <c r="G101" s="290">
        <f ca="1">KTVCOI!R100</f>
        <v>0.83546416192425144</v>
      </c>
      <c r="H101" s="290">
        <f ca="1">(H100-F101-G101)*(1+LS!$F$3)</f>
        <v>-5403.7997860566047</v>
      </c>
      <c r="I101" s="953"/>
      <c r="J101" s="292">
        <f t="shared" ca="1" si="16"/>
        <v>-5403.7997860566047</v>
      </c>
      <c r="K101" s="949"/>
      <c r="L101" s="949"/>
      <c r="M101" s="949"/>
      <c r="N101" s="950"/>
      <c r="O101" s="950"/>
      <c r="X101" s="1004"/>
      <c r="Y101" s="1004"/>
    </row>
    <row r="102" spans="2:25" ht="9.75" customHeight="1">
      <c r="B102" s="951"/>
      <c r="C102" s="951"/>
      <c r="D102" s="287">
        <f t="shared" ca="1" si="14"/>
        <v>49213</v>
      </c>
      <c r="E102" s="359">
        <f t="shared" si="17"/>
        <v>0</v>
      </c>
      <c r="F102" s="289">
        <f t="shared" ca="1" si="15"/>
        <v>50</v>
      </c>
      <c r="G102" s="290">
        <f ca="1">KTVCOI!R101</f>
        <v>0.84659529981553472</v>
      </c>
      <c r="H102" s="290">
        <f ca="1">(H101-F102-G102)*(1+LS!$F$3)</f>
        <v>-5475.1275540329825</v>
      </c>
      <c r="I102" s="953"/>
      <c r="J102" s="292">
        <f t="shared" ca="1" si="16"/>
        <v>-5475.1275540329825</v>
      </c>
      <c r="K102" s="949"/>
      <c r="L102" s="949"/>
      <c r="M102" s="949"/>
      <c r="N102" s="950"/>
      <c r="O102" s="950"/>
      <c r="X102" s="1004"/>
      <c r="Y102" s="1004"/>
    </row>
    <row r="103" spans="2:25" ht="9.75" customHeight="1">
      <c r="B103" s="951"/>
      <c r="C103" s="951"/>
      <c r="D103" s="287">
        <f t="shared" ca="1" si="14"/>
        <v>49243</v>
      </c>
      <c r="E103" s="359">
        <f t="shared" si="17"/>
        <v>0</v>
      </c>
      <c r="F103" s="289">
        <f t="shared" ca="1" si="15"/>
        <v>50</v>
      </c>
      <c r="G103" s="290">
        <f ca="1">KTVCOI!R102</f>
        <v>0.85776998346516731</v>
      </c>
      <c r="H103" s="290">
        <f ca="1">(H102-F103-G103)*(1+LS!$F$3)</f>
        <v>-5546.7343610238995</v>
      </c>
      <c r="I103" s="953"/>
      <c r="J103" s="292">
        <f t="shared" ca="1" si="16"/>
        <v>-5546.7343610238995</v>
      </c>
      <c r="K103" s="949"/>
      <c r="L103" s="949"/>
      <c r="M103" s="949"/>
      <c r="N103" s="950"/>
      <c r="O103" s="950"/>
      <c r="X103" s="1004"/>
      <c r="Y103" s="1004"/>
    </row>
    <row r="104" spans="2:25" ht="9.75" customHeight="1">
      <c r="B104" s="951"/>
      <c r="C104" s="951"/>
      <c r="D104" s="287">
        <f t="shared" ca="1" si="14"/>
        <v>49274</v>
      </c>
      <c r="E104" s="359">
        <f t="shared" si="17"/>
        <v>0</v>
      </c>
      <c r="F104" s="289">
        <f t="shared" ca="1" si="15"/>
        <v>50</v>
      </c>
      <c r="G104" s="290">
        <f ca="1">KTVCOI!R103</f>
        <v>0.8689883832270775</v>
      </c>
      <c r="H104" s="290">
        <f ca="1">(H103-F104-G104)*(1+LS!$F$3)</f>
        <v>-5618.6212986487044</v>
      </c>
      <c r="I104" s="953"/>
      <c r="J104" s="292">
        <f t="shared" ca="1" si="16"/>
        <v>-5618.6212986487044</v>
      </c>
      <c r="K104" s="949"/>
      <c r="L104" s="949"/>
      <c r="M104" s="949"/>
      <c r="N104" s="950"/>
      <c r="O104" s="950"/>
      <c r="X104" s="1004"/>
      <c r="Y104" s="1004"/>
    </row>
    <row r="105" spans="2:25" ht="9.75" customHeight="1">
      <c r="B105" s="951"/>
      <c r="C105" s="951"/>
      <c r="D105" s="287">
        <f t="shared" ca="1" si="14"/>
        <v>49304</v>
      </c>
      <c r="E105" s="359">
        <f t="shared" si="17"/>
        <v>0</v>
      </c>
      <c r="F105" s="289">
        <f t="shared" ca="1" si="15"/>
        <v>50</v>
      </c>
      <c r="G105" s="290">
        <f ca="1">KTVCOI!R104</f>
        <v>0.88025067012163027</v>
      </c>
      <c r="H105" s="290">
        <f ca="1">(H104-F105-G105)*(1+LS!$F$3)</f>
        <v>-5690.7894627972346</v>
      </c>
      <c r="I105" s="953"/>
      <c r="J105" s="292">
        <f t="shared" ca="1" si="16"/>
        <v>-5690.7894627972346</v>
      </c>
      <c r="K105" s="949"/>
      <c r="L105" s="949"/>
      <c r="M105" s="949"/>
      <c r="N105" s="950"/>
      <c r="O105" s="950"/>
      <c r="X105" s="1004"/>
      <c r="Y105" s="1004"/>
    </row>
    <row r="106" spans="2:25" ht="9.75" customHeight="1">
      <c r="B106" s="951"/>
      <c r="C106" s="951"/>
      <c r="D106" s="287">
        <f t="shared" ca="1" si="14"/>
        <v>49335</v>
      </c>
      <c r="E106" s="359">
        <f t="shared" si="17"/>
        <v>0</v>
      </c>
      <c r="F106" s="289">
        <f t="shared" ca="1" si="15"/>
        <v>60</v>
      </c>
      <c r="G106" s="290">
        <f ca="1">KTVCOI!R105</f>
        <v>0.89155701583823344</v>
      </c>
      <c r="H106" s="290">
        <f ca="1">(H105-F106-G106)*(1+LS!$F$3)</f>
        <v>-5773.2775017683334</v>
      </c>
      <c r="I106" s="953"/>
      <c r="J106" s="292">
        <f t="shared" ca="1" si="16"/>
        <v>-5773.2775017683334</v>
      </c>
      <c r="K106" s="949"/>
      <c r="L106" s="949"/>
      <c r="M106" s="949"/>
      <c r="N106" s="950"/>
      <c r="O106" s="950"/>
      <c r="X106" s="1004"/>
      <c r="Y106" s="1004"/>
    </row>
    <row r="107" spans="2:25" ht="9.75" customHeight="1">
      <c r="B107" s="951"/>
      <c r="C107" s="951"/>
      <c r="D107" s="287">
        <f t="shared" ca="1" si="14"/>
        <v>49366</v>
      </c>
      <c r="E107" s="359">
        <f t="shared" si="17"/>
        <v>0</v>
      </c>
      <c r="F107" s="289">
        <f t="shared" ca="1" si="15"/>
        <v>60</v>
      </c>
      <c r="G107" s="290">
        <f ca="1">KTVCOI!R106</f>
        <v>0.90448014194370552</v>
      </c>
      <c r="H107" s="290">
        <f ca="1">(H106-F107-G107)*(1+LS!$F$3)</f>
        <v>-5856.0882394829778</v>
      </c>
      <c r="I107" s="953"/>
      <c r="J107" s="292">
        <f t="shared" ca="1" si="16"/>
        <v>-5856.0882394829778</v>
      </c>
      <c r="K107" s="949"/>
      <c r="L107" s="949"/>
      <c r="M107" s="949"/>
      <c r="N107" s="950"/>
      <c r="O107" s="950"/>
      <c r="X107" s="1004"/>
      <c r="Y107" s="1004"/>
    </row>
    <row r="108" spans="2:25" ht="9.75" customHeight="1">
      <c r="B108" s="951"/>
      <c r="C108" s="951"/>
      <c r="D108" s="287">
        <f t="shared" ca="1" si="14"/>
        <v>49394</v>
      </c>
      <c r="E108" s="359">
        <f t="shared" si="17"/>
        <v>0</v>
      </c>
      <c r="F108" s="289">
        <f t="shared" ca="1" si="15"/>
        <v>60</v>
      </c>
      <c r="G108" s="290">
        <f ca="1">KTVCOI!R107</f>
        <v>0.91745382418566657</v>
      </c>
      <c r="H108" s="290">
        <f ca="1">(H107-F108-G108)*(1+LS!$F$3)</f>
        <v>-5939.2229383603044</v>
      </c>
      <c r="I108" s="953"/>
      <c r="J108" s="292">
        <f t="shared" ca="1" si="16"/>
        <v>-5939.2229383603044</v>
      </c>
      <c r="K108" s="949"/>
      <c r="L108" s="949"/>
      <c r="M108" s="949"/>
      <c r="N108" s="950"/>
      <c r="O108" s="950"/>
      <c r="X108" s="1004"/>
      <c r="Y108" s="1004"/>
    </row>
    <row r="109" spans="2:25" ht="9.75" customHeight="1">
      <c r="B109" s="951"/>
      <c r="C109" s="951"/>
      <c r="D109" s="287">
        <f t="shared" ca="1" si="14"/>
        <v>49425</v>
      </c>
      <c r="E109" s="359">
        <f t="shared" si="17"/>
        <v>0</v>
      </c>
      <c r="F109" s="289">
        <f t="shared" ca="1" si="15"/>
        <v>60</v>
      </c>
      <c r="G109" s="290">
        <f ca="1">KTVCOI!R108</f>
        <v>0.93047826034311443</v>
      </c>
      <c r="H109" s="290">
        <f ca="1">(H108-F109-G109)*(1+LS!$F$3)</f>
        <v>-6022.68286575812</v>
      </c>
      <c r="I109" s="953"/>
      <c r="J109" s="292">
        <f t="shared" ca="1" si="16"/>
        <v>-6022.68286575812</v>
      </c>
      <c r="K109" s="949"/>
      <c r="L109" s="949"/>
      <c r="M109" s="949"/>
      <c r="N109" s="950"/>
      <c r="O109" s="950"/>
      <c r="X109" s="1004"/>
      <c r="Y109" s="1004"/>
    </row>
    <row r="110" spans="2:25" ht="9.75" customHeight="1">
      <c r="B110" s="951"/>
      <c r="C110" s="951"/>
      <c r="D110" s="287">
        <f t="shared" ca="1" si="14"/>
        <v>49455</v>
      </c>
      <c r="E110" s="359">
        <f t="shared" si="17"/>
        <v>0</v>
      </c>
      <c r="F110" s="289">
        <f t="shared" ca="1" si="15"/>
        <v>60</v>
      </c>
      <c r="G110" s="290">
        <f ca="1">KTVCOI!R109</f>
        <v>0.94355364896877214</v>
      </c>
      <c r="H110" s="290">
        <f ca="1">(H109-F110-G110)*(1+LS!$F$3)</f>
        <v>-6106.4692939922215</v>
      </c>
      <c r="I110" s="953"/>
      <c r="J110" s="292">
        <f t="shared" ca="1" si="16"/>
        <v>-6106.4692939922215</v>
      </c>
      <c r="K110" s="949"/>
      <c r="L110" s="949"/>
      <c r="M110" s="949"/>
      <c r="N110" s="950"/>
      <c r="O110" s="950"/>
      <c r="X110" s="1004"/>
      <c r="Y110" s="1004"/>
    </row>
    <row r="111" spans="2:25" ht="9.75" customHeight="1">
      <c r="B111" s="951"/>
      <c r="C111" s="951"/>
      <c r="D111" s="287">
        <f t="shared" ca="1" si="14"/>
        <v>49486</v>
      </c>
      <c r="E111" s="359">
        <f t="shared" si="17"/>
        <v>0</v>
      </c>
      <c r="F111" s="289">
        <f t="shared" ca="1" si="15"/>
        <v>60</v>
      </c>
      <c r="G111" s="290">
        <f ca="1">KTVCOI!R110</f>
        <v>0.95668018939211474</v>
      </c>
      <c r="H111" s="290">
        <f ca="1">(H110-F111-G111)*(1+LS!$F$3)</f>
        <v>-6190.5835003557886</v>
      </c>
      <c r="I111" s="953"/>
      <c r="J111" s="293">
        <f ca="1">H111+I100</f>
        <v>-6190.5835003557886</v>
      </c>
      <c r="K111" s="949"/>
      <c r="L111" s="949"/>
      <c r="M111" s="949"/>
      <c r="N111" s="950"/>
      <c r="O111" s="950"/>
      <c r="X111" s="1004"/>
      <c r="Y111" s="1004"/>
    </row>
    <row r="112" spans="2:25" ht="9.75" customHeight="1">
      <c r="B112" s="946">
        <f>B100+1</f>
        <v>10</v>
      </c>
      <c r="C112" s="947">
        <f ca="1">C100+1</f>
        <v>39</v>
      </c>
      <c r="D112" s="294">
        <f t="shared" ca="1" si="14"/>
        <v>49516</v>
      </c>
      <c r="E112" s="359">
        <f t="shared" si="17"/>
        <v>0</v>
      </c>
      <c r="F112" s="360">
        <f t="shared" ca="1" si="15"/>
        <v>60</v>
      </c>
      <c r="G112" s="290">
        <f ca="1">KTVCOI!R111</f>
        <v>1.0472403754768542</v>
      </c>
      <c r="H112" s="290">
        <f ca="1">(H111+KTVTRDGTTKMH!F16-F112-G112)*(1+LS!$F$3)</f>
        <v>-6275.1044399885905</v>
      </c>
      <c r="I112" s="948">
        <f ca="1">IF(COUNTIF(KTVTRDGTTKMH!$E$7:E16,0)&gt;0,0,50%*'Tinh phi QL'!H12/1000)</f>
        <v>0</v>
      </c>
      <c r="J112" s="296">
        <f t="shared" ca="1" si="16"/>
        <v>-6275.1044399885905</v>
      </c>
      <c r="K112" s="949">
        <f ca="1">J123</f>
        <v>-7227.0167225354708</v>
      </c>
      <c r="L112" s="949"/>
      <c r="M112" s="949"/>
      <c r="N112" s="950">
        <f t="shared" ref="N112" ca="1" si="24">SUM(G112:G123)</f>
        <v>13.523015714774928</v>
      </c>
      <c r="O112" s="950"/>
      <c r="X112" s="945">
        <f t="shared" ref="X112:Y112" ca="1" si="25">SUM(F112:F123)</f>
        <v>720</v>
      </c>
      <c r="Y112" s="945">
        <f t="shared" ca="1" si="25"/>
        <v>13.523015714774928</v>
      </c>
    </row>
    <row r="113" spans="2:25" ht="9.75" customHeight="1">
      <c r="B113" s="946"/>
      <c r="C113" s="946"/>
      <c r="D113" s="294">
        <f t="shared" ca="1" si="14"/>
        <v>49547</v>
      </c>
      <c r="E113" s="359">
        <f t="shared" si="17"/>
        <v>0</v>
      </c>
      <c r="F113" s="360">
        <f t="shared" ca="1" si="15"/>
        <v>60</v>
      </c>
      <c r="G113" s="290">
        <f ca="1">KTVCOI!R112</f>
        <v>1.0615385010980698</v>
      </c>
      <c r="H113" s="290">
        <f ca="1">(H112-F113-G113)*(1+LS!$F$3)</f>
        <v>-6359.9570916874854</v>
      </c>
      <c r="I113" s="948"/>
      <c r="J113" s="296">
        <f t="shared" ca="1" si="16"/>
        <v>-6359.9570916874854</v>
      </c>
      <c r="K113" s="949"/>
      <c r="L113" s="949"/>
      <c r="M113" s="949"/>
      <c r="N113" s="950"/>
      <c r="O113" s="950"/>
      <c r="X113" s="1004"/>
      <c r="Y113" s="1004"/>
    </row>
    <row r="114" spans="2:25" ht="9.75" customHeight="1">
      <c r="B114" s="946"/>
      <c r="C114" s="946"/>
      <c r="D114" s="294">
        <f t="shared" ca="1" si="14"/>
        <v>49578</v>
      </c>
      <c r="E114" s="359">
        <f t="shared" si="17"/>
        <v>0</v>
      </c>
      <c r="F114" s="360">
        <f t="shared" ca="1" si="15"/>
        <v>60</v>
      </c>
      <c r="G114" s="290">
        <f ca="1">KTVCOI!R113</f>
        <v>1.0758927413437995</v>
      </c>
      <c r="H114" s="290">
        <f ca="1">(H113-F114-G114)*(1+LS!$F$3)</f>
        <v>-6445.1427572943039</v>
      </c>
      <c r="I114" s="948"/>
      <c r="J114" s="296">
        <f t="shared" ca="1" si="16"/>
        <v>-6445.1427572943039</v>
      </c>
      <c r="K114" s="949"/>
      <c r="L114" s="949"/>
      <c r="M114" s="949"/>
      <c r="N114" s="950"/>
      <c r="O114" s="950"/>
      <c r="X114" s="1004"/>
      <c r="Y114" s="1004"/>
    </row>
    <row r="115" spans="2:25" ht="9.75" customHeight="1">
      <c r="B115" s="946"/>
      <c r="C115" s="946"/>
      <c r="D115" s="294">
        <f t="shared" ca="1" si="14"/>
        <v>49608</v>
      </c>
      <c r="E115" s="359">
        <f t="shared" si="17"/>
        <v>0</v>
      </c>
      <c r="F115" s="360">
        <f t="shared" ca="1" si="15"/>
        <v>60</v>
      </c>
      <c r="G115" s="290">
        <f ca="1">KTVCOI!R114</f>
        <v>1.0903033164422864</v>
      </c>
      <c r="H115" s="290">
        <f ca="1">(H114-F115-G115)*(1+LS!$F$3)</f>
        <v>-6530.6627437601028</v>
      </c>
      <c r="I115" s="948"/>
      <c r="J115" s="296">
        <f t="shared" ca="1" si="16"/>
        <v>-6530.6627437601028</v>
      </c>
      <c r="K115" s="949"/>
      <c r="L115" s="949"/>
      <c r="M115" s="949"/>
      <c r="N115" s="950"/>
      <c r="O115" s="950"/>
      <c r="X115" s="1004"/>
      <c r="Y115" s="1004"/>
    </row>
    <row r="116" spans="2:25" ht="9.75" customHeight="1">
      <c r="B116" s="946"/>
      <c r="C116" s="946"/>
      <c r="D116" s="294">
        <f t="shared" ca="1" si="14"/>
        <v>49639</v>
      </c>
      <c r="E116" s="359">
        <f t="shared" si="17"/>
        <v>0</v>
      </c>
      <c r="F116" s="360">
        <f t="shared" ca="1" si="15"/>
        <v>60</v>
      </c>
      <c r="G116" s="290">
        <f ca="1">KTVCOI!R115</f>
        <v>1.104770447486084</v>
      </c>
      <c r="H116" s="290">
        <f ca="1">(H115-F116-G116)*(1+LS!$F$3)</f>
        <v>-6616.5183631652189</v>
      </c>
      <c r="I116" s="948"/>
      <c r="J116" s="296">
        <f t="shared" ca="1" si="16"/>
        <v>-6616.5183631652189</v>
      </c>
      <c r="K116" s="949"/>
      <c r="L116" s="949"/>
      <c r="M116" s="949"/>
      <c r="N116" s="950"/>
      <c r="O116" s="950"/>
      <c r="X116" s="1004"/>
      <c r="Y116" s="1004"/>
    </row>
    <row r="117" spans="2:25" ht="9.75" customHeight="1">
      <c r="B117" s="946"/>
      <c r="C117" s="946"/>
      <c r="D117" s="294">
        <f t="shared" ca="1" si="14"/>
        <v>49669</v>
      </c>
      <c r="E117" s="359">
        <f t="shared" si="17"/>
        <v>0</v>
      </c>
      <c r="F117" s="360">
        <f t="shared" ca="1" si="15"/>
        <v>60</v>
      </c>
      <c r="G117" s="290">
        <f ca="1">KTVCOI!R116</f>
        <v>1.1192943564354494</v>
      </c>
      <c r="H117" s="290">
        <f ca="1">(H116-F117-G117)*(1+LS!$F$3)</f>
        <v>-6702.7109327393973</v>
      </c>
      <c r="I117" s="948"/>
      <c r="J117" s="296">
        <f t="shared" ca="1" si="16"/>
        <v>-6702.7109327393973</v>
      </c>
      <c r="K117" s="949"/>
      <c r="L117" s="949"/>
      <c r="M117" s="949"/>
      <c r="N117" s="950"/>
      <c r="O117" s="950"/>
      <c r="X117" s="1004"/>
      <c r="Y117" s="1004"/>
    </row>
    <row r="118" spans="2:25" ht="9.75" customHeight="1">
      <c r="B118" s="946"/>
      <c r="C118" s="946"/>
      <c r="D118" s="294">
        <f t="shared" ca="1" si="14"/>
        <v>49700</v>
      </c>
      <c r="E118" s="359">
        <f t="shared" si="17"/>
        <v>0</v>
      </c>
      <c r="F118" s="360">
        <f t="shared" ca="1" si="15"/>
        <v>60</v>
      </c>
      <c r="G118" s="290">
        <f ca="1">KTVCOI!R117</f>
        <v>1.1338752661217479</v>
      </c>
      <c r="H118" s="290">
        <f ca="1">(H117-F118-G118)*(1+LS!$F$3)</f>
        <v>-6789.2417748819998</v>
      </c>
      <c r="I118" s="948"/>
      <c r="J118" s="296">
        <f t="shared" ca="1" si="16"/>
        <v>-6789.2417748819998</v>
      </c>
      <c r="K118" s="949"/>
      <c r="L118" s="949"/>
      <c r="M118" s="949"/>
      <c r="N118" s="950"/>
      <c r="O118" s="950"/>
      <c r="X118" s="1004"/>
      <c r="Y118" s="1004"/>
    </row>
    <row r="119" spans="2:25" ht="9.75" customHeight="1">
      <c r="B119" s="946"/>
      <c r="C119" s="946"/>
      <c r="D119" s="294">
        <f t="shared" ca="1" si="14"/>
        <v>49731</v>
      </c>
      <c r="E119" s="359">
        <f t="shared" si="17"/>
        <v>0</v>
      </c>
      <c r="F119" s="360">
        <f t="shared" ca="1" si="15"/>
        <v>60</v>
      </c>
      <c r="G119" s="290">
        <f ca="1">KTVCOI!R118</f>
        <v>1.1485134002508715</v>
      </c>
      <c r="H119" s="290">
        <f ca="1">(H118-F119-G119)*(1+LS!$F$3)</f>
        <v>-6876.1122171822981</v>
      </c>
      <c r="I119" s="948"/>
      <c r="J119" s="296">
        <f t="shared" ca="1" si="16"/>
        <v>-6876.1122171822981</v>
      </c>
      <c r="K119" s="949"/>
      <c r="L119" s="949"/>
      <c r="M119" s="949"/>
      <c r="N119" s="950"/>
      <c r="O119" s="950"/>
      <c r="X119" s="1004"/>
      <c r="Y119" s="1004"/>
    </row>
    <row r="120" spans="2:25" ht="9.75" customHeight="1">
      <c r="B120" s="946"/>
      <c r="C120" s="946"/>
      <c r="D120" s="294">
        <f t="shared" ca="1" si="14"/>
        <v>49760</v>
      </c>
      <c r="E120" s="359">
        <f t="shared" si="17"/>
        <v>0</v>
      </c>
      <c r="F120" s="360">
        <f t="shared" ca="1" si="15"/>
        <v>60</v>
      </c>
      <c r="G120" s="290">
        <f ca="1">KTVCOI!R119</f>
        <v>1.1632089834066719</v>
      </c>
      <c r="H120" s="290">
        <f ca="1">(H119-F120-G120)*(1+LS!$F$3)</f>
        <v>-6963.3235924398377</v>
      </c>
      <c r="I120" s="948"/>
      <c r="J120" s="296">
        <f t="shared" ca="1" si="16"/>
        <v>-6963.3235924398377</v>
      </c>
      <c r="K120" s="949"/>
      <c r="L120" s="949"/>
      <c r="M120" s="949"/>
      <c r="N120" s="950"/>
      <c r="O120" s="950"/>
      <c r="X120" s="1004"/>
      <c r="Y120" s="1004"/>
    </row>
    <row r="121" spans="2:25" ht="9.75" customHeight="1">
      <c r="B121" s="946"/>
      <c r="C121" s="946"/>
      <c r="D121" s="294">
        <f t="shared" ca="1" si="14"/>
        <v>49791</v>
      </c>
      <c r="E121" s="359">
        <f t="shared" si="17"/>
        <v>0</v>
      </c>
      <c r="F121" s="360">
        <f t="shared" ca="1" si="15"/>
        <v>60</v>
      </c>
      <c r="G121" s="290">
        <f ca="1">KTVCOI!R120</f>
        <v>1.1779622410544059</v>
      </c>
      <c r="H121" s="290">
        <f ca="1">(H120-F121-G121)*(1+LS!$F$3)</f>
        <v>-7050.8772386848877</v>
      </c>
      <c r="I121" s="948"/>
      <c r="J121" s="296">
        <f t="shared" ca="1" si="16"/>
        <v>-7050.8772386848877</v>
      </c>
      <c r="K121" s="949"/>
      <c r="L121" s="949"/>
      <c r="M121" s="949"/>
      <c r="N121" s="950"/>
      <c r="O121" s="950"/>
      <c r="X121" s="1004"/>
      <c r="Y121" s="1004"/>
    </row>
    <row r="122" spans="2:25" ht="9.75" customHeight="1">
      <c r="B122" s="946"/>
      <c r="C122" s="946"/>
      <c r="D122" s="294">
        <f t="shared" ca="1" si="14"/>
        <v>49821</v>
      </c>
      <c r="E122" s="359">
        <f t="shared" si="17"/>
        <v>0</v>
      </c>
      <c r="F122" s="360">
        <f t="shared" ca="1" si="15"/>
        <v>60</v>
      </c>
      <c r="G122" s="290">
        <f ca="1">KTVCOI!R121</f>
        <v>1.1927733995441934</v>
      </c>
      <c r="H122" s="290">
        <f ca="1">(H121-F122-G122)*(1+LS!$F$3)</f>
        <v>-7138.7744991989712</v>
      </c>
      <c r="I122" s="948"/>
      <c r="J122" s="296">
        <f t="shared" ca="1" si="16"/>
        <v>-7138.7744991989712</v>
      </c>
      <c r="K122" s="949"/>
      <c r="L122" s="949"/>
      <c r="M122" s="949"/>
      <c r="N122" s="950"/>
      <c r="O122" s="950"/>
      <c r="X122" s="1004"/>
      <c r="Y122" s="1004"/>
    </row>
    <row r="123" spans="2:25" ht="9.75" customHeight="1">
      <c r="B123" s="946"/>
      <c r="C123" s="946"/>
      <c r="D123" s="294">
        <f t="shared" ca="1" si="14"/>
        <v>49852</v>
      </c>
      <c r="E123" s="359">
        <f t="shared" si="17"/>
        <v>0</v>
      </c>
      <c r="F123" s="360">
        <f t="shared" ca="1" si="15"/>
        <v>60</v>
      </c>
      <c r="G123" s="290">
        <f ca="1">KTVCOI!R122</f>
        <v>1.2076426861144924</v>
      </c>
      <c r="H123" s="290">
        <f ca="1">(H122-F123-G123)*(1+LS!$F$3)</f>
        <v>-7227.0167225354708</v>
      </c>
      <c r="I123" s="948"/>
      <c r="J123" s="297">
        <f ca="1">H123+I112</f>
        <v>-7227.0167225354708</v>
      </c>
      <c r="K123" s="949"/>
      <c r="L123" s="949"/>
      <c r="M123" s="949"/>
      <c r="N123" s="950"/>
      <c r="O123" s="950"/>
      <c r="X123" s="1004"/>
      <c r="Y123" s="1004"/>
    </row>
    <row r="124" spans="2:25" ht="9.75" customHeight="1">
      <c r="B124" s="951">
        <f>B112+1</f>
        <v>11</v>
      </c>
      <c r="C124" s="952">
        <f ca="1">C112+1</f>
        <v>40</v>
      </c>
      <c r="D124" s="287">
        <f t="shared" ca="1" si="14"/>
        <v>49882</v>
      </c>
      <c r="E124" s="359">
        <f t="shared" si="17"/>
        <v>0</v>
      </c>
      <c r="F124" s="289">
        <f t="shared" ca="1" si="15"/>
        <v>60</v>
      </c>
      <c r="G124" s="290">
        <f ca="1">KTVCOI!R123</f>
        <v>1.3309755797336158</v>
      </c>
      <c r="H124" s="290">
        <f ca="1">(J123+KTVTRDGTTKMH!F17-F124-G124)*(1+LS!$F$3)</f>
        <v>-7315.7140748325155</v>
      </c>
      <c r="I124" s="953"/>
      <c r="J124" s="292">
        <f t="shared" ca="1" si="16"/>
        <v>-7315.7140748325155</v>
      </c>
      <c r="K124" s="949">
        <f ca="1">J135</f>
        <v>-8314.7534493669573</v>
      </c>
      <c r="L124" s="949"/>
      <c r="M124" s="949"/>
      <c r="N124" s="950">
        <f t="shared" ref="N124" ca="1" si="26">SUM(G124:G135)</f>
        <v>17.06410764588712</v>
      </c>
      <c r="O124" s="950"/>
      <c r="X124" s="945">
        <f t="shared" ref="X124:Y124" ca="1" si="27">SUM(F124:F135)</f>
        <v>720</v>
      </c>
      <c r="Y124" s="945">
        <f t="shared" ca="1" si="27"/>
        <v>17.06410764588712</v>
      </c>
    </row>
    <row r="125" spans="2:25" ht="9.75" customHeight="1">
      <c r="B125" s="951"/>
      <c r="C125" s="951"/>
      <c r="D125" s="287">
        <f t="shared" ca="1" si="14"/>
        <v>49913</v>
      </c>
      <c r="E125" s="359">
        <f t="shared" si="17"/>
        <v>0</v>
      </c>
      <c r="F125" s="289">
        <f t="shared" ca="1" si="15"/>
        <v>60</v>
      </c>
      <c r="G125" s="290">
        <f ca="1">KTVCOI!R124</f>
        <v>1.3473106754483215</v>
      </c>
      <c r="H125" s="290">
        <f ca="1">(H124-F125-G125)*(1+LS!$F$3)</f>
        <v>-7404.7608654593323</v>
      </c>
      <c r="I125" s="953"/>
      <c r="J125" s="292">
        <f t="shared" ca="1" si="16"/>
        <v>-7404.7608654593323</v>
      </c>
      <c r="K125" s="949"/>
      <c r="L125" s="949"/>
      <c r="M125" s="949"/>
      <c r="N125" s="950"/>
      <c r="O125" s="950"/>
      <c r="X125" s="1004"/>
      <c r="Y125" s="1004"/>
    </row>
    <row r="126" spans="2:25" ht="9.75" customHeight="1">
      <c r="B126" s="951"/>
      <c r="C126" s="951"/>
      <c r="D126" s="287">
        <f t="shared" ca="1" si="14"/>
        <v>49944</v>
      </c>
      <c r="E126" s="359">
        <f t="shared" si="17"/>
        <v>0</v>
      </c>
      <c r="F126" s="289">
        <f t="shared" ca="1" si="15"/>
        <v>60</v>
      </c>
      <c r="G126" s="290">
        <f ca="1">KTVCOI!R125</f>
        <v>1.363710126055427</v>
      </c>
      <c r="H126" s="290">
        <f ca="1">(H125-F126-G126)*(1+LS!$F$3)</f>
        <v>-7494.1584710877505</v>
      </c>
      <c r="I126" s="953"/>
      <c r="J126" s="292">
        <f t="shared" ca="1" si="16"/>
        <v>-7494.1584710877505</v>
      </c>
      <c r="K126" s="949"/>
      <c r="L126" s="949"/>
      <c r="M126" s="949"/>
      <c r="N126" s="950"/>
      <c r="O126" s="950"/>
      <c r="X126" s="1004"/>
      <c r="Y126" s="1004"/>
    </row>
    <row r="127" spans="2:25" ht="9.75" customHeight="1">
      <c r="B127" s="951"/>
      <c r="C127" s="951"/>
      <c r="D127" s="287">
        <f t="shared" ca="1" si="14"/>
        <v>49974</v>
      </c>
      <c r="E127" s="359">
        <f t="shared" si="17"/>
        <v>0</v>
      </c>
      <c r="F127" s="289">
        <f t="shared" ca="1" si="15"/>
        <v>60</v>
      </c>
      <c r="G127" s="290">
        <f ca="1">KTVCOI!R126</f>
        <v>1.3801741850919942</v>
      </c>
      <c r="H127" s="290">
        <f ca="1">(H126-F127-G127)*(1+LS!$F$3)</f>
        <v>-7583.9082738132338</v>
      </c>
      <c r="I127" s="953"/>
      <c r="J127" s="292">
        <f t="shared" ca="1" si="16"/>
        <v>-7583.9082738132338</v>
      </c>
      <c r="K127" s="949"/>
      <c r="L127" s="949"/>
      <c r="M127" s="949"/>
      <c r="N127" s="950"/>
      <c r="O127" s="950"/>
      <c r="X127" s="1004"/>
      <c r="Y127" s="1004"/>
    </row>
    <row r="128" spans="2:25" ht="9.75" customHeight="1">
      <c r="B128" s="951"/>
      <c r="C128" s="951"/>
      <c r="D128" s="287">
        <f t="shared" ca="1" si="14"/>
        <v>50005</v>
      </c>
      <c r="E128" s="359">
        <f t="shared" si="17"/>
        <v>0</v>
      </c>
      <c r="F128" s="289">
        <f t="shared" ca="1" si="15"/>
        <v>60</v>
      </c>
      <c r="G128" s="290">
        <f ca="1">KTVCOI!R127</f>
        <v>1.3967031070939371</v>
      </c>
      <c r="H128" s="290">
        <f ca="1">(H127-F128-G128)*(1+LS!$F$3)</f>
        <v>-7674.011661176246</v>
      </c>
      <c r="I128" s="953"/>
      <c r="J128" s="292">
        <f t="shared" ca="1" si="16"/>
        <v>-7674.011661176246</v>
      </c>
      <c r="K128" s="949"/>
      <c r="L128" s="949"/>
      <c r="M128" s="949"/>
      <c r="N128" s="950"/>
      <c r="O128" s="950"/>
      <c r="X128" s="1004"/>
      <c r="Y128" s="1004"/>
    </row>
    <row r="129" spans="2:25" ht="9.75" customHeight="1">
      <c r="B129" s="951"/>
      <c r="C129" s="951"/>
      <c r="D129" s="287">
        <f t="shared" ca="1" si="14"/>
        <v>50035</v>
      </c>
      <c r="E129" s="359">
        <f t="shared" si="17"/>
        <v>0</v>
      </c>
      <c r="F129" s="289">
        <f t="shared" ca="1" si="15"/>
        <v>60</v>
      </c>
      <c r="G129" s="290">
        <f ca="1">KTVCOI!R128</f>
        <v>1.4132971475999587</v>
      </c>
      <c r="H129" s="290">
        <f ca="1">(H128-F129-G129)*(1+LS!$F$3)</f>
        <v>-7764.4700261837024</v>
      </c>
      <c r="I129" s="953"/>
      <c r="J129" s="292">
        <f t="shared" ca="1" si="16"/>
        <v>-7764.4700261837024</v>
      </c>
      <c r="K129" s="949"/>
      <c r="L129" s="949"/>
      <c r="M129" s="949"/>
      <c r="N129" s="950"/>
      <c r="O129" s="950"/>
      <c r="X129" s="1004"/>
      <c r="Y129" s="1004"/>
    </row>
    <row r="130" spans="2:25" ht="9.75" customHeight="1">
      <c r="B130" s="951"/>
      <c r="C130" s="951"/>
      <c r="D130" s="287">
        <f t="shared" ca="1" si="14"/>
        <v>50066</v>
      </c>
      <c r="E130" s="359">
        <f t="shared" si="17"/>
        <v>0</v>
      </c>
      <c r="F130" s="289">
        <f t="shared" ca="1" si="15"/>
        <v>60</v>
      </c>
      <c r="G130" s="290">
        <f ca="1">KTVCOI!R129</f>
        <v>1.4299565631554987</v>
      </c>
      <c r="H130" s="290">
        <f ca="1">(H129-F130-G130)*(1+LS!$F$3)</f>
        <v>-7855.2847673305068</v>
      </c>
      <c r="I130" s="953"/>
      <c r="J130" s="292">
        <f t="shared" ca="1" si="16"/>
        <v>-7855.2847673305068</v>
      </c>
      <c r="K130" s="949"/>
      <c r="L130" s="949"/>
      <c r="M130" s="949"/>
      <c r="N130" s="950"/>
      <c r="O130" s="950"/>
      <c r="X130" s="1004"/>
      <c r="Y130" s="1004"/>
    </row>
    <row r="131" spans="2:25" ht="9.75" customHeight="1">
      <c r="B131" s="951"/>
      <c r="C131" s="951"/>
      <c r="D131" s="287">
        <f t="shared" ca="1" si="14"/>
        <v>50097</v>
      </c>
      <c r="E131" s="359">
        <f t="shared" si="17"/>
        <v>0</v>
      </c>
      <c r="F131" s="289">
        <f t="shared" ca="1" si="15"/>
        <v>60</v>
      </c>
      <c r="G131" s="290">
        <f ca="1">KTVCOI!R130</f>
        <v>1.4466816113167018</v>
      </c>
      <c r="H131" s="290">
        <f ca="1">(H130-F131-G131)*(1+LS!$F$3)</f>
        <v>-7946.4572886211727</v>
      </c>
      <c r="I131" s="953"/>
      <c r="J131" s="292">
        <f t="shared" ca="1" si="16"/>
        <v>-7946.4572886211727</v>
      </c>
      <c r="K131" s="949"/>
      <c r="L131" s="949"/>
      <c r="M131" s="949"/>
      <c r="N131" s="950"/>
      <c r="O131" s="950"/>
      <c r="X131" s="1004"/>
      <c r="Y131" s="1004"/>
    </row>
    <row r="132" spans="2:25" ht="9.75" customHeight="1">
      <c r="B132" s="951"/>
      <c r="C132" s="951"/>
      <c r="D132" s="287">
        <f t="shared" ca="1" si="14"/>
        <v>50125</v>
      </c>
      <c r="E132" s="359">
        <f t="shared" si="17"/>
        <v>0</v>
      </c>
      <c r="F132" s="289">
        <f t="shared" ca="1" si="15"/>
        <v>60</v>
      </c>
      <c r="G132" s="290">
        <f ca="1">KTVCOI!R131</f>
        <v>1.4634725506543991</v>
      </c>
      <c r="H132" s="290">
        <f ca="1">(H131-F132-G132)*(1+LS!$F$3)</f>
        <v>-8037.9889995915282</v>
      </c>
      <c r="I132" s="953"/>
      <c r="J132" s="292">
        <f t="shared" ca="1" si="16"/>
        <v>-8037.9889995915282</v>
      </c>
      <c r="K132" s="949"/>
      <c r="L132" s="949"/>
      <c r="M132" s="949"/>
      <c r="N132" s="950"/>
      <c r="O132" s="950"/>
      <c r="X132" s="1004"/>
      <c r="Y132" s="1004"/>
    </row>
    <row r="133" spans="2:25" ht="9.75" customHeight="1">
      <c r="B133" s="951"/>
      <c r="C133" s="951"/>
      <c r="D133" s="287">
        <f t="shared" ref="D133:D196" ca="1" si="28">EDATE(D132,1)</f>
        <v>50156</v>
      </c>
      <c r="E133" s="359">
        <f t="shared" si="17"/>
        <v>0</v>
      </c>
      <c r="F133" s="289">
        <f t="shared" ref="F133:F196" ca="1" si="29">IF(YEAR(D133)=2025,40000,IF(YEAR(D133)=2026,40000,IF(YEAR(D133)=2027,40000,IF(YEAR(D133)=2028,40000,IF(YEAR(D133)=2029,40000,IF(YEAR(D133)=2030,50000,IF(YEAR(D133)=2031,50000,IF(YEAR(D133)=2032,50000,IF(YEAR(D133)=2033,50000,IF(YEAR(D133)=2034,50000,IF(YEAR(D133)&gt;=2035,60000,0)))))))))))/1000</f>
        <v>60</v>
      </c>
      <c r="G133" s="290">
        <f ca="1">KTVCOI!R132</f>
        <v>1.4803296407581066</v>
      </c>
      <c r="H133" s="290">
        <f ca="1">(H132-F133-G133)*(1+LS!$F$3)</f>
        <v>-8129.8813153305073</v>
      </c>
      <c r="I133" s="953"/>
      <c r="J133" s="292">
        <f t="shared" ref="J133:J196" ca="1" si="30">H133</f>
        <v>-8129.8813153305073</v>
      </c>
      <c r="K133" s="949"/>
      <c r="L133" s="949"/>
      <c r="M133" s="949"/>
      <c r="N133" s="950"/>
      <c r="O133" s="950"/>
      <c r="X133" s="1004"/>
      <c r="Y133" s="1004"/>
    </row>
    <row r="134" spans="2:25" ht="9.75" customHeight="1">
      <c r="B134" s="951"/>
      <c r="C134" s="951"/>
      <c r="D134" s="287">
        <f t="shared" ca="1" si="28"/>
        <v>50186</v>
      </c>
      <c r="E134" s="359">
        <f t="shared" ref="E134:E197" si="31">E133</f>
        <v>0</v>
      </c>
      <c r="F134" s="289">
        <f t="shared" ca="1" si="29"/>
        <v>60</v>
      </c>
      <c r="G134" s="290">
        <f ca="1">KTVCOI!R133</f>
        <v>1.4972531422400348</v>
      </c>
      <c r="H134" s="290">
        <f ca="1">(H133-F134-G134)*(1+LS!$F$3)</f>
        <v>-8222.1356565020287</v>
      </c>
      <c r="I134" s="953"/>
      <c r="J134" s="292">
        <f t="shared" ca="1" si="30"/>
        <v>-8222.1356565020287</v>
      </c>
      <c r="K134" s="949"/>
      <c r="L134" s="949"/>
      <c r="M134" s="949"/>
      <c r="N134" s="950"/>
      <c r="O134" s="950"/>
      <c r="X134" s="1004"/>
      <c r="Y134" s="1004"/>
    </row>
    <row r="135" spans="2:25" ht="9.75" customHeight="1">
      <c r="B135" s="951"/>
      <c r="C135" s="951"/>
      <c r="D135" s="287">
        <f t="shared" ca="1" si="28"/>
        <v>50217</v>
      </c>
      <c r="E135" s="359">
        <f t="shared" si="31"/>
        <v>0</v>
      </c>
      <c r="F135" s="289">
        <f t="shared" ca="1" si="29"/>
        <v>60</v>
      </c>
      <c r="G135" s="290">
        <f ca="1">KTVCOI!R134</f>
        <v>1.5142433167391236</v>
      </c>
      <c r="H135" s="290">
        <f ca="1">(H134-F135-G135)*(1+LS!$F$3)</f>
        <v>-8314.7534493669573</v>
      </c>
      <c r="I135" s="953"/>
      <c r="J135" s="293">
        <f ca="1">H135+I124</f>
        <v>-8314.7534493669573</v>
      </c>
      <c r="K135" s="949"/>
      <c r="L135" s="949"/>
      <c r="M135" s="949"/>
      <c r="N135" s="950"/>
      <c r="O135" s="950"/>
      <c r="X135" s="1004"/>
      <c r="Y135" s="1004"/>
    </row>
    <row r="136" spans="2:25" ht="9.75" customHeight="1">
      <c r="B136" s="946">
        <f>B124+1</f>
        <v>12</v>
      </c>
      <c r="C136" s="947">
        <f ca="1">C124+1</f>
        <v>41</v>
      </c>
      <c r="D136" s="294">
        <f t="shared" ca="1" si="28"/>
        <v>50247</v>
      </c>
      <c r="E136" s="359">
        <f t="shared" si="31"/>
        <v>0</v>
      </c>
      <c r="F136" s="360">
        <f t="shared" ca="1" si="29"/>
        <v>60</v>
      </c>
      <c r="G136" s="290">
        <f ca="1">KTVCOI!R135</f>
        <v>1.6560217286655858</v>
      </c>
      <c r="H136" s="290">
        <f ca="1">(H135+KTVTRDGTTKMH!F18-F136-G136)*(1+LS!$F$3)</f>
        <v>-8407.8613154119612</v>
      </c>
      <c r="I136" s="948"/>
      <c r="J136" s="296">
        <f t="shared" ca="1" si="30"/>
        <v>-8407.8613154119612</v>
      </c>
      <c r="K136" s="949">
        <f ca="1">J147</f>
        <v>-9456.6733400981011</v>
      </c>
      <c r="L136" s="949"/>
      <c r="M136" s="949"/>
      <c r="N136" s="950">
        <f t="shared" ref="N136" ca="1" si="32">SUM(G136:G147)</f>
        <v>21.112442123143971</v>
      </c>
      <c r="O136" s="950"/>
      <c r="X136" s="945">
        <f t="shared" ref="X136:Y136" ca="1" si="33">SUM(F136:F147)</f>
        <v>720</v>
      </c>
      <c r="Y136" s="945">
        <f t="shared" ca="1" si="33"/>
        <v>21.112442123143971</v>
      </c>
    </row>
    <row r="137" spans="2:25" ht="9.75" customHeight="1">
      <c r="B137" s="946"/>
      <c r="C137" s="946"/>
      <c r="D137" s="294">
        <f t="shared" ca="1" si="28"/>
        <v>50278</v>
      </c>
      <c r="E137" s="359">
        <f t="shared" si="31"/>
        <v>0</v>
      </c>
      <c r="F137" s="360">
        <f t="shared" ca="1" si="29"/>
        <v>60</v>
      </c>
      <c r="G137" s="290">
        <f ca="1">KTVCOI!R136</f>
        <v>1.6745657119862158</v>
      </c>
      <c r="H137" s="290">
        <f ca="1">(H136-F137-G137)*(1+LS!$F$3)</f>
        <v>-8501.3373976190469</v>
      </c>
      <c r="I137" s="948"/>
      <c r="J137" s="296">
        <f t="shared" ca="1" si="30"/>
        <v>-8501.3373976190469</v>
      </c>
      <c r="K137" s="949"/>
      <c r="L137" s="949"/>
      <c r="M137" s="949"/>
      <c r="N137" s="950"/>
      <c r="O137" s="950"/>
      <c r="X137" s="1004"/>
      <c r="Y137" s="1004"/>
    </row>
    <row r="138" spans="2:25" ht="9.75" customHeight="1">
      <c r="B138" s="946"/>
      <c r="C138" s="946"/>
      <c r="D138" s="294">
        <f t="shared" ca="1" si="28"/>
        <v>50309</v>
      </c>
      <c r="E138" s="359">
        <f t="shared" si="31"/>
        <v>0</v>
      </c>
      <c r="F138" s="360">
        <f t="shared" ca="1" si="29"/>
        <v>60</v>
      </c>
      <c r="G138" s="290">
        <f ca="1">KTVCOI!R137</f>
        <v>1.6931830316924603</v>
      </c>
      <c r="H138" s="290">
        <f ca="1">(H137-F138-G138)*(1+LS!$F$3)</f>
        <v>-8595.1831521824934</v>
      </c>
      <c r="I138" s="948"/>
      <c r="J138" s="296">
        <f t="shared" ca="1" si="30"/>
        <v>-8595.1831521824934</v>
      </c>
      <c r="K138" s="949"/>
      <c r="L138" s="949"/>
      <c r="M138" s="949"/>
      <c r="N138" s="950"/>
      <c r="O138" s="950"/>
      <c r="X138" s="1004"/>
      <c r="Y138" s="1004"/>
    </row>
    <row r="139" spans="2:25" ht="9.75" customHeight="1">
      <c r="B139" s="946"/>
      <c r="C139" s="946"/>
      <c r="D139" s="294">
        <f t="shared" ca="1" si="28"/>
        <v>50339</v>
      </c>
      <c r="E139" s="359">
        <f t="shared" si="31"/>
        <v>0</v>
      </c>
      <c r="F139" s="360">
        <f t="shared" ca="1" si="29"/>
        <v>60</v>
      </c>
      <c r="G139" s="290">
        <f ca="1">KTVCOI!R138</f>
        <v>1.7118739778096801</v>
      </c>
      <c r="H139" s="290">
        <f ca="1">(H138-F139-G139)*(1+LS!$F$3)</f>
        <v>-8689.4000410554327</v>
      </c>
      <c r="I139" s="948"/>
      <c r="J139" s="296">
        <f t="shared" ca="1" si="30"/>
        <v>-8689.4000410554327</v>
      </c>
      <c r="K139" s="949"/>
      <c r="L139" s="949"/>
      <c r="M139" s="949"/>
      <c r="N139" s="950"/>
      <c r="O139" s="950"/>
      <c r="X139" s="1004"/>
      <c r="Y139" s="1004"/>
    </row>
    <row r="140" spans="2:25" ht="9.75" customHeight="1">
      <c r="B140" s="946"/>
      <c r="C140" s="946"/>
      <c r="D140" s="294">
        <f t="shared" ca="1" si="28"/>
        <v>50370</v>
      </c>
      <c r="E140" s="359">
        <f t="shared" si="31"/>
        <v>0</v>
      </c>
      <c r="F140" s="360">
        <f t="shared" ca="1" si="29"/>
        <v>60</v>
      </c>
      <c r="G140" s="290">
        <f ca="1">KTVCOI!R139</f>
        <v>1.7306388415102072</v>
      </c>
      <c r="H140" s="290">
        <f ca="1">(H139-F140-G140)*(1+LS!$F$3)</f>
        <v>-8783.989531972622</v>
      </c>
      <c r="I140" s="948"/>
      <c r="J140" s="296">
        <f t="shared" ca="1" si="30"/>
        <v>-8783.989531972622</v>
      </c>
      <c r="K140" s="949"/>
      <c r="L140" s="949"/>
      <c r="M140" s="949"/>
      <c r="N140" s="950"/>
      <c r="O140" s="950"/>
      <c r="X140" s="1004"/>
      <c r="Y140" s="1004"/>
    </row>
    <row r="141" spans="2:25" ht="9.75" customHeight="1">
      <c r="B141" s="946"/>
      <c r="C141" s="946"/>
      <c r="D141" s="294">
        <f t="shared" ca="1" si="28"/>
        <v>50400</v>
      </c>
      <c r="E141" s="359">
        <f t="shared" si="31"/>
        <v>0</v>
      </c>
      <c r="F141" s="360">
        <f t="shared" ca="1" si="29"/>
        <v>60</v>
      </c>
      <c r="G141" s="290">
        <f ca="1">KTVCOI!R140</f>
        <v>1.7494779151178808</v>
      </c>
      <c r="H141" s="290">
        <f ca="1">(H140-F141-G141)*(1+LS!$F$3)</f>
        <v>-8878.9530984733065</v>
      </c>
      <c r="I141" s="948"/>
      <c r="J141" s="296">
        <f t="shared" ca="1" si="30"/>
        <v>-8878.9530984733065</v>
      </c>
      <c r="K141" s="949"/>
      <c r="L141" s="949"/>
      <c r="M141" s="949"/>
      <c r="N141" s="950"/>
      <c r="O141" s="950"/>
      <c r="X141" s="1004"/>
      <c r="Y141" s="1004"/>
    </row>
    <row r="142" spans="2:25" ht="9.75" customHeight="1">
      <c r="B142" s="946"/>
      <c r="C142" s="946"/>
      <c r="D142" s="294">
        <f t="shared" ca="1" si="28"/>
        <v>50431</v>
      </c>
      <c r="E142" s="359">
        <f t="shared" si="31"/>
        <v>0</v>
      </c>
      <c r="F142" s="360">
        <f t="shared" ca="1" si="29"/>
        <v>60</v>
      </c>
      <c r="G142" s="290">
        <f ca="1">KTVCOI!R141</f>
        <v>1.7683914921126005</v>
      </c>
      <c r="H142" s="290">
        <f ca="1">(H141-F142-G142)*(1+LS!$F$3)</f>
        <v>-8974.2922199241766</v>
      </c>
      <c r="I142" s="948"/>
      <c r="J142" s="296">
        <f t="shared" ca="1" si="30"/>
        <v>-8974.2922199241766</v>
      </c>
      <c r="K142" s="949"/>
      <c r="L142" s="949"/>
      <c r="M142" s="949"/>
      <c r="N142" s="950"/>
      <c r="O142" s="950"/>
      <c r="X142" s="1004"/>
      <c r="Y142" s="1004"/>
    </row>
    <row r="143" spans="2:25" ht="9.75" customHeight="1">
      <c r="B143" s="946"/>
      <c r="C143" s="946"/>
      <c r="D143" s="294">
        <f t="shared" ca="1" si="28"/>
        <v>50462</v>
      </c>
      <c r="E143" s="359">
        <f t="shared" si="31"/>
        <v>0</v>
      </c>
      <c r="F143" s="360">
        <f t="shared" ca="1" si="29"/>
        <v>60</v>
      </c>
      <c r="G143" s="290">
        <f ca="1">KTVCOI!R142</f>
        <v>1.7873798671348986</v>
      </c>
      <c r="H143" s="290">
        <f ca="1">(H142-F143-G143)*(1+LS!$F$3)</f>
        <v>-9070.008381542415</v>
      </c>
      <c r="I143" s="948"/>
      <c r="J143" s="296">
        <f t="shared" ca="1" si="30"/>
        <v>-9070.008381542415</v>
      </c>
      <c r="K143" s="949"/>
      <c r="L143" s="949"/>
      <c r="M143" s="949"/>
      <c r="N143" s="950"/>
      <c r="O143" s="950"/>
      <c r="X143" s="1004"/>
      <c r="Y143" s="1004"/>
    </row>
    <row r="144" spans="2:25" ht="9.75" customHeight="1">
      <c r="B144" s="946"/>
      <c r="C144" s="946"/>
      <c r="D144" s="294">
        <f t="shared" ca="1" si="28"/>
        <v>50490</v>
      </c>
      <c r="E144" s="359">
        <f t="shared" si="31"/>
        <v>0</v>
      </c>
      <c r="F144" s="360">
        <f t="shared" ca="1" si="29"/>
        <v>60</v>
      </c>
      <c r="G144" s="290">
        <f ca="1">KTVCOI!R143</f>
        <v>1.8064433359905312</v>
      </c>
      <c r="H144" s="290">
        <f ca="1">(H143-F144-G144)*(1+LS!$F$3)</f>
        <v>-9166.1030744188301</v>
      </c>
      <c r="I144" s="948"/>
      <c r="J144" s="296">
        <f t="shared" ca="1" si="30"/>
        <v>-9166.1030744188301</v>
      </c>
      <c r="K144" s="949"/>
      <c r="L144" s="949"/>
      <c r="M144" s="949"/>
      <c r="N144" s="950"/>
      <c r="O144" s="950"/>
      <c r="X144" s="1004"/>
      <c r="Y144" s="1004"/>
    </row>
    <row r="145" spans="2:25" ht="9.75" customHeight="1">
      <c r="B145" s="946"/>
      <c r="C145" s="946"/>
      <c r="D145" s="294">
        <f t="shared" ca="1" si="28"/>
        <v>50521</v>
      </c>
      <c r="E145" s="359">
        <f t="shared" si="31"/>
        <v>0</v>
      </c>
      <c r="F145" s="360">
        <f t="shared" ca="1" si="29"/>
        <v>60</v>
      </c>
      <c r="G145" s="290">
        <f ca="1">KTVCOI!R144</f>
        <v>1.825582195655084</v>
      </c>
      <c r="H145" s="290">
        <f ca="1">(H144-F145-G145)*(1+LS!$F$3)</f>
        <v>-9262.5777955410886</v>
      </c>
      <c r="I145" s="948"/>
      <c r="J145" s="296">
        <f t="shared" ca="1" si="30"/>
        <v>-9262.5777955410886</v>
      </c>
      <c r="K145" s="949"/>
      <c r="L145" s="949"/>
      <c r="M145" s="949"/>
      <c r="N145" s="950"/>
      <c r="O145" s="950"/>
      <c r="X145" s="1004"/>
      <c r="Y145" s="1004"/>
    </row>
    <row r="146" spans="2:25" ht="9.75" customHeight="1">
      <c r="B146" s="946"/>
      <c r="C146" s="946"/>
      <c r="D146" s="294">
        <f t="shared" ca="1" si="28"/>
        <v>50551</v>
      </c>
      <c r="E146" s="359">
        <f t="shared" si="31"/>
        <v>0</v>
      </c>
      <c r="F146" s="360">
        <f t="shared" ca="1" si="29"/>
        <v>60</v>
      </c>
      <c r="G146" s="290">
        <f ca="1">KTVCOI!R145</f>
        <v>1.8447967442786002</v>
      </c>
      <c r="H146" s="290">
        <f ca="1">(H145-F146-G146)*(1+LS!$F$3)</f>
        <v>-9359.4340478170343</v>
      </c>
      <c r="I146" s="948"/>
      <c r="J146" s="296">
        <f t="shared" ca="1" si="30"/>
        <v>-9359.4340478170343</v>
      </c>
      <c r="K146" s="949"/>
      <c r="L146" s="949"/>
      <c r="M146" s="949"/>
      <c r="N146" s="950"/>
      <c r="O146" s="950"/>
      <c r="X146" s="1004"/>
      <c r="Y146" s="1004"/>
    </row>
    <row r="147" spans="2:25" ht="9.75" customHeight="1">
      <c r="B147" s="946"/>
      <c r="C147" s="946"/>
      <c r="D147" s="294">
        <f t="shared" ca="1" si="28"/>
        <v>50582</v>
      </c>
      <c r="E147" s="359">
        <f t="shared" si="31"/>
        <v>0</v>
      </c>
      <c r="F147" s="360">
        <f t="shared" ca="1" si="29"/>
        <v>60</v>
      </c>
      <c r="G147" s="290">
        <f ca="1">KTVCOI!R146</f>
        <v>1.864087281190226</v>
      </c>
      <c r="H147" s="290">
        <f ca="1">(H146-F147-G147)*(1+LS!$F$3)</f>
        <v>-9456.6733400981011</v>
      </c>
      <c r="I147" s="948"/>
      <c r="J147" s="297">
        <f ca="1">H147+I136</f>
        <v>-9456.6733400981011</v>
      </c>
      <c r="K147" s="949"/>
      <c r="L147" s="949"/>
      <c r="M147" s="949"/>
      <c r="N147" s="950"/>
      <c r="O147" s="950"/>
      <c r="X147" s="1004"/>
      <c r="Y147" s="1004"/>
    </row>
    <row r="148" spans="2:25" ht="9.75" customHeight="1">
      <c r="B148" s="951">
        <f>B136+1</f>
        <v>13</v>
      </c>
      <c r="C148" s="952">
        <f ca="1">C136+1</f>
        <v>42</v>
      </c>
      <c r="D148" s="287">
        <f t="shared" ca="1" si="28"/>
        <v>50612</v>
      </c>
      <c r="E148" s="359">
        <f t="shared" si="31"/>
        <v>0</v>
      </c>
      <c r="F148" s="289">
        <f t="shared" ca="1" si="29"/>
        <v>60</v>
      </c>
      <c r="G148" s="290">
        <f ca="1">KTVCOI!R147</f>
        <v>2.0489458903545885</v>
      </c>
      <c r="H148" s="290">
        <f ca="1">(H147+KTVTRDGTTKMH!F19-F148-G148)*(1+LS!$F$3)</f>
        <v>-9554.4633003768322</v>
      </c>
      <c r="I148" s="953"/>
      <c r="J148" s="292">
        <f t="shared" ca="1" si="30"/>
        <v>-9554.4633003768322</v>
      </c>
      <c r="K148" s="949">
        <f ca="1">J159</f>
        <v>-10656.133106074374</v>
      </c>
      <c r="L148" s="949"/>
      <c r="M148" s="949"/>
      <c r="N148" s="950">
        <f t="shared" ref="N148" ca="1" si="34">SUM(G148:G159)</f>
        <v>26.004429795472468</v>
      </c>
      <c r="O148" s="950"/>
      <c r="X148" s="945">
        <f t="shared" ref="X148:Y148" ca="1" si="35">SUM(F148:F159)</f>
        <v>720</v>
      </c>
      <c r="Y148" s="945">
        <f t="shared" ca="1" si="35"/>
        <v>26.004429795472468</v>
      </c>
    </row>
    <row r="149" spans="2:25" ht="9.75" customHeight="1">
      <c r="B149" s="951"/>
      <c r="C149" s="951"/>
      <c r="D149" s="287">
        <f t="shared" ca="1" si="28"/>
        <v>50643</v>
      </c>
      <c r="E149" s="359">
        <f t="shared" si="31"/>
        <v>0</v>
      </c>
      <c r="F149" s="289">
        <f t="shared" ca="1" si="29"/>
        <v>60</v>
      </c>
      <c r="G149" s="290">
        <f ca="1">KTVCOI!R148</f>
        <v>2.070133715081647</v>
      </c>
      <c r="H149" s="290">
        <f ca="1">(H148-F149-G149)*(1+LS!$F$3)</f>
        <v>-9652.6417109706417</v>
      </c>
      <c r="I149" s="953"/>
      <c r="J149" s="292">
        <f t="shared" ca="1" si="30"/>
        <v>-9652.6417109706417</v>
      </c>
      <c r="K149" s="949"/>
      <c r="L149" s="949"/>
      <c r="M149" s="949"/>
      <c r="N149" s="950"/>
      <c r="O149" s="950"/>
      <c r="X149" s="1004"/>
      <c r="Y149" s="1004"/>
    </row>
    <row r="150" spans="2:25" ht="9.75" customHeight="1">
      <c r="B150" s="951"/>
      <c r="C150" s="951"/>
      <c r="D150" s="287">
        <f t="shared" ca="1" si="28"/>
        <v>50674</v>
      </c>
      <c r="E150" s="359">
        <f t="shared" si="31"/>
        <v>0</v>
      </c>
      <c r="F150" s="289">
        <f t="shared" ca="1" si="29"/>
        <v>60</v>
      </c>
      <c r="G150" s="290">
        <f ca="1">KTVCOI!R149</f>
        <v>2.0914057040436389</v>
      </c>
      <c r="H150" s="290">
        <f ca="1">(H149-F150-G150)*(1+LS!$F$3)</f>
        <v>-9751.2101149177597</v>
      </c>
      <c r="I150" s="953"/>
      <c r="J150" s="292">
        <f t="shared" ca="1" si="30"/>
        <v>-9751.2101149177597</v>
      </c>
      <c r="K150" s="949"/>
      <c r="L150" s="949"/>
      <c r="M150" s="949"/>
      <c r="N150" s="950"/>
      <c r="O150" s="950"/>
      <c r="X150" s="1004"/>
      <c r="Y150" s="1004"/>
    </row>
    <row r="151" spans="2:25" ht="9.75" customHeight="1">
      <c r="B151" s="951"/>
      <c r="C151" s="951"/>
      <c r="D151" s="287">
        <f t="shared" ca="1" si="28"/>
        <v>50704</v>
      </c>
      <c r="E151" s="359">
        <f t="shared" si="31"/>
        <v>0</v>
      </c>
      <c r="F151" s="289">
        <f t="shared" ca="1" si="29"/>
        <v>60</v>
      </c>
      <c r="G151" s="290">
        <f ca="1">KTVCOI!R150</f>
        <v>2.112762191565515</v>
      </c>
      <c r="H151" s="290">
        <f ca="1">(H150-F151-G151)*(1+LS!$F$3)</f>
        <v>-9850.1700613858156</v>
      </c>
      <c r="I151" s="953"/>
      <c r="J151" s="292">
        <f t="shared" ca="1" si="30"/>
        <v>-9850.1700613858156</v>
      </c>
      <c r="K151" s="949"/>
      <c r="L151" s="949"/>
      <c r="M151" s="949"/>
      <c r="N151" s="950"/>
      <c r="O151" s="950"/>
      <c r="X151" s="1004"/>
      <c r="Y151" s="1004"/>
    </row>
    <row r="152" spans="2:25" ht="9.75" customHeight="1">
      <c r="B152" s="951"/>
      <c r="C152" s="951"/>
      <c r="D152" s="287">
        <f t="shared" ca="1" si="28"/>
        <v>50735</v>
      </c>
      <c r="E152" s="359">
        <f t="shared" si="31"/>
        <v>0</v>
      </c>
      <c r="F152" s="289">
        <f t="shared" ca="1" si="29"/>
        <v>60</v>
      </c>
      <c r="G152" s="290">
        <f ca="1">KTVCOI!R151</f>
        <v>2.1342035133002599</v>
      </c>
      <c r="H152" s="290">
        <f ca="1">(H151-F152-G152)*(1+LS!$F$3)</f>
        <v>-9949.5231056961857</v>
      </c>
      <c r="I152" s="953"/>
      <c r="J152" s="292">
        <f t="shared" ca="1" si="30"/>
        <v>-9949.5231056961857</v>
      </c>
      <c r="K152" s="949"/>
      <c r="L152" s="949"/>
      <c r="M152" s="949"/>
      <c r="N152" s="950"/>
      <c r="O152" s="950"/>
      <c r="X152" s="1004"/>
      <c r="Y152" s="1004"/>
    </row>
    <row r="153" spans="2:25" ht="9.75" customHeight="1">
      <c r="B153" s="951"/>
      <c r="C153" s="951"/>
      <c r="D153" s="287">
        <f t="shared" ca="1" si="28"/>
        <v>50765</v>
      </c>
      <c r="E153" s="359">
        <f t="shared" si="31"/>
        <v>0</v>
      </c>
      <c r="F153" s="289">
        <f t="shared" ca="1" si="29"/>
        <v>60</v>
      </c>
      <c r="G153" s="290">
        <f ca="1">KTVCOI!R152</f>
        <v>2.1557300062341738</v>
      </c>
      <c r="H153" s="290">
        <f ca="1">(H152-F153-G153)*(1+LS!$F$3)</f>
        <v>-10049.270809348438</v>
      </c>
      <c r="I153" s="953"/>
      <c r="J153" s="292">
        <f t="shared" ca="1" si="30"/>
        <v>-10049.270809348438</v>
      </c>
      <c r="K153" s="949"/>
      <c r="L153" s="949"/>
      <c r="M153" s="949"/>
      <c r="N153" s="950"/>
      <c r="O153" s="950"/>
      <c r="X153" s="1004"/>
      <c r="Y153" s="1004"/>
    </row>
    <row r="154" spans="2:25" ht="9.75" customHeight="1">
      <c r="B154" s="951"/>
      <c r="C154" s="951"/>
      <c r="D154" s="287">
        <f t="shared" ca="1" si="28"/>
        <v>50796</v>
      </c>
      <c r="E154" s="359">
        <f t="shared" si="31"/>
        <v>0</v>
      </c>
      <c r="F154" s="289">
        <f t="shared" ca="1" si="29"/>
        <v>60</v>
      </c>
      <c r="G154" s="290">
        <f ca="1">KTVCOI!R153</f>
        <v>2.1773420086921615</v>
      </c>
      <c r="H154" s="290">
        <f ca="1">(H153-F154-G154)*(1+LS!$F$3)</f>
        <v>-10149.414740044873</v>
      </c>
      <c r="I154" s="953"/>
      <c r="J154" s="292">
        <f t="shared" ca="1" si="30"/>
        <v>-10149.414740044873</v>
      </c>
      <c r="K154" s="949"/>
      <c r="L154" s="949"/>
      <c r="M154" s="949"/>
      <c r="N154" s="950"/>
      <c r="O154" s="950"/>
      <c r="X154" s="1004"/>
      <c r="Y154" s="1004"/>
    </row>
    <row r="155" spans="2:25" ht="9.75" customHeight="1">
      <c r="B155" s="951"/>
      <c r="C155" s="951"/>
      <c r="D155" s="287">
        <f t="shared" ca="1" si="28"/>
        <v>50827</v>
      </c>
      <c r="E155" s="359">
        <f t="shared" si="31"/>
        <v>0</v>
      </c>
      <c r="F155" s="289">
        <f t="shared" ca="1" si="29"/>
        <v>60</v>
      </c>
      <c r="G155" s="290">
        <f ca="1">KTVCOI!R154</f>
        <v>2.1990398603430559</v>
      </c>
      <c r="H155" s="290">
        <f ca="1">(H154-F155-G155)*(1+LS!$F$3)</f>
        <v>-10249.956471715164</v>
      </c>
      <c r="I155" s="953"/>
      <c r="J155" s="292">
        <f t="shared" ca="1" si="30"/>
        <v>-10249.956471715164</v>
      </c>
      <c r="K155" s="949"/>
      <c r="L155" s="949"/>
      <c r="M155" s="949"/>
      <c r="N155" s="950"/>
      <c r="O155" s="950"/>
      <c r="X155" s="1004"/>
      <c r="Y155" s="1004"/>
    </row>
    <row r="156" spans="2:25" ht="9.75" customHeight="1">
      <c r="B156" s="951"/>
      <c r="C156" s="951"/>
      <c r="D156" s="287">
        <f t="shared" ca="1" si="28"/>
        <v>50855</v>
      </c>
      <c r="E156" s="359">
        <f t="shared" si="31"/>
        <v>0</v>
      </c>
      <c r="F156" s="289">
        <f t="shared" ca="1" si="29"/>
        <v>60</v>
      </c>
      <c r="G156" s="290">
        <f ca="1">KTVCOI!R155</f>
        <v>2.2208239022049523</v>
      </c>
      <c r="H156" s="290">
        <f ca="1">(H155-F156-G156)*(1+LS!$F$3)</f>
        <v>-10350.897584541093</v>
      </c>
      <c r="I156" s="953"/>
      <c r="J156" s="292">
        <f t="shared" ca="1" si="30"/>
        <v>-10350.897584541093</v>
      </c>
      <c r="K156" s="949"/>
      <c r="L156" s="949"/>
      <c r="M156" s="949"/>
      <c r="N156" s="950"/>
      <c r="O156" s="950"/>
      <c r="X156" s="1004"/>
      <c r="Y156" s="1004"/>
    </row>
    <row r="157" spans="2:25" ht="9.75" customHeight="1">
      <c r="B157" s="951"/>
      <c r="C157" s="951"/>
      <c r="D157" s="287">
        <f t="shared" ca="1" si="28"/>
        <v>50886</v>
      </c>
      <c r="E157" s="359">
        <f t="shared" si="31"/>
        <v>0</v>
      </c>
      <c r="F157" s="289">
        <f t="shared" ca="1" si="29"/>
        <v>60</v>
      </c>
      <c r="G157" s="290">
        <f ca="1">KTVCOI!R156</f>
        <v>2.2426944766505703</v>
      </c>
      <c r="H157" s="290">
        <f ca="1">(H156-F157-G157)*(1+LS!$F$3)</f>
        <v>-10452.239664981384</v>
      </c>
      <c r="I157" s="953"/>
      <c r="J157" s="292">
        <f t="shared" ca="1" si="30"/>
        <v>-10452.239664981384</v>
      </c>
      <c r="K157" s="949"/>
      <c r="L157" s="949"/>
      <c r="M157" s="949"/>
      <c r="N157" s="950"/>
      <c r="O157" s="950"/>
      <c r="X157" s="1004"/>
      <c r="Y157" s="1004"/>
    </row>
    <row r="158" spans="2:25" ht="9.75" customHeight="1">
      <c r="B158" s="951"/>
      <c r="C158" s="951"/>
      <c r="D158" s="287">
        <f t="shared" ca="1" si="28"/>
        <v>50916</v>
      </c>
      <c r="E158" s="359">
        <f t="shared" si="31"/>
        <v>0</v>
      </c>
      <c r="F158" s="289">
        <f t="shared" ca="1" si="29"/>
        <v>60</v>
      </c>
      <c r="G158" s="290">
        <f ca="1">KTVCOI!R157</f>
        <v>2.2646519274126331</v>
      </c>
      <c r="H158" s="290">
        <f ca="1">(H157-F158-G158)*(1+LS!$F$3)</f>
        <v>-10553.984305796639</v>
      </c>
      <c r="I158" s="953"/>
      <c r="J158" s="292">
        <f t="shared" ca="1" si="30"/>
        <v>-10553.984305796639</v>
      </c>
      <c r="K158" s="949"/>
      <c r="L158" s="949"/>
      <c r="M158" s="949"/>
      <c r="N158" s="950"/>
      <c r="O158" s="950"/>
      <c r="X158" s="1004"/>
      <c r="Y158" s="1004"/>
    </row>
    <row r="159" spans="2:25" ht="9.75" customHeight="1">
      <c r="B159" s="951"/>
      <c r="C159" s="951"/>
      <c r="D159" s="287">
        <f t="shared" ca="1" si="28"/>
        <v>50947</v>
      </c>
      <c r="E159" s="359">
        <f t="shared" si="31"/>
        <v>0</v>
      </c>
      <c r="F159" s="289">
        <f t="shared" ca="1" si="29"/>
        <v>60</v>
      </c>
      <c r="G159" s="290">
        <f ca="1">KTVCOI!R158</f>
        <v>2.2866965995892721</v>
      </c>
      <c r="H159" s="290">
        <f ca="1">(H158-F159-G159)*(1+LS!$F$3)</f>
        <v>-10656.133106074374</v>
      </c>
      <c r="I159" s="953"/>
      <c r="J159" s="293">
        <f ca="1">H159+I148</f>
        <v>-10656.133106074374</v>
      </c>
      <c r="K159" s="949"/>
      <c r="L159" s="949"/>
      <c r="M159" s="949"/>
      <c r="N159" s="950"/>
      <c r="O159" s="950"/>
      <c r="X159" s="1004"/>
      <c r="Y159" s="1004"/>
    </row>
    <row r="160" spans="2:25" ht="9.75" customHeight="1">
      <c r="B160" s="946">
        <f>B148+1</f>
        <v>14</v>
      </c>
      <c r="C160" s="947">
        <f ca="1">C148+1</f>
        <v>43</v>
      </c>
      <c r="D160" s="294">
        <f t="shared" ca="1" si="28"/>
        <v>50977</v>
      </c>
      <c r="E160" s="359">
        <f t="shared" si="31"/>
        <v>0</v>
      </c>
      <c r="F160" s="360">
        <f t="shared" ca="1" si="29"/>
        <v>60</v>
      </c>
      <c r="G160" s="290">
        <f ca="1">KTVCOI!R159</f>
        <v>2.5041912799274777</v>
      </c>
      <c r="H160" s="290">
        <f ca="1">(H159+KTVTRDGTTKMH!F20-F160-G160)*(1+LS!$F$3)</f>
        <v>-10758.883767243695</v>
      </c>
      <c r="I160" s="948"/>
      <c r="J160" s="296">
        <f t="shared" ca="1" si="30"/>
        <v>-10758.883767243695</v>
      </c>
      <c r="K160" s="949">
        <f ca="1">J171</f>
        <v>-11916.567364111625</v>
      </c>
      <c r="L160" s="949"/>
      <c r="M160" s="949"/>
      <c r="N160" s="950">
        <f t="shared" ref="N160" ca="1" si="36">SUM(G160:G171)</f>
        <v>31.665349090033377</v>
      </c>
      <c r="O160" s="950"/>
      <c r="X160" s="945">
        <f t="shared" ref="X160:Y160" ca="1" si="37">SUM(F160:F171)</f>
        <v>720</v>
      </c>
      <c r="Y160" s="945">
        <f t="shared" ca="1" si="37"/>
        <v>31.665349090033377</v>
      </c>
    </row>
    <row r="161" spans="2:25" ht="9.75" customHeight="1">
      <c r="B161" s="946"/>
      <c r="C161" s="946"/>
      <c r="D161" s="294">
        <f t="shared" ca="1" si="28"/>
        <v>51008</v>
      </c>
      <c r="E161" s="359">
        <f t="shared" si="31"/>
        <v>0</v>
      </c>
      <c r="F161" s="360">
        <f t="shared" ca="1" si="29"/>
        <v>60</v>
      </c>
      <c r="G161" s="290">
        <f ca="1">KTVCOI!R160</f>
        <v>2.5283376853022683</v>
      </c>
      <c r="H161" s="290">
        <f ca="1">(H160-F161-G161)*(1+LS!$F$3)</f>
        <v>-10862.044474917786</v>
      </c>
      <c r="I161" s="948"/>
      <c r="J161" s="296">
        <f t="shared" ca="1" si="30"/>
        <v>-10862.044474917786</v>
      </c>
      <c r="K161" s="949"/>
      <c r="L161" s="949"/>
      <c r="M161" s="949"/>
      <c r="N161" s="950"/>
      <c r="O161" s="950"/>
      <c r="X161" s="1004"/>
      <c r="Y161" s="1004"/>
    </row>
    <row r="162" spans="2:25" ht="9.75" customHeight="1">
      <c r="B162" s="946"/>
      <c r="C162" s="946"/>
      <c r="D162" s="294">
        <f t="shared" ca="1" si="28"/>
        <v>51039</v>
      </c>
      <c r="E162" s="359">
        <f t="shared" si="31"/>
        <v>0</v>
      </c>
      <c r="F162" s="360">
        <f t="shared" ca="1" si="29"/>
        <v>60</v>
      </c>
      <c r="G162" s="290">
        <f ca="1">KTVCOI!R161</f>
        <v>2.5525804516056794</v>
      </c>
      <c r="H162" s="290">
        <f ca="1">(H161-F162-G162)*(1+LS!$F$3)</f>
        <v>-10965.616865467005</v>
      </c>
      <c r="I162" s="948"/>
      <c r="J162" s="296">
        <f t="shared" ca="1" si="30"/>
        <v>-10965.616865467005</v>
      </c>
      <c r="K162" s="949"/>
      <c r="L162" s="949"/>
      <c r="M162" s="949"/>
      <c r="N162" s="950"/>
      <c r="O162" s="950"/>
      <c r="X162" s="1004"/>
      <c r="Y162" s="1004"/>
    </row>
    <row r="163" spans="2:25" ht="9.75" customHeight="1">
      <c r="B163" s="946"/>
      <c r="C163" s="946"/>
      <c r="D163" s="294">
        <f t="shared" ca="1" si="28"/>
        <v>51069</v>
      </c>
      <c r="E163" s="359">
        <f t="shared" si="31"/>
        <v>0</v>
      </c>
      <c r="F163" s="360">
        <f t="shared" ca="1" si="29"/>
        <v>60</v>
      </c>
      <c r="G163" s="290">
        <f ca="1">KTVCOI!R162</f>
        <v>2.5769199633847464</v>
      </c>
      <c r="H163" s="290">
        <f ca="1">(H162-F163-G163)*(1+LS!$F$3)</f>
        <v>-11069.602581791965</v>
      </c>
      <c r="I163" s="948"/>
      <c r="J163" s="296">
        <f t="shared" ca="1" si="30"/>
        <v>-11069.602581791965</v>
      </c>
      <c r="K163" s="949"/>
      <c r="L163" s="949"/>
      <c r="M163" s="949"/>
      <c r="N163" s="950"/>
      <c r="O163" s="950"/>
      <c r="X163" s="1004"/>
      <c r="Y163" s="1004"/>
    </row>
    <row r="164" spans="2:25" ht="9.75" customHeight="1">
      <c r="B164" s="946"/>
      <c r="C164" s="946"/>
      <c r="D164" s="294">
        <f t="shared" ca="1" si="28"/>
        <v>51100</v>
      </c>
      <c r="E164" s="359">
        <f t="shared" si="31"/>
        <v>0</v>
      </c>
      <c r="F164" s="360">
        <f t="shared" ca="1" si="29"/>
        <v>60</v>
      </c>
      <c r="G164" s="290">
        <f ca="1">KTVCOI!R163</f>
        <v>2.6013566067211116</v>
      </c>
      <c r="H164" s="290">
        <f ca="1">(H163-F164-G164)*(1+LS!$F$3)</f>
        <v>-11174.00327334959</v>
      </c>
      <c r="I164" s="948"/>
      <c r="J164" s="296">
        <f t="shared" ca="1" si="30"/>
        <v>-11174.00327334959</v>
      </c>
      <c r="K164" s="949"/>
      <c r="L164" s="949"/>
      <c r="M164" s="949"/>
      <c r="N164" s="950"/>
      <c r="O164" s="950"/>
      <c r="X164" s="1004"/>
      <c r="Y164" s="1004"/>
    </row>
    <row r="165" spans="2:25" ht="9.75" customHeight="1">
      <c r="B165" s="946"/>
      <c r="C165" s="946"/>
      <c r="D165" s="294">
        <f t="shared" ca="1" si="28"/>
        <v>51130</v>
      </c>
      <c r="E165" s="359">
        <f t="shared" si="31"/>
        <v>0</v>
      </c>
      <c r="F165" s="360">
        <f t="shared" ca="1" si="29"/>
        <v>60</v>
      </c>
      <c r="G165" s="290">
        <f ca="1">KTVCOI!R164</f>
        <v>2.6258907692371536</v>
      </c>
      <c r="H165" s="290">
        <f ca="1">(H164-F165-G165)*(1+LS!$F$3)</f>
        <v>-11278.820596179283</v>
      </c>
      <c r="I165" s="948"/>
      <c r="J165" s="296">
        <f t="shared" ca="1" si="30"/>
        <v>-11278.820596179283</v>
      </c>
      <c r="K165" s="949"/>
      <c r="L165" s="949"/>
      <c r="M165" s="949"/>
      <c r="N165" s="950"/>
      <c r="O165" s="950"/>
      <c r="X165" s="1004"/>
      <c r="Y165" s="1004"/>
    </row>
    <row r="166" spans="2:25" ht="9.75" customHeight="1">
      <c r="B166" s="946"/>
      <c r="C166" s="946"/>
      <c r="D166" s="294">
        <f t="shared" ca="1" si="28"/>
        <v>51161</v>
      </c>
      <c r="E166" s="359">
        <f t="shared" si="31"/>
        <v>0</v>
      </c>
      <c r="F166" s="360">
        <f t="shared" ca="1" si="29"/>
        <v>60</v>
      </c>
      <c r="G166" s="290">
        <f ca="1">KTVCOI!R165</f>
        <v>2.6505228401021315</v>
      </c>
      <c r="H166" s="290">
        <f ca="1">(H165-F166-G166)*(1+LS!$F$3)</f>
        <v>-11384.056212929196</v>
      </c>
      <c r="I166" s="948"/>
      <c r="J166" s="296">
        <f t="shared" ca="1" si="30"/>
        <v>-11384.056212929196</v>
      </c>
      <c r="K166" s="949"/>
      <c r="L166" s="949"/>
      <c r="M166" s="949"/>
      <c r="N166" s="950"/>
      <c r="O166" s="950"/>
      <c r="X166" s="1004"/>
      <c r="Y166" s="1004"/>
    </row>
    <row r="167" spans="2:25" ht="9.75" customHeight="1">
      <c r="B167" s="946"/>
      <c r="C167" s="946"/>
      <c r="D167" s="294">
        <f t="shared" ca="1" si="28"/>
        <v>51192</v>
      </c>
      <c r="E167" s="359">
        <f t="shared" si="31"/>
        <v>0</v>
      </c>
      <c r="F167" s="360">
        <f t="shared" ca="1" si="29"/>
        <v>60</v>
      </c>
      <c r="G167" s="290">
        <f ca="1">KTVCOI!R166</f>
        <v>2.675253210038361</v>
      </c>
      <c r="H167" s="290">
        <f ca="1">(H166-F167-G167)*(1+LS!$F$3)</f>
        <v>-11489.711792882603</v>
      </c>
      <c r="I167" s="948"/>
      <c r="J167" s="296">
        <f t="shared" ca="1" si="30"/>
        <v>-11489.711792882603</v>
      </c>
      <c r="K167" s="949"/>
      <c r="L167" s="949"/>
      <c r="M167" s="949"/>
      <c r="N167" s="950"/>
      <c r="O167" s="950"/>
      <c r="X167" s="1004"/>
      <c r="Y167" s="1004"/>
    </row>
    <row r="168" spans="2:25" ht="9.75" customHeight="1">
      <c r="B168" s="946"/>
      <c r="C168" s="946"/>
      <c r="D168" s="294">
        <f t="shared" ca="1" si="28"/>
        <v>51221</v>
      </c>
      <c r="E168" s="359">
        <f t="shared" si="31"/>
        <v>0</v>
      </c>
      <c r="F168" s="360">
        <f t="shared" ca="1" si="29"/>
        <v>60</v>
      </c>
      <c r="G168" s="290">
        <f ca="1">KTVCOI!R167</f>
        <v>2.7000822713274117</v>
      </c>
      <c r="H168" s="290">
        <f ca="1">(H167-F168-G168)*(1+LS!$F$3)</f>
        <v>-11595.789011984376</v>
      </c>
      <c r="I168" s="948"/>
      <c r="J168" s="296">
        <f t="shared" ca="1" si="30"/>
        <v>-11595.789011984376</v>
      </c>
      <c r="K168" s="949"/>
      <c r="L168" s="949"/>
      <c r="M168" s="949"/>
      <c r="N168" s="950"/>
      <c r="O168" s="950"/>
      <c r="X168" s="1004"/>
      <c r="Y168" s="1004"/>
    </row>
    <row r="169" spans="2:25" ht="9.75" customHeight="1">
      <c r="B169" s="946"/>
      <c r="C169" s="946"/>
      <c r="D169" s="294">
        <f t="shared" ca="1" si="28"/>
        <v>51252</v>
      </c>
      <c r="E169" s="359">
        <f t="shared" si="31"/>
        <v>0</v>
      </c>
      <c r="F169" s="360">
        <f t="shared" ca="1" si="29"/>
        <v>60</v>
      </c>
      <c r="G169" s="290">
        <f ca="1">KTVCOI!R168</f>
        <v>2.7250104178163284</v>
      </c>
      <c r="H169" s="290">
        <f ca="1">(H168-F169-G169)*(1+LS!$F$3)</f>
        <v>-11702.289552867571</v>
      </c>
      <c r="I169" s="948"/>
      <c r="J169" s="296">
        <f t="shared" ca="1" si="30"/>
        <v>-11702.289552867571</v>
      </c>
      <c r="K169" s="949"/>
      <c r="L169" s="949"/>
      <c r="M169" s="949"/>
      <c r="N169" s="950"/>
      <c r="O169" s="950"/>
      <c r="X169" s="1004"/>
      <c r="Y169" s="1004"/>
    </row>
    <row r="170" spans="2:25" ht="9.75" customHeight="1">
      <c r="B170" s="946"/>
      <c r="C170" s="946"/>
      <c r="D170" s="294">
        <f t="shared" ca="1" si="28"/>
        <v>51282</v>
      </c>
      <c r="E170" s="359">
        <f t="shared" si="31"/>
        <v>0</v>
      </c>
      <c r="F170" s="360">
        <f t="shared" ca="1" si="29"/>
        <v>60</v>
      </c>
      <c r="G170" s="290">
        <f ca="1">KTVCOI!R169</f>
        <v>2.7500380449238793</v>
      </c>
      <c r="H170" s="290">
        <f ca="1">(H169-F170-G170)*(1+LS!$F$3)</f>
        <v>-11809.215104880119</v>
      </c>
      <c r="I170" s="948"/>
      <c r="J170" s="296">
        <f t="shared" ca="1" si="30"/>
        <v>-11809.215104880119</v>
      </c>
      <c r="K170" s="949"/>
      <c r="L170" s="949"/>
      <c r="M170" s="949"/>
      <c r="N170" s="950"/>
      <c r="O170" s="950"/>
      <c r="X170" s="1004"/>
      <c r="Y170" s="1004"/>
    </row>
    <row r="171" spans="2:25" ht="9.75" customHeight="1">
      <c r="B171" s="946"/>
      <c r="C171" s="946"/>
      <c r="D171" s="294">
        <f t="shared" ca="1" si="28"/>
        <v>51313</v>
      </c>
      <c r="E171" s="359">
        <f t="shared" si="31"/>
        <v>0</v>
      </c>
      <c r="F171" s="360">
        <f t="shared" ca="1" si="29"/>
        <v>60</v>
      </c>
      <c r="G171" s="290">
        <f ca="1">KTVCOI!R170</f>
        <v>2.7751655496468275</v>
      </c>
      <c r="H171" s="290">
        <f ca="1">(H170-F171-G171)*(1+LS!$F$3)</f>
        <v>-11916.567364111625</v>
      </c>
      <c r="I171" s="948"/>
      <c r="J171" s="297">
        <f ca="1">H171+I160</f>
        <v>-11916.567364111625</v>
      </c>
      <c r="K171" s="949"/>
      <c r="L171" s="949"/>
      <c r="M171" s="949"/>
      <c r="N171" s="950"/>
      <c r="O171" s="950"/>
      <c r="X171" s="1004"/>
      <c r="Y171" s="1004"/>
    </row>
    <row r="172" spans="2:25" ht="9.75" customHeight="1">
      <c r="B172" s="951">
        <f>B160+1</f>
        <v>15</v>
      </c>
      <c r="C172" s="952">
        <f ca="1">C160+1</f>
        <v>44</v>
      </c>
      <c r="D172" s="287">
        <f t="shared" ca="1" si="28"/>
        <v>51343</v>
      </c>
      <c r="E172" s="359">
        <f t="shared" si="31"/>
        <v>0</v>
      </c>
      <c r="F172" s="289">
        <f t="shared" ca="1" si="29"/>
        <v>60</v>
      </c>
      <c r="G172" s="290">
        <f ca="1">KTVCOI!R171</f>
        <v>3.0387246778484642</v>
      </c>
      <c r="H172" s="290">
        <f ca="1">(H171+KTVTRDGTTKMH!F21-F172-G172)*(1+LS!$F$3)</f>
        <v>-12024.587259656992</v>
      </c>
      <c r="I172" s="953"/>
      <c r="J172" s="292">
        <f t="shared" ca="1" si="30"/>
        <v>-12024.587259656992</v>
      </c>
      <c r="K172" s="949">
        <f ca="1">J183</f>
        <v>-13241.785895635829</v>
      </c>
      <c r="L172" s="949"/>
      <c r="M172" s="949"/>
      <c r="N172" s="950">
        <f t="shared" ref="N172" ca="1" si="38">SUM(G172:G183)</f>
        <v>38.307196651418238</v>
      </c>
      <c r="O172" s="950"/>
      <c r="X172" s="945">
        <f t="shared" ref="X172:Y172" ca="1" si="39">SUM(F172:F183)</f>
        <v>720</v>
      </c>
      <c r="Y172" s="945">
        <f t="shared" ca="1" si="39"/>
        <v>38.307196651418238</v>
      </c>
    </row>
    <row r="173" spans="2:25" ht="9.75" customHeight="1">
      <c r="B173" s="951"/>
      <c r="C173" s="951"/>
      <c r="D173" s="287">
        <f t="shared" ca="1" si="28"/>
        <v>51374</v>
      </c>
      <c r="E173" s="359">
        <f t="shared" si="31"/>
        <v>0</v>
      </c>
      <c r="F173" s="289">
        <f t="shared" ca="1" si="29"/>
        <v>60</v>
      </c>
      <c r="G173" s="290">
        <f ca="1">KTVCOI!R172</f>
        <v>3.0662697512125328</v>
      </c>
      <c r="H173" s="290">
        <f ca="1">(H172-F173-G173)*(1+LS!$F$3)</f>
        <v>-12133.040398121901</v>
      </c>
      <c r="I173" s="953"/>
      <c r="J173" s="292">
        <f t="shared" ca="1" si="30"/>
        <v>-12133.040398121901</v>
      </c>
      <c r="K173" s="949"/>
      <c r="L173" s="949"/>
      <c r="M173" s="949"/>
      <c r="N173" s="950"/>
      <c r="O173" s="950"/>
      <c r="X173" s="1004"/>
      <c r="Y173" s="1004"/>
    </row>
    <row r="174" spans="2:25" ht="9.75" customHeight="1">
      <c r="B174" s="951"/>
      <c r="C174" s="951"/>
      <c r="D174" s="287">
        <f t="shared" ca="1" si="28"/>
        <v>51405</v>
      </c>
      <c r="E174" s="359">
        <f t="shared" si="31"/>
        <v>0</v>
      </c>
      <c r="F174" s="289">
        <f t="shared" ca="1" si="29"/>
        <v>60</v>
      </c>
      <c r="G174" s="290">
        <f ca="1">KTVCOI!R173</f>
        <v>3.0939253015210846</v>
      </c>
      <c r="H174" s="290">
        <f ca="1">(H173-F174-G174)*(1+LS!$F$3)</f>
        <v>-12241.928517143906</v>
      </c>
      <c r="I174" s="953"/>
      <c r="J174" s="292">
        <f t="shared" ca="1" si="30"/>
        <v>-12241.928517143906</v>
      </c>
      <c r="K174" s="949"/>
      <c r="L174" s="949"/>
      <c r="M174" s="949"/>
      <c r="N174" s="950"/>
      <c r="O174" s="950"/>
      <c r="X174" s="1004"/>
      <c r="Y174" s="1004"/>
    </row>
    <row r="175" spans="2:25" ht="9.75" customHeight="1">
      <c r="B175" s="951"/>
      <c r="C175" s="951"/>
      <c r="D175" s="287">
        <f t="shared" ca="1" si="28"/>
        <v>51435</v>
      </c>
      <c r="E175" s="359">
        <f t="shared" si="31"/>
        <v>0</v>
      </c>
      <c r="F175" s="289">
        <f t="shared" ca="1" si="29"/>
        <v>60</v>
      </c>
      <c r="G175" s="290">
        <f ca="1">KTVCOI!R174</f>
        <v>3.1216917718716957</v>
      </c>
      <c r="H175" s="290">
        <f ca="1">(H174-F175-G175)*(1+LS!$F$3)</f>
        <v>-12351.253361329829</v>
      </c>
      <c r="I175" s="953"/>
      <c r="J175" s="292">
        <f t="shared" ca="1" si="30"/>
        <v>-12351.253361329829</v>
      </c>
      <c r="K175" s="949"/>
      <c r="L175" s="949"/>
      <c r="M175" s="949"/>
      <c r="N175" s="950"/>
      <c r="O175" s="950"/>
      <c r="X175" s="1004"/>
      <c r="Y175" s="1004"/>
    </row>
    <row r="176" spans="2:25" ht="9.75" customHeight="1">
      <c r="B176" s="951"/>
      <c r="C176" s="951"/>
      <c r="D176" s="287">
        <f t="shared" ca="1" si="28"/>
        <v>51466</v>
      </c>
      <c r="E176" s="359">
        <f t="shared" si="31"/>
        <v>0</v>
      </c>
      <c r="F176" s="289">
        <f t="shared" ca="1" si="29"/>
        <v>60</v>
      </c>
      <c r="G176" s="290">
        <f ca="1">KTVCOI!R175</f>
        <v>3.1495696071391066</v>
      </c>
      <c r="H176" s="290">
        <f ca="1">(H175-F176-G176)*(1+LS!$F$3)</f>
        <v>-12461.016682283707</v>
      </c>
      <c r="I176" s="953"/>
      <c r="J176" s="292">
        <f t="shared" ca="1" si="30"/>
        <v>-12461.016682283707</v>
      </c>
      <c r="K176" s="949"/>
      <c r="L176" s="949"/>
      <c r="M176" s="949"/>
      <c r="N176" s="950"/>
      <c r="O176" s="950"/>
      <c r="X176" s="1004"/>
      <c r="Y176" s="1004"/>
    </row>
    <row r="177" spans="2:25" ht="9.75" customHeight="1">
      <c r="B177" s="951"/>
      <c r="C177" s="951"/>
      <c r="D177" s="287">
        <f t="shared" ca="1" si="28"/>
        <v>51496</v>
      </c>
      <c r="E177" s="359">
        <f t="shared" si="31"/>
        <v>0</v>
      </c>
      <c r="F177" s="289">
        <f t="shared" ca="1" si="29"/>
        <v>60</v>
      </c>
      <c r="G177" s="290">
        <f ca="1">KTVCOI!R176</f>
        <v>3.1775592539823454</v>
      </c>
      <c r="H177" s="290">
        <f ca="1">(H176-F177-G177)*(1+LS!$F$3)</f>
        <v>-12571.220238634854</v>
      </c>
      <c r="I177" s="953"/>
      <c r="J177" s="292">
        <f t="shared" ca="1" si="30"/>
        <v>-12571.220238634854</v>
      </c>
      <c r="K177" s="949"/>
      <c r="L177" s="949"/>
      <c r="M177" s="949"/>
      <c r="N177" s="950"/>
      <c r="O177" s="950"/>
      <c r="X177" s="1004"/>
      <c r="Y177" s="1004"/>
    </row>
    <row r="178" spans="2:25" ht="9.75" customHeight="1">
      <c r="B178" s="951"/>
      <c r="C178" s="951"/>
      <c r="D178" s="287">
        <f t="shared" ca="1" si="28"/>
        <v>51527</v>
      </c>
      <c r="E178" s="359">
        <f t="shared" si="31"/>
        <v>0</v>
      </c>
      <c r="F178" s="289">
        <f t="shared" ca="1" si="29"/>
        <v>60</v>
      </c>
      <c r="G178" s="290">
        <f ca="1">KTVCOI!R177</f>
        <v>3.2056611608518879</v>
      </c>
      <c r="H178" s="290">
        <f ca="1">(H177-F178-G178)*(1+LS!$F$3)</f>
        <v>-12681.865796066048</v>
      </c>
      <c r="I178" s="953"/>
      <c r="J178" s="292">
        <f t="shared" ca="1" si="30"/>
        <v>-12681.865796066048</v>
      </c>
      <c r="K178" s="949"/>
      <c r="L178" s="949"/>
      <c r="M178" s="949"/>
      <c r="N178" s="950"/>
      <c r="O178" s="950"/>
      <c r="X178" s="1004"/>
      <c r="Y178" s="1004"/>
    </row>
    <row r="179" spans="2:25" ht="9.75" customHeight="1">
      <c r="B179" s="951"/>
      <c r="C179" s="951"/>
      <c r="D179" s="287">
        <f t="shared" ca="1" si="28"/>
        <v>51558</v>
      </c>
      <c r="E179" s="359">
        <f t="shared" si="31"/>
        <v>0</v>
      </c>
      <c r="F179" s="289">
        <f t="shared" ca="1" si="29"/>
        <v>60</v>
      </c>
      <c r="G179" s="290">
        <f ca="1">KTVCOI!R178</f>
        <v>3.2338757779968428</v>
      </c>
      <c r="H179" s="290">
        <f ca="1">(H178-F179-G179)*(1+LS!$F$3)</f>
        <v>-12792.955127341806</v>
      </c>
      <c r="I179" s="953"/>
      <c r="J179" s="292">
        <f t="shared" ca="1" si="30"/>
        <v>-12792.955127341806</v>
      </c>
      <c r="K179" s="949"/>
      <c r="L179" s="949"/>
      <c r="M179" s="949"/>
      <c r="N179" s="950"/>
      <c r="O179" s="950"/>
      <c r="X179" s="1004"/>
      <c r="Y179" s="1004"/>
    </row>
    <row r="180" spans="2:25" ht="9.75" customHeight="1">
      <c r="B180" s="951"/>
      <c r="C180" s="951"/>
      <c r="D180" s="287">
        <f t="shared" ca="1" si="28"/>
        <v>51586</v>
      </c>
      <c r="E180" s="359">
        <f t="shared" si="31"/>
        <v>0</v>
      </c>
      <c r="F180" s="289">
        <f t="shared" ca="1" si="29"/>
        <v>60</v>
      </c>
      <c r="G180" s="290">
        <f ca="1">KTVCOI!R179</f>
        <v>3.2622035574721604</v>
      </c>
      <c r="H180" s="290">
        <f ca="1">(H179-F180-G180)*(1+LS!$F$3)</f>
        <v>-12904.490012336801</v>
      </c>
      <c r="I180" s="953"/>
      <c r="J180" s="292">
        <f t="shared" ca="1" si="30"/>
        <v>-12904.490012336801</v>
      </c>
      <c r="K180" s="949"/>
      <c r="L180" s="949"/>
      <c r="M180" s="949"/>
      <c r="N180" s="950"/>
      <c r="O180" s="950"/>
      <c r="X180" s="1004"/>
      <c r="Y180" s="1004"/>
    </row>
    <row r="181" spans="2:25" ht="9.75" customHeight="1">
      <c r="B181" s="951"/>
      <c r="C181" s="951"/>
      <c r="D181" s="287">
        <f t="shared" ca="1" si="28"/>
        <v>51617</v>
      </c>
      <c r="E181" s="359">
        <f t="shared" si="31"/>
        <v>0</v>
      </c>
      <c r="F181" s="289">
        <f t="shared" ca="1" si="29"/>
        <v>60</v>
      </c>
      <c r="G181" s="290">
        <f ca="1">KTVCOI!R180</f>
        <v>3.2906449531458843</v>
      </c>
      <c r="H181" s="290">
        <f ca="1">(H180-F181-G181)*(1+LS!$F$3)</f>
        <v>-13016.472238064371</v>
      </c>
      <c r="I181" s="953"/>
      <c r="J181" s="292">
        <f t="shared" ca="1" si="30"/>
        <v>-13016.472238064371</v>
      </c>
      <c r="K181" s="949"/>
      <c r="L181" s="949"/>
      <c r="M181" s="949"/>
      <c r="N181" s="950"/>
      <c r="O181" s="950"/>
      <c r="X181" s="1004"/>
      <c r="Y181" s="1004"/>
    </row>
    <row r="182" spans="2:25" ht="9.75" customHeight="1">
      <c r="B182" s="951"/>
      <c r="C182" s="951"/>
      <c r="D182" s="287">
        <f t="shared" ca="1" si="28"/>
        <v>51647</v>
      </c>
      <c r="E182" s="359">
        <f t="shared" si="31"/>
        <v>0</v>
      </c>
      <c r="F182" s="289">
        <f t="shared" ca="1" si="29"/>
        <v>60</v>
      </c>
      <c r="G182" s="290">
        <f ca="1">KTVCOI!R181</f>
        <v>3.3192004207064145</v>
      </c>
      <c r="H182" s="290">
        <f ca="1">(H181-F182-G182)*(1+LS!$F$3)</f>
        <v>-13128.903598705152</v>
      </c>
      <c r="I182" s="953"/>
      <c r="J182" s="292">
        <f t="shared" ca="1" si="30"/>
        <v>-13128.903598705152</v>
      </c>
      <c r="K182" s="949"/>
      <c r="L182" s="949"/>
      <c r="M182" s="949"/>
      <c r="N182" s="950"/>
      <c r="O182" s="950"/>
      <c r="X182" s="1004"/>
      <c r="Y182" s="1004"/>
    </row>
    <row r="183" spans="2:25" ht="9.75" customHeight="1">
      <c r="B183" s="951"/>
      <c r="C183" s="951"/>
      <c r="D183" s="287">
        <f t="shared" ca="1" si="28"/>
        <v>51678</v>
      </c>
      <c r="E183" s="359">
        <f t="shared" si="31"/>
        <v>0</v>
      </c>
      <c r="F183" s="289">
        <f t="shared" ca="1" si="29"/>
        <v>60</v>
      </c>
      <c r="G183" s="290">
        <f ca="1">KTVCOI!R182</f>
        <v>3.3478704176698137</v>
      </c>
      <c r="H183" s="290">
        <f ca="1">(H182-F183-G183)*(1+LS!$F$3)</f>
        <v>-13241.785895635829</v>
      </c>
      <c r="I183" s="953"/>
      <c r="J183" s="293">
        <f ca="1">H183+I172</f>
        <v>-13241.785895635829</v>
      </c>
      <c r="K183" s="949"/>
      <c r="L183" s="949"/>
      <c r="M183" s="949"/>
      <c r="N183" s="950"/>
      <c r="O183" s="950"/>
      <c r="X183" s="1004"/>
      <c r="Y183" s="1004"/>
    </row>
    <row r="184" spans="2:25" ht="9.75" customHeight="1">
      <c r="B184" s="946">
        <f>B172+1</f>
        <v>16</v>
      </c>
      <c r="C184" s="947">
        <f ca="1">C172+1</f>
        <v>45</v>
      </c>
      <c r="D184" s="294">
        <f t="shared" ca="1" si="28"/>
        <v>51708</v>
      </c>
      <c r="E184" s="359">
        <f t="shared" si="31"/>
        <v>0</v>
      </c>
      <c r="F184" s="360">
        <f t="shared" ca="1" si="29"/>
        <v>60</v>
      </c>
      <c r="G184" s="290">
        <f ca="1">KTVCOI!R183</f>
        <v>3.6525259428795493</v>
      </c>
      <c r="H184" s="290">
        <f ca="1">(H183+KTVTRDGTTKMH!F22-F184-G184)*(1+LS!$F$3)</f>
        <v>-13355.397843839542</v>
      </c>
      <c r="I184" s="948"/>
      <c r="J184" s="296">
        <f t="shared" ca="1" si="30"/>
        <v>-13355.397843839542</v>
      </c>
      <c r="K184" s="949">
        <f ca="1">J195</f>
        <v>-14635.770369819849</v>
      </c>
      <c r="L184" s="949"/>
      <c r="M184" s="949"/>
      <c r="N184" s="950">
        <f t="shared" ref="N184" ca="1" si="40">SUM(G184:G195)</f>
        <v>45.926666437945514</v>
      </c>
      <c r="O184" s="950"/>
      <c r="X184" s="945">
        <f t="shared" ref="X184:Y184" ca="1" si="41">SUM(F184:F195)</f>
        <v>720</v>
      </c>
      <c r="Y184" s="945">
        <f t="shared" ca="1" si="41"/>
        <v>45.926666437945514</v>
      </c>
    </row>
    <row r="185" spans="2:25" ht="9.75" customHeight="1">
      <c r="B185" s="946"/>
      <c r="C185" s="946"/>
      <c r="D185" s="294">
        <f t="shared" ca="1" si="28"/>
        <v>51739</v>
      </c>
      <c r="E185" s="359">
        <f t="shared" si="31"/>
        <v>0</v>
      </c>
      <c r="F185" s="360">
        <f t="shared" ca="1" si="29"/>
        <v>60</v>
      </c>
      <c r="G185" s="290">
        <f ca="1">KTVCOI!R184</f>
        <v>3.683863905259074</v>
      </c>
      <c r="H185" s="290">
        <f ca="1">(H184-F185-G185)*(1+LS!$F$3)</f>
        <v>-13469.467839200837</v>
      </c>
      <c r="I185" s="948"/>
      <c r="J185" s="296">
        <f t="shared" ca="1" si="30"/>
        <v>-13469.467839200837</v>
      </c>
      <c r="K185" s="949"/>
      <c r="L185" s="949"/>
      <c r="M185" s="949"/>
      <c r="N185" s="950"/>
      <c r="O185" s="950"/>
      <c r="X185" s="1004"/>
      <c r="Y185" s="1004"/>
    </row>
    <row r="186" spans="2:25" ht="9.75" customHeight="1">
      <c r="B186" s="946"/>
      <c r="C186" s="946"/>
      <c r="D186" s="294">
        <f t="shared" ca="1" si="28"/>
        <v>51770</v>
      </c>
      <c r="E186" s="359">
        <f t="shared" si="31"/>
        <v>0</v>
      </c>
      <c r="F186" s="360">
        <f t="shared" ca="1" si="29"/>
        <v>60</v>
      </c>
      <c r="G186" s="290">
        <f ca="1">KTVCOI!R185</f>
        <v>3.7153282123128974</v>
      </c>
      <c r="H186" s="290">
        <f ca="1">(H185-F186-G186)*(1+LS!$F$3)</f>
        <v>-13583.997728419836</v>
      </c>
      <c r="I186" s="948"/>
      <c r="J186" s="296">
        <f t="shared" ca="1" si="30"/>
        <v>-13583.997728419836</v>
      </c>
      <c r="K186" s="949"/>
      <c r="L186" s="949"/>
      <c r="M186" s="949"/>
      <c r="N186" s="950"/>
      <c r="O186" s="950"/>
      <c r="X186" s="1004"/>
      <c r="Y186" s="1004"/>
    </row>
    <row r="187" spans="2:25" ht="9.75" customHeight="1">
      <c r="B187" s="946"/>
      <c r="C187" s="946"/>
      <c r="D187" s="294">
        <f t="shared" ca="1" si="28"/>
        <v>51800</v>
      </c>
      <c r="E187" s="359">
        <f t="shared" si="31"/>
        <v>0</v>
      </c>
      <c r="F187" s="360">
        <f t="shared" ca="1" si="29"/>
        <v>60</v>
      </c>
      <c r="G187" s="290">
        <f ca="1">KTVCOI!R186</f>
        <v>3.7469193734224713</v>
      </c>
      <c r="H187" s="290">
        <f ca="1">(H186-F187-G187)*(1+LS!$F$3)</f>
        <v>-13698.989365641964</v>
      </c>
      <c r="I187" s="948"/>
      <c r="J187" s="296">
        <f t="shared" ca="1" si="30"/>
        <v>-13698.989365641964</v>
      </c>
      <c r="K187" s="949"/>
      <c r="L187" s="949"/>
      <c r="M187" s="949"/>
      <c r="N187" s="950"/>
      <c r="O187" s="950"/>
      <c r="X187" s="1004"/>
      <c r="Y187" s="1004"/>
    </row>
    <row r="188" spans="2:25" ht="9.75" customHeight="1">
      <c r="B188" s="946"/>
      <c r="C188" s="946"/>
      <c r="D188" s="294">
        <f t="shared" ca="1" si="28"/>
        <v>51831</v>
      </c>
      <c r="E188" s="359">
        <f t="shared" si="31"/>
        <v>0</v>
      </c>
      <c r="F188" s="360">
        <f t="shared" ca="1" si="29"/>
        <v>60</v>
      </c>
      <c r="G188" s="290">
        <f ca="1">KTVCOI!R187</f>
        <v>3.7786379000229089</v>
      </c>
      <c r="H188" s="290">
        <f ca="1">(H187-F188-G188)*(1+LS!$F$3)</f>
        <v>-13814.444612487974</v>
      </c>
      <c r="I188" s="948"/>
      <c r="J188" s="296">
        <f t="shared" ca="1" si="30"/>
        <v>-13814.444612487974</v>
      </c>
      <c r="K188" s="949"/>
      <c r="L188" s="949"/>
      <c r="M188" s="949"/>
      <c r="N188" s="950"/>
      <c r="O188" s="950"/>
      <c r="X188" s="1004"/>
      <c r="Y188" s="1004"/>
    </row>
    <row r="189" spans="2:25" ht="9.75" customHeight="1">
      <c r="B189" s="946"/>
      <c r="C189" s="946"/>
      <c r="D189" s="294">
        <f t="shared" ca="1" si="28"/>
        <v>51861</v>
      </c>
      <c r="E189" s="359">
        <f t="shared" si="31"/>
        <v>0</v>
      </c>
      <c r="F189" s="360">
        <f t="shared" ca="1" si="29"/>
        <v>60</v>
      </c>
      <c r="G189" s="290">
        <f ca="1">KTVCOI!R188</f>
        <v>3.8104843056112667</v>
      </c>
      <c r="H189" s="290">
        <f ca="1">(H188-F189-G189)*(1+LS!$F$3)</f>
        <v>-13930.365338084081</v>
      </c>
      <c r="I189" s="948"/>
      <c r="J189" s="296">
        <f t="shared" ca="1" si="30"/>
        <v>-13930.365338084081</v>
      </c>
      <c r="K189" s="949"/>
      <c r="L189" s="949"/>
      <c r="M189" s="949"/>
      <c r="N189" s="950"/>
      <c r="O189" s="950"/>
      <c r="X189" s="1004"/>
      <c r="Y189" s="1004"/>
    </row>
    <row r="190" spans="2:25" ht="9.75" customHeight="1">
      <c r="B190" s="946"/>
      <c r="C190" s="946"/>
      <c r="D190" s="294">
        <f t="shared" ca="1" si="28"/>
        <v>51892</v>
      </c>
      <c r="E190" s="359">
        <f t="shared" si="31"/>
        <v>0</v>
      </c>
      <c r="F190" s="360">
        <f t="shared" ca="1" si="29"/>
        <v>60</v>
      </c>
      <c r="G190" s="290">
        <f ca="1">KTVCOI!R189</f>
        <v>3.8424591057548589</v>
      </c>
      <c r="H190" s="290">
        <f ca="1">(H189-F190-G190)*(1+LS!$F$3)</f>
        <v>-14046.753419092214</v>
      </c>
      <c r="I190" s="948"/>
      <c r="J190" s="296">
        <f t="shared" ca="1" si="30"/>
        <v>-14046.753419092214</v>
      </c>
      <c r="K190" s="949"/>
      <c r="L190" s="949"/>
      <c r="M190" s="949"/>
      <c r="N190" s="950"/>
      <c r="O190" s="950"/>
      <c r="X190" s="1004"/>
      <c r="Y190" s="1004"/>
    </row>
    <row r="191" spans="2:25" ht="9.75" customHeight="1">
      <c r="B191" s="946"/>
      <c r="C191" s="946"/>
      <c r="D191" s="294">
        <f t="shared" ca="1" si="28"/>
        <v>51923</v>
      </c>
      <c r="E191" s="359">
        <f t="shared" si="31"/>
        <v>0</v>
      </c>
      <c r="F191" s="360">
        <f t="shared" ca="1" si="29"/>
        <v>60</v>
      </c>
      <c r="G191" s="290">
        <f ca="1">KTVCOI!R190</f>
        <v>3.8745628180996028</v>
      </c>
      <c r="H191" s="290">
        <f ca="1">(H190-F191-G191)*(1+LS!$F$3)</f>
        <v>-14163.610739740414</v>
      </c>
      <c r="I191" s="948"/>
      <c r="J191" s="296">
        <f t="shared" ca="1" si="30"/>
        <v>-14163.610739740414</v>
      </c>
      <c r="K191" s="949"/>
      <c r="L191" s="949"/>
      <c r="M191" s="949"/>
      <c r="N191" s="950"/>
      <c r="O191" s="950"/>
      <c r="X191" s="1004"/>
      <c r="Y191" s="1004"/>
    </row>
    <row r="192" spans="2:25" ht="9.75" customHeight="1">
      <c r="B192" s="946"/>
      <c r="C192" s="946"/>
      <c r="D192" s="294">
        <f t="shared" ca="1" si="28"/>
        <v>51951</v>
      </c>
      <c r="E192" s="359">
        <f t="shared" si="31"/>
        <v>0</v>
      </c>
      <c r="F192" s="360">
        <f t="shared" ca="1" si="29"/>
        <v>60</v>
      </c>
      <c r="G192" s="290">
        <f ca="1">KTVCOI!R191</f>
        <v>3.9067959623783981</v>
      </c>
      <c r="H192" s="290">
        <f ca="1">(H191-F192-G192)*(1+LS!$F$3)</f>
        <v>-14280.93919185332</v>
      </c>
      <c r="I192" s="948"/>
      <c r="J192" s="296">
        <f t="shared" ca="1" si="30"/>
        <v>-14280.93919185332</v>
      </c>
      <c r="K192" s="949"/>
      <c r="L192" s="949"/>
      <c r="M192" s="949"/>
      <c r="N192" s="950"/>
      <c r="O192" s="950"/>
      <c r="X192" s="1004"/>
      <c r="Y192" s="1004"/>
    </row>
    <row r="193" spans="2:25" ht="9.75" customHeight="1">
      <c r="B193" s="946"/>
      <c r="C193" s="946"/>
      <c r="D193" s="294">
        <f t="shared" ca="1" si="28"/>
        <v>51982</v>
      </c>
      <c r="E193" s="359">
        <f t="shared" si="31"/>
        <v>0</v>
      </c>
      <c r="F193" s="360">
        <f t="shared" ca="1" si="29"/>
        <v>60</v>
      </c>
      <c r="G193" s="290">
        <f ca="1">KTVCOI!R192</f>
        <v>3.939159060419541</v>
      </c>
      <c r="H193" s="290">
        <f ca="1">(H192-F193-G193)*(1+LS!$F$3)</f>
        <v>-14398.740674882811</v>
      </c>
      <c r="I193" s="948"/>
      <c r="J193" s="296">
        <f t="shared" ca="1" si="30"/>
        <v>-14398.740674882811</v>
      </c>
      <c r="K193" s="949"/>
      <c r="L193" s="949"/>
      <c r="M193" s="949"/>
      <c r="N193" s="950"/>
      <c r="O193" s="950"/>
      <c r="X193" s="1004"/>
      <c r="Y193" s="1004"/>
    </row>
    <row r="194" spans="2:25" ht="9.75" customHeight="1">
      <c r="B194" s="946"/>
      <c r="C194" s="946"/>
      <c r="D194" s="294">
        <f t="shared" ca="1" si="28"/>
        <v>52012</v>
      </c>
      <c r="E194" s="359">
        <f t="shared" si="31"/>
        <v>0</v>
      </c>
      <c r="F194" s="360">
        <f t="shared" ca="1" si="29"/>
        <v>60</v>
      </c>
      <c r="G194" s="290">
        <f ca="1">KTVCOI!R193</f>
        <v>3.9716526361551749</v>
      </c>
      <c r="H194" s="290">
        <f ca="1">(H193-F194-G194)*(1+LS!$F$3)</f>
        <v>-14517.017095938747</v>
      </c>
      <c r="I194" s="948"/>
      <c r="J194" s="296">
        <f t="shared" ca="1" si="30"/>
        <v>-14517.017095938747</v>
      </c>
      <c r="K194" s="949"/>
      <c r="L194" s="949"/>
      <c r="M194" s="949"/>
      <c r="N194" s="950"/>
      <c r="O194" s="950"/>
      <c r="X194" s="1004"/>
      <c r="Y194" s="1004"/>
    </row>
    <row r="195" spans="2:25" ht="9.75" customHeight="1">
      <c r="B195" s="946"/>
      <c r="C195" s="946"/>
      <c r="D195" s="294">
        <f t="shared" ca="1" si="28"/>
        <v>52043</v>
      </c>
      <c r="E195" s="359">
        <f t="shared" si="31"/>
        <v>0</v>
      </c>
      <c r="F195" s="360">
        <f t="shared" ca="1" si="29"/>
        <v>60</v>
      </c>
      <c r="G195" s="290">
        <f ca="1">KTVCOI!R194</f>
        <v>4.004277215629771</v>
      </c>
      <c r="H195" s="290">
        <f ca="1">(H194-F195-G195)*(1+LS!$F$3)</f>
        <v>-14635.770369819849</v>
      </c>
      <c r="I195" s="948"/>
      <c r="J195" s="297">
        <f ca="1">H195+I184</f>
        <v>-14635.770369819849</v>
      </c>
      <c r="K195" s="949"/>
      <c r="L195" s="949"/>
      <c r="M195" s="949"/>
      <c r="N195" s="950"/>
      <c r="O195" s="950"/>
      <c r="X195" s="1004"/>
      <c r="Y195" s="1004"/>
    </row>
    <row r="196" spans="2:25" ht="9.75" customHeight="1">
      <c r="B196" s="951">
        <f>B184+1</f>
        <v>17</v>
      </c>
      <c r="C196" s="952">
        <f ca="1">C184+1</f>
        <v>46</v>
      </c>
      <c r="D196" s="287">
        <f t="shared" ca="1" si="28"/>
        <v>52073</v>
      </c>
      <c r="E196" s="359">
        <f t="shared" si="31"/>
        <v>0</v>
      </c>
      <c r="F196" s="289">
        <f t="shared" ca="1" si="29"/>
        <v>60</v>
      </c>
      <c r="G196" s="290">
        <f ca="1">KTVCOI!R195</f>
        <v>4.3663381603295885</v>
      </c>
      <c r="H196" s="290">
        <f ca="1">(H195+KTVTRDGTTKMH!F23-F196-G196)*(1+LS!$F$3)</f>
        <v>-14755.332960355816</v>
      </c>
      <c r="I196" s="953"/>
      <c r="J196" s="292">
        <f t="shared" ca="1" si="30"/>
        <v>-14755.332960355816</v>
      </c>
      <c r="K196" s="949">
        <f ca="1">J207</f>
        <v>-16102.950524524656</v>
      </c>
      <c r="L196" s="949"/>
      <c r="M196" s="949"/>
      <c r="N196" s="950">
        <f t="shared" ref="N196" ca="1" si="42">SUM(G196:G207)</f>
        <v>54.782352446923156</v>
      </c>
      <c r="O196" s="950"/>
      <c r="X196" s="945">
        <f t="shared" ref="X196:Y196" ca="1" si="43">SUM(F196:F207)</f>
        <v>720</v>
      </c>
      <c r="Y196" s="945">
        <f t="shared" ca="1" si="43"/>
        <v>54.782352446923156</v>
      </c>
    </row>
    <row r="197" spans="2:25" ht="9.75" customHeight="1">
      <c r="B197" s="951"/>
      <c r="C197" s="951"/>
      <c r="D197" s="287">
        <f t="shared" ref="D197:D243" ca="1" si="44">EDATE(D196,1)</f>
        <v>52104</v>
      </c>
      <c r="E197" s="359">
        <f t="shared" si="31"/>
        <v>0</v>
      </c>
      <c r="F197" s="289">
        <f t="shared" ref="F197:F243" ca="1" si="45">IF(YEAR(D197)=2025,40000,IF(YEAR(D197)=2026,40000,IF(YEAR(D197)=2027,40000,IF(YEAR(D197)=2028,40000,IF(YEAR(D197)=2029,40000,IF(YEAR(D197)=2030,50000,IF(YEAR(D197)=2031,50000,IF(YEAR(D197)=2032,50000,IF(YEAR(D197)=2033,50000,IF(YEAR(D197)=2034,50000,IF(YEAR(D197)&gt;=2035,60000,0)))))))))))/1000</f>
        <v>60</v>
      </c>
      <c r="G197" s="290">
        <f ca="1">KTVCOI!R196</f>
        <v>4.4020076665061518</v>
      </c>
      <c r="H197" s="290">
        <f ca="1">(H196-F197-G197)*(1+LS!$F$3)</f>
        <v>-14875.38028940161</v>
      </c>
      <c r="I197" s="953"/>
      <c r="J197" s="292">
        <f t="shared" ref="J197:J242" ca="1" si="46">H197</f>
        <v>-14875.38028940161</v>
      </c>
      <c r="K197" s="949"/>
      <c r="L197" s="949"/>
      <c r="M197" s="949"/>
      <c r="N197" s="950"/>
      <c r="O197" s="950"/>
      <c r="X197" s="1004"/>
      <c r="Y197" s="1004"/>
    </row>
    <row r="198" spans="2:25" ht="9.75" customHeight="1">
      <c r="B198" s="951"/>
      <c r="C198" s="951"/>
      <c r="D198" s="287">
        <f t="shared" ca="1" si="44"/>
        <v>52135</v>
      </c>
      <c r="E198" s="359">
        <f t="shared" ref="E198:E243" si="47">E197</f>
        <v>0</v>
      </c>
      <c r="F198" s="289">
        <f t="shared" ca="1" si="45"/>
        <v>60</v>
      </c>
      <c r="G198" s="290">
        <f ca="1">KTVCOI!R197</f>
        <v>4.4378217863381471</v>
      </c>
      <c r="H198" s="290">
        <f ca="1">(H197-F198-G198)*(1+LS!$F$3)</f>
        <v>-14995.914322215944</v>
      </c>
      <c r="I198" s="953"/>
      <c r="J198" s="292">
        <f t="shared" ca="1" si="46"/>
        <v>-14995.914322215944</v>
      </c>
      <c r="K198" s="949"/>
      <c r="L198" s="949"/>
      <c r="M198" s="949"/>
      <c r="N198" s="950"/>
      <c r="O198" s="950"/>
      <c r="X198" s="1004"/>
      <c r="Y198" s="1004"/>
    </row>
    <row r="199" spans="2:25" ht="9.75" customHeight="1">
      <c r="B199" s="951"/>
      <c r="C199" s="951"/>
      <c r="D199" s="287">
        <f t="shared" ca="1" si="44"/>
        <v>52165</v>
      </c>
      <c r="E199" s="359">
        <f t="shared" si="47"/>
        <v>0</v>
      </c>
      <c r="F199" s="289">
        <f t="shared" ca="1" si="45"/>
        <v>60</v>
      </c>
      <c r="G199" s="290">
        <f ca="1">KTVCOI!R198</f>
        <v>4.473781106127757</v>
      </c>
      <c r="H199" s="290">
        <f ca="1">(H198-F199-G199)*(1+LS!$F$3)</f>
        <v>-15116.937032025213</v>
      </c>
      <c r="I199" s="953"/>
      <c r="J199" s="292">
        <f t="shared" ca="1" si="46"/>
        <v>-15116.937032025213</v>
      </c>
      <c r="K199" s="949"/>
      <c r="L199" s="949"/>
      <c r="M199" s="949"/>
      <c r="N199" s="950"/>
      <c r="O199" s="950"/>
      <c r="X199" s="1004"/>
      <c r="Y199" s="1004"/>
    </row>
    <row r="200" spans="2:25" ht="9.75" customHeight="1">
      <c r="B200" s="951"/>
      <c r="C200" s="951"/>
      <c r="D200" s="287">
        <f t="shared" ca="1" si="44"/>
        <v>52196</v>
      </c>
      <c r="E200" s="359">
        <f t="shared" si="47"/>
        <v>0</v>
      </c>
      <c r="F200" s="289">
        <f t="shared" ca="1" si="45"/>
        <v>60</v>
      </c>
      <c r="G200" s="290">
        <f ca="1">KTVCOI!R199</f>
        <v>4.5098862145541885</v>
      </c>
      <c r="H200" s="290">
        <f ca="1">(H199-F200-G200)*(1+LS!$F$3)</f>
        <v>-15238.450400055799</v>
      </c>
      <c r="I200" s="953"/>
      <c r="J200" s="292">
        <f t="shared" ca="1" si="46"/>
        <v>-15238.450400055799</v>
      </c>
      <c r="K200" s="949"/>
      <c r="L200" s="949"/>
      <c r="M200" s="949"/>
      <c r="N200" s="950"/>
      <c r="O200" s="950"/>
      <c r="X200" s="1004"/>
      <c r="Y200" s="1004"/>
    </row>
    <row r="201" spans="2:25" ht="9.75" customHeight="1">
      <c r="B201" s="951"/>
      <c r="C201" s="951"/>
      <c r="D201" s="287">
        <f t="shared" ca="1" si="44"/>
        <v>52226</v>
      </c>
      <c r="E201" s="359">
        <f t="shared" si="47"/>
        <v>0</v>
      </c>
      <c r="F201" s="289">
        <f t="shared" ca="1" si="45"/>
        <v>60</v>
      </c>
      <c r="G201" s="290">
        <f ca="1">KTVCOI!R200</f>
        <v>4.5461377026833132</v>
      </c>
      <c r="H201" s="290">
        <f ca="1">(H200-F201-G201)*(1+LS!$F$3)</f>
        <v>-15360.456415566496</v>
      </c>
      <c r="I201" s="953"/>
      <c r="J201" s="292">
        <f t="shared" ca="1" si="46"/>
        <v>-15360.456415566496</v>
      </c>
      <c r="K201" s="949"/>
      <c r="L201" s="949"/>
      <c r="M201" s="949"/>
      <c r="N201" s="950"/>
      <c r="O201" s="950"/>
      <c r="X201" s="1004"/>
      <c r="Y201" s="1004"/>
    </row>
    <row r="202" spans="2:25" ht="9.75" customHeight="1">
      <c r="B202" s="951"/>
      <c r="C202" s="951"/>
      <c r="D202" s="287">
        <f t="shared" ca="1" si="44"/>
        <v>52257</v>
      </c>
      <c r="E202" s="359">
        <f t="shared" si="47"/>
        <v>0</v>
      </c>
      <c r="F202" s="289">
        <f t="shared" ca="1" si="45"/>
        <v>60</v>
      </c>
      <c r="G202" s="290">
        <f ca="1">KTVCOI!R201</f>
        <v>4.5825361639773385</v>
      </c>
      <c r="H202" s="290">
        <f ca="1">(H201-F202-G202)*(1+LS!$F$3)</f>
        <v>-15482.957075881086</v>
      </c>
      <c r="I202" s="953"/>
      <c r="J202" s="292">
        <f t="shared" ca="1" si="46"/>
        <v>-15482.957075881086</v>
      </c>
      <c r="K202" s="949"/>
      <c r="L202" s="949"/>
      <c r="M202" s="949"/>
      <c r="N202" s="950"/>
      <c r="O202" s="950"/>
      <c r="X202" s="1004"/>
      <c r="Y202" s="1004"/>
    </row>
    <row r="203" spans="2:25" ht="9.75" customHeight="1">
      <c r="B203" s="951"/>
      <c r="C203" s="951"/>
      <c r="D203" s="287">
        <f t="shared" ca="1" si="44"/>
        <v>52288</v>
      </c>
      <c r="E203" s="359">
        <f t="shared" si="47"/>
        <v>0</v>
      </c>
      <c r="F203" s="289">
        <f t="shared" ca="1" si="45"/>
        <v>60</v>
      </c>
      <c r="G203" s="290">
        <f ca="1">KTVCOI!R202</f>
        <v>4.6190821943045242</v>
      </c>
      <c r="H203" s="290">
        <f ca="1">(H202-F203-G203)*(1+LS!$F$3)</f>
        <v>-15605.954386421028</v>
      </c>
      <c r="I203" s="953"/>
      <c r="J203" s="292">
        <f t="shared" ca="1" si="46"/>
        <v>-15605.954386421028</v>
      </c>
      <c r="K203" s="949"/>
      <c r="L203" s="949"/>
      <c r="M203" s="949"/>
      <c r="N203" s="950"/>
      <c r="O203" s="950"/>
      <c r="X203" s="1004"/>
      <c r="Y203" s="1004"/>
    </row>
    <row r="204" spans="2:25" ht="9.75" customHeight="1">
      <c r="B204" s="951"/>
      <c r="C204" s="951"/>
      <c r="D204" s="287">
        <f t="shared" ca="1" si="44"/>
        <v>52316</v>
      </c>
      <c r="E204" s="359">
        <f t="shared" si="47"/>
        <v>0</v>
      </c>
      <c r="F204" s="289">
        <f t="shared" ca="1" si="45"/>
        <v>60</v>
      </c>
      <c r="G204" s="290">
        <f ca="1">KTVCOI!R203</f>
        <v>4.6557763919489403</v>
      </c>
      <c r="H204" s="290">
        <f ca="1">(H203-F204-G204)*(1+LS!$F$3)</f>
        <v>-15729.450360738299</v>
      </c>
      <c r="I204" s="953"/>
      <c r="J204" s="292">
        <f t="shared" ca="1" si="46"/>
        <v>-15729.450360738299</v>
      </c>
      <c r="K204" s="949"/>
      <c r="L204" s="949"/>
      <c r="M204" s="949"/>
      <c r="N204" s="950"/>
      <c r="O204" s="950"/>
      <c r="X204" s="1004"/>
      <c r="Y204" s="1004"/>
    </row>
    <row r="205" spans="2:25" ht="9.75" customHeight="1">
      <c r="B205" s="951"/>
      <c r="C205" s="951"/>
      <c r="D205" s="287">
        <f t="shared" ca="1" si="44"/>
        <v>52347</v>
      </c>
      <c r="E205" s="359">
        <f t="shared" si="47"/>
        <v>0</v>
      </c>
      <c r="F205" s="289">
        <f t="shared" ca="1" si="45"/>
        <v>60</v>
      </c>
      <c r="G205" s="290">
        <f ca="1">KTVCOI!R204</f>
        <v>4.6926193576202593</v>
      </c>
      <c r="H205" s="290">
        <f ca="1">(H204-F205-G205)*(1+LS!$F$3)</f>
        <v>-15853.447020548347</v>
      </c>
      <c r="I205" s="953"/>
      <c r="J205" s="292">
        <f t="shared" ca="1" si="46"/>
        <v>-15853.447020548347</v>
      </c>
      <c r="K205" s="949"/>
      <c r="L205" s="949"/>
      <c r="M205" s="949"/>
      <c r="N205" s="950"/>
      <c r="O205" s="950"/>
      <c r="X205" s="1004"/>
      <c r="Y205" s="1004"/>
    </row>
    <row r="206" spans="2:25" ht="9.75" customHeight="1">
      <c r="B206" s="951"/>
      <c r="C206" s="951"/>
      <c r="D206" s="287">
        <f t="shared" ca="1" si="44"/>
        <v>52377</v>
      </c>
      <c r="E206" s="359">
        <f t="shared" si="47"/>
        <v>0</v>
      </c>
      <c r="F206" s="289">
        <f t="shared" ca="1" si="45"/>
        <v>60</v>
      </c>
      <c r="G206" s="290">
        <f ca="1">KTVCOI!R205</f>
        <v>4.72961169446359</v>
      </c>
      <c r="H206" s="290">
        <f ca="1">(H205-F206-G206)*(1+LS!$F$3)</f>
        <v>-15977.946395763192</v>
      </c>
      <c r="I206" s="953"/>
      <c r="J206" s="292">
        <f t="shared" ca="1" si="46"/>
        <v>-15977.946395763192</v>
      </c>
      <c r="K206" s="949"/>
      <c r="L206" s="949"/>
      <c r="M206" s="949"/>
      <c r="N206" s="950"/>
      <c r="O206" s="950"/>
      <c r="X206" s="1004"/>
      <c r="Y206" s="1004"/>
    </row>
    <row r="207" spans="2:25" ht="9.75" customHeight="1">
      <c r="B207" s="951"/>
      <c r="C207" s="951"/>
      <c r="D207" s="287">
        <f t="shared" ca="1" si="44"/>
        <v>52408</v>
      </c>
      <c r="E207" s="359">
        <f t="shared" si="47"/>
        <v>0</v>
      </c>
      <c r="F207" s="289">
        <f t="shared" ca="1" si="45"/>
        <v>60</v>
      </c>
      <c r="G207" s="290">
        <f ca="1">KTVCOI!R206</f>
        <v>4.7667540080693529</v>
      </c>
      <c r="H207" s="290">
        <f ca="1">(H206-F207-G207)*(1+LS!$F$3)</f>
        <v>-16102.950524524656</v>
      </c>
      <c r="I207" s="953"/>
      <c r="J207" s="293">
        <f ca="1">H207+I196</f>
        <v>-16102.950524524656</v>
      </c>
      <c r="K207" s="949"/>
      <c r="L207" s="949"/>
      <c r="M207" s="949"/>
      <c r="N207" s="950"/>
      <c r="O207" s="950"/>
      <c r="X207" s="1004"/>
      <c r="Y207" s="1004"/>
    </row>
    <row r="208" spans="2:25" ht="9.75" customHeight="1">
      <c r="B208" s="946">
        <f>B196+1</f>
        <v>18</v>
      </c>
      <c r="C208" s="947">
        <f ca="1">C196+1</f>
        <v>47</v>
      </c>
      <c r="D208" s="294">
        <f t="shared" ca="1" si="44"/>
        <v>52438</v>
      </c>
      <c r="E208" s="359">
        <f t="shared" si="47"/>
        <v>0</v>
      </c>
      <c r="F208" s="360">
        <f t="shared" ca="1" si="45"/>
        <v>60</v>
      </c>
      <c r="G208" s="290">
        <f ca="1">KTVCOI!R207</f>
        <v>5.1932015441592023</v>
      </c>
      <c r="H208" s="290">
        <f ca="1">(H207+KTVTRDGTTKMH!F24-F208-G208)*(1+LS!$F$3)</f>
        <v>-16228.852069077981</v>
      </c>
      <c r="I208" s="948"/>
      <c r="J208" s="296">
        <f t="shared" ca="1" si="46"/>
        <v>-16228.852069077981</v>
      </c>
      <c r="K208" s="949">
        <f ca="1">J219</f>
        <v>-17648.124554565526</v>
      </c>
      <c r="L208" s="949"/>
      <c r="M208" s="949"/>
      <c r="N208" s="950">
        <f t="shared" ref="N208" ca="1" si="48">SUM(G208:G219)</f>
        <v>65.035001707992947</v>
      </c>
      <c r="O208" s="950"/>
      <c r="X208" s="945">
        <f t="shared" ref="X208:Y208" ca="1" si="49">SUM(F208:F219)</f>
        <v>720</v>
      </c>
      <c r="Y208" s="945">
        <f t="shared" ca="1" si="49"/>
        <v>65.035001707992947</v>
      </c>
    </row>
    <row r="209" spans="2:25" ht="9.75" customHeight="1">
      <c r="B209" s="946"/>
      <c r="C209" s="946"/>
      <c r="D209" s="294">
        <f t="shared" ca="1" si="44"/>
        <v>52469</v>
      </c>
      <c r="E209" s="359">
        <f t="shared" si="47"/>
        <v>0</v>
      </c>
      <c r="F209" s="360">
        <f t="shared" ca="1" si="45"/>
        <v>60</v>
      </c>
      <c r="G209" s="290">
        <f ca="1">KTVCOI!R208</f>
        <v>5.2338047922776489</v>
      </c>
      <c r="H209" s="290">
        <f ca="1">(H208-F209-G209)*(1+LS!$F$3)</f>
        <v>-16355.267105990108</v>
      </c>
      <c r="I209" s="948"/>
      <c r="J209" s="296">
        <f t="shared" ca="1" si="46"/>
        <v>-16355.267105990108</v>
      </c>
      <c r="K209" s="949"/>
      <c r="L209" s="949"/>
      <c r="M209" s="949"/>
      <c r="N209" s="950"/>
      <c r="O209" s="950"/>
      <c r="X209" s="1004"/>
      <c r="Y209" s="1004"/>
    </row>
    <row r="210" spans="2:25" ht="9.75" customHeight="1">
      <c r="B210" s="946"/>
      <c r="C210" s="946"/>
      <c r="D210" s="294">
        <f t="shared" ca="1" si="44"/>
        <v>52500</v>
      </c>
      <c r="E210" s="359">
        <f t="shared" si="47"/>
        <v>0</v>
      </c>
      <c r="F210" s="360">
        <f t="shared" ca="1" si="45"/>
        <v>60</v>
      </c>
      <c r="G210" s="290">
        <f ca="1">KTVCOI!R209</f>
        <v>5.2745736416818092</v>
      </c>
      <c r="H210" s="290">
        <f ca="1">(H209-F210-G210)*(1+LS!$F$3)</f>
        <v>-16482.197729551488</v>
      </c>
      <c r="I210" s="948"/>
      <c r="J210" s="296">
        <f t="shared" ca="1" si="46"/>
        <v>-16482.197729551488</v>
      </c>
      <c r="K210" s="949"/>
      <c r="L210" s="949"/>
      <c r="M210" s="949"/>
      <c r="N210" s="950"/>
      <c r="O210" s="950"/>
      <c r="X210" s="1004"/>
      <c r="Y210" s="1004"/>
    </row>
    <row r="211" spans="2:25" ht="9.75" customHeight="1">
      <c r="B211" s="946"/>
      <c r="C211" s="946"/>
      <c r="D211" s="294">
        <f t="shared" ca="1" si="44"/>
        <v>52530</v>
      </c>
      <c r="E211" s="359">
        <f t="shared" si="47"/>
        <v>0</v>
      </c>
      <c r="F211" s="360">
        <f t="shared" ca="1" si="45"/>
        <v>60</v>
      </c>
      <c r="G211" s="290">
        <f ca="1">KTVCOI!R210</f>
        <v>5.3155087677803552</v>
      </c>
      <c r="H211" s="290">
        <f ca="1">(H210-F211-G211)*(1+LS!$F$3)</f>
        <v>-16609.646042594188</v>
      </c>
      <c r="I211" s="948"/>
      <c r="J211" s="296">
        <f t="shared" ca="1" si="46"/>
        <v>-16609.646042594188</v>
      </c>
      <c r="K211" s="949"/>
      <c r="L211" s="949"/>
      <c r="M211" s="949"/>
      <c r="N211" s="950"/>
      <c r="O211" s="950"/>
      <c r="X211" s="1004"/>
      <c r="Y211" s="1004"/>
    </row>
    <row r="212" spans="2:25" ht="9.75" customHeight="1">
      <c r="B212" s="946"/>
      <c r="C212" s="946"/>
      <c r="D212" s="294">
        <f t="shared" ca="1" si="44"/>
        <v>52561</v>
      </c>
      <c r="E212" s="359">
        <f t="shared" si="47"/>
        <v>0</v>
      </c>
      <c r="F212" s="360">
        <f t="shared" ca="1" si="45"/>
        <v>60</v>
      </c>
      <c r="G212" s="290">
        <f ca="1">KTVCOI!R211</f>
        <v>5.3566108487366257</v>
      </c>
      <c r="H212" s="290">
        <f ca="1">(H211-F212-G212)*(1+LS!$F$3)</f>
        <v>-16737.614156526717</v>
      </c>
      <c r="I212" s="948"/>
      <c r="J212" s="296">
        <f t="shared" ca="1" si="46"/>
        <v>-16737.614156526717</v>
      </c>
      <c r="K212" s="949"/>
      <c r="L212" s="949"/>
      <c r="M212" s="949"/>
      <c r="N212" s="950"/>
      <c r="O212" s="950"/>
      <c r="X212" s="1004"/>
      <c r="Y212" s="1004"/>
    </row>
    <row r="213" spans="2:25" ht="9.75" customHeight="1">
      <c r="B213" s="946"/>
      <c r="C213" s="946"/>
      <c r="D213" s="294">
        <f t="shared" ca="1" si="44"/>
        <v>52591</v>
      </c>
      <c r="E213" s="359">
        <f t="shared" si="47"/>
        <v>0</v>
      </c>
      <c r="F213" s="360">
        <f t="shared" ca="1" si="45"/>
        <v>60</v>
      </c>
      <c r="G213" s="290">
        <f ca="1">KTVCOI!R212</f>
        <v>5.3978805654798663</v>
      </c>
      <c r="H213" s="290">
        <f ca="1">(H212-F213-G213)*(1+LS!$F$3)</f>
        <v>-16866.104191369017</v>
      </c>
      <c r="I213" s="948"/>
      <c r="J213" s="296">
        <f t="shared" ca="1" si="46"/>
        <v>-16866.104191369017</v>
      </c>
      <c r="K213" s="949"/>
      <c r="L213" s="949"/>
      <c r="M213" s="949"/>
      <c r="N213" s="950"/>
      <c r="O213" s="950"/>
      <c r="X213" s="1004"/>
      <c r="Y213" s="1004"/>
    </row>
    <row r="214" spans="2:25" ht="9.75" customHeight="1">
      <c r="B214" s="946"/>
      <c r="C214" s="946"/>
      <c r="D214" s="294">
        <f t="shared" ca="1" si="44"/>
        <v>52622</v>
      </c>
      <c r="E214" s="359">
        <f t="shared" si="47"/>
        <v>0</v>
      </c>
      <c r="F214" s="360">
        <f t="shared" ca="1" si="45"/>
        <v>60</v>
      </c>
      <c r="G214" s="290">
        <f ca="1">KTVCOI!R213</f>
        <v>5.4393186017165078</v>
      </c>
      <c r="H214" s="290">
        <f ca="1">(H213-F214-G214)*(1+LS!$F$3)</f>
        <v>-16995.118275787576</v>
      </c>
      <c r="I214" s="948"/>
      <c r="J214" s="296">
        <f t="shared" ca="1" si="46"/>
        <v>-16995.118275787576</v>
      </c>
      <c r="K214" s="949"/>
      <c r="L214" s="949"/>
      <c r="M214" s="949"/>
      <c r="N214" s="950"/>
      <c r="O214" s="950"/>
      <c r="X214" s="1004"/>
      <c r="Y214" s="1004"/>
    </row>
    <row r="215" spans="2:25" ht="9.75" customHeight="1">
      <c r="B215" s="946"/>
      <c r="C215" s="946"/>
      <c r="D215" s="294">
        <f t="shared" ca="1" si="44"/>
        <v>52653</v>
      </c>
      <c r="E215" s="359">
        <f t="shared" si="47"/>
        <v>0</v>
      </c>
      <c r="F215" s="360">
        <f t="shared" ca="1" si="45"/>
        <v>60</v>
      </c>
      <c r="G215" s="290">
        <f ca="1">KTVCOI!R214</f>
        <v>5.4809256439414931</v>
      </c>
      <c r="H215" s="290">
        <f ca="1">(H214-F215-G215)*(1+LS!$F$3)</f>
        <v>-17124.658547130704</v>
      </c>
      <c r="I215" s="948"/>
      <c r="J215" s="296">
        <f t="shared" ca="1" si="46"/>
        <v>-17124.658547130704</v>
      </c>
      <c r="K215" s="949"/>
      <c r="L215" s="949"/>
      <c r="M215" s="949"/>
      <c r="N215" s="950"/>
      <c r="O215" s="950"/>
      <c r="X215" s="1004"/>
      <c r="Y215" s="1004"/>
    </row>
    <row r="216" spans="2:25" ht="9.75" customHeight="1">
      <c r="B216" s="946"/>
      <c r="C216" s="946"/>
      <c r="D216" s="294">
        <f t="shared" ca="1" si="44"/>
        <v>52682</v>
      </c>
      <c r="E216" s="359">
        <f t="shared" si="47"/>
        <v>0</v>
      </c>
      <c r="F216" s="360">
        <f t="shared" ca="1" si="45"/>
        <v>60</v>
      </c>
      <c r="G216" s="290">
        <f ca="1">KTVCOI!R215</f>
        <v>5.5227023814496521</v>
      </c>
      <c r="H216" s="290">
        <f ca="1">(H215-F216-G216)*(1+LS!$F$3)</f>
        <v>-17254.727151463932</v>
      </c>
      <c r="I216" s="948"/>
      <c r="J216" s="296">
        <f t="shared" ca="1" si="46"/>
        <v>-17254.727151463932</v>
      </c>
      <c r="K216" s="949"/>
      <c r="L216" s="949"/>
      <c r="M216" s="949"/>
      <c r="N216" s="950"/>
      <c r="O216" s="950"/>
      <c r="X216" s="1004"/>
      <c r="Y216" s="1004"/>
    </row>
    <row r="217" spans="2:25" ht="9.75" customHeight="1">
      <c r="B217" s="946"/>
      <c r="C217" s="946"/>
      <c r="D217" s="294">
        <f t="shared" ca="1" si="44"/>
        <v>52713</v>
      </c>
      <c r="E217" s="359">
        <f t="shared" si="47"/>
        <v>0</v>
      </c>
      <c r="F217" s="360">
        <f t="shared" ca="1" si="45"/>
        <v>60</v>
      </c>
      <c r="G217" s="290">
        <f ca="1">KTVCOI!R216</f>
        <v>5.5646495063471173</v>
      </c>
      <c r="H217" s="290">
        <f ca="1">(H216-F217-G217)*(1+LS!$F$3)</f>
        <v>-17385.32624360557</v>
      </c>
      <c r="I217" s="948"/>
      <c r="J217" s="296">
        <f t="shared" ca="1" si="46"/>
        <v>-17385.32624360557</v>
      </c>
      <c r="K217" s="949"/>
      <c r="L217" s="949"/>
      <c r="M217" s="949"/>
      <c r="N217" s="950"/>
      <c r="O217" s="950"/>
      <c r="X217" s="1004"/>
      <c r="Y217" s="1004"/>
    </row>
    <row r="218" spans="2:25" ht="9.75" customHeight="1">
      <c r="B218" s="946"/>
      <c r="C218" s="946"/>
      <c r="D218" s="294">
        <f t="shared" ca="1" si="44"/>
        <v>52743</v>
      </c>
      <c r="E218" s="359">
        <f t="shared" si="47"/>
        <v>0</v>
      </c>
      <c r="F218" s="360">
        <f t="shared" ca="1" si="45"/>
        <v>60</v>
      </c>
      <c r="G218" s="290">
        <f ca="1">KTVCOI!R217</f>
        <v>5.606767713562796</v>
      </c>
      <c r="H218" s="290">
        <f ca="1">(H217-F218-G218)*(1+LS!$F$3)</f>
        <v>-17516.457987162397</v>
      </c>
      <c r="I218" s="948"/>
      <c r="J218" s="296">
        <f t="shared" ca="1" si="46"/>
        <v>-17516.457987162397</v>
      </c>
      <c r="K218" s="949"/>
      <c r="L218" s="949"/>
      <c r="M218" s="949"/>
      <c r="N218" s="950"/>
      <c r="O218" s="950"/>
      <c r="X218" s="1004"/>
      <c r="Y218" s="1004"/>
    </row>
    <row r="219" spans="2:25" ht="9.75" customHeight="1">
      <c r="B219" s="946"/>
      <c r="C219" s="946"/>
      <c r="D219" s="294">
        <f t="shared" ca="1" si="44"/>
        <v>52774</v>
      </c>
      <c r="E219" s="359">
        <f t="shared" si="47"/>
        <v>0</v>
      </c>
      <c r="F219" s="360">
        <f t="shared" ca="1" si="45"/>
        <v>60</v>
      </c>
      <c r="G219" s="290">
        <f ca="1">KTVCOI!R218</f>
        <v>5.6490577008598741</v>
      </c>
      <c r="H219" s="290">
        <f ca="1">(H218-F219-G219)*(1+LS!$F$3)</f>
        <v>-17648.124554565526</v>
      </c>
      <c r="I219" s="948"/>
      <c r="J219" s="297">
        <f ca="1">H219+I208</f>
        <v>-17648.124554565526</v>
      </c>
      <c r="K219" s="949"/>
      <c r="L219" s="949"/>
      <c r="M219" s="949"/>
      <c r="N219" s="950"/>
      <c r="O219" s="950"/>
      <c r="X219" s="1004"/>
      <c r="Y219" s="1004"/>
    </row>
    <row r="220" spans="2:25" ht="9.75" customHeight="1">
      <c r="B220" s="951">
        <f>B208+1</f>
        <v>19</v>
      </c>
      <c r="C220" s="952">
        <f ca="1">C208+1</f>
        <v>48</v>
      </c>
      <c r="D220" s="287">
        <f t="shared" ca="1" si="44"/>
        <v>52804</v>
      </c>
      <c r="E220" s="359">
        <f t="shared" si="47"/>
        <v>0</v>
      </c>
      <c r="F220" s="289">
        <f t="shared" ca="1" si="45"/>
        <v>60</v>
      </c>
      <c r="G220" s="290">
        <f ca="1">KTVCOI!R219</f>
        <v>6.1474300531736574</v>
      </c>
      <c r="H220" s="290">
        <f ca="1">(H219+KTVTRDGTTKMH!F25-F220-G220)*(1+LS!$F$3)</f>
        <v>-17780.78574884668</v>
      </c>
      <c r="I220" s="953"/>
      <c r="J220" s="292">
        <f t="shared" ca="1" si="46"/>
        <v>-17780.78574884668</v>
      </c>
      <c r="K220" s="949">
        <f ca="1">J231</f>
        <v>-19276.492242420394</v>
      </c>
      <c r="L220" s="949"/>
      <c r="M220" s="949"/>
      <c r="N220" s="950">
        <f t="shared" ref="N220" ca="1" si="50">SUM(G220:G231)</f>
        <v>76.861156366829022</v>
      </c>
      <c r="O220" s="950"/>
      <c r="X220" s="945">
        <f t="shared" ref="X220:Y220" ca="1" si="51">SUM(F220:F231)</f>
        <v>720</v>
      </c>
      <c r="Y220" s="945">
        <f t="shared" ca="1" si="51"/>
        <v>76.861156366829022</v>
      </c>
    </row>
    <row r="221" spans="2:25" ht="9.75" customHeight="1">
      <c r="B221" s="951"/>
      <c r="C221" s="951"/>
      <c r="D221" s="287">
        <f t="shared" ca="1" si="44"/>
        <v>52835</v>
      </c>
      <c r="E221" s="359">
        <f t="shared" si="47"/>
        <v>0</v>
      </c>
      <c r="F221" s="289">
        <f t="shared" ca="1" si="45"/>
        <v>60</v>
      </c>
      <c r="G221" s="290">
        <f ca="1">KTVCOI!R220</f>
        <v>6.1936403691815931</v>
      </c>
      <c r="H221" s="290">
        <f ca="1">(H220-F221-G221)*(1+LS!$F$3)</f>
        <v>-17913.991444823154</v>
      </c>
      <c r="I221" s="953"/>
      <c r="J221" s="292">
        <f t="shared" ca="1" si="46"/>
        <v>-17913.991444823154</v>
      </c>
      <c r="K221" s="949"/>
      <c r="L221" s="949"/>
      <c r="M221" s="949"/>
      <c r="N221" s="950"/>
      <c r="O221" s="950"/>
      <c r="X221" s="1004"/>
      <c r="Y221" s="1004"/>
    </row>
    <row r="222" spans="2:25" ht="9.75" customHeight="1">
      <c r="B222" s="951"/>
      <c r="C222" s="951"/>
      <c r="D222" s="287">
        <f t="shared" ca="1" si="44"/>
        <v>52866</v>
      </c>
      <c r="E222" s="359">
        <f t="shared" si="47"/>
        <v>0</v>
      </c>
      <c r="F222" s="289">
        <f t="shared" ca="1" si="45"/>
        <v>60</v>
      </c>
      <c r="G222" s="290">
        <f ca="1">KTVCOI!R221</f>
        <v>6.2400403532800652</v>
      </c>
      <c r="H222" s="290">
        <f ca="1">(H221-F222-G222)*(1+LS!$F$3)</f>
        <v>-18047.743877376804</v>
      </c>
      <c r="I222" s="953"/>
      <c r="J222" s="292">
        <f t="shared" ca="1" si="46"/>
        <v>-18047.743877376804</v>
      </c>
      <c r="K222" s="949"/>
      <c r="L222" s="949"/>
      <c r="M222" s="949"/>
      <c r="N222" s="950"/>
      <c r="O222" s="950"/>
      <c r="X222" s="1004"/>
      <c r="Y222" s="1004"/>
    </row>
    <row r="223" spans="2:25" ht="9.75" customHeight="1">
      <c r="B223" s="951"/>
      <c r="C223" s="951"/>
      <c r="D223" s="287">
        <f t="shared" ca="1" si="44"/>
        <v>52896</v>
      </c>
      <c r="E223" s="359">
        <f t="shared" si="47"/>
        <v>0</v>
      </c>
      <c r="F223" s="289">
        <f t="shared" ca="1" si="45"/>
        <v>60</v>
      </c>
      <c r="G223" s="290">
        <f ca="1">KTVCOI!R222</f>
        <v>6.2866307839529192</v>
      </c>
      <c r="H223" s="290">
        <f ca="1">(H222-F223-G223)*(1+LS!$F$3)</f>
        <v>-18182.045290562455</v>
      </c>
      <c r="I223" s="953"/>
      <c r="J223" s="292">
        <f t="shared" ca="1" si="46"/>
        <v>-18182.045290562455</v>
      </c>
      <c r="K223" s="949"/>
      <c r="L223" s="949"/>
      <c r="M223" s="949"/>
      <c r="N223" s="950"/>
      <c r="O223" s="950"/>
      <c r="X223" s="1004"/>
      <c r="Y223" s="1004"/>
    </row>
    <row r="224" spans="2:25" ht="9.75" customHeight="1">
      <c r="B224" s="951"/>
      <c r="C224" s="951"/>
      <c r="D224" s="287">
        <f t="shared" ca="1" si="44"/>
        <v>52927</v>
      </c>
      <c r="E224" s="359">
        <f t="shared" si="47"/>
        <v>0</v>
      </c>
      <c r="F224" s="289">
        <f t="shared" ca="1" si="45"/>
        <v>60</v>
      </c>
      <c r="G224" s="290">
        <f ca="1">KTVCOI!R223</f>
        <v>6.3334124428792551</v>
      </c>
      <c r="H224" s="290">
        <f ca="1">(H223-F224-G224)*(1+LS!$F$3)</f>
        <v>-18316.897937645546</v>
      </c>
      <c r="I224" s="953"/>
      <c r="J224" s="292">
        <f t="shared" ca="1" si="46"/>
        <v>-18316.897937645546</v>
      </c>
      <c r="K224" s="949"/>
      <c r="L224" s="949"/>
      <c r="M224" s="949"/>
      <c r="N224" s="950"/>
      <c r="O224" s="950"/>
      <c r="X224" s="1004"/>
      <c r="Y224" s="1004"/>
    </row>
    <row r="225" spans="2:25" ht="9.75" customHeight="1">
      <c r="B225" s="951"/>
      <c r="C225" s="951"/>
      <c r="D225" s="287">
        <f t="shared" ca="1" si="44"/>
        <v>52957</v>
      </c>
      <c r="E225" s="359">
        <f t="shared" si="47"/>
        <v>0</v>
      </c>
      <c r="F225" s="289">
        <f t="shared" ca="1" si="45"/>
        <v>60</v>
      </c>
      <c r="G225" s="290">
        <f ca="1">KTVCOI!R224</f>
        <v>6.3803861149465311</v>
      </c>
      <c r="H225" s="290">
        <f ca="1">(H224-F225-G225)*(1+LS!$F$3)</f>
        <v>-18452.304081139948</v>
      </c>
      <c r="I225" s="953"/>
      <c r="J225" s="292">
        <f t="shared" ca="1" si="46"/>
        <v>-18452.304081139948</v>
      </c>
      <c r="K225" s="949"/>
      <c r="L225" s="949"/>
      <c r="M225" s="949"/>
      <c r="N225" s="950"/>
      <c r="O225" s="950"/>
      <c r="X225" s="1004"/>
      <c r="Y225" s="1004"/>
    </row>
    <row r="226" spans="2:25" ht="9.75" customHeight="1">
      <c r="B226" s="951"/>
      <c r="C226" s="951"/>
      <c r="D226" s="287">
        <f t="shared" ca="1" si="44"/>
        <v>52988</v>
      </c>
      <c r="E226" s="359">
        <f t="shared" si="47"/>
        <v>0</v>
      </c>
      <c r="F226" s="289">
        <f t="shared" ca="1" si="45"/>
        <v>60</v>
      </c>
      <c r="G226" s="290">
        <f ca="1">KTVCOI!R225</f>
        <v>6.4275525882637483</v>
      </c>
      <c r="H226" s="290">
        <f ca="1">(H225-F226-G226)*(1+LS!$F$3)</f>
        <v>-18588.265992845911</v>
      </c>
      <c r="I226" s="953"/>
      <c r="J226" s="292">
        <f t="shared" ca="1" si="46"/>
        <v>-18588.265992845911</v>
      </c>
      <c r="K226" s="949"/>
      <c r="L226" s="949"/>
      <c r="M226" s="949"/>
      <c r="N226" s="950"/>
      <c r="O226" s="950"/>
      <c r="X226" s="1004"/>
      <c r="Y226" s="1004"/>
    </row>
    <row r="227" spans="2:25" ht="9.75" customHeight="1">
      <c r="B227" s="951"/>
      <c r="C227" s="951"/>
      <c r="D227" s="287">
        <f t="shared" ca="1" si="44"/>
        <v>53019</v>
      </c>
      <c r="E227" s="359">
        <f t="shared" si="47"/>
        <v>0</v>
      </c>
      <c r="F227" s="289">
        <f t="shared" ca="1" si="45"/>
        <v>60</v>
      </c>
      <c r="G227" s="290">
        <f ca="1">KTVCOI!R226</f>
        <v>6.4749126541746582</v>
      </c>
      <c r="H227" s="290">
        <f ca="1">(H226-F227-G227)*(1+LS!$F$3)</f>
        <v>-18724.785953888182</v>
      </c>
      <c r="I227" s="953"/>
      <c r="J227" s="292">
        <f t="shared" ca="1" si="46"/>
        <v>-18724.785953888182</v>
      </c>
      <c r="K227" s="949"/>
      <c r="L227" s="949"/>
      <c r="M227" s="949"/>
      <c r="N227" s="950"/>
      <c r="O227" s="950"/>
      <c r="X227" s="1004"/>
      <c r="Y227" s="1004"/>
    </row>
    <row r="228" spans="2:25" ht="9.75" customHeight="1">
      <c r="B228" s="951"/>
      <c r="C228" s="951"/>
      <c r="D228" s="287">
        <f t="shared" ca="1" si="44"/>
        <v>53047</v>
      </c>
      <c r="E228" s="359">
        <f t="shared" si="47"/>
        <v>0</v>
      </c>
      <c r="F228" s="289">
        <f t="shared" ca="1" si="45"/>
        <v>60</v>
      </c>
      <c r="G228" s="290">
        <f ca="1">KTVCOI!R227</f>
        <v>6.5224671072710487</v>
      </c>
      <c r="H228" s="290">
        <f ca="1">(H227-F228-G228)*(1+LS!$F$3)</f>
        <v>-18861.866254754281</v>
      </c>
      <c r="I228" s="953"/>
      <c r="J228" s="292">
        <f t="shared" ca="1" si="46"/>
        <v>-18861.866254754281</v>
      </c>
      <c r="K228" s="949"/>
      <c r="L228" s="949"/>
      <c r="M228" s="949"/>
      <c r="N228" s="950"/>
      <c r="O228" s="950"/>
      <c r="X228" s="1004"/>
      <c r="Y228" s="1004"/>
    </row>
    <row r="229" spans="2:25" ht="9.75" customHeight="1">
      <c r="B229" s="951"/>
      <c r="C229" s="951"/>
      <c r="D229" s="287">
        <f t="shared" ca="1" si="44"/>
        <v>53078</v>
      </c>
      <c r="E229" s="359">
        <f t="shared" si="47"/>
        <v>0</v>
      </c>
      <c r="F229" s="289">
        <f t="shared" ca="1" si="45"/>
        <v>60</v>
      </c>
      <c r="G229" s="290">
        <f ca="1">KTVCOI!R228</f>
        <v>6.570216745406074</v>
      </c>
      <c r="H229" s="290">
        <f ca="1">(H228-F229-G229)*(1+LS!$F$3)</f>
        <v>-18999.509195332925</v>
      </c>
      <c r="I229" s="953"/>
      <c r="J229" s="292">
        <f t="shared" ca="1" si="46"/>
        <v>-18999.509195332925</v>
      </c>
      <c r="K229" s="949"/>
      <c r="L229" s="949"/>
      <c r="M229" s="949"/>
      <c r="N229" s="950"/>
      <c r="O229" s="950"/>
      <c r="X229" s="1004"/>
      <c r="Y229" s="1004"/>
    </row>
    <row r="230" spans="2:25" ht="9.75" customHeight="1">
      <c r="B230" s="951"/>
      <c r="C230" s="951"/>
      <c r="D230" s="287">
        <f t="shared" ca="1" si="44"/>
        <v>53108</v>
      </c>
      <c r="E230" s="359">
        <f t="shared" si="47"/>
        <v>0</v>
      </c>
      <c r="F230" s="289">
        <f t="shared" ca="1" si="45"/>
        <v>60</v>
      </c>
      <c r="G230" s="290">
        <f ca="1">KTVCOI!R229</f>
        <v>6.6181623697076342</v>
      </c>
      <c r="H230" s="290">
        <f ca="1">(H229-F230-G230)*(1+LS!$F$3)</f>
        <v>-19137.717084952619</v>
      </c>
      <c r="I230" s="953"/>
      <c r="J230" s="292">
        <f t="shared" ca="1" si="46"/>
        <v>-19137.717084952619</v>
      </c>
      <c r="K230" s="949"/>
      <c r="L230" s="949"/>
      <c r="M230" s="949"/>
      <c r="N230" s="950"/>
      <c r="O230" s="950"/>
      <c r="X230" s="1004"/>
      <c r="Y230" s="1004"/>
    </row>
    <row r="231" spans="2:25" ht="9.75" customHeight="1">
      <c r="B231" s="951"/>
      <c r="C231" s="951"/>
      <c r="D231" s="287">
        <f t="shared" ca="1" si="44"/>
        <v>53139</v>
      </c>
      <c r="E231" s="359">
        <f t="shared" si="47"/>
        <v>0</v>
      </c>
      <c r="F231" s="289">
        <f t="shared" ca="1" si="45"/>
        <v>60</v>
      </c>
      <c r="G231" s="290">
        <f ca="1">KTVCOI!R230</f>
        <v>6.6663047845918291</v>
      </c>
      <c r="H231" s="290">
        <f ca="1">(H230-F231-G231)*(1+LS!$F$3)</f>
        <v>-19276.492242420394</v>
      </c>
      <c r="I231" s="953"/>
      <c r="J231" s="293">
        <f ca="1">H231+I220</f>
        <v>-19276.492242420394</v>
      </c>
      <c r="K231" s="949"/>
      <c r="L231" s="949"/>
      <c r="M231" s="949"/>
      <c r="N231" s="950"/>
      <c r="O231" s="950"/>
      <c r="X231" s="1004"/>
      <c r="Y231" s="1004"/>
    </row>
    <row r="232" spans="2:25" ht="9.75" customHeight="1">
      <c r="B232" s="946">
        <f>B220+1</f>
        <v>20</v>
      </c>
      <c r="C232" s="947">
        <f ca="1">C220+1</f>
        <v>49</v>
      </c>
      <c r="D232" s="294">
        <f t="shared" ca="1" si="44"/>
        <v>53169</v>
      </c>
      <c r="E232" s="359">
        <f t="shared" si="47"/>
        <v>0</v>
      </c>
      <c r="F232" s="360">
        <f t="shared" ca="1" si="45"/>
        <v>60</v>
      </c>
      <c r="G232" s="290">
        <f ca="1">KTVCOI!R231</f>
        <v>7.2608120779783478</v>
      </c>
      <c r="H232" s="290">
        <f ca="1">(H231+KTVTRDGTTKMH!F26-F232-G232)*(1+LS!$F$3)</f>
        <v>-19416.385214096485</v>
      </c>
      <c r="I232" s="948">
        <f ca="1">IF(COUNTIF(KTVTRDGTTKMH!$E$7:E26,0)&gt;0,0,'Tinh phi QL'!H12/1000)</f>
        <v>0</v>
      </c>
      <c r="J232" s="296">
        <f t="shared" ca="1" si="46"/>
        <v>-19416.385214096485</v>
      </c>
      <c r="K232" s="949">
        <f ca="1">J243</f>
        <v>-20993.897248596921</v>
      </c>
      <c r="L232" s="949"/>
      <c r="M232" s="949"/>
      <c r="N232" s="950">
        <f t="shared" ref="N232" ca="1" si="52">SUM(G232:G243)</f>
        <v>90.655843107561836</v>
      </c>
      <c r="O232" s="950"/>
      <c r="X232" s="945">
        <f t="shared" ref="X232:Y232" ca="1" si="53">SUM(F232:F243)</f>
        <v>720</v>
      </c>
      <c r="Y232" s="945">
        <f t="shared" ca="1" si="53"/>
        <v>90.655843107561836</v>
      </c>
    </row>
    <row r="233" spans="2:25" ht="9.75" customHeight="1">
      <c r="B233" s="946"/>
      <c r="C233" s="946"/>
      <c r="D233" s="294">
        <f t="shared" ca="1" si="44"/>
        <v>53200</v>
      </c>
      <c r="E233" s="359">
        <f t="shared" si="47"/>
        <v>0</v>
      </c>
      <c r="F233" s="360">
        <f t="shared" ca="1" si="45"/>
        <v>60</v>
      </c>
      <c r="G233" s="290">
        <f ca="1">KTVCOI!R232</f>
        <v>7.313505097309676</v>
      </c>
      <c r="H233" s="290">
        <f ca="1">(H232-F233-G233)*(1+LS!$F$3)</f>
        <v>-19556.856348478406</v>
      </c>
      <c r="I233" s="948"/>
      <c r="J233" s="296">
        <f t="shared" ca="1" si="46"/>
        <v>-19556.856348478406</v>
      </c>
      <c r="K233" s="949"/>
      <c r="L233" s="949"/>
      <c r="M233" s="949"/>
      <c r="N233" s="950"/>
      <c r="O233" s="950"/>
      <c r="X233" s="1004"/>
      <c r="Y233" s="1004"/>
    </row>
    <row r="234" spans="2:25" ht="9.75" customHeight="1">
      <c r="B234" s="946"/>
      <c r="C234" s="946"/>
      <c r="D234" s="294">
        <f t="shared" ca="1" si="44"/>
        <v>53231</v>
      </c>
      <c r="E234" s="359">
        <f t="shared" si="47"/>
        <v>0</v>
      </c>
      <c r="F234" s="360">
        <f t="shared" ca="1" si="45"/>
        <v>60</v>
      </c>
      <c r="G234" s="290">
        <f ca="1">KTVCOI!R233</f>
        <v>7.3664158912601989</v>
      </c>
      <c r="H234" s="290">
        <f ca="1">(H233-F234-G234)*(1+LS!$F$3)</f>
        <v>-19697.908035050848</v>
      </c>
      <c r="I234" s="948"/>
      <c r="J234" s="296">
        <f t="shared" ca="1" si="46"/>
        <v>-19697.908035050848</v>
      </c>
      <c r="K234" s="949"/>
      <c r="L234" s="949"/>
      <c r="M234" s="949"/>
      <c r="N234" s="950"/>
      <c r="O234" s="950"/>
      <c r="X234" s="1004"/>
      <c r="Y234" s="1004"/>
    </row>
    <row r="235" spans="2:25" ht="9.75" customHeight="1">
      <c r="B235" s="946"/>
      <c r="C235" s="946"/>
      <c r="D235" s="294">
        <f t="shared" ca="1" si="44"/>
        <v>53261</v>
      </c>
      <c r="E235" s="359">
        <f t="shared" si="47"/>
        <v>0</v>
      </c>
      <c r="F235" s="360">
        <f t="shared" ca="1" si="45"/>
        <v>60</v>
      </c>
      <c r="G235" s="290">
        <f ca="1">KTVCOI!R234</f>
        <v>7.4195453598691516</v>
      </c>
      <c r="H235" s="290">
        <f ca="1">(H234-F235-G235)*(1+LS!$F$3)</f>
        <v>-19839.542673173986</v>
      </c>
      <c r="I235" s="948"/>
      <c r="J235" s="296">
        <f t="shared" ca="1" si="46"/>
        <v>-19839.542673173986</v>
      </c>
      <c r="K235" s="949"/>
      <c r="L235" s="949"/>
      <c r="M235" s="949"/>
      <c r="N235" s="950"/>
      <c r="O235" s="950"/>
      <c r="X235" s="1004"/>
      <c r="Y235" s="1004"/>
    </row>
    <row r="236" spans="2:25" ht="9.75" customHeight="1">
      <c r="B236" s="946"/>
      <c r="C236" s="946"/>
      <c r="D236" s="294">
        <f t="shared" ca="1" si="44"/>
        <v>53292</v>
      </c>
      <c r="E236" s="359">
        <f t="shared" si="47"/>
        <v>0</v>
      </c>
      <c r="F236" s="360">
        <f t="shared" ca="1" si="45"/>
        <v>60</v>
      </c>
      <c r="G236" s="290">
        <f ca="1">KTVCOI!R235</f>
        <v>7.4728944068955343</v>
      </c>
      <c r="H236" s="290">
        <f ca="1">(H235-F236-G236)*(1+LS!$F$3)</f>
        <v>-19981.7626721243</v>
      </c>
      <c r="I236" s="948"/>
      <c r="J236" s="296">
        <f t="shared" ca="1" si="46"/>
        <v>-19981.7626721243</v>
      </c>
      <c r="K236" s="949"/>
      <c r="L236" s="949"/>
      <c r="M236" s="949"/>
      <c r="N236" s="950"/>
      <c r="O236" s="950"/>
      <c r="X236" s="1004"/>
      <c r="Y236" s="1004"/>
    </row>
    <row r="237" spans="2:25" ht="9.75" customHeight="1">
      <c r="B237" s="946"/>
      <c r="C237" s="946"/>
      <c r="D237" s="294">
        <f t="shared" ca="1" si="44"/>
        <v>53322</v>
      </c>
      <c r="E237" s="359">
        <f t="shared" si="47"/>
        <v>0</v>
      </c>
      <c r="F237" s="360">
        <f t="shared" ca="1" si="45"/>
        <v>60</v>
      </c>
      <c r="G237" s="290">
        <f ca="1">KTVCOI!R236</f>
        <v>7.5264639398334845</v>
      </c>
      <c r="H237" s="290">
        <f ca="1">(H236-F237-G237)*(1+LS!$F$3)</f>
        <v>-20124.570451135547</v>
      </c>
      <c r="I237" s="948"/>
      <c r="J237" s="296">
        <f t="shared" ca="1" si="46"/>
        <v>-20124.570451135547</v>
      </c>
      <c r="K237" s="949"/>
      <c r="L237" s="949"/>
      <c r="M237" s="949"/>
      <c r="N237" s="950"/>
      <c r="O237" s="950"/>
      <c r="X237" s="1004"/>
      <c r="Y237" s="1004"/>
    </row>
    <row r="238" spans="2:25" ht="9.75" customHeight="1">
      <c r="B238" s="946"/>
      <c r="C238" s="946"/>
      <c r="D238" s="294">
        <f t="shared" ca="1" si="44"/>
        <v>53353</v>
      </c>
      <c r="E238" s="359">
        <f t="shared" si="47"/>
        <v>0</v>
      </c>
      <c r="F238" s="360">
        <f t="shared" ca="1" si="45"/>
        <v>60</v>
      </c>
      <c r="G238" s="290">
        <f ca="1">KTVCOI!R237</f>
        <v>7.5802548699277219</v>
      </c>
      <c r="H238" s="290">
        <f ca="1">(H237-F238-G238)*(1+LS!$F$3)</f>
        <v>-20267.968439439923</v>
      </c>
      <c r="I238" s="948"/>
      <c r="J238" s="296">
        <f t="shared" ca="1" si="46"/>
        <v>-20267.968439439923</v>
      </c>
      <c r="K238" s="949"/>
      <c r="L238" s="949"/>
      <c r="M238" s="949"/>
      <c r="N238" s="950"/>
      <c r="O238" s="950"/>
      <c r="X238" s="1004"/>
      <c r="Y238" s="1004"/>
    </row>
    <row r="239" spans="2:25" ht="9.75" customHeight="1">
      <c r="B239" s="946"/>
      <c r="C239" s="946"/>
      <c r="D239" s="294">
        <f t="shared" ca="1" si="44"/>
        <v>53384</v>
      </c>
      <c r="E239" s="359">
        <f t="shared" si="47"/>
        <v>0</v>
      </c>
      <c r="F239" s="360">
        <f t="shared" ca="1" si="45"/>
        <v>60</v>
      </c>
      <c r="G239" s="290">
        <f ca="1">KTVCOI!R238</f>
        <v>7.6342681121890372</v>
      </c>
      <c r="H239" s="290">
        <f ca="1">(H238-F239-G239)*(1+LS!$F$3)</f>
        <v>-20411.959076309377</v>
      </c>
      <c r="I239" s="948"/>
      <c r="J239" s="296">
        <f t="shared" ca="1" si="46"/>
        <v>-20411.959076309377</v>
      </c>
      <c r="K239" s="949"/>
      <c r="L239" s="949"/>
      <c r="M239" s="949"/>
      <c r="N239" s="950"/>
      <c r="O239" s="950"/>
      <c r="X239" s="1004"/>
      <c r="Y239" s="1004"/>
    </row>
    <row r="240" spans="2:25" ht="9.75" customHeight="1">
      <c r="B240" s="946"/>
      <c r="C240" s="946"/>
      <c r="D240" s="294">
        <f t="shared" ca="1" si="44"/>
        <v>53412</v>
      </c>
      <c r="E240" s="359">
        <f t="shared" si="47"/>
        <v>0</v>
      </c>
      <c r="F240" s="360">
        <f t="shared" ca="1" si="45"/>
        <v>60</v>
      </c>
      <c r="G240" s="290">
        <f ca="1">KTVCOI!R239</f>
        <v>7.6885045854098637</v>
      </c>
      <c r="H240" s="290">
        <f ca="1">(H239-F240-G240)*(1+LS!$F$3)</f>
        <v>-20556.544811097112</v>
      </c>
      <c r="I240" s="948"/>
      <c r="J240" s="296">
        <f t="shared" ca="1" si="46"/>
        <v>-20556.544811097112</v>
      </c>
      <c r="K240" s="949"/>
      <c r="L240" s="949"/>
      <c r="M240" s="949"/>
      <c r="N240" s="950"/>
      <c r="O240" s="950"/>
      <c r="X240" s="1004"/>
      <c r="Y240" s="1004"/>
    </row>
    <row r="241" spans="2:25" ht="9.75" customHeight="1">
      <c r="B241" s="946"/>
      <c r="C241" s="946"/>
      <c r="D241" s="294">
        <f t="shared" ca="1" si="44"/>
        <v>53443</v>
      </c>
      <c r="E241" s="359">
        <f t="shared" si="47"/>
        <v>0</v>
      </c>
      <c r="F241" s="360">
        <f t="shared" ca="1" si="45"/>
        <v>60</v>
      </c>
      <c r="G241" s="290">
        <f ca="1">KTVCOI!R240</f>
        <v>7.7429652121799117</v>
      </c>
      <c r="H241" s="290">
        <f ca="1">(H240-F241-G241)*(1+LS!$F$3)</f>
        <v>-20701.728103279242</v>
      </c>
      <c r="I241" s="948"/>
      <c r="J241" s="296">
        <f t="shared" ca="1" si="46"/>
        <v>-20701.728103279242</v>
      </c>
      <c r="K241" s="949"/>
      <c r="L241" s="949"/>
      <c r="M241" s="949"/>
      <c r="N241" s="950"/>
      <c r="O241" s="950"/>
      <c r="X241" s="1004"/>
      <c r="Y241" s="1004"/>
    </row>
    <row r="242" spans="2:25" ht="9.75" customHeight="1">
      <c r="B242" s="946"/>
      <c r="C242" s="946"/>
      <c r="D242" s="294">
        <f t="shared" ca="1" si="44"/>
        <v>53473</v>
      </c>
      <c r="E242" s="359">
        <f t="shared" si="47"/>
        <v>0</v>
      </c>
      <c r="F242" s="360">
        <f t="shared" ca="1" si="45"/>
        <v>60</v>
      </c>
      <c r="G242" s="290">
        <f ca="1">KTVCOI!R241</f>
        <v>7.797650918901847</v>
      </c>
      <c r="H242" s="290">
        <f ca="1">(H241-F242-G242)*(1+LS!$F$3)</f>
        <v>-20847.511422496635</v>
      </c>
      <c r="I242" s="948"/>
      <c r="J242" s="296">
        <f t="shared" ca="1" si="46"/>
        <v>-20847.511422496635</v>
      </c>
      <c r="K242" s="949"/>
      <c r="L242" s="949"/>
      <c r="M242" s="949"/>
      <c r="N242" s="950"/>
      <c r="O242" s="950"/>
      <c r="X242" s="1004"/>
      <c r="Y242" s="1004"/>
    </row>
    <row r="243" spans="2:25" ht="9.75" customHeight="1">
      <c r="B243" s="946"/>
      <c r="C243" s="946"/>
      <c r="D243" s="294">
        <f t="shared" ca="1" si="44"/>
        <v>53504</v>
      </c>
      <c r="E243" s="359">
        <f t="shared" si="47"/>
        <v>0</v>
      </c>
      <c r="F243" s="360">
        <f t="shared" ca="1" si="45"/>
        <v>60</v>
      </c>
      <c r="G243" s="290">
        <f ca="1">KTVCOI!R242</f>
        <v>7.8525626358070646</v>
      </c>
      <c r="H243" s="290">
        <f ca="1">(H242-F243-G243)*(1+LS!$F$3)</f>
        <v>-20993.897248596921</v>
      </c>
      <c r="I243" s="948"/>
      <c r="J243" s="297">
        <f ca="1">H243+I232</f>
        <v>-20993.897248596921</v>
      </c>
      <c r="K243" s="949"/>
      <c r="L243" s="949"/>
      <c r="M243" s="949"/>
      <c r="N243" s="950"/>
      <c r="O243" s="950"/>
      <c r="X243" s="1004"/>
      <c r="Y243" s="1004"/>
    </row>
  </sheetData>
  <sheetProtection selectLockedCells="1"/>
  <mergeCells count="138">
    <mergeCell ref="Y232:Y243"/>
    <mergeCell ref="B232:B243"/>
    <mergeCell ref="C232:C243"/>
    <mergeCell ref="I232:I243"/>
    <mergeCell ref="K232:M243"/>
    <mergeCell ref="N232:O243"/>
    <mergeCell ref="X232:X243"/>
    <mergeCell ref="Y208:Y219"/>
    <mergeCell ref="B220:B231"/>
    <mergeCell ref="C220:C231"/>
    <mergeCell ref="I220:I231"/>
    <mergeCell ref="K220:M231"/>
    <mergeCell ref="N220:O231"/>
    <mergeCell ref="X220:X231"/>
    <mergeCell ref="Y220:Y231"/>
    <mergeCell ref="B208:B219"/>
    <mergeCell ref="C208:C219"/>
    <mergeCell ref="I208:I219"/>
    <mergeCell ref="K208:M219"/>
    <mergeCell ref="N208:O219"/>
    <mergeCell ref="X208:X219"/>
    <mergeCell ref="Y184:Y195"/>
    <mergeCell ref="B196:B207"/>
    <mergeCell ref="C196:C207"/>
    <mergeCell ref="I196:I207"/>
    <mergeCell ref="K196:M207"/>
    <mergeCell ref="N196:O207"/>
    <mergeCell ref="X196:X207"/>
    <mergeCell ref="Y196:Y207"/>
    <mergeCell ref="B184:B195"/>
    <mergeCell ref="C184:C195"/>
    <mergeCell ref="I184:I195"/>
    <mergeCell ref="K184:M195"/>
    <mergeCell ref="N184:O195"/>
    <mergeCell ref="X184:X195"/>
    <mergeCell ref="Y160:Y171"/>
    <mergeCell ref="B172:B183"/>
    <mergeCell ref="C172:C183"/>
    <mergeCell ref="I172:I183"/>
    <mergeCell ref="K172:M183"/>
    <mergeCell ref="N172:O183"/>
    <mergeCell ref="X172:X183"/>
    <mergeCell ref="Y172:Y183"/>
    <mergeCell ref="B160:B171"/>
    <mergeCell ref="C160:C171"/>
    <mergeCell ref="I160:I171"/>
    <mergeCell ref="K160:M171"/>
    <mergeCell ref="N160:O171"/>
    <mergeCell ref="X160:X171"/>
    <mergeCell ref="Y136:Y147"/>
    <mergeCell ref="B148:B159"/>
    <mergeCell ref="C148:C159"/>
    <mergeCell ref="I148:I159"/>
    <mergeCell ref="K148:M159"/>
    <mergeCell ref="N148:O159"/>
    <mergeCell ref="X148:X159"/>
    <mergeCell ref="Y148:Y159"/>
    <mergeCell ref="B136:B147"/>
    <mergeCell ref="C136:C147"/>
    <mergeCell ref="I136:I147"/>
    <mergeCell ref="K136:M147"/>
    <mergeCell ref="N136:O147"/>
    <mergeCell ref="X136:X147"/>
    <mergeCell ref="Y112:Y123"/>
    <mergeCell ref="B124:B135"/>
    <mergeCell ref="C124:C135"/>
    <mergeCell ref="I124:I135"/>
    <mergeCell ref="K124:M135"/>
    <mergeCell ref="N124:O135"/>
    <mergeCell ref="X124:X135"/>
    <mergeCell ref="Y124:Y135"/>
    <mergeCell ref="B112:B123"/>
    <mergeCell ref="C112:C123"/>
    <mergeCell ref="I112:I123"/>
    <mergeCell ref="K112:M123"/>
    <mergeCell ref="N112:O123"/>
    <mergeCell ref="X112:X123"/>
    <mergeCell ref="Y88:Y99"/>
    <mergeCell ref="B100:B111"/>
    <mergeCell ref="C100:C111"/>
    <mergeCell ref="I100:I111"/>
    <mergeCell ref="K100:M111"/>
    <mergeCell ref="N100:O111"/>
    <mergeCell ref="X100:X111"/>
    <mergeCell ref="Y100:Y111"/>
    <mergeCell ref="B88:B99"/>
    <mergeCell ref="C88:C99"/>
    <mergeCell ref="I88:I99"/>
    <mergeCell ref="K88:M99"/>
    <mergeCell ref="N88:O99"/>
    <mergeCell ref="X88:X99"/>
    <mergeCell ref="Y64:Y75"/>
    <mergeCell ref="B76:B87"/>
    <mergeCell ref="C76:C87"/>
    <mergeCell ref="I76:I87"/>
    <mergeCell ref="K76:M87"/>
    <mergeCell ref="N76:O87"/>
    <mergeCell ref="X76:X87"/>
    <mergeCell ref="Y76:Y87"/>
    <mergeCell ref="B64:B75"/>
    <mergeCell ref="C64:C75"/>
    <mergeCell ref="I64:I75"/>
    <mergeCell ref="K64:M75"/>
    <mergeCell ref="N64:O75"/>
    <mergeCell ref="X64:X75"/>
    <mergeCell ref="B52:B63"/>
    <mergeCell ref="C52:C63"/>
    <mergeCell ref="I52:I63"/>
    <mergeCell ref="K52:M63"/>
    <mergeCell ref="N52:O63"/>
    <mergeCell ref="X52:X63"/>
    <mergeCell ref="Y52:Y63"/>
    <mergeCell ref="B40:B51"/>
    <mergeCell ref="C40:C51"/>
    <mergeCell ref="I40:I51"/>
    <mergeCell ref="K40:M51"/>
    <mergeCell ref="N40:O51"/>
    <mergeCell ref="X40:X51"/>
    <mergeCell ref="Y28:Y39"/>
    <mergeCell ref="Y4:Y15"/>
    <mergeCell ref="B16:B27"/>
    <mergeCell ref="C16:C27"/>
    <mergeCell ref="K16:M27"/>
    <mergeCell ref="N16:O27"/>
    <mergeCell ref="X16:X27"/>
    <mergeCell ref="Y16:Y27"/>
    <mergeCell ref="Y40:Y51"/>
    <mergeCell ref="B2:I2"/>
    <mergeCell ref="B4:B15"/>
    <mergeCell ref="C4:C15"/>
    <mergeCell ref="K4:M15"/>
    <mergeCell ref="N4:O15"/>
    <mergeCell ref="X4:X15"/>
    <mergeCell ref="B28:B39"/>
    <mergeCell ref="C28:C39"/>
    <mergeCell ref="K28:M39"/>
    <mergeCell ref="N28:O39"/>
    <mergeCell ref="X28:X39"/>
  </mergeCells>
  <conditionalFormatting sqref="H1:J5 I6:J52 H6:H243 J53:J63 H244:J1048576">
    <cfRule type="cellIs" dxfId="191" priority="2" operator="lessThan">
      <formula>0</formula>
    </cfRule>
  </conditionalFormatting>
  <conditionalFormatting sqref="I64:J243">
    <cfRule type="cellIs" dxfId="190" priority="1" operator="lessThan">
      <formula>0</formula>
    </cfRule>
  </conditionalFormatting>
  <pageMargins left="0.75" right="0.75" top="1" bottom="1" header="0.5" footer="0.5"/>
  <drawing r:id="rId1"/>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3270A-467C-43AC-9576-60BC3231C303}">
  <dimension ref="B1:J54"/>
  <sheetViews>
    <sheetView showGridLines="0" workbookViewId="0"/>
  </sheetViews>
  <sheetFormatPr defaultColWidth="9.296875" defaultRowHeight="14.5"/>
  <cols>
    <col min="1" max="1" width="2.69921875" style="198" customWidth="1"/>
    <col min="2" max="9" width="9.296875" style="198"/>
    <col min="10" max="10" width="13.296875" style="198" customWidth="1"/>
    <col min="11" max="16384" width="9.296875" style="198"/>
  </cols>
  <sheetData>
    <row r="1" spans="2:10" ht="21" customHeight="1"/>
    <row r="2" spans="2:10" ht="19.5" customHeight="1">
      <c r="B2" s="1010" t="s">
        <v>547</v>
      </c>
      <c r="C2" s="1010"/>
      <c r="D2" s="1010"/>
      <c r="E2" s="1010"/>
      <c r="F2" s="1010"/>
      <c r="G2" s="1010"/>
      <c r="H2" s="1010"/>
      <c r="I2" s="1010"/>
      <c r="J2" s="1010"/>
    </row>
    <row r="3" spans="2:10" ht="10.5" customHeight="1"/>
    <row r="4" spans="2:10">
      <c r="B4" s="199" t="s">
        <v>548</v>
      </c>
    </row>
    <row r="5" spans="2:10" ht="7.5" customHeight="1"/>
    <row r="7" spans="2:10" ht="11.25" customHeight="1"/>
    <row r="8" spans="2:10">
      <c r="B8" s="199" t="s">
        <v>549</v>
      </c>
    </row>
    <row r="9" spans="2:10" ht="6.75" customHeight="1"/>
    <row r="11" spans="2:10" ht="9" customHeight="1"/>
    <row r="12" spans="2:10">
      <c r="B12" s="199" t="s">
        <v>550</v>
      </c>
    </row>
    <row r="13" spans="2:10" ht="6.75" customHeight="1"/>
    <row r="15" spans="2:10" ht="9" customHeight="1"/>
    <row r="16" spans="2:10">
      <c r="B16" s="199" t="s">
        <v>551</v>
      </c>
    </row>
    <row r="19" spans="2:2" ht="5.25" customHeight="1"/>
    <row r="20" spans="2:2">
      <c r="B20" s="199" t="s">
        <v>552</v>
      </c>
    </row>
    <row r="21" spans="2:2" ht="7.5" customHeight="1"/>
    <row r="23" spans="2:2" ht="9" customHeight="1"/>
    <row r="24" spans="2:2">
      <c r="B24" s="199" t="s">
        <v>553</v>
      </c>
    </row>
    <row r="25" spans="2:2" ht="6" customHeight="1"/>
    <row r="29" spans="2:2" ht="7.5" customHeight="1"/>
    <row r="30" spans="2:2">
      <c r="B30" s="199" t="s">
        <v>761</v>
      </c>
    </row>
    <row r="31" spans="2:2" ht="6.75" customHeight="1"/>
    <row r="37" spans="2:10" ht="6" customHeight="1"/>
    <row r="38" spans="2:10">
      <c r="B38" s="199" t="s">
        <v>554</v>
      </c>
    </row>
    <row r="39" spans="2:10" ht="4.5" customHeight="1"/>
    <row r="45" spans="2:10" ht="2.25" customHeight="1"/>
    <row r="46" spans="2:10" ht="30" customHeight="1">
      <c r="B46" s="1011" t="s">
        <v>555</v>
      </c>
      <c r="C46" s="1011"/>
      <c r="D46" s="1011"/>
      <c r="E46" s="1011"/>
      <c r="F46" s="1011"/>
      <c r="G46" s="1011"/>
      <c r="H46" s="1011"/>
      <c r="I46" s="1011"/>
      <c r="J46" s="1011"/>
    </row>
    <row r="47" spans="2:10" ht="4.5" customHeight="1"/>
    <row r="52" spans="2:2" ht="7.5" customHeight="1"/>
    <row r="53" spans="2:2">
      <c r="B53" s="199" t="s">
        <v>556</v>
      </c>
    </row>
    <row r="54" spans="2:2" ht="4.5" customHeight="1"/>
  </sheetData>
  <mergeCells count="2">
    <mergeCell ref="B2:J2"/>
    <mergeCell ref="B46:J46"/>
  </mergeCells>
  <pageMargins left="0.7" right="0.7" top="0.75" bottom="0.75" header="0.3" footer="0.3"/>
  <pageSetup orientation="portrait" horizontalDpi="0" verticalDpi="0" r:id="rId1"/>
  <drawing r:id="rId2"/>
  <legacyDrawing r:id="rId3"/>
  <mc:AlternateContent xmlns:mc="http://schemas.openxmlformats.org/markup-compatibility/2006">
    <mc:Choice Requires="x14">
      <controls>
        <mc:AlternateContent xmlns:mc="http://schemas.openxmlformats.org/markup-compatibility/2006">
          <mc:Choice Requires="x14">
            <control shapeId="43009" r:id="rId4" name="Check Box 1">
              <controlPr defaultSize="0" autoFill="0" autoLine="0" autoPict="0">
                <anchor moveWithCells="1">
                  <from>
                    <xdr:col>1</xdr:col>
                    <xdr:colOff>12700</xdr:colOff>
                    <xdr:row>4</xdr:row>
                    <xdr:rowOff>171450</xdr:rowOff>
                  </from>
                  <to>
                    <xdr:col>2</xdr:col>
                    <xdr:colOff>457200</xdr:colOff>
                    <xdr:row>6</xdr:row>
                    <xdr:rowOff>31750</xdr:rowOff>
                  </to>
                </anchor>
              </controlPr>
            </control>
          </mc:Choice>
        </mc:AlternateContent>
        <mc:AlternateContent xmlns:mc="http://schemas.openxmlformats.org/markup-compatibility/2006">
          <mc:Choice Requires="x14">
            <control shapeId="43010" r:id="rId5" name="Check Box 2">
              <controlPr defaultSize="0" autoFill="0" autoLine="0" autoPict="0">
                <anchor moveWithCells="1">
                  <from>
                    <xdr:col>3</xdr:col>
                    <xdr:colOff>114300</xdr:colOff>
                    <xdr:row>4</xdr:row>
                    <xdr:rowOff>184150</xdr:rowOff>
                  </from>
                  <to>
                    <xdr:col>4</xdr:col>
                    <xdr:colOff>488950</xdr:colOff>
                    <xdr:row>6</xdr:row>
                    <xdr:rowOff>31750</xdr:rowOff>
                  </to>
                </anchor>
              </controlPr>
            </control>
          </mc:Choice>
        </mc:AlternateContent>
        <mc:AlternateContent xmlns:mc="http://schemas.openxmlformats.org/markup-compatibility/2006">
          <mc:Choice Requires="x14">
            <control shapeId="43011" r:id="rId6" name="Check Box 3">
              <controlPr defaultSize="0" autoFill="0" autoLine="0" autoPict="0">
                <anchor moveWithCells="1">
                  <from>
                    <xdr:col>5</xdr:col>
                    <xdr:colOff>209550</xdr:colOff>
                    <xdr:row>5</xdr:row>
                    <xdr:rowOff>0</xdr:rowOff>
                  </from>
                  <to>
                    <xdr:col>7</xdr:col>
                    <xdr:colOff>412750</xdr:colOff>
                    <xdr:row>6</xdr:row>
                    <xdr:rowOff>12700</xdr:rowOff>
                  </to>
                </anchor>
              </controlPr>
            </control>
          </mc:Choice>
        </mc:AlternateContent>
        <mc:AlternateContent xmlns:mc="http://schemas.openxmlformats.org/markup-compatibility/2006">
          <mc:Choice Requires="x14">
            <control shapeId="43012" r:id="rId7" name="Check Box 4">
              <controlPr defaultSize="0" autoFill="0" autoLine="0" autoPict="0">
                <anchor moveWithCells="1">
                  <from>
                    <xdr:col>1</xdr:col>
                    <xdr:colOff>12700</xdr:colOff>
                    <xdr:row>8</xdr:row>
                    <xdr:rowOff>184150</xdr:rowOff>
                  </from>
                  <to>
                    <xdr:col>2</xdr:col>
                    <xdr:colOff>457200</xdr:colOff>
                    <xdr:row>10</xdr:row>
                    <xdr:rowOff>31750</xdr:rowOff>
                  </to>
                </anchor>
              </controlPr>
            </control>
          </mc:Choice>
        </mc:AlternateContent>
        <mc:AlternateContent xmlns:mc="http://schemas.openxmlformats.org/markup-compatibility/2006">
          <mc:Choice Requires="x14">
            <control shapeId="43013" r:id="rId8" name="Check Box 5">
              <controlPr defaultSize="0" autoFill="0" autoLine="0" autoPict="0">
                <anchor moveWithCells="1">
                  <from>
                    <xdr:col>2</xdr:col>
                    <xdr:colOff>508000</xdr:colOff>
                    <xdr:row>8</xdr:row>
                    <xdr:rowOff>184150</xdr:rowOff>
                  </from>
                  <to>
                    <xdr:col>4</xdr:col>
                    <xdr:colOff>266700</xdr:colOff>
                    <xdr:row>10</xdr:row>
                    <xdr:rowOff>31750</xdr:rowOff>
                  </to>
                </anchor>
              </controlPr>
            </control>
          </mc:Choice>
        </mc:AlternateContent>
        <mc:AlternateContent xmlns:mc="http://schemas.openxmlformats.org/markup-compatibility/2006">
          <mc:Choice Requires="x14">
            <control shapeId="43014" r:id="rId9" name="Check Box 6">
              <controlPr defaultSize="0" autoFill="0" autoLine="0" autoPict="0">
                <anchor moveWithCells="1">
                  <from>
                    <xdr:col>4</xdr:col>
                    <xdr:colOff>450850</xdr:colOff>
                    <xdr:row>8</xdr:row>
                    <xdr:rowOff>190500</xdr:rowOff>
                  </from>
                  <to>
                    <xdr:col>6</xdr:col>
                    <xdr:colOff>222250</xdr:colOff>
                    <xdr:row>10</xdr:row>
                    <xdr:rowOff>31750</xdr:rowOff>
                  </to>
                </anchor>
              </controlPr>
            </control>
          </mc:Choice>
        </mc:AlternateContent>
        <mc:AlternateContent xmlns:mc="http://schemas.openxmlformats.org/markup-compatibility/2006">
          <mc:Choice Requires="x14">
            <control shapeId="43015" r:id="rId10" name="Check Box 7">
              <controlPr defaultSize="0" autoFill="0" autoLine="0" autoPict="0">
                <anchor moveWithCells="1">
                  <from>
                    <xdr:col>6</xdr:col>
                    <xdr:colOff>279400</xdr:colOff>
                    <xdr:row>8</xdr:row>
                    <xdr:rowOff>190500</xdr:rowOff>
                  </from>
                  <to>
                    <xdr:col>8</xdr:col>
                    <xdr:colOff>50800</xdr:colOff>
                    <xdr:row>10</xdr:row>
                    <xdr:rowOff>31750</xdr:rowOff>
                  </to>
                </anchor>
              </controlPr>
            </control>
          </mc:Choice>
        </mc:AlternateContent>
        <mc:AlternateContent xmlns:mc="http://schemas.openxmlformats.org/markup-compatibility/2006">
          <mc:Choice Requires="x14">
            <control shapeId="43016" r:id="rId11" name="Check Box 8">
              <controlPr defaultSize="0" autoFill="0" autoLine="0" autoPict="0">
                <anchor moveWithCells="1">
                  <from>
                    <xdr:col>8</xdr:col>
                    <xdr:colOff>76200</xdr:colOff>
                    <xdr:row>8</xdr:row>
                    <xdr:rowOff>190500</xdr:rowOff>
                  </from>
                  <to>
                    <xdr:col>9</xdr:col>
                    <xdr:colOff>527050</xdr:colOff>
                    <xdr:row>10</xdr:row>
                    <xdr:rowOff>31750</xdr:rowOff>
                  </to>
                </anchor>
              </controlPr>
            </control>
          </mc:Choice>
        </mc:AlternateContent>
        <mc:AlternateContent xmlns:mc="http://schemas.openxmlformats.org/markup-compatibility/2006">
          <mc:Choice Requires="x14">
            <control shapeId="43017" r:id="rId12" name="Check Box 9">
              <controlPr defaultSize="0" autoFill="0" autoLine="0" autoPict="0">
                <anchor moveWithCells="1">
                  <from>
                    <xdr:col>1</xdr:col>
                    <xdr:colOff>0</xdr:colOff>
                    <xdr:row>12</xdr:row>
                    <xdr:rowOff>184150</xdr:rowOff>
                  </from>
                  <to>
                    <xdr:col>2</xdr:col>
                    <xdr:colOff>457200</xdr:colOff>
                    <xdr:row>14</xdr:row>
                    <xdr:rowOff>31750</xdr:rowOff>
                  </to>
                </anchor>
              </controlPr>
            </control>
          </mc:Choice>
        </mc:AlternateContent>
        <mc:AlternateContent xmlns:mc="http://schemas.openxmlformats.org/markup-compatibility/2006">
          <mc:Choice Requires="x14">
            <control shapeId="43018" r:id="rId13" name="Check Box 10">
              <controlPr defaultSize="0" autoFill="0" autoLine="0" autoPict="0">
                <anchor moveWithCells="1">
                  <from>
                    <xdr:col>2</xdr:col>
                    <xdr:colOff>495300</xdr:colOff>
                    <xdr:row>12</xdr:row>
                    <xdr:rowOff>184150</xdr:rowOff>
                  </from>
                  <to>
                    <xdr:col>4</xdr:col>
                    <xdr:colOff>260350</xdr:colOff>
                    <xdr:row>14</xdr:row>
                    <xdr:rowOff>31750</xdr:rowOff>
                  </to>
                </anchor>
              </controlPr>
            </control>
          </mc:Choice>
        </mc:AlternateContent>
        <mc:AlternateContent xmlns:mc="http://schemas.openxmlformats.org/markup-compatibility/2006">
          <mc:Choice Requires="x14">
            <control shapeId="43019" r:id="rId14" name="Check Box 11">
              <controlPr defaultSize="0" autoFill="0" autoLine="0" autoPict="0">
                <anchor moveWithCells="1">
                  <from>
                    <xdr:col>1</xdr:col>
                    <xdr:colOff>12700</xdr:colOff>
                    <xdr:row>16</xdr:row>
                    <xdr:rowOff>184150</xdr:rowOff>
                  </from>
                  <to>
                    <xdr:col>2</xdr:col>
                    <xdr:colOff>457200</xdr:colOff>
                    <xdr:row>18</xdr:row>
                    <xdr:rowOff>19050</xdr:rowOff>
                  </to>
                </anchor>
              </controlPr>
            </control>
          </mc:Choice>
        </mc:AlternateContent>
        <mc:AlternateContent xmlns:mc="http://schemas.openxmlformats.org/markup-compatibility/2006">
          <mc:Choice Requires="x14">
            <control shapeId="43020" r:id="rId15" name="Check Box 12">
              <controlPr defaultSize="0" autoFill="0" autoLine="0" autoPict="0">
                <anchor moveWithCells="1">
                  <from>
                    <xdr:col>2</xdr:col>
                    <xdr:colOff>508000</xdr:colOff>
                    <xdr:row>16</xdr:row>
                    <xdr:rowOff>184150</xdr:rowOff>
                  </from>
                  <to>
                    <xdr:col>4</xdr:col>
                    <xdr:colOff>266700</xdr:colOff>
                    <xdr:row>18</xdr:row>
                    <xdr:rowOff>19050</xdr:rowOff>
                  </to>
                </anchor>
              </controlPr>
            </control>
          </mc:Choice>
        </mc:AlternateContent>
        <mc:AlternateContent xmlns:mc="http://schemas.openxmlformats.org/markup-compatibility/2006">
          <mc:Choice Requires="x14">
            <control shapeId="43021" r:id="rId16" name="Check Box 13">
              <controlPr defaultSize="0" autoFill="0" autoLine="0" autoPict="0">
                <anchor moveWithCells="1">
                  <from>
                    <xdr:col>4</xdr:col>
                    <xdr:colOff>450850</xdr:colOff>
                    <xdr:row>17</xdr:row>
                    <xdr:rowOff>0</xdr:rowOff>
                  </from>
                  <to>
                    <xdr:col>6</xdr:col>
                    <xdr:colOff>222250</xdr:colOff>
                    <xdr:row>18</xdr:row>
                    <xdr:rowOff>31750</xdr:rowOff>
                  </to>
                </anchor>
              </controlPr>
            </control>
          </mc:Choice>
        </mc:AlternateContent>
        <mc:AlternateContent xmlns:mc="http://schemas.openxmlformats.org/markup-compatibility/2006">
          <mc:Choice Requires="x14">
            <control shapeId="43022" r:id="rId17" name="Check Box 14">
              <controlPr defaultSize="0" autoFill="0" autoLine="0" autoPict="0">
                <anchor moveWithCells="1">
                  <from>
                    <xdr:col>6</xdr:col>
                    <xdr:colOff>279400</xdr:colOff>
                    <xdr:row>17</xdr:row>
                    <xdr:rowOff>0</xdr:rowOff>
                  </from>
                  <to>
                    <xdr:col>8</xdr:col>
                    <xdr:colOff>50800</xdr:colOff>
                    <xdr:row>18</xdr:row>
                    <xdr:rowOff>31750</xdr:rowOff>
                  </to>
                </anchor>
              </controlPr>
            </control>
          </mc:Choice>
        </mc:AlternateContent>
        <mc:AlternateContent xmlns:mc="http://schemas.openxmlformats.org/markup-compatibility/2006">
          <mc:Choice Requires="x14">
            <control shapeId="43023" r:id="rId18" name="Check Box 15">
              <controlPr defaultSize="0" autoFill="0" autoLine="0" autoPict="0">
                <anchor moveWithCells="1">
                  <from>
                    <xdr:col>8</xdr:col>
                    <xdr:colOff>76200</xdr:colOff>
                    <xdr:row>17</xdr:row>
                    <xdr:rowOff>0</xdr:rowOff>
                  </from>
                  <to>
                    <xdr:col>9</xdr:col>
                    <xdr:colOff>527050</xdr:colOff>
                    <xdr:row>18</xdr:row>
                    <xdr:rowOff>31750</xdr:rowOff>
                  </to>
                </anchor>
              </controlPr>
            </control>
          </mc:Choice>
        </mc:AlternateContent>
        <mc:AlternateContent xmlns:mc="http://schemas.openxmlformats.org/markup-compatibility/2006">
          <mc:Choice Requires="x14">
            <control shapeId="43024" r:id="rId19" name="Check Box 16">
              <controlPr defaultSize="0" autoFill="0" autoLine="0" autoPict="0">
                <anchor moveWithCells="1">
                  <from>
                    <xdr:col>1</xdr:col>
                    <xdr:colOff>12700</xdr:colOff>
                    <xdr:row>20</xdr:row>
                    <xdr:rowOff>184150</xdr:rowOff>
                  </from>
                  <to>
                    <xdr:col>2</xdr:col>
                    <xdr:colOff>457200</xdr:colOff>
                    <xdr:row>22</xdr:row>
                    <xdr:rowOff>31750</xdr:rowOff>
                  </to>
                </anchor>
              </controlPr>
            </control>
          </mc:Choice>
        </mc:AlternateContent>
        <mc:AlternateContent xmlns:mc="http://schemas.openxmlformats.org/markup-compatibility/2006">
          <mc:Choice Requires="x14">
            <control shapeId="43025" r:id="rId20" name="Check Box 17">
              <controlPr defaultSize="0" autoFill="0" autoLine="0" autoPict="0">
                <anchor moveWithCells="1">
                  <from>
                    <xdr:col>2</xdr:col>
                    <xdr:colOff>508000</xdr:colOff>
                    <xdr:row>20</xdr:row>
                    <xdr:rowOff>184150</xdr:rowOff>
                  </from>
                  <to>
                    <xdr:col>4</xdr:col>
                    <xdr:colOff>266700</xdr:colOff>
                    <xdr:row>22</xdr:row>
                    <xdr:rowOff>31750</xdr:rowOff>
                  </to>
                </anchor>
              </controlPr>
            </control>
          </mc:Choice>
        </mc:AlternateContent>
        <mc:AlternateContent xmlns:mc="http://schemas.openxmlformats.org/markup-compatibility/2006">
          <mc:Choice Requires="x14">
            <control shapeId="43026" r:id="rId21" name="Check Box 18">
              <controlPr defaultSize="0" autoFill="0" autoLine="0" autoPict="0">
                <anchor moveWithCells="1">
                  <from>
                    <xdr:col>5</xdr:col>
                    <xdr:colOff>603250</xdr:colOff>
                    <xdr:row>20</xdr:row>
                    <xdr:rowOff>184150</xdr:rowOff>
                  </from>
                  <to>
                    <xdr:col>7</xdr:col>
                    <xdr:colOff>438150</xdr:colOff>
                    <xdr:row>22</xdr:row>
                    <xdr:rowOff>31750</xdr:rowOff>
                  </to>
                </anchor>
              </controlPr>
            </control>
          </mc:Choice>
        </mc:AlternateContent>
        <mc:AlternateContent xmlns:mc="http://schemas.openxmlformats.org/markup-compatibility/2006">
          <mc:Choice Requires="x14">
            <control shapeId="43027" r:id="rId22" name="Check Box 19">
              <controlPr defaultSize="0" autoFill="0" autoLine="0" autoPict="0">
                <anchor moveWithCells="1">
                  <from>
                    <xdr:col>1</xdr:col>
                    <xdr:colOff>12700</xdr:colOff>
                    <xdr:row>30</xdr:row>
                    <xdr:rowOff>184150</xdr:rowOff>
                  </from>
                  <to>
                    <xdr:col>2</xdr:col>
                    <xdr:colOff>457200</xdr:colOff>
                    <xdr:row>32</xdr:row>
                    <xdr:rowOff>31750</xdr:rowOff>
                  </to>
                </anchor>
              </controlPr>
            </control>
          </mc:Choice>
        </mc:AlternateContent>
        <mc:AlternateContent xmlns:mc="http://schemas.openxmlformats.org/markup-compatibility/2006">
          <mc:Choice Requires="x14">
            <control shapeId="43028" r:id="rId23" name="Check Box 20">
              <controlPr defaultSize="0" autoFill="0" autoLine="0" autoPict="0">
                <anchor moveWithCells="1">
                  <from>
                    <xdr:col>1</xdr:col>
                    <xdr:colOff>12700</xdr:colOff>
                    <xdr:row>31</xdr:row>
                    <xdr:rowOff>184150</xdr:rowOff>
                  </from>
                  <to>
                    <xdr:col>5</xdr:col>
                    <xdr:colOff>495300</xdr:colOff>
                    <xdr:row>33</xdr:row>
                    <xdr:rowOff>0</xdr:rowOff>
                  </to>
                </anchor>
              </controlPr>
            </control>
          </mc:Choice>
        </mc:AlternateContent>
        <mc:AlternateContent xmlns:mc="http://schemas.openxmlformats.org/markup-compatibility/2006">
          <mc:Choice Requires="x14">
            <control shapeId="43029" r:id="rId24" name="Check Box 21">
              <controlPr defaultSize="0" autoFill="0" autoLine="0" autoPict="0">
                <anchor moveWithCells="1">
                  <from>
                    <xdr:col>1</xdr:col>
                    <xdr:colOff>12700</xdr:colOff>
                    <xdr:row>32</xdr:row>
                    <xdr:rowOff>171450</xdr:rowOff>
                  </from>
                  <to>
                    <xdr:col>4</xdr:col>
                    <xdr:colOff>304800</xdr:colOff>
                    <xdr:row>34</xdr:row>
                    <xdr:rowOff>12700</xdr:rowOff>
                  </to>
                </anchor>
              </controlPr>
            </control>
          </mc:Choice>
        </mc:AlternateContent>
        <mc:AlternateContent xmlns:mc="http://schemas.openxmlformats.org/markup-compatibility/2006">
          <mc:Choice Requires="x14">
            <control shapeId="43030" r:id="rId25" name="Check Box 22">
              <controlPr defaultSize="0" autoFill="0" autoLine="0" autoPict="0">
                <anchor moveWithCells="1">
                  <from>
                    <xdr:col>1</xdr:col>
                    <xdr:colOff>12700</xdr:colOff>
                    <xdr:row>33</xdr:row>
                    <xdr:rowOff>171450</xdr:rowOff>
                  </from>
                  <to>
                    <xdr:col>3</xdr:col>
                    <xdr:colOff>381000</xdr:colOff>
                    <xdr:row>35</xdr:row>
                    <xdr:rowOff>12700</xdr:rowOff>
                  </to>
                </anchor>
              </controlPr>
            </control>
          </mc:Choice>
        </mc:AlternateContent>
        <mc:AlternateContent xmlns:mc="http://schemas.openxmlformats.org/markup-compatibility/2006">
          <mc:Choice Requires="x14">
            <control shapeId="43031" r:id="rId26" name="Check Box 23">
              <controlPr defaultSize="0" autoFill="0" autoLine="0" autoPict="0">
                <anchor moveWithCells="1">
                  <from>
                    <xdr:col>1</xdr:col>
                    <xdr:colOff>12700</xdr:colOff>
                    <xdr:row>34</xdr:row>
                    <xdr:rowOff>171450</xdr:rowOff>
                  </from>
                  <to>
                    <xdr:col>5</xdr:col>
                    <xdr:colOff>190500</xdr:colOff>
                    <xdr:row>35</xdr:row>
                    <xdr:rowOff>171450</xdr:rowOff>
                  </to>
                </anchor>
              </controlPr>
            </control>
          </mc:Choice>
        </mc:AlternateContent>
        <mc:AlternateContent xmlns:mc="http://schemas.openxmlformats.org/markup-compatibility/2006">
          <mc:Choice Requires="x14">
            <control shapeId="43032" r:id="rId27" name="Check Box 24">
              <controlPr defaultSize="0" autoFill="0" autoLine="0" autoPict="0">
                <anchor moveWithCells="1">
                  <from>
                    <xdr:col>1</xdr:col>
                    <xdr:colOff>12700</xdr:colOff>
                    <xdr:row>38</xdr:row>
                    <xdr:rowOff>184150</xdr:rowOff>
                  </from>
                  <to>
                    <xdr:col>2</xdr:col>
                    <xdr:colOff>457200</xdr:colOff>
                    <xdr:row>40</xdr:row>
                    <xdr:rowOff>31750</xdr:rowOff>
                  </to>
                </anchor>
              </controlPr>
            </control>
          </mc:Choice>
        </mc:AlternateContent>
        <mc:AlternateContent xmlns:mc="http://schemas.openxmlformats.org/markup-compatibility/2006">
          <mc:Choice Requires="x14">
            <control shapeId="43033" r:id="rId28" name="Check Box 25">
              <controlPr defaultSize="0" autoFill="0" autoLine="0" autoPict="0">
                <anchor moveWithCells="1">
                  <from>
                    <xdr:col>1</xdr:col>
                    <xdr:colOff>12700</xdr:colOff>
                    <xdr:row>39</xdr:row>
                    <xdr:rowOff>184150</xdr:rowOff>
                  </from>
                  <to>
                    <xdr:col>3</xdr:col>
                    <xdr:colOff>165100</xdr:colOff>
                    <xdr:row>41</xdr:row>
                    <xdr:rowOff>19050</xdr:rowOff>
                  </to>
                </anchor>
              </controlPr>
            </control>
          </mc:Choice>
        </mc:AlternateContent>
        <mc:AlternateContent xmlns:mc="http://schemas.openxmlformats.org/markup-compatibility/2006">
          <mc:Choice Requires="x14">
            <control shapeId="43034" r:id="rId29" name="Check Box 26">
              <controlPr defaultSize="0" autoFill="0" autoLine="0" autoPict="0">
                <anchor moveWithCells="1">
                  <from>
                    <xdr:col>1</xdr:col>
                    <xdr:colOff>12700</xdr:colOff>
                    <xdr:row>40</xdr:row>
                    <xdr:rowOff>171450</xdr:rowOff>
                  </from>
                  <to>
                    <xdr:col>4</xdr:col>
                    <xdr:colOff>304800</xdr:colOff>
                    <xdr:row>42</xdr:row>
                    <xdr:rowOff>12700</xdr:rowOff>
                  </to>
                </anchor>
              </controlPr>
            </control>
          </mc:Choice>
        </mc:AlternateContent>
        <mc:AlternateContent xmlns:mc="http://schemas.openxmlformats.org/markup-compatibility/2006">
          <mc:Choice Requires="x14">
            <control shapeId="43035" r:id="rId30" name="Check Box 27">
              <controlPr defaultSize="0" autoFill="0" autoLine="0" autoPict="0">
                <anchor moveWithCells="1">
                  <from>
                    <xdr:col>1</xdr:col>
                    <xdr:colOff>12700</xdr:colOff>
                    <xdr:row>41</xdr:row>
                    <xdr:rowOff>171450</xdr:rowOff>
                  </from>
                  <to>
                    <xdr:col>3</xdr:col>
                    <xdr:colOff>381000</xdr:colOff>
                    <xdr:row>43</xdr:row>
                    <xdr:rowOff>12700</xdr:rowOff>
                  </to>
                </anchor>
              </controlPr>
            </control>
          </mc:Choice>
        </mc:AlternateContent>
        <mc:AlternateContent xmlns:mc="http://schemas.openxmlformats.org/markup-compatibility/2006">
          <mc:Choice Requires="x14">
            <control shapeId="43036" r:id="rId31" name="Check Box 28">
              <controlPr defaultSize="0" autoFill="0" autoLine="0" autoPict="0">
                <anchor moveWithCells="1">
                  <from>
                    <xdr:col>1</xdr:col>
                    <xdr:colOff>12700</xdr:colOff>
                    <xdr:row>42</xdr:row>
                    <xdr:rowOff>171450</xdr:rowOff>
                  </from>
                  <to>
                    <xdr:col>4</xdr:col>
                    <xdr:colOff>50800</xdr:colOff>
                    <xdr:row>43</xdr:row>
                    <xdr:rowOff>171450</xdr:rowOff>
                  </to>
                </anchor>
              </controlPr>
            </control>
          </mc:Choice>
        </mc:AlternateContent>
        <mc:AlternateContent xmlns:mc="http://schemas.openxmlformats.org/markup-compatibility/2006">
          <mc:Choice Requires="x14">
            <control shapeId="43037" r:id="rId32" name="Check Box 29">
              <controlPr defaultSize="0" autoFill="0" autoLine="0" autoPict="0">
                <anchor moveWithCells="1">
                  <from>
                    <xdr:col>1</xdr:col>
                    <xdr:colOff>12700</xdr:colOff>
                    <xdr:row>46</xdr:row>
                    <xdr:rowOff>184150</xdr:rowOff>
                  </from>
                  <to>
                    <xdr:col>2</xdr:col>
                    <xdr:colOff>457200</xdr:colOff>
                    <xdr:row>48</xdr:row>
                    <xdr:rowOff>31750</xdr:rowOff>
                  </to>
                </anchor>
              </controlPr>
            </control>
          </mc:Choice>
        </mc:AlternateContent>
        <mc:AlternateContent xmlns:mc="http://schemas.openxmlformats.org/markup-compatibility/2006">
          <mc:Choice Requires="x14">
            <control shapeId="43038" r:id="rId33" name="Check Box 30">
              <controlPr defaultSize="0" autoFill="0" autoLine="0" autoPict="0">
                <anchor moveWithCells="1">
                  <from>
                    <xdr:col>1</xdr:col>
                    <xdr:colOff>12700</xdr:colOff>
                    <xdr:row>47</xdr:row>
                    <xdr:rowOff>184150</xdr:rowOff>
                  </from>
                  <to>
                    <xdr:col>3</xdr:col>
                    <xdr:colOff>165100</xdr:colOff>
                    <xdr:row>49</xdr:row>
                    <xdr:rowOff>19050</xdr:rowOff>
                  </to>
                </anchor>
              </controlPr>
            </control>
          </mc:Choice>
        </mc:AlternateContent>
        <mc:AlternateContent xmlns:mc="http://schemas.openxmlformats.org/markup-compatibility/2006">
          <mc:Choice Requires="x14">
            <control shapeId="43039" r:id="rId34" name="Check Box 31">
              <controlPr defaultSize="0" autoFill="0" autoLine="0" autoPict="0">
                <anchor moveWithCells="1">
                  <from>
                    <xdr:col>1</xdr:col>
                    <xdr:colOff>12700</xdr:colOff>
                    <xdr:row>48</xdr:row>
                    <xdr:rowOff>171450</xdr:rowOff>
                  </from>
                  <to>
                    <xdr:col>4</xdr:col>
                    <xdr:colOff>304800</xdr:colOff>
                    <xdr:row>50</xdr:row>
                    <xdr:rowOff>12700</xdr:rowOff>
                  </to>
                </anchor>
              </controlPr>
            </control>
          </mc:Choice>
        </mc:AlternateContent>
        <mc:AlternateContent xmlns:mc="http://schemas.openxmlformats.org/markup-compatibility/2006">
          <mc:Choice Requires="x14">
            <control shapeId="43040" r:id="rId35" name="Check Box 32">
              <controlPr defaultSize="0" autoFill="0" autoLine="0" autoPict="0">
                <anchor moveWithCells="1">
                  <from>
                    <xdr:col>1</xdr:col>
                    <xdr:colOff>12700</xdr:colOff>
                    <xdr:row>49</xdr:row>
                    <xdr:rowOff>171450</xdr:rowOff>
                  </from>
                  <to>
                    <xdr:col>3</xdr:col>
                    <xdr:colOff>381000</xdr:colOff>
                    <xdr:row>51</xdr:row>
                    <xdr:rowOff>12700</xdr:rowOff>
                  </to>
                </anchor>
              </controlPr>
            </control>
          </mc:Choice>
        </mc:AlternateContent>
        <mc:AlternateContent xmlns:mc="http://schemas.openxmlformats.org/markup-compatibility/2006">
          <mc:Choice Requires="x14">
            <control shapeId="43041" r:id="rId36" name="Check Box 33">
              <controlPr defaultSize="0" autoFill="0" autoLine="0" autoPict="0">
                <anchor moveWithCells="1">
                  <from>
                    <xdr:col>1</xdr:col>
                    <xdr:colOff>12700</xdr:colOff>
                    <xdr:row>54</xdr:row>
                    <xdr:rowOff>0</xdr:rowOff>
                  </from>
                  <to>
                    <xdr:col>3</xdr:col>
                    <xdr:colOff>419100</xdr:colOff>
                    <xdr:row>55</xdr:row>
                    <xdr:rowOff>31750</xdr:rowOff>
                  </to>
                </anchor>
              </controlPr>
            </control>
          </mc:Choice>
        </mc:AlternateContent>
        <mc:AlternateContent xmlns:mc="http://schemas.openxmlformats.org/markup-compatibility/2006">
          <mc:Choice Requires="x14">
            <control shapeId="43042" r:id="rId37" name="Check Box 34">
              <controlPr defaultSize="0" autoFill="0" autoLine="0" autoPict="0">
                <anchor moveWithCells="1">
                  <from>
                    <xdr:col>1</xdr:col>
                    <xdr:colOff>12700</xdr:colOff>
                    <xdr:row>54</xdr:row>
                    <xdr:rowOff>184150</xdr:rowOff>
                  </from>
                  <to>
                    <xdr:col>4</xdr:col>
                    <xdr:colOff>317500</xdr:colOff>
                    <xdr:row>56</xdr:row>
                    <xdr:rowOff>19050</xdr:rowOff>
                  </to>
                </anchor>
              </controlPr>
            </control>
          </mc:Choice>
        </mc:AlternateContent>
        <mc:AlternateContent xmlns:mc="http://schemas.openxmlformats.org/markup-compatibility/2006">
          <mc:Choice Requires="x14">
            <control shapeId="43043" r:id="rId38" name="Check Box 35">
              <controlPr defaultSize="0" autoFill="0" autoLine="0" autoPict="0">
                <anchor moveWithCells="1">
                  <from>
                    <xdr:col>1</xdr:col>
                    <xdr:colOff>12700</xdr:colOff>
                    <xdr:row>55</xdr:row>
                    <xdr:rowOff>171450</xdr:rowOff>
                  </from>
                  <to>
                    <xdr:col>7</xdr:col>
                    <xdr:colOff>88900</xdr:colOff>
                    <xdr:row>57</xdr:row>
                    <xdr:rowOff>12700</xdr:rowOff>
                  </to>
                </anchor>
              </controlPr>
            </control>
          </mc:Choice>
        </mc:AlternateContent>
        <mc:AlternateContent xmlns:mc="http://schemas.openxmlformats.org/markup-compatibility/2006">
          <mc:Choice Requires="x14">
            <control shapeId="43044" r:id="rId39" name="Check Box 36">
              <controlPr defaultSize="0" autoFill="0" autoLine="0" autoPict="0">
                <anchor moveWithCells="1">
                  <from>
                    <xdr:col>1</xdr:col>
                    <xdr:colOff>12700</xdr:colOff>
                    <xdr:row>24</xdr:row>
                    <xdr:rowOff>184150</xdr:rowOff>
                  </from>
                  <to>
                    <xdr:col>2</xdr:col>
                    <xdr:colOff>457200</xdr:colOff>
                    <xdr:row>26</xdr:row>
                    <xdr:rowOff>31750</xdr:rowOff>
                  </to>
                </anchor>
              </controlPr>
            </control>
          </mc:Choice>
        </mc:AlternateContent>
        <mc:AlternateContent xmlns:mc="http://schemas.openxmlformats.org/markup-compatibility/2006">
          <mc:Choice Requires="x14">
            <control shapeId="43045" r:id="rId40" name="Check Box 37">
              <controlPr defaultSize="0" autoFill="0" autoLine="0" autoPict="0">
                <anchor moveWithCells="1">
                  <from>
                    <xdr:col>1</xdr:col>
                    <xdr:colOff>12700</xdr:colOff>
                    <xdr:row>25</xdr:row>
                    <xdr:rowOff>184150</xdr:rowOff>
                  </from>
                  <to>
                    <xdr:col>3</xdr:col>
                    <xdr:colOff>165100</xdr:colOff>
                    <xdr:row>27</xdr:row>
                    <xdr:rowOff>19050</xdr:rowOff>
                  </to>
                </anchor>
              </controlPr>
            </control>
          </mc:Choice>
        </mc:AlternateContent>
        <mc:AlternateContent xmlns:mc="http://schemas.openxmlformats.org/markup-compatibility/2006">
          <mc:Choice Requires="x14">
            <control shapeId="43046" r:id="rId41" name="Check Box 38">
              <controlPr defaultSize="0" autoFill="0" autoLine="0" autoPict="0">
                <anchor moveWithCells="1">
                  <from>
                    <xdr:col>1</xdr:col>
                    <xdr:colOff>12700</xdr:colOff>
                    <xdr:row>26</xdr:row>
                    <xdr:rowOff>171450</xdr:rowOff>
                  </from>
                  <to>
                    <xdr:col>4</xdr:col>
                    <xdr:colOff>304800</xdr:colOff>
                    <xdr:row>28</xdr:row>
                    <xdr:rowOff>12700</xdr:rowOff>
                  </to>
                </anchor>
              </controlPr>
            </control>
          </mc:Choice>
        </mc:AlternateContent>
      </controls>
    </mc:Choice>
  </mc:AlternateConten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128A7C-952E-4B30-88CF-B7D7FCE48CC8}">
  <dimension ref="B1:Y243"/>
  <sheetViews>
    <sheetView showGridLines="0" zoomScaleNormal="100" workbookViewId="0">
      <pane ySplit="3" topLeftCell="A220" activePane="bottomLeft" state="frozen"/>
      <selection pane="bottomLeft" activeCell="I112" sqref="I112:I243"/>
    </sheetView>
  </sheetViews>
  <sheetFormatPr defaultColWidth="7.796875" defaultRowHeight="9.75" customHeight="1"/>
  <cols>
    <col min="1" max="1" width="2.19921875" style="277" customWidth="1"/>
    <col min="2" max="2" width="5.796875" style="270" customWidth="1"/>
    <col min="3" max="3" width="6.796875" style="270" customWidth="1"/>
    <col min="4" max="4" width="9.19921875" style="270" customWidth="1"/>
    <col min="5" max="5" width="14.296875" style="271" customWidth="1"/>
    <col min="6" max="6" width="11.5" style="299" customWidth="1"/>
    <col min="7" max="7" width="13.796875" style="272" customWidth="1"/>
    <col min="8" max="8" width="14.796875" style="271" customWidth="1"/>
    <col min="9" max="9" width="17.296875" style="273" customWidth="1"/>
    <col min="10" max="10" width="15.796875" style="300" customWidth="1"/>
    <col min="11" max="11" width="2.19921875" style="318" hidden="1" customWidth="1"/>
    <col min="12" max="12" width="2.69921875" style="318" hidden="1" customWidth="1"/>
    <col min="13" max="13" width="8.19921875" style="319" hidden="1" customWidth="1"/>
    <col min="14" max="15" width="0" style="298" hidden="1" customWidth="1"/>
    <col min="16" max="23" width="8.19921875" style="277" hidden="1" customWidth="1"/>
    <col min="24" max="16384" width="7.796875" style="277"/>
  </cols>
  <sheetData>
    <row r="1" spans="2:25" ht="9.75" customHeight="1">
      <c r="F1" s="271"/>
      <c r="J1" s="274" t="s">
        <v>681</v>
      </c>
      <c r="N1" s="275" t="s">
        <v>682</v>
      </c>
      <c r="O1" s="275" t="s">
        <v>683</v>
      </c>
      <c r="P1" s="276">
        <v>1</v>
      </c>
      <c r="Q1" s="276">
        <v>2</v>
      </c>
      <c r="R1" s="314">
        <v>3</v>
      </c>
      <c r="S1" s="314">
        <v>4</v>
      </c>
      <c r="T1" s="314">
        <v>5</v>
      </c>
      <c r="U1" s="322" t="s">
        <v>682</v>
      </c>
      <c r="V1" s="322" t="s">
        <v>702</v>
      </c>
      <c r="W1" s="314" t="s">
        <v>703</v>
      </c>
    </row>
    <row r="2" spans="2:25" ht="12" customHeight="1">
      <c r="B2" s="956" t="s">
        <v>818</v>
      </c>
      <c r="C2" s="956"/>
      <c r="D2" s="956"/>
      <c r="E2" s="956"/>
      <c r="F2" s="956"/>
      <c r="G2" s="956"/>
      <c r="H2" s="956"/>
      <c r="I2" s="956"/>
      <c r="J2" s="274"/>
      <c r="N2" s="278">
        <v>0.02</v>
      </c>
      <c r="O2" s="279">
        <v>0.01</v>
      </c>
      <c r="P2" s="315">
        <v>3.5000000000000003E-2</v>
      </c>
      <c r="Q2" s="315">
        <v>0.03</v>
      </c>
      <c r="R2" s="315">
        <v>0.03</v>
      </c>
      <c r="S2" s="315">
        <v>0.02</v>
      </c>
      <c r="T2" s="315">
        <v>0.02</v>
      </c>
      <c r="U2" s="315">
        <v>1.4999999999999999E-2</v>
      </c>
      <c r="V2" s="315">
        <v>0.01</v>
      </c>
      <c r="W2" s="323">
        <v>5.0000000000000001E-3</v>
      </c>
    </row>
    <row r="3" spans="2:25" s="286" customFormat="1" ht="39" customHeight="1">
      <c r="B3" s="280" t="s">
        <v>670</v>
      </c>
      <c r="C3" s="280" t="s">
        <v>1</v>
      </c>
      <c r="D3" s="280" t="s">
        <v>671</v>
      </c>
      <c r="E3" s="281" t="s">
        <v>678</v>
      </c>
      <c r="F3" s="281" t="s">
        <v>684</v>
      </c>
      <c r="G3" s="282" t="s">
        <v>685</v>
      </c>
      <c r="H3" s="281" t="s">
        <v>686</v>
      </c>
      <c r="I3" s="283" t="s">
        <v>804</v>
      </c>
      <c r="J3" s="284" t="s">
        <v>688</v>
      </c>
      <c r="K3" s="320"/>
      <c r="L3" s="320"/>
      <c r="M3" s="321"/>
      <c r="N3" s="285">
        <f t="shared" ref="N3:W3" si="0">(1+N2)^(1/12)-1</f>
        <v>1.6515813019202241E-3</v>
      </c>
      <c r="O3" s="285">
        <f t="shared" si="0"/>
        <v>8.295381143461622E-4</v>
      </c>
      <c r="P3" s="316">
        <f t="shared" si="0"/>
        <v>2.8708987190766422E-3</v>
      </c>
      <c r="Q3" s="316">
        <f t="shared" si="0"/>
        <v>2.4662697723036864E-3</v>
      </c>
      <c r="R3" s="316">
        <f t="shared" si="0"/>
        <v>2.4662697723036864E-3</v>
      </c>
      <c r="S3" s="316">
        <f t="shared" si="0"/>
        <v>1.6515813019202241E-3</v>
      </c>
      <c r="T3" s="316">
        <f t="shared" si="0"/>
        <v>1.6515813019202241E-3</v>
      </c>
      <c r="U3" s="316">
        <f t="shared" si="0"/>
        <v>1.2414877164492744E-3</v>
      </c>
      <c r="V3" s="316">
        <f t="shared" si="0"/>
        <v>8.295381143461622E-4</v>
      </c>
      <c r="W3" s="316">
        <f t="shared" si="0"/>
        <v>4.1571484472902043E-4</v>
      </c>
      <c r="X3" s="286" t="s">
        <v>673</v>
      </c>
      <c r="Y3" s="286" t="s">
        <v>812</v>
      </c>
    </row>
    <row r="4" spans="2:25" ht="9.75" customHeight="1">
      <c r="B4" s="954">
        <v>1</v>
      </c>
      <c r="C4" s="952">
        <f ca="1">'Tinh phi QL'!I8</f>
        <v>30</v>
      </c>
      <c r="D4" s="287">
        <f ca="1">'Hoach dinh tai chinh'!J3</f>
        <v>46229</v>
      </c>
      <c r="E4" s="288">
        <f>'Tinh phi QL'!E12/1000</f>
        <v>0</v>
      </c>
      <c r="F4" s="289">
        <f ca="1">IF(YEAR(D4)=2025,40000,IF(YEAR(D4)=2026,40000,IF(YEAR(D4)=2027,40000,IF(YEAR(D4)=2028,40000,IF(YEAR(D4)=2029,40000,IF(YEAR(D4)=2030,50000,IF(YEAR(D4)=2031,50000,IF(YEAR(D4)=2032,50000,IF(YEAR(D4)=2033,50000,IF(YEAR(D4)=2034,50000,IF(YEAR(D4)&gt;=2035,60000,0)))))))))))/1000</f>
        <v>40</v>
      </c>
      <c r="G4" s="290">
        <f ca="1">KTVCOI!P3</f>
        <v>0</v>
      </c>
      <c r="H4" s="290">
        <f ca="1">(KTVTRDGTTKcamket!F7-KTVTRD20namcamket!F4-G4)*(1+KTVTRD20namcamket!P3)</f>
        <v>-40.114835948763066</v>
      </c>
      <c r="I4" s="291"/>
      <c r="J4" s="292">
        <f ca="1">H4</f>
        <v>-40.114835948763066</v>
      </c>
      <c r="K4" s="949">
        <f ca="1">J15</f>
        <v>-489.3296841329107</v>
      </c>
      <c r="L4" s="949"/>
      <c r="M4" s="949"/>
      <c r="N4" s="950">
        <f ca="1">SUM(G4:G15)</f>
        <v>0.2740849208134159</v>
      </c>
      <c r="O4" s="950"/>
      <c r="X4" s="945">
        <f ca="1">SUM(F4:F15)</f>
        <v>480</v>
      </c>
      <c r="Y4" s="945">
        <f ca="1">SUM(G4:G15)</f>
        <v>0.2740849208134159</v>
      </c>
    </row>
    <row r="5" spans="2:25" ht="9.75" customHeight="1">
      <c r="B5" s="954"/>
      <c r="C5" s="952"/>
      <c r="D5" s="287">
        <f t="shared" ref="D5:D68" ca="1" si="1">EDATE(D4,1)</f>
        <v>46260</v>
      </c>
      <c r="E5" s="288">
        <f>E4</f>
        <v>0</v>
      </c>
      <c r="F5" s="289">
        <f t="shared" ref="F5:F68" ca="1" si="2">IF(YEAR(D5)=2025,40000,IF(YEAR(D5)=2026,40000,IF(YEAR(D5)=2027,40000,IF(YEAR(D5)=2028,40000,IF(YEAR(D5)=2029,40000,IF(YEAR(D5)=2030,50000,IF(YEAR(D5)=2031,50000,IF(YEAR(D5)=2032,50000,IF(YEAR(D5)=2033,50000,IF(YEAR(D5)=2034,50000,IF(YEAR(D5)&gt;=2035,60000,0)))))))))))/1000</f>
        <v>40</v>
      </c>
      <c r="G5" s="290">
        <f ca="1">KTVCOI!P4</f>
        <v>4.1117706847482146E-3</v>
      </c>
      <c r="H5" s="290">
        <f t="shared" ref="H5:H15" ca="1" si="3">(H4-F5-G5)*(1+$P$3)</f>
        <v>-80.348961103829353</v>
      </c>
      <c r="I5" s="291"/>
      <c r="J5" s="292">
        <f t="shared" ref="J5:J68" ca="1" si="4">H5</f>
        <v>-80.348961103829353</v>
      </c>
      <c r="K5" s="949"/>
      <c r="L5" s="949"/>
      <c r="M5" s="949"/>
      <c r="N5" s="950"/>
      <c r="O5" s="950"/>
      <c r="X5" s="1004"/>
      <c r="Y5" s="1004"/>
    </row>
    <row r="6" spans="2:25" ht="9.75" customHeight="1">
      <c r="B6" s="954"/>
      <c r="C6" s="952"/>
      <c r="D6" s="287">
        <f t="shared" ca="1" si="1"/>
        <v>46291</v>
      </c>
      <c r="E6" s="288">
        <f t="shared" ref="E6:E69" si="5">E5</f>
        <v>0</v>
      </c>
      <c r="F6" s="289">
        <f t="shared" ca="1" si="2"/>
        <v>40</v>
      </c>
      <c r="G6" s="290">
        <f ca="1">KTVCOI!P5</f>
        <v>8.2357685131425086E-3</v>
      </c>
      <c r="H6" s="290">
        <f t="shared" ca="1" si="3"/>
        <v>-120.70273019467496</v>
      </c>
      <c r="I6" s="291"/>
      <c r="J6" s="292">
        <f t="shared" ca="1" si="4"/>
        <v>-120.70273019467496</v>
      </c>
      <c r="K6" s="949"/>
      <c r="L6" s="949"/>
      <c r="M6" s="949"/>
      <c r="N6" s="950"/>
      <c r="O6" s="950"/>
      <c r="X6" s="1004"/>
      <c r="Y6" s="1004"/>
    </row>
    <row r="7" spans="2:25" ht="9.75" customHeight="1">
      <c r="B7" s="954"/>
      <c r="C7" s="952"/>
      <c r="D7" s="287">
        <f t="shared" ca="1" si="1"/>
        <v>46321</v>
      </c>
      <c r="E7" s="288">
        <f t="shared" si="5"/>
        <v>0</v>
      </c>
      <c r="F7" s="289">
        <f t="shared" ca="1" si="2"/>
        <v>40</v>
      </c>
      <c r="G7" s="290">
        <f ca="1">KTVCOI!P6</f>
        <v>1.2372029844954183E-2</v>
      </c>
      <c r="H7" s="290">
        <f t="shared" ca="1" si="3"/>
        <v>-161.17649900563256</v>
      </c>
      <c r="I7" s="291"/>
      <c r="J7" s="292">
        <f t="shared" ca="1" si="4"/>
        <v>-161.17649900563256</v>
      </c>
      <c r="K7" s="949"/>
      <c r="L7" s="949"/>
      <c r="M7" s="949"/>
      <c r="N7" s="950"/>
      <c r="O7" s="950"/>
      <c r="X7" s="1004"/>
      <c r="Y7" s="1004"/>
    </row>
    <row r="8" spans="2:25" ht="9.75" customHeight="1">
      <c r="B8" s="954"/>
      <c r="C8" s="952"/>
      <c r="D8" s="287">
        <f t="shared" ca="1" si="1"/>
        <v>46352</v>
      </c>
      <c r="E8" s="288">
        <f t="shared" si="5"/>
        <v>0</v>
      </c>
      <c r="F8" s="289">
        <f t="shared" ca="1" si="2"/>
        <v>40</v>
      </c>
      <c r="G8" s="290">
        <f ca="1">KTVCOI!P7</f>
        <v>1.6520591148077336E-2</v>
      </c>
      <c r="H8" s="290">
        <f t="shared" ca="1" si="3"/>
        <v>-201.77062437902819</v>
      </c>
      <c r="I8" s="291"/>
      <c r="J8" s="292">
        <f t="shared" ca="1" si="4"/>
        <v>-201.77062437902819</v>
      </c>
      <c r="K8" s="949"/>
      <c r="L8" s="949"/>
      <c r="M8" s="949"/>
      <c r="N8" s="950"/>
      <c r="O8" s="950"/>
      <c r="X8" s="1004"/>
      <c r="Y8" s="1004"/>
    </row>
    <row r="9" spans="2:25" ht="9.75" customHeight="1">
      <c r="B9" s="954"/>
      <c r="C9" s="952"/>
      <c r="D9" s="287">
        <f t="shared" ca="1" si="1"/>
        <v>46382</v>
      </c>
      <c r="E9" s="288">
        <f t="shared" si="5"/>
        <v>0</v>
      </c>
      <c r="F9" s="289">
        <f t="shared" ca="1" si="2"/>
        <v>40</v>
      </c>
      <c r="G9" s="290">
        <f ca="1">KTVCOI!P8</f>
        <v>2.0681488998850389E-2</v>
      </c>
      <c r="H9" s="290">
        <f t="shared" ca="1" si="3"/>
        <v>-242.48546421832745</v>
      </c>
      <c r="I9" s="291"/>
      <c r="J9" s="292">
        <f t="shared" ca="1" si="4"/>
        <v>-242.48546421832745</v>
      </c>
      <c r="K9" s="949"/>
      <c r="L9" s="949"/>
      <c r="M9" s="949"/>
      <c r="N9" s="950"/>
      <c r="O9" s="950"/>
      <c r="X9" s="1004"/>
      <c r="Y9" s="1004"/>
    </row>
    <row r="10" spans="2:25" ht="9.75" customHeight="1">
      <c r="B10" s="954"/>
      <c r="C10" s="952"/>
      <c r="D10" s="287">
        <f t="shared" ca="1" si="1"/>
        <v>46413</v>
      </c>
      <c r="E10" s="288">
        <f t="shared" si="5"/>
        <v>0</v>
      </c>
      <c r="F10" s="289">
        <f t="shared" ca="1" si="2"/>
        <v>40</v>
      </c>
      <c r="G10" s="290">
        <f ca="1">KTVCOI!P9</f>
        <v>2.4854760082378562E-2</v>
      </c>
      <c r="H10" s="290">
        <f t="shared" ca="1" si="3"/>
        <v>-283.32137749129095</v>
      </c>
      <c r="I10" s="291"/>
      <c r="J10" s="292">
        <f t="shared" ca="1" si="4"/>
        <v>-283.32137749129095</v>
      </c>
      <c r="K10" s="949"/>
      <c r="L10" s="949"/>
      <c r="M10" s="949"/>
      <c r="N10" s="950"/>
      <c r="O10" s="950"/>
      <c r="X10" s="1004"/>
      <c r="Y10" s="1004"/>
    </row>
    <row r="11" spans="2:25" ht="9.75" customHeight="1">
      <c r="B11" s="954"/>
      <c r="C11" s="952"/>
      <c r="D11" s="287">
        <f t="shared" ca="1" si="1"/>
        <v>46444</v>
      </c>
      <c r="E11" s="288">
        <f t="shared" si="5"/>
        <v>0</v>
      </c>
      <c r="F11" s="289">
        <f t="shared" ca="1" si="2"/>
        <v>40</v>
      </c>
      <c r="G11" s="290">
        <f ca="1">KTVCOI!P10</f>
        <v>2.9040441192857317E-2</v>
      </c>
      <c r="H11" s="290">
        <f t="shared" ca="1" si="3"/>
        <v>-324.27872423313909</v>
      </c>
      <c r="I11" s="291"/>
      <c r="J11" s="292">
        <f t="shared" ca="1" si="4"/>
        <v>-324.27872423313909</v>
      </c>
      <c r="K11" s="949"/>
      <c r="L11" s="949"/>
      <c r="M11" s="949"/>
      <c r="N11" s="950"/>
      <c r="O11" s="950"/>
      <c r="X11" s="1004"/>
      <c r="Y11" s="1004"/>
    </row>
    <row r="12" spans="2:25" ht="9.75" customHeight="1">
      <c r="B12" s="954"/>
      <c r="C12" s="952"/>
      <c r="D12" s="287">
        <f t="shared" ca="1" si="1"/>
        <v>46472</v>
      </c>
      <c r="E12" s="288">
        <f t="shared" si="5"/>
        <v>0</v>
      </c>
      <c r="F12" s="289">
        <f t="shared" ca="1" si="2"/>
        <v>40</v>
      </c>
      <c r="G12" s="290">
        <f ca="1">KTVCOI!P11</f>
        <v>3.3238569233896752E-2</v>
      </c>
      <c r="H12" s="290">
        <f t="shared" ca="1" si="3"/>
        <v>-365.35786554972663</v>
      </c>
      <c r="I12" s="291"/>
      <c r="J12" s="292">
        <f t="shared" ca="1" si="4"/>
        <v>-365.35786554972663</v>
      </c>
      <c r="K12" s="949"/>
      <c r="L12" s="949"/>
      <c r="M12" s="949"/>
      <c r="N12" s="950"/>
      <c r="O12" s="950"/>
      <c r="X12" s="1004"/>
      <c r="Y12" s="1004"/>
    </row>
    <row r="13" spans="2:25" ht="9.75" customHeight="1">
      <c r="B13" s="954"/>
      <c r="C13" s="952"/>
      <c r="D13" s="287">
        <f t="shared" ca="1" si="1"/>
        <v>46503</v>
      </c>
      <c r="E13" s="288">
        <f t="shared" si="5"/>
        <v>0</v>
      </c>
      <c r="F13" s="289">
        <f t="shared" ca="1" si="2"/>
        <v>40</v>
      </c>
      <c r="G13" s="290">
        <f ca="1">KTVCOI!P12</f>
        <v>3.744918121884698E-2</v>
      </c>
      <c r="H13" s="290">
        <f t="shared" ca="1" si="3"/>
        <v>-406.55916362072622</v>
      </c>
      <c r="I13" s="291"/>
      <c r="J13" s="292">
        <f t="shared" ca="1" si="4"/>
        <v>-406.55916362072622</v>
      </c>
      <c r="K13" s="949"/>
      <c r="L13" s="949"/>
      <c r="M13" s="949"/>
      <c r="N13" s="950"/>
      <c r="O13" s="950"/>
      <c r="X13" s="1004"/>
      <c r="Y13" s="1004"/>
    </row>
    <row r="14" spans="2:25" ht="9.75" customHeight="1">
      <c r="B14" s="954"/>
      <c r="C14" s="952"/>
      <c r="D14" s="287">
        <f t="shared" ca="1" si="1"/>
        <v>46533</v>
      </c>
      <c r="E14" s="288">
        <f t="shared" si="5"/>
        <v>0</v>
      </c>
      <c r="F14" s="289">
        <f t="shared" ca="1" si="2"/>
        <v>40</v>
      </c>
      <c r="G14" s="290">
        <f ca="1">KTVCOI!P13</f>
        <v>4.1672314271124444E-2</v>
      </c>
      <c r="H14" s="290">
        <f t="shared" ca="1" si="3"/>
        <v>-447.88298170282167</v>
      </c>
      <c r="I14" s="291"/>
      <c r="J14" s="292">
        <f t="shared" ca="1" si="4"/>
        <v>-447.88298170282167</v>
      </c>
      <c r="K14" s="949"/>
      <c r="L14" s="949"/>
      <c r="M14" s="949"/>
      <c r="N14" s="950"/>
      <c r="O14" s="950"/>
      <c r="X14" s="1004"/>
      <c r="Y14" s="1004"/>
    </row>
    <row r="15" spans="2:25" ht="9.75" customHeight="1">
      <c r="B15" s="954"/>
      <c r="C15" s="952"/>
      <c r="D15" s="287">
        <f t="shared" ca="1" si="1"/>
        <v>46564</v>
      </c>
      <c r="E15" s="288">
        <f t="shared" si="5"/>
        <v>0</v>
      </c>
      <c r="F15" s="289">
        <f t="shared" ca="1" si="2"/>
        <v>40</v>
      </c>
      <c r="G15" s="290">
        <f ca="1">KTVCOI!P14</f>
        <v>4.5908005624539228E-2</v>
      </c>
      <c r="H15" s="290">
        <f t="shared" ca="1" si="3"/>
        <v>-489.3296841329107</v>
      </c>
      <c r="I15" s="291"/>
      <c r="J15" s="293">
        <f t="shared" ca="1" si="4"/>
        <v>-489.3296841329107</v>
      </c>
      <c r="K15" s="949"/>
      <c r="L15" s="949"/>
      <c r="M15" s="949"/>
      <c r="N15" s="950"/>
      <c r="O15" s="950"/>
      <c r="X15" s="1004"/>
      <c r="Y15" s="1004"/>
    </row>
    <row r="16" spans="2:25" ht="9.75" customHeight="1">
      <c r="B16" s="955">
        <v>2</v>
      </c>
      <c r="C16" s="947">
        <f ca="1">C4+1</f>
        <v>31</v>
      </c>
      <c r="D16" s="294">
        <f t="shared" ca="1" si="1"/>
        <v>46594</v>
      </c>
      <c r="E16" s="359">
        <f>E15</f>
        <v>0</v>
      </c>
      <c r="F16" s="360">
        <f t="shared" ca="1" si="2"/>
        <v>40</v>
      </c>
      <c r="G16" s="290">
        <f ca="1">KTVCOI!P15</f>
        <v>5.1379616833955623E-2</v>
      </c>
      <c r="H16" s="295">
        <f ca="1">(H15+KTVTRDGTTKcamket!F8-F16-G16)*(1+Q3)</f>
        <v>-530.68666026530059</v>
      </c>
      <c r="I16" s="324"/>
      <c r="J16" s="296">
        <f t="shared" ca="1" si="4"/>
        <v>-530.68666026530059</v>
      </c>
      <c r="K16" s="949">
        <f ca="1">J27</f>
        <v>-992.6930567584925</v>
      </c>
      <c r="L16" s="949"/>
      <c r="M16" s="949"/>
      <c r="N16" s="950">
        <f ca="1">SUM(G16:G27)</f>
        <v>0.90563021965211399</v>
      </c>
      <c r="O16" s="950"/>
      <c r="X16" s="945">
        <f t="shared" ref="X16:Y16" ca="1" si="6">SUM(F16:F27)</f>
        <v>480</v>
      </c>
      <c r="Y16" s="945">
        <f t="shared" ca="1" si="6"/>
        <v>0.90563021965211399</v>
      </c>
    </row>
    <row r="17" spans="2:25" ht="9.75" customHeight="1">
      <c r="B17" s="955"/>
      <c r="C17" s="947"/>
      <c r="D17" s="294">
        <f t="shared" ca="1" si="1"/>
        <v>46625</v>
      </c>
      <c r="E17" s="359">
        <f t="shared" si="5"/>
        <v>0</v>
      </c>
      <c r="F17" s="360">
        <f t="shared" ca="1" si="2"/>
        <v>40</v>
      </c>
      <c r="G17" s="290">
        <f ca="1">KTVCOI!P16</f>
        <v>5.5722099327856565E-2</v>
      </c>
      <c r="H17" s="295">
        <f ca="1">(H16-F17-G17)*(1+$Q$3)</f>
        <v>-572.14998705002699</v>
      </c>
      <c r="I17" s="324"/>
      <c r="J17" s="296">
        <f t="shared" ca="1" si="4"/>
        <v>-572.14998705002699</v>
      </c>
      <c r="K17" s="949"/>
      <c r="L17" s="949"/>
      <c r="M17" s="949"/>
      <c r="N17" s="950"/>
      <c r="O17" s="950"/>
      <c r="X17" s="1004"/>
      <c r="Y17" s="1004"/>
    </row>
    <row r="18" spans="2:25" ht="9.75" customHeight="1">
      <c r="B18" s="955"/>
      <c r="C18" s="947"/>
      <c r="D18" s="294">
        <f t="shared" ca="1" si="1"/>
        <v>46656</v>
      </c>
      <c r="E18" s="359">
        <f t="shared" si="5"/>
        <v>0</v>
      </c>
      <c r="F18" s="360">
        <f t="shared" ca="1" si="2"/>
        <v>40</v>
      </c>
      <c r="G18" s="290">
        <f ca="1">KTVCOI!P17</f>
        <v>6.0075748640252835E-2</v>
      </c>
      <c r="H18" s="295">
        <f t="shared" ref="H18:H27" ca="1" si="7">(H17-F18-G18)*(1+$Q$3)</f>
        <v>-613.7199379708477</v>
      </c>
      <c r="I18" s="324"/>
      <c r="J18" s="296">
        <f t="shared" ca="1" si="4"/>
        <v>-613.7199379708477</v>
      </c>
      <c r="K18" s="949"/>
      <c r="L18" s="949"/>
      <c r="M18" s="949"/>
      <c r="N18" s="950"/>
      <c r="O18" s="950"/>
      <c r="X18" s="1004"/>
      <c r="Y18" s="1004"/>
    </row>
    <row r="19" spans="2:25" ht="9.75" customHeight="1">
      <c r="B19" s="955"/>
      <c r="C19" s="947"/>
      <c r="D19" s="294">
        <f t="shared" ca="1" si="1"/>
        <v>46686</v>
      </c>
      <c r="E19" s="359">
        <f t="shared" si="5"/>
        <v>0</v>
      </c>
      <c r="F19" s="360">
        <f t="shared" ca="1" si="2"/>
        <v>40</v>
      </c>
      <c r="G19" s="290">
        <f ca="1">KTVCOI!P18</f>
        <v>6.4440593486939007E-2</v>
      </c>
      <c r="H19" s="295">
        <f t="shared" ca="1" si="7"/>
        <v>-655.3967872147922</v>
      </c>
      <c r="I19" s="324"/>
      <c r="J19" s="296">
        <f t="shared" ca="1" si="4"/>
        <v>-655.3967872147922</v>
      </c>
      <c r="K19" s="949"/>
      <c r="L19" s="949"/>
      <c r="M19" s="949"/>
      <c r="N19" s="950"/>
      <c r="O19" s="950"/>
      <c r="X19" s="1004"/>
      <c r="Y19" s="1004"/>
    </row>
    <row r="20" spans="2:25" ht="9.75" customHeight="1">
      <c r="B20" s="955"/>
      <c r="C20" s="947"/>
      <c r="D20" s="294">
        <f t="shared" ca="1" si="1"/>
        <v>46717</v>
      </c>
      <c r="E20" s="359">
        <f t="shared" si="5"/>
        <v>0</v>
      </c>
      <c r="F20" s="360">
        <f t="shared" ca="1" si="2"/>
        <v>40</v>
      </c>
      <c r="G20" s="290">
        <f ca="1">KTVCOI!P19</f>
        <v>6.8816662657553193E-2</v>
      </c>
      <c r="H20" s="295">
        <f t="shared" ca="1" si="7"/>
        <v>-697.18080967396963</v>
      </c>
      <c r="I20" s="324"/>
      <c r="J20" s="296">
        <f t="shared" ca="1" si="4"/>
        <v>-697.18080967396963</v>
      </c>
      <c r="K20" s="949"/>
      <c r="L20" s="949"/>
      <c r="M20" s="949"/>
      <c r="N20" s="950"/>
      <c r="O20" s="950"/>
      <c r="X20" s="1004"/>
      <c r="Y20" s="1004"/>
    </row>
    <row r="21" spans="2:25" ht="9.75" customHeight="1">
      <c r="B21" s="955"/>
      <c r="C21" s="947"/>
      <c r="D21" s="294">
        <f t="shared" ca="1" si="1"/>
        <v>46747</v>
      </c>
      <c r="E21" s="359">
        <f t="shared" si="5"/>
        <v>0</v>
      </c>
      <c r="F21" s="360">
        <f t="shared" ca="1" si="2"/>
        <v>40</v>
      </c>
      <c r="G21" s="290">
        <f ca="1">KTVCOI!P20</f>
        <v>7.3203985015766818E-2</v>
      </c>
      <c r="H21" s="295">
        <f t="shared" ca="1" si="7"/>
        <v>-739.07228094738207</v>
      </c>
      <c r="I21" s="324"/>
      <c r="J21" s="296">
        <f t="shared" ca="1" si="4"/>
        <v>-739.07228094738207</v>
      </c>
      <c r="K21" s="949"/>
      <c r="L21" s="949"/>
      <c r="M21" s="949"/>
      <c r="N21" s="950"/>
      <c r="O21" s="950"/>
      <c r="X21" s="1004"/>
      <c r="Y21" s="1004"/>
    </row>
    <row r="22" spans="2:25" ht="9.75" customHeight="1">
      <c r="B22" s="955"/>
      <c r="C22" s="947"/>
      <c r="D22" s="294">
        <f t="shared" ca="1" si="1"/>
        <v>46778</v>
      </c>
      <c r="E22" s="359">
        <f t="shared" si="5"/>
        <v>0</v>
      </c>
      <c r="F22" s="360">
        <f t="shared" ca="1" si="2"/>
        <v>40</v>
      </c>
      <c r="G22" s="290">
        <f ca="1">KTVCOI!P21</f>
        <v>7.7602589499475114E-2</v>
      </c>
      <c r="H22" s="295">
        <f t="shared" ca="1" si="7"/>
        <v>-781.07147734274258</v>
      </c>
      <c r="I22" s="324"/>
      <c r="J22" s="296">
        <f t="shared" ca="1" si="4"/>
        <v>-781.07147734274258</v>
      </c>
      <c r="K22" s="949"/>
      <c r="L22" s="949"/>
      <c r="M22" s="949"/>
      <c r="N22" s="950"/>
      <c r="O22" s="950"/>
      <c r="X22" s="1004"/>
      <c r="Y22" s="1004"/>
    </row>
    <row r="23" spans="2:25" ht="9.75" customHeight="1">
      <c r="B23" s="955"/>
      <c r="C23" s="947"/>
      <c r="D23" s="294">
        <f t="shared" ca="1" si="1"/>
        <v>46809</v>
      </c>
      <c r="E23" s="359">
        <f t="shared" si="5"/>
        <v>0</v>
      </c>
      <c r="F23" s="360">
        <f t="shared" ca="1" si="2"/>
        <v>40</v>
      </c>
      <c r="G23" s="290">
        <f ca="1">KTVCOI!P22</f>
        <v>8.2012505120987969E-2</v>
      </c>
      <c r="H23" s="295">
        <f t="shared" ca="1" si="7"/>
        <v>-823.1786758782971</v>
      </c>
      <c r="I23" s="324"/>
      <c r="J23" s="296">
        <f t="shared" ca="1" si="4"/>
        <v>-823.1786758782971</v>
      </c>
      <c r="K23" s="949"/>
      <c r="L23" s="949"/>
      <c r="M23" s="949"/>
      <c r="N23" s="950"/>
      <c r="O23" s="950"/>
      <c r="X23" s="1004"/>
      <c r="Y23" s="1004"/>
    </row>
    <row r="24" spans="2:25" ht="9.75" customHeight="1">
      <c r="B24" s="955"/>
      <c r="C24" s="947"/>
      <c r="D24" s="294">
        <f t="shared" ca="1" si="1"/>
        <v>46838</v>
      </c>
      <c r="E24" s="359">
        <f t="shared" si="5"/>
        <v>0</v>
      </c>
      <c r="F24" s="360">
        <f t="shared" ca="1" si="2"/>
        <v>40</v>
      </c>
      <c r="G24" s="290">
        <f ca="1">KTVCOI!P23</f>
        <v>8.6433760967221177E-2</v>
      </c>
      <c r="H24" s="295">
        <f t="shared" ca="1" si="7"/>
        <v>-865.39415428465202</v>
      </c>
      <c r="I24" s="324"/>
      <c r="J24" s="296">
        <f t="shared" ca="1" si="4"/>
        <v>-865.39415428465202</v>
      </c>
      <c r="K24" s="949"/>
      <c r="L24" s="949"/>
      <c r="M24" s="949"/>
      <c r="N24" s="950"/>
      <c r="O24" s="950"/>
      <c r="X24" s="1004"/>
      <c r="Y24" s="1004"/>
    </row>
    <row r="25" spans="2:25" ht="9.75" customHeight="1">
      <c r="B25" s="955"/>
      <c r="C25" s="947"/>
      <c r="D25" s="294">
        <f t="shared" ca="1" si="1"/>
        <v>46869</v>
      </c>
      <c r="E25" s="359">
        <f t="shared" si="5"/>
        <v>0</v>
      </c>
      <c r="F25" s="360">
        <f t="shared" ca="1" si="2"/>
        <v>40</v>
      </c>
      <c r="G25" s="290">
        <f ca="1">KTVCOI!P24</f>
        <v>9.086638619988846E-2</v>
      </c>
      <c r="H25" s="295">
        <f t="shared" ca="1" si="7"/>
        <v>-907.71819100660616</v>
      </c>
      <c r="I25" s="324"/>
      <c r="J25" s="296">
        <f t="shared" ca="1" si="4"/>
        <v>-907.71819100660616</v>
      </c>
      <c r="K25" s="949"/>
      <c r="L25" s="949"/>
      <c r="M25" s="949"/>
      <c r="N25" s="950"/>
      <c r="O25" s="950"/>
      <c r="X25" s="1004"/>
      <c r="Y25" s="1004"/>
    </row>
    <row r="26" spans="2:25" ht="9.75" customHeight="1">
      <c r="B26" s="955"/>
      <c r="C26" s="947"/>
      <c r="D26" s="294">
        <f t="shared" ca="1" si="1"/>
        <v>46899</v>
      </c>
      <c r="E26" s="359">
        <f t="shared" si="5"/>
        <v>0</v>
      </c>
      <c r="F26" s="360">
        <f t="shared" ca="1" si="2"/>
        <v>40</v>
      </c>
      <c r="G26" s="290">
        <f ca="1">KTVCOI!P25</f>
        <v>9.531041005569367E-2</v>
      </c>
      <c r="H26" s="295">
        <f t="shared" ca="1" si="7"/>
        <v>-950.15106520498716</v>
      </c>
      <c r="I26" s="324"/>
      <c r="J26" s="296">
        <f t="shared" ca="1" si="4"/>
        <v>-950.15106520498716</v>
      </c>
      <c r="K26" s="949"/>
      <c r="L26" s="949"/>
      <c r="M26" s="949"/>
      <c r="N26" s="950"/>
      <c r="O26" s="950"/>
      <c r="X26" s="1004"/>
      <c r="Y26" s="1004"/>
    </row>
    <row r="27" spans="2:25" ht="9.75" customHeight="1">
      <c r="B27" s="955"/>
      <c r="C27" s="947"/>
      <c r="D27" s="294">
        <f t="shared" ca="1" si="1"/>
        <v>46930</v>
      </c>
      <c r="E27" s="359">
        <f t="shared" si="5"/>
        <v>0</v>
      </c>
      <c r="F27" s="360">
        <f t="shared" ca="1" si="2"/>
        <v>40</v>
      </c>
      <c r="G27" s="290">
        <f ca="1">KTVCOI!P26</f>
        <v>9.976586184652364E-2</v>
      </c>
      <c r="H27" s="295">
        <f t="shared" ca="1" si="7"/>
        <v>-992.6930567584925</v>
      </c>
      <c r="I27" s="324"/>
      <c r="J27" s="297">
        <f t="shared" ca="1" si="4"/>
        <v>-992.6930567584925</v>
      </c>
      <c r="K27" s="949"/>
      <c r="L27" s="949"/>
      <c r="M27" s="949"/>
      <c r="N27" s="950"/>
      <c r="O27" s="950"/>
      <c r="X27" s="1004"/>
      <c r="Y27" s="1004"/>
    </row>
    <row r="28" spans="2:25" ht="9.75" customHeight="1">
      <c r="B28" s="954">
        <v>3</v>
      </c>
      <c r="C28" s="952">
        <f ca="1">C16+1</f>
        <v>32</v>
      </c>
      <c r="D28" s="287">
        <f t="shared" ca="1" si="1"/>
        <v>46960</v>
      </c>
      <c r="E28" s="359">
        <f t="shared" si="5"/>
        <v>0</v>
      </c>
      <c r="F28" s="289">
        <f t="shared" ca="1" si="2"/>
        <v>40</v>
      </c>
      <c r="G28" s="290">
        <f ca="1">KTVCOI!P27</f>
        <v>0.10836899202946877</v>
      </c>
      <c r="H28" s="290">
        <f ca="1">(H27+KTVTRDGTTKcamket!F9-F28-G28)*(1+$R$3)</f>
        <v>-1035.3485926876426</v>
      </c>
      <c r="I28" s="291"/>
      <c r="J28" s="292">
        <f t="shared" ca="1" si="4"/>
        <v>-1035.3485926876426</v>
      </c>
      <c r="K28" s="949">
        <f ca="1">J39</f>
        <v>-1511.8734025299057</v>
      </c>
      <c r="L28" s="949"/>
      <c r="M28" s="949"/>
      <c r="N28" s="950">
        <f t="shared" ref="N28" ca="1" si="8">SUM(G28:G39)</f>
        <v>1.6104150615685178</v>
      </c>
      <c r="O28" s="950"/>
      <c r="X28" s="945">
        <f t="shared" ref="X28:Y28" ca="1" si="9">SUM(F28:F39)</f>
        <v>480</v>
      </c>
      <c r="Y28" s="945">
        <f t="shared" ca="1" si="9"/>
        <v>1.6104150615685178</v>
      </c>
    </row>
    <row r="29" spans="2:25" ht="9.75" customHeight="1">
      <c r="B29" s="954"/>
      <c r="C29" s="952"/>
      <c r="D29" s="287">
        <f t="shared" ca="1" si="1"/>
        <v>46991</v>
      </c>
      <c r="E29" s="359">
        <f t="shared" si="5"/>
        <v>0</v>
      </c>
      <c r="F29" s="289">
        <f t="shared" ca="1" si="2"/>
        <v>40</v>
      </c>
      <c r="G29" s="290">
        <f ca="1">KTVCOI!P28</f>
        <v>0.11302555470173431</v>
      </c>
      <c r="H29" s="290">
        <f ca="1">(H28-F29-G29)*(1+$R$3)</f>
        <v>-1078.1139967226884</v>
      </c>
      <c r="I29" s="291"/>
      <c r="J29" s="292">
        <f t="shared" ca="1" si="4"/>
        <v>-1078.1139967226884</v>
      </c>
      <c r="K29" s="949"/>
      <c r="L29" s="949"/>
      <c r="M29" s="949"/>
      <c r="N29" s="950"/>
      <c r="O29" s="950"/>
      <c r="X29" s="1004"/>
      <c r="Y29" s="1004"/>
    </row>
    <row r="30" spans="2:25" ht="9.75" customHeight="1">
      <c r="B30" s="954"/>
      <c r="C30" s="952"/>
      <c r="D30" s="287">
        <f t="shared" ca="1" si="1"/>
        <v>47022</v>
      </c>
      <c r="E30" s="359">
        <f t="shared" si="5"/>
        <v>0</v>
      </c>
      <c r="F30" s="289">
        <f t="shared" ca="1" si="2"/>
        <v>40</v>
      </c>
      <c r="G30" s="290">
        <f ca="1">KTVCOI!P29</f>
        <v>0.1176941113088935</v>
      </c>
      <c r="H30" s="290">
        <f t="shared" ref="H30:H39" ca="1" si="10">(H29-F30-G30)*(1+$R$3)</f>
        <v>-1120.9895518515334</v>
      </c>
      <c r="I30" s="291"/>
      <c r="J30" s="292">
        <f t="shared" ca="1" si="4"/>
        <v>-1120.9895518515334</v>
      </c>
      <c r="K30" s="949"/>
      <c r="L30" s="949"/>
      <c r="M30" s="949"/>
      <c r="N30" s="950"/>
      <c r="O30" s="950"/>
      <c r="X30" s="1004"/>
      <c r="Y30" s="1004"/>
    </row>
    <row r="31" spans="2:25" ht="9.75" customHeight="1">
      <c r="B31" s="954"/>
      <c r="C31" s="952"/>
      <c r="D31" s="287">
        <f t="shared" ca="1" si="1"/>
        <v>47052</v>
      </c>
      <c r="E31" s="359">
        <f t="shared" si="5"/>
        <v>0</v>
      </c>
      <c r="F31" s="289">
        <f t="shared" ca="1" si="2"/>
        <v>40</v>
      </c>
      <c r="G31" s="290">
        <f ca="1">KTVCOI!P30</f>
        <v>0.12237469274379241</v>
      </c>
      <c r="H31" s="290">
        <f t="shared" ca="1" si="10"/>
        <v>-1163.9755417909746</v>
      </c>
      <c r="I31" s="291"/>
      <c r="J31" s="292">
        <f t="shared" ca="1" si="4"/>
        <v>-1163.9755417909746</v>
      </c>
      <c r="K31" s="949"/>
      <c r="L31" s="949"/>
      <c r="M31" s="949"/>
      <c r="N31" s="950"/>
      <c r="O31" s="950"/>
      <c r="X31" s="1004"/>
      <c r="Y31" s="1004"/>
    </row>
    <row r="32" spans="2:25" ht="9.75" customHeight="1">
      <c r="B32" s="954"/>
      <c r="C32" s="952"/>
      <c r="D32" s="287">
        <f t="shared" ca="1" si="1"/>
        <v>47083</v>
      </c>
      <c r="E32" s="359">
        <f t="shared" si="5"/>
        <v>0</v>
      </c>
      <c r="F32" s="289">
        <f t="shared" ca="1" si="2"/>
        <v>40</v>
      </c>
      <c r="G32" s="290">
        <f ca="1">KTVCOI!P31</f>
        <v>0.12706732997884806</v>
      </c>
      <c r="H32" s="290">
        <f t="shared" ca="1" si="10"/>
        <v>-1207.0722509885804</v>
      </c>
      <c r="I32" s="291"/>
      <c r="J32" s="292">
        <f t="shared" ca="1" si="4"/>
        <v>-1207.0722509885804</v>
      </c>
      <c r="K32" s="949"/>
      <c r="L32" s="949"/>
      <c r="M32" s="949"/>
      <c r="N32" s="950"/>
      <c r="O32" s="950"/>
      <c r="X32" s="1004"/>
      <c r="Y32" s="1004"/>
    </row>
    <row r="33" spans="2:25" ht="9.75" customHeight="1">
      <c r="B33" s="954"/>
      <c r="C33" s="952"/>
      <c r="D33" s="287">
        <f t="shared" ca="1" si="1"/>
        <v>47113</v>
      </c>
      <c r="E33" s="359">
        <f t="shared" si="5"/>
        <v>0</v>
      </c>
      <c r="F33" s="289">
        <f t="shared" ca="1" si="2"/>
        <v>40</v>
      </c>
      <c r="G33" s="290">
        <f ca="1">KTVCOI!P32</f>
        <v>0.13177205406625336</v>
      </c>
      <c r="H33" s="290">
        <f t="shared" ca="1" si="10"/>
        <v>-1250.2799646245724</v>
      </c>
      <c r="I33" s="291"/>
      <c r="J33" s="292">
        <f t="shared" ca="1" si="4"/>
        <v>-1250.2799646245724</v>
      </c>
      <c r="K33" s="949"/>
      <c r="L33" s="949"/>
      <c r="M33" s="949"/>
      <c r="N33" s="950"/>
      <c r="O33" s="950"/>
      <c r="X33" s="1004"/>
      <c r="Y33" s="1004"/>
    </row>
    <row r="34" spans="2:25" ht="9.75" customHeight="1">
      <c r="B34" s="954"/>
      <c r="C34" s="952"/>
      <c r="D34" s="287">
        <f t="shared" ca="1" si="1"/>
        <v>47144</v>
      </c>
      <c r="E34" s="359">
        <f t="shared" si="5"/>
        <v>0</v>
      </c>
      <c r="F34" s="289">
        <f t="shared" ca="1" si="2"/>
        <v>40</v>
      </c>
      <c r="G34" s="290">
        <f ca="1">KTVCOI!P33</f>
        <v>0.13648889613818249</v>
      </c>
      <c r="H34" s="290">
        <f t="shared" ca="1" si="10"/>
        <v>-1293.598968613712</v>
      </c>
      <c r="I34" s="291"/>
      <c r="J34" s="292">
        <f t="shared" ca="1" si="4"/>
        <v>-1293.598968613712</v>
      </c>
      <c r="K34" s="949"/>
      <c r="L34" s="949"/>
      <c r="M34" s="949"/>
      <c r="N34" s="950"/>
      <c r="O34" s="950"/>
      <c r="X34" s="1004"/>
      <c r="Y34" s="1004"/>
    </row>
    <row r="35" spans="2:25" ht="9.75" customHeight="1">
      <c r="B35" s="954"/>
      <c r="C35" s="952"/>
      <c r="D35" s="287">
        <f t="shared" ca="1" si="1"/>
        <v>47175</v>
      </c>
      <c r="E35" s="359">
        <f t="shared" si="5"/>
        <v>0</v>
      </c>
      <c r="F35" s="289">
        <f t="shared" ca="1" si="2"/>
        <v>40</v>
      </c>
      <c r="G35" s="290">
        <f ca="1">KTVCOI!P34</f>
        <v>0.14121788740699689</v>
      </c>
      <c r="H35" s="290">
        <f t="shared" ca="1" si="10"/>
        <v>-1337.0295496071935</v>
      </c>
      <c r="I35" s="291"/>
      <c r="J35" s="292">
        <f t="shared" ca="1" si="4"/>
        <v>-1337.0295496071935</v>
      </c>
      <c r="K35" s="949"/>
      <c r="L35" s="949"/>
      <c r="M35" s="949"/>
      <c r="N35" s="950"/>
      <c r="O35" s="950"/>
      <c r="X35" s="1004"/>
      <c r="Y35" s="1004"/>
    </row>
    <row r="36" spans="2:25" ht="9.75" customHeight="1">
      <c r="B36" s="954"/>
      <c r="C36" s="952"/>
      <c r="D36" s="287">
        <f t="shared" ca="1" si="1"/>
        <v>47203</v>
      </c>
      <c r="E36" s="359">
        <f t="shared" si="5"/>
        <v>0</v>
      </c>
      <c r="F36" s="289">
        <f t="shared" ca="1" si="2"/>
        <v>40</v>
      </c>
      <c r="G36" s="290">
        <f ca="1">KTVCOI!P35</f>
        <v>0.14595905916545196</v>
      </c>
      <c r="H36" s="290">
        <f t="shared" ca="1" si="10"/>
        <v>-1380.5719949945399</v>
      </c>
      <c r="I36" s="291"/>
      <c r="J36" s="292">
        <f t="shared" ca="1" si="4"/>
        <v>-1380.5719949945399</v>
      </c>
      <c r="K36" s="949"/>
      <c r="L36" s="949"/>
      <c r="M36" s="949"/>
      <c r="N36" s="950"/>
      <c r="O36" s="950"/>
      <c r="X36" s="1004"/>
      <c r="Y36" s="1004"/>
    </row>
    <row r="37" spans="2:25" ht="9.75" customHeight="1">
      <c r="B37" s="954"/>
      <c r="C37" s="952"/>
      <c r="D37" s="287">
        <f t="shared" ca="1" si="1"/>
        <v>47234</v>
      </c>
      <c r="E37" s="359">
        <f t="shared" si="5"/>
        <v>0</v>
      </c>
      <c r="F37" s="289">
        <f t="shared" ca="1" si="2"/>
        <v>40</v>
      </c>
      <c r="G37" s="290">
        <f ca="1">KTVCOI!P36</f>
        <v>0.15071244278690393</v>
      </c>
      <c r="H37" s="290">
        <f t="shared" ca="1" si="10"/>
        <v>-1424.226592905505</v>
      </c>
      <c r="I37" s="291"/>
      <c r="J37" s="292">
        <f t="shared" ca="1" si="4"/>
        <v>-1424.226592905505</v>
      </c>
      <c r="K37" s="949"/>
      <c r="L37" s="949"/>
      <c r="M37" s="949"/>
      <c r="N37" s="950"/>
      <c r="O37" s="950"/>
      <c r="X37" s="1004"/>
      <c r="Y37" s="1004"/>
    </row>
    <row r="38" spans="2:25" ht="9.75" customHeight="1">
      <c r="B38" s="954"/>
      <c r="C38" s="952"/>
      <c r="D38" s="287">
        <f t="shared" ca="1" si="1"/>
        <v>47264</v>
      </c>
      <c r="E38" s="359">
        <f t="shared" si="5"/>
        <v>0</v>
      </c>
      <c r="F38" s="289">
        <f t="shared" ca="1" si="2"/>
        <v>40</v>
      </c>
      <c r="G38" s="290">
        <f ca="1">KTVCOI!P37</f>
        <v>0.15547806972551761</v>
      </c>
      <c r="H38" s="290">
        <f t="shared" ca="1" si="10"/>
        <v>-1467.99363221198</v>
      </c>
      <c r="I38" s="291"/>
      <c r="J38" s="292">
        <f t="shared" ca="1" si="4"/>
        <v>-1467.99363221198</v>
      </c>
      <c r="K38" s="949"/>
      <c r="L38" s="949"/>
      <c r="M38" s="949"/>
      <c r="N38" s="950"/>
      <c r="O38" s="950"/>
      <c r="X38" s="1004"/>
      <c r="Y38" s="1004"/>
    </row>
    <row r="39" spans="2:25" ht="9.75" customHeight="1">
      <c r="B39" s="954"/>
      <c r="C39" s="952"/>
      <c r="D39" s="287">
        <f t="shared" ca="1" si="1"/>
        <v>47295</v>
      </c>
      <c r="E39" s="359">
        <f t="shared" si="5"/>
        <v>0</v>
      </c>
      <c r="F39" s="289">
        <f t="shared" ca="1" si="2"/>
        <v>40</v>
      </c>
      <c r="G39" s="290">
        <f ca="1">KTVCOI!P38</f>
        <v>0.16025597151647447</v>
      </c>
      <c r="H39" s="290">
        <f t="shared" ca="1" si="10"/>
        <v>-1511.8734025299057</v>
      </c>
      <c r="I39" s="291"/>
      <c r="J39" s="293">
        <f t="shared" ca="1" si="4"/>
        <v>-1511.8734025299057</v>
      </c>
      <c r="K39" s="949"/>
      <c r="L39" s="949"/>
      <c r="M39" s="949"/>
      <c r="N39" s="950"/>
      <c r="O39" s="950"/>
      <c r="X39" s="1004"/>
      <c r="Y39" s="1004"/>
    </row>
    <row r="40" spans="2:25" ht="9.75" customHeight="1">
      <c r="B40" s="955">
        <v>4</v>
      </c>
      <c r="C40" s="947">
        <f ca="1">C28+1</f>
        <v>33</v>
      </c>
      <c r="D40" s="294">
        <f t="shared" ca="1" si="1"/>
        <v>47325</v>
      </c>
      <c r="E40" s="359">
        <f t="shared" si="5"/>
        <v>0</v>
      </c>
      <c r="F40" s="360">
        <f t="shared" ca="1" si="2"/>
        <v>40</v>
      </c>
      <c r="G40" s="290">
        <f ca="1">KTVCOI!P39</f>
        <v>0.17260554678883092</v>
      </c>
      <c r="H40" s="295">
        <f ca="1">(H39+KTVTRDGTTKcamket!F10-F40-G40)*(1+S3)</f>
        <v>-1554.6093382433539</v>
      </c>
      <c r="I40" s="948"/>
      <c r="J40" s="296">
        <f t="shared" ca="1" si="4"/>
        <v>-1554.6093382433539</v>
      </c>
      <c r="K40" s="949">
        <f ca="1">J51</f>
        <v>-2090.0800671571092</v>
      </c>
      <c r="L40" s="949"/>
      <c r="M40" s="949"/>
      <c r="N40" s="950">
        <f t="shared" ref="N40" ca="1" si="11">SUM(G40:G51)</f>
        <v>2.4123786441312647</v>
      </c>
      <c r="O40" s="950"/>
      <c r="X40" s="945">
        <f t="shared" ref="X40:Y40" ca="1" si="12">SUM(F40:F51)</f>
        <v>540</v>
      </c>
      <c r="Y40" s="945">
        <f t="shared" ca="1" si="12"/>
        <v>2.4123786441312647</v>
      </c>
    </row>
    <row r="41" spans="2:25" ht="9.75" customHeight="1">
      <c r="B41" s="955"/>
      <c r="C41" s="946"/>
      <c r="D41" s="294">
        <f t="shared" ca="1" si="1"/>
        <v>47356</v>
      </c>
      <c r="E41" s="359">
        <f t="shared" si="5"/>
        <v>0</v>
      </c>
      <c r="F41" s="360">
        <f t="shared" ca="1" si="2"/>
        <v>40</v>
      </c>
      <c r="G41" s="290">
        <f ca="1">KTVCOI!P40</f>
        <v>0.17748456611611627</v>
      </c>
      <c r="H41" s="295">
        <f ca="1">(H40-F41-G41)*(1+$S$3)</f>
        <v>-1597.4207429065709</v>
      </c>
      <c r="I41" s="948"/>
      <c r="J41" s="296">
        <f t="shared" ca="1" si="4"/>
        <v>-1597.4207429065709</v>
      </c>
      <c r="K41" s="949"/>
      <c r="L41" s="949"/>
      <c r="M41" s="949"/>
      <c r="N41" s="950"/>
      <c r="O41" s="950"/>
      <c r="X41" s="1004"/>
      <c r="Y41" s="1004"/>
    </row>
    <row r="42" spans="2:25" ht="9.75" customHeight="1">
      <c r="B42" s="955"/>
      <c r="C42" s="946"/>
      <c r="D42" s="294">
        <f t="shared" ca="1" si="1"/>
        <v>47387</v>
      </c>
      <c r="E42" s="359">
        <f t="shared" si="5"/>
        <v>0</v>
      </c>
      <c r="F42" s="360">
        <f t="shared" ca="1" si="2"/>
        <v>40</v>
      </c>
      <c r="G42" s="290">
        <f ca="1">KTVCOI!P41</f>
        <v>0.18237220148183353</v>
      </c>
      <c r="H42" s="295">
        <f t="shared" ref="H42:H51" ca="1" si="13">(H41-F42-G42)*(1+$S$3)</f>
        <v>-1640.3077497929316</v>
      </c>
      <c r="I42" s="948"/>
      <c r="J42" s="296">
        <f t="shared" ca="1" si="4"/>
        <v>-1640.3077497929316</v>
      </c>
      <c r="K42" s="949"/>
      <c r="L42" s="949"/>
      <c r="M42" s="949"/>
      <c r="N42" s="950"/>
      <c r="O42" s="950"/>
      <c r="X42" s="1004"/>
      <c r="Y42" s="1004"/>
    </row>
    <row r="43" spans="2:25" ht="9.75" customHeight="1">
      <c r="B43" s="955"/>
      <c r="C43" s="946"/>
      <c r="D43" s="294">
        <f t="shared" ca="1" si="1"/>
        <v>47417</v>
      </c>
      <c r="E43" s="359">
        <f t="shared" si="5"/>
        <v>0</v>
      </c>
      <c r="F43" s="360">
        <f t="shared" ca="1" si="2"/>
        <v>40</v>
      </c>
      <c r="G43" s="290">
        <f ca="1">KTVCOI!P42</f>
        <v>0.18726846810135975</v>
      </c>
      <c r="H43" s="295">
        <f t="shared" ca="1" si="13"/>
        <v>-1683.2704924111631</v>
      </c>
      <c r="I43" s="948"/>
      <c r="J43" s="296">
        <f t="shared" ca="1" si="4"/>
        <v>-1683.2704924111631</v>
      </c>
      <c r="K43" s="949"/>
      <c r="L43" s="949"/>
      <c r="M43" s="949"/>
      <c r="N43" s="950"/>
      <c r="O43" s="950"/>
      <c r="X43" s="1004"/>
      <c r="Y43" s="1004"/>
    </row>
    <row r="44" spans="2:25" ht="9.75" customHeight="1">
      <c r="B44" s="955"/>
      <c r="C44" s="946"/>
      <c r="D44" s="294">
        <f t="shared" ca="1" si="1"/>
        <v>47448</v>
      </c>
      <c r="E44" s="359">
        <f t="shared" si="5"/>
        <v>0</v>
      </c>
      <c r="F44" s="360">
        <f t="shared" ca="1" si="2"/>
        <v>40</v>
      </c>
      <c r="G44" s="290">
        <f ca="1">KTVCOI!P43</f>
        <v>0.19217338121694116</v>
      </c>
      <c r="H44" s="295">
        <f t="shared" ca="1" si="13"/>
        <v>-1726.3091045057602</v>
      </c>
      <c r="I44" s="948"/>
      <c r="J44" s="296">
        <f t="shared" ca="1" si="4"/>
        <v>-1726.3091045057602</v>
      </c>
      <c r="K44" s="949"/>
      <c r="L44" s="949"/>
      <c r="M44" s="949"/>
      <c r="N44" s="950"/>
      <c r="O44" s="950"/>
      <c r="X44" s="1004"/>
      <c r="Y44" s="1004"/>
    </row>
    <row r="45" spans="2:25" ht="9.75" customHeight="1">
      <c r="B45" s="955"/>
      <c r="C45" s="946"/>
      <c r="D45" s="294">
        <f t="shared" ca="1" si="1"/>
        <v>47478</v>
      </c>
      <c r="E45" s="359">
        <f t="shared" si="5"/>
        <v>0</v>
      </c>
      <c r="F45" s="360">
        <f t="shared" ca="1" si="2"/>
        <v>40</v>
      </c>
      <c r="G45" s="290">
        <f ca="1">KTVCOI!P44</f>
        <v>0.19708695609774096</v>
      </c>
      <c r="H45" s="295">
        <f t="shared" ca="1" si="13"/>
        <v>-1769.4237200574028</v>
      </c>
      <c r="I45" s="948"/>
      <c r="J45" s="296">
        <f t="shared" ca="1" si="4"/>
        <v>-1769.4237200574028</v>
      </c>
      <c r="K45" s="949"/>
      <c r="L45" s="949"/>
      <c r="M45" s="949"/>
      <c r="N45" s="950"/>
      <c r="O45" s="950"/>
      <c r="X45" s="1004"/>
      <c r="Y45" s="1004"/>
    </row>
    <row r="46" spans="2:25" ht="9.75" customHeight="1">
      <c r="B46" s="955"/>
      <c r="C46" s="946"/>
      <c r="D46" s="294">
        <f t="shared" ca="1" si="1"/>
        <v>47509</v>
      </c>
      <c r="E46" s="359">
        <f t="shared" si="5"/>
        <v>0</v>
      </c>
      <c r="F46" s="360">
        <f t="shared" ca="1" si="2"/>
        <v>50</v>
      </c>
      <c r="G46" s="290">
        <f ca="1">KTVCOI!P45</f>
        <v>0.20200920803988684</v>
      </c>
      <c r="H46" s="295">
        <f t="shared" ca="1" si="13"/>
        <v>-1822.6309890963905</v>
      </c>
      <c r="I46" s="948"/>
      <c r="J46" s="296">
        <f t="shared" ca="1" si="4"/>
        <v>-1822.6309890963905</v>
      </c>
      <c r="K46" s="949"/>
      <c r="L46" s="949"/>
      <c r="M46" s="949"/>
      <c r="N46" s="950"/>
      <c r="O46" s="950"/>
      <c r="X46" s="1004"/>
      <c r="Y46" s="1004"/>
    </row>
    <row r="47" spans="2:25" ht="9.75" customHeight="1">
      <c r="B47" s="955"/>
      <c r="C47" s="946"/>
      <c r="D47" s="294">
        <f t="shared" ca="1" si="1"/>
        <v>47540</v>
      </c>
      <c r="E47" s="359">
        <f t="shared" si="5"/>
        <v>0</v>
      </c>
      <c r="F47" s="360">
        <f t="shared" ca="1" si="2"/>
        <v>50</v>
      </c>
      <c r="G47" s="290">
        <f ca="1">KTVCOI!P46</f>
        <v>0.20808370458850459</v>
      </c>
      <c r="H47" s="295">
        <f t="shared" ca="1" si="13"/>
        <v>-1875.9322187951227</v>
      </c>
      <c r="I47" s="948"/>
      <c r="J47" s="296">
        <f t="shared" ca="1" si="4"/>
        <v>-1875.9322187951227</v>
      </c>
      <c r="K47" s="949"/>
      <c r="L47" s="949"/>
      <c r="M47" s="949"/>
      <c r="N47" s="950"/>
      <c r="O47" s="950"/>
      <c r="X47" s="1004"/>
      <c r="Y47" s="1004"/>
    </row>
    <row r="48" spans="2:25" ht="9.75" customHeight="1">
      <c r="B48" s="955"/>
      <c r="C48" s="946"/>
      <c r="D48" s="294">
        <f t="shared" ca="1" si="1"/>
        <v>47568</v>
      </c>
      <c r="E48" s="359">
        <f t="shared" si="5"/>
        <v>0</v>
      </c>
      <c r="F48" s="360">
        <f t="shared" ca="1" si="2"/>
        <v>50</v>
      </c>
      <c r="G48" s="290">
        <f ca="1">KTVCOI!P47</f>
        <v>0.21416892831244319</v>
      </c>
      <c r="H48" s="295">
        <f t="shared" ca="1" si="13"/>
        <v>-1929.3275750821604</v>
      </c>
      <c r="I48" s="948"/>
      <c r="J48" s="296">
        <f t="shared" ca="1" si="4"/>
        <v>-1929.3275750821604</v>
      </c>
      <c r="K48" s="949"/>
      <c r="L48" s="949"/>
      <c r="M48" s="949"/>
      <c r="N48" s="950"/>
      <c r="O48" s="950"/>
      <c r="X48" s="1004"/>
      <c r="Y48" s="1004"/>
    </row>
    <row r="49" spans="2:25" ht="9.75" customHeight="1">
      <c r="B49" s="955"/>
      <c r="C49" s="946"/>
      <c r="D49" s="294">
        <f t="shared" ca="1" si="1"/>
        <v>47599</v>
      </c>
      <c r="E49" s="359">
        <f t="shared" si="5"/>
        <v>0</v>
      </c>
      <c r="F49" s="360">
        <f t="shared" ca="1" si="2"/>
        <v>50</v>
      </c>
      <c r="G49" s="290">
        <f ca="1">KTVCOI!P48</f>
        <v>0.22026489815521333</v>
      </c>
      <c r="H49" s="295">
        <f t="shared" ca="1" si="13"/>
        <v>-1982.8172241790835</v>
      </c>
      <c r="I49" s="948"/>
      <c r="J49" s="296">
        <f t="shared" ca="1" si="4"/>
        <v>-1982.8172241790835</v>
      </c>
      <c r="K49" s="949"/>
      <c r="L49" s="949"/>
      <c r="M49" s="949"/>
      <c r="N49" s="950"/>
      <c r="O49" s="950"/>
      <c r="X49" s="1004"/>
      <c r="Y49" s="1004"/>
    </row>
    <row r="50" spans="2:25" ht="9.75" customHeight="1">
      <c r="B50" s="955"/>
      <c r="C50" s="946"/>
      <c r="D50" s="294">
        <f t="shared" ca="1" si="1"/>
        <v>47629</v>
      </c>
      <c r="E50" s="359">
        <f t="shared" si="5"/>
        <v>0</v>
      </c>
      <c r="F50" s="360">
        <f t="shared" ca="1" si="2"/>
        <v>50</v>
      </c>
      <c r="G50" s="290">
        <f ca="1">KTVCOI!P49</f>
        <v>0.22637163309377872</v>
      </c>
      <c r="H50" s="295">
        <f t="shared" ca="1" si="13"/>
        <v>-2036.4013326010092</v>
      </c>
      <c r="I50" s="948"/>
      <c r="J50" s="296">
        <f t="shared" ca="1" si="4"/>
        <v>-2036.4013326010092</v>
      </c>
      <c r="K50" s="949"/>
      <c r="L50" s="949"/>
      <c r="M50" s="949"/>
      <c r="N50" s="950"/>
      <c r="O50" s="950"/>
      <c r="X50" s="1004"/>
      <c r="Y50" s="1004"/>
    </row>
    <row r="51" spans="2:25" ht="9.75" customHeight="1">
      <c r="B51" s="955"/>
      <c r="C51" s="946"/>
      <c r="D51" s="294">
        <f t="shared" ca="1" si="1"/>
        <v>47660</v>
      </c>
      <c r="E51" s="359">
        <f t="shared" si="5"/>
        <v>0</v>
      </c>
      <c r="F51" s="360">
        <f t="shared" ca="1" si="2"/>
        <v>50</v>
      </c>
      <c r="G51" s="290">
        <f ca="1">KTVCOI!P50</f>
        <v>0.23248915213861523</v>
      </c>
      <c r="H51" s="295">
        <f t="shared" ca="1" si="13"/>
        <v>-2090.0800671571092</v>
      </c>
      <c r="I51" s="948"/>
      <c r="J51" s="297">
        <f ca="1">H51+I40</f>
        <v>-2090.0800671571092</v>
      </c>
      <c r="K51" s="949"/>
      <c r="L51" s="949"/>
      <c r="M51" s="949"/>
      <c r="N51" s="950"/>
      <c r="O51" s="950"/>
      <c r="X51" s="1004"/>
      <c r="Y51" s="1004"/>
    </row>
    <row r="52" spans="2:25" ht="9.75" customHeight="1">
      <c r="B52" s="954">
        <v>5</v>
      </c>
      <c r="C52" s="952">
        <f ca="1">C40+1</f>
        <v>34</v>
      </c>
      <c r="D52" s="287">
        <f t="shared" ca="1" si="1"/>
        <v>47690</v>
      </c>
      <c r="E52" s="359">
        <f t="shared" si="5"/>
        <v>0</v>
      </c>
      <c r="F52" s="289">
        <f t="shared" ca="1" si="2"/>
        <v>50</v>
      </c>
      <c r="G52" s="290">
        <f ca="1">KTVCOI!P51</f>
        <v>0.25080960805885305</v>
      </c>
      <c r="H52" s="290">
        <f ca="1">(J51+KTVTRDGTTKcamket!F11-F52-G52)*(1+T3)</f>
        <v>-2143.8658072211556</v>
      </c>
      <c r="I52" s="953"/>
      <c r="J52" s="292">
        <f t="shared" ca="1" si="4"/>
        <v>-2143.8658072211556</v>
      </c>
      <c r="K52" s="949">
        <f ca="1">J63</f>
        <v>-2741.8358092798862</v>
      </c>
      <c r="L52" s="949"/>
      <c r="M52" s="949"/>
      <c r="N52" s="950">
        <f t="shared" ref="N52" ca="1" si="14">SUM(G52:G63)</f>
        <v>3.4382242426968466</v>
      </c>
      <c r="O52" s="950"/>
      <c r="X52" s="945">
        <f t="shared" ref="X52:Y52" ca="1" si="15">SUM(F52:F63)</f>
        <v>600</v>
      </c>
      <c r="Y52" s="945">
        <f t="shared" ca="1" si="15"/>
        <v>3.4382242426968466</v>
      </c>
    </row>
    <row r="53" spans="2:25" ht="9.75" customHeight="1">
      <c r="B53" s="954"/>
      <c r="C53" s="951"/>
      <c r="D53" s="287">
        <f t="shared" ca="1" si="1"/>
        <v>47721</v>
      </c>
      <c r="E53" s="359">
        <f t="shared" si="5"/>
        <v>0</v>
      </c>
      <c r="F53" s="289">
        <f t="shared" ca="1" si="2"/>
        <v>50</v>
      </c>
      <c r="G53" s="290">
        <f ca="1">KTVCOI!P52</f>
        <v>0.25726389686653867</v>
      </c>
      <c r="H53" s="290">
        <f ca="1">(H52-F53-G53)*(1+$T$3)</f>
        <v>-2197.7468437563921</v>
      </c>
      <c r="I53" s="953"/>
      <c r="J53" s="292">
        <f t="shared" ca="1" si="4"/>
        <v>-2197.7468437563921</v>
      </c>
      <c r="K53" s="949"/>
      <c r="L53" s="949"/>
      <c r="M53" s="949"/>
      <c r="N53" s="950"/>
      <c r="O53" s="950"/>
      <c r="X53" s="1004"/>
      <c r="Y53" s="1004"/>
    </row>
    <row r="54" spans="2:25" ht="9.75" customHeight="1">
      <c r="B54" s="954"/>
      <c r="C54" s="951"/>
      <c r="D54" s="287">
        <f t="shared" ca="1" si="1"/>
        <v>47752</v>
      </c>
      <c r="E54" s="359">
        <f t="shared" si="5"/>
        <v>0</v>
      </c>
      <c r="F54" s="289">
        <f t="shared" ca="1" si="2"/>
        <v>50</v>
      </c>
      <c r="G54" s="290">
        <f ca="1">KTVCOI!P53</f>
        <v>0.26372962125076704</v>
      </c>
      <c r="H54" s="290">
        <f t="shared" ref="H54:H63" ca="1" si="16">(H53-F54-G54)*(1+$T$3)</f>
        <v>-2251.7233456071522</v>
      </c>
      <c r="I54" s="953"/>
      <c r="J54" s="292">
        <f t="shared" ca="1" si="4"/>
        <v>-2251.7233456071522</v>
      </c>
      <c r="K54" s="949"/>
      <c r="L54" s="949"/>
      <c r="M54" s="949"/>
      <c r="N54" s="950"/>
      <c r="O54" s="950"/>
      <c r="X54" s="1004"/>
      <c r="Y54" s="1004"/>
    </row>
    <row r="55" spans="2:25" ht="9.75" customHeight="1">
      <c r="B55" s="954"/>
      <c r="C55" s="951"/>
      <c r="D55" s="287">
        <f t="shared" ca="1" si="1"/>
        <v>47782</v>
      </c>
      <c r="E55" s="359">
        <f t="shared" si="5"/>
        <v>0</v>
      </c>
      <c r="F55" s="289">
        <f t="shared" ca="1" si="2"/>
        <v>50</v>
      </c>
      <c r="G55" s="290">
        <f ca="1">KTVCOI!P54</f>
        <v>0.27020680147285825</v>
      </c>
      <c r="H55" s="290">
        <f t="shared" ca="1" si="16"/>
        <v>-2305.795481916924</v>
      </c>
      <c r="I55" s="953"/>
      <c r="J55" s="292">
        <f t="shared" ca="1" si="4"/>
        <v>-2305.795481916924</v>
      </c>
      <c r="K55" s="949"/>
      <c r="L55" s="949"/>
      <c r="M55" s="949"/>
      <c r="N55" s="950"/>
      <c r="O55" s="950"/>
      <c r="X55" s="1004"/>
      <c r="Y55" s="1004"/>
    </row>
    <row r="56" spans="2:25" ht="9.75" customHeight="1">
      <c r="B56" s="954"/>
      <c r="C56" s="951"/>
      <c r="D56" s="287">
        <f t="shared" ca="1" si="1"/>
        <v>47813</v>
      </c>
      <c r="E56" s="359">
        <f t="shared" si="5"/>
        <v>0</v>
      </c>
      <c r="F56" s="289">
        <f t="shared" ca="1" si="2"/>
        <v>50</v>
      </c>
      <c r="G56" s="290">
        <f ca="1">KTVCOI!P55</f>
        <v>0.27669545783003086</v>
      </c>
      <c r="H56" s="290">
        <f t="shared" ca="1" si="16"/>
        <v>-2359.9634221288807</v>
      </c>
      <c r="I56" s="953"/>
      <c r="J56" s="292">
        <f t="shared" ca="1" si="4"/>
        <v>-2359.9634221288807</v>
      </c>
      <c r="K56" s="949"/>
      <c r="L56" s="949"/>
      <c r="M56" s="949"/>
      <c r="N56" s="950"/>
      <c r="O56" s="950"/>
      <c r="X56" s="1004"/>
      <c r="Y56" s="1004"/>
    </row>
    <row r="57" spans="2:25" ht="9.75" customHeight="1">
      <c r="B57" s="954"/>
      <c r="C57" s="951"/>
      <c r="D57" s="287">
        <f t="shared" ca="1" si="1"/>
        <v>47843</v>
      </c>
      <c r="E57" s="359">
        <f t="shared" si="5"/>
        <v>0</v>
      </c>
      <c r="F57" s="289">
        <f t="shared" ca="1" si="2"/>
        <v>50</v>
      </c>
      <c r="G57" s="290">
        <f ca="1">KTVCOI!P56</f>
        <v>0.28319561065546567</v>
      </c>
      <c r="H57" s="290">
        <f t="shared" ca="1" si="16"/>
        <v>-2414.2273359864112</v>
      </c>
      <c r="I57" s="953"/>
      <c r="J57" s="292">
        <f t="shared" ca="1" si="4"/>
        <v>-2414.2273359864112</v>
      </c>
      <c r="K57" s="949"/>
      <c r="L57" s="949"/>
      <c r="M57" s="949"/>
      <c r="N57" s="950"/>
      <c r="O57" s="950"/>
      <c r="X57" s="1004"/>
      <c r="Y57" s="1004"/>
    </row>
    <row r="58" spans="2:25" ht="9.75" customHeight="1">
      <c r="B58" s="954"/>
      <c r="C58" s="951"/>
      <c r="D58" s="287">
        <f t="shared" ca="1" si="1"/>
        <v>47874</v>
      </c>
      <c r="E58" s="359">
        <f t="shared" si="5"/>
        <v>0</v>
      </c>
      <c r="F58" s="289">
        <f t="shared" ca="1" si="2"/>
        <v>50</v>
      </c>
      <c r="G58" s="290">
        <f ca="1">KTVCOI!P57</f>
        <v>0.28970728031836934</v>
      </c>
      <c r="H58" s="290">
        <f t="shared" ca="1" si="16"/>
        <v>-2468.5873935336526</v>
      </c>
      <c r="I58" s="953"/>
      <c r="J58" s="292">
        <f t="shared" ca="1" si="4"/>
        <v>-2468.5873935336526</v>
      </c>
      <c r="K58" s="949"/>
      <c r="L58" s="949"/>
      <c r="M58" s="949"/>
      <c r="N58" s="950"/>
      <c r="O58" s="950"/>
      <c r="X58" s="1004"/>
      <c r="Y58" s="1004"/>
    </row>
    <row r="59" spans="2:25" ht="9.75" customHeight="1">
      <c r="B59" s="954"/>
      <c r="C59" s="951"/>
      <c r="D59" s="287">
        <f t="shared" ca="1" si="1"/>
        <v>47905</v>
      </c>
      <c r="E59" s="359">
        <f t="shared" si="5"/>
        <v>0</v>
      </c>
      <c r="F59" s="289">
        <f t="shared" ca="1" si="2"/>
        <v>50</v>
      </c>
      <c r="G59" s="290">
        <f ca="1">KTVCOI!P58</f>
        <v>0.29623048722403827</v>
      </c>
      <c r="H59" s="290">
        <f t="shared" ca="1" si="16"/>
        <v>-2523.0437651160223</v>
      </c>
      <c r="I59" s="953"/>
      <c r="J59" s="292">
        <f t="shared" ca="1" si="4"/>
        <v>-2523.0437651160223</v>
      </c>
      <c r="K59" s="949"/>
      <c r="L59" s="949"/>
      <c r="M59" s="949"/>
      <c r="N59" s="950"/>
      <c r="O59" s="950"/>
      <c r="X59" s="1004"/>
      <c r="Y59" s="1004"/>
    </row>
    <row r="60" spans="2:25" ht="9.75" customHeight="1">
      <c r="B60" s="954"/>
      <c r="C60" s="951"/>
      <c r="D60" s="287">
        <f t="shared" ca="1" si="1"/>
        <v>47933</v>
      </c>
      <c r="E60" s="359">
        <f t="shared" si="5"/>
        <v>0</v>
      </c>
      <c r="F60" s="289">
        <f t="shared" ca="1" si="2"/>
        <v>50</v>
      </c>
      <c r="G60" s="290">
        <f ca="1">KTVCOI!P59</f>
        <v>0.30276525181392272</v>
      </c>
      <c r="H60" s="290">
        <f t="shared" ca="1" si="16"/>
        <v>-2577.5966213807533</v>
      </c>
      <c r="I60" s="953"/>
      <c r="J60" s="292">
        <f t="shared" ca="1" si="4"/>
        <v>-2577.5966213807533</v>
      </c>
      <c r="K60" s="949"/>
      <c r="L60" s="949"/>
      <c r="M60" s="949"/>
      <c r="N60" s="950"/>
      <c r="O60" s="950"/>
      <c r="X60" s="1004"/>
      <c r="Y60" s="1004"/>
    </row>
    <row r="61" spans="2:25" ht="9.75" customHeight="1">
      <c r="B61" s="954"/>
      <c r="C61" s="951"/>
      <c r="D61" s="287">
        <f t="shared" ca="1" si="1"/>
        <v>47964</v>
      </c>
      <c r="E61" s="359">
        <f t="shared" si="5"/>
        <v>0</v>
      </c>
      <c r="F61" s="289">
        <f t="shared" ca="1" si="2"/>
        <v>50</v>
      </c>
      <c r="G61" s="290">
        <f ca="1">KTVCOI!P60</f>
        <v>0.30931159456569041</v>
      </c>
      <c r="H61" s="290">
        <f t="shared" ca="1" si="16"/>
        <v>-2632.2461332774265</v>
      </c>
      <c r="I61" s="953"/>
      <c r="J61" s="292">
        <f t="shared" ca="1" si="4"/>
        <v>-2632.2461332774265</v>
      </c>
      <c r="K61" s="949"/>
      <c r="L61" s="949"/>
      <c r="M61" s="949"/>
      <c r="N61" s="950"/>
      <c r="O61" s="950"/>
      <c r="X61" s="1004"/>
      <c r="Y61" s="1004"/>
    </row>
    <row r="62" spans="2:25" ht="9.75" customHeight="1">
      <c r="B62" s="954"/>
      <c r="C62" s="951"/>
      <c r="D62" s="287">
        <f t="shared" ca="1" si="1"/>
        <v>47994</v>
      </c>
      <c r="E62" s="359">
        <f t="shared" si="5"/>
        <v>0</v>
      </c>
      <c r="F62" s="289">
        <f t="shared" ca="1" si="2"/>
        <v>50</v>
      </c>
      <c r="G62" s="290">
        <f ca="1">KTVCOI!P61</f>
        <v>0.31586953599329115</v>
      </c>
      <c r="H62" s="290">
        <f t="shared" ca="1" si="16"/>
        <v>-2686.9924720585082</v>
      </c>
      <c r="I62" s="953"/>
      <c r="J62" s="292">
        <f t="shared" ca="1" si="4"/>
        <v>-2686.9924720585082</v>
      </c>
      <c r="K62" s="949"/>
      <c r="L62" s="949"/>
      <c r="M62" s="949"/>
      <c r="N62" s="950"/>
      <c r="O62" s="950"/>
      <c r="X62" s="1004"/>
      <c r="Y62" s="1004"/>
    </row>
    <row r="63" spans="2:25" ht="9.75" customHeight="1">
      <c r="B63" s="954"/>
      <c r="C63" s="951"/>
      <c r="D63" s="287">
        <f t="shared" ca="1" si="1"/>
        <v>48025</v>
      </c>
      <c r="E63" s="359">
        <f t="shared" si="5"/>
        <v>0</v>
      </c>
      <c r="F63" s="289">
        <f t="shared" ca="1" si="2"/>
        <v>50</v>
      </c>
      <c r="G63" s="290">
        <f ca="1">KTVCOI!P62</f>
        <v>0.32243909664702097</v>
      </c>
      <c r="H63" s="290">
        <f t="shared" ca="1" si="16"/>
        <v>-2741.8358092798862</v>
      </c>
      <c r="I63" s="953"/>
      <c r="J63" s="293">
        <f ca="1">H63+I52</f>
        <v>-2741.8358092798862</v>
      </c>
      <c r="K63" s="949"/>
      <c r="L63" s="949"/>
      <c r="M63" s="949"/>
      <c r="N63" s="950"/>
      <c r="O63" s="950"/>
      <c r="X63" s="1004"/>
      <c r="Y63" s="1004"/>
    </row>
    <row r="64" spans="2:25" ht="9.75" customHeight="1">
      <c r="B64" s="946">
        <f>B52+1</f>
        <v>6</v>
      </c>
      <c r="C64" s="947">
        <f ca="1">C52+1</f>
        <v>35</v>
      </c>
      <c r="D64" s="294">
        <f t="shared" ca="1" si="1"/>
        <v>48055</v>
      </c>
      <c r="E64" s="359">
        <f t="shared" si="5"/>
        <v>0</v>
      </c>
      <c r="F64" s="360">
        <f t="shared" ca="1" si="2"/>
        <v>50</v>
      </c>
      <c r="G64" s="290">
        <f ca="1">KTVCOI!P63</f>
        <v>0.3472992025087856</v>
      </c>
      <c r="H64" s="295">
        <f ca="1">(J63+KTVTRDGTTKcamket!F12-F64-G64)*(1+U3)</f>
        <v>-2795.6495695136528</v>
      </c>
      <c r="I64" s="948"/>
      <c r="J64" s="296">
        <f t="shared" ca="1" si="4"/>
        <v>-2795.6495695136528</v>
      </c>
      <c r="K64" s="949">
        <f ca="1">J75</f>
        <v>-3392.4830100443837</v>
      </c>
      <c r="L64" s="949"/>
      <c r="M64" s="949"/>
      <c r="N64" s="950">
        <f t="shared" ref="N64" ca="1" si="17">SUM(G64:G75)</f>
        <v>4.6195317307817962</v>
      </c>
      <c r="O64" s="950"/>
      <c r="X64" s="945">
        <f t="shared" ref="X64:Y64" ca="1" si="18">SUM(F64:F75)</f>
        <v>600</v>
      </c>
      <c r="Y64" s="945">
        <f t="shared" ca="1" si="18"/>
        <v>4.6195317307817962</v>
      </c>
    </row>
    <row r="65" spans="2:25" ht="9.75" customHeight="1">
      <c r="B65" s="946"/>
      <c r="C65" s="946"/>
      <c r="D65" s="294">
        <f t="shared" ca="1" si="1"/>
        <v>48086</v>
      </c>
      <c r="E65" s="359">
        <f t="shared" si="5"/>
        <v>0</v>
      </c>
      <c r="F65" s="360">
        <f t="shared" ca="1" si="2"/>
        <v>50</v>
      </c>
      <c r="G65" s="290">
        <f ca="1">KTVCOI!P64</f>
        <v>0.3541156121383961</v>
      </c>
      <c r="H65" s="295">
        <f ca="1">(H64-F65-G65)*(1+$U$3)</f>
        <v>-2849.5369637418439</v>
      </c>
      <c r="I65" s="948"/>
      <c r="J65" s="296">
        <f t="shared" ca="1" si="4"/>
        <v>-2849.5369637418439</v>
      </c>
      <c r="K65" s="949"/>
      <c r="L65" s="949"/>
      <c r="M65" s="949"/>
      <c r="N65" s="950"/>
      <c r="O65" s="950"/>
      <c r="X65" s="1004"/>
      <c r="Y65" s="1004"/>
    </row>
    <row r="66" spans="2:25" ht="9.75" customHeight="1">
      <c r="B66" s="946"/>
      <c r="C66" s="946"/>
      <c r="D66" s="294">
        <f t="shared" ca="1" si="1"/>
        <v>48117</v>
      </c>
      <c r="E66" s="359">
        <f t="shared" si="5"/>
        <v>0</v>
      </c>
      <c r="F66" s="360">
        <f t="shared" ca="1" si="2"/>
        <v>50</v>
      </c>
      <c r="G66" s="290">
        <f ca="1">KTVCOI!P65</f>
        <v>0.36094134874063361</v>
      </c>
      <c r="H66" s="295">
        <f t="shared" ref="H66:H75" ca="1" si="19">(H65-F66-G66)*(1+$U$3)</f>
        <v>-2903.4980927187116</v>
      </c>
      <c r="I66" s="948"/>
      <c r="J66" s="296">
        <f t="shared" ca="1" si="4"/>
        <v>-2903.4980927187116</v>
      </c>
      <c r="K66" s="949"/>
      <c r="L66" s="949"/>
      <c r="M66" s="949"/>
      <c r="N66" s="950"/>
      <c r="O66" s="950"/>
      <c r="X66" s="1004"/>
      <c r="Y66" s="1004"/>
    </row>
    <row r="67" spans="2:25" ht="9.75" customHeight="1">
      <c r="B67" s="946"/>
      <c r="C67" s="946"/>
      <c r="D67" s="294">
        <f t="shared" ca="1" si="1"/>
        <v>48147</v>
      </c>
      <c r="E67" s="359">
        <f t="shared" si="5"/>
        <v>0</v>
      </c>
      <c r="F67" s="360">
        <f t="shared" ca="1" si="2"/>
        <v>50</v>
      </c>
      <c r="G67" s="290">
        <f ca="1">KTVCOI!P66</f>
        <v>0.36777642507770342</v>
      </c>
      <c r="H67" s="295">
        <f t="shared" ca="1" si="19"/>
        <v>-2957.5330573363703</v>
      </c>
      <c r="I67" s="948"/>
      <c r="J67" s="296">
        <f t="shared" ca="1" si="4"/>
        <v>-2957.5330573363703</v>
      </c>
      <c r="K67" s="949"/>
      <c r="L67" s="949"/>
      <c r="M67" s="949"/>
      <c r="N67" s="950"/>
      <c r="O67" s="950"/>
      <c r="X67" s="1004"/>
      <c r="Y67" s="1004"/>
    </row>
    <row r="68" spans="2:25" ht="9.75" customHeight="1">
      <c r="B68" s="946"/>
      <c r="C68" s="946"/>
      <c r="D68" s="294">
        <f t="shared" ca="1" si="1"/>
        <v>48178</v>
      </c>
      <c r="E68" s="359">
        <f t="shared" si="5"/>
        <v>0</v>
      </c>
      <c r="F68" s="360">
        <f t="shared" ca="1" si="2"/>
        <v>50</v>
      </c>
      <c r="G68" s="290">
        <f ca="1">KTVCOI!P67</f>
        <v>0.37462085392927363</v>
      </c>
      <c r="H68" s="295">
        <f t="shared" ca="1" si="19"/>
        <v>-3011.6419586249863</v>
      </c>
      <c r="I68" s="948"/>
      <c r="J68" s="296">
        <f t="shared" ca="1" si="4"/>
        <v>-3011.6419586249863</v>
      </c>
      <c r="K68" s="949"/>
      <c r="L68" s="949"/>
      <c r="M68" s="949"/>
      <c r="N68" s="950"/>
      <c r="O68" s="950"/>
      <c r="X68" s="1004"/>
      <c r="Y68" s="1004"/>
    </row>
    <row r="69" spans="2:25" ht="9.75" customHeight="1">
      <c r="B69" s="946"/>
      <c r="C69" s="946"/>
      <c r="D69" s="294">
        <f t="shared" ref="D69:D132" ca="1" si="20">EDATE(D68,1)</f>
        <v>48208</v>
      </c>
      <c r="E69" s="359">
        <f t="shared" si="5"/>
        <v>0</v>
      </c>
      <c r="F69" s="360">
        <f t="shared" ref="F69:F132" ca="1" si="21">IF(YEAR(D69)=2025,40000,IF(YEAR(D69)=2026,40000,IF(YEAR(D69)=2027,40000,IF(YEAR(D69)=2028,40000,IF(YEAR(D69)=2029,40000,IF(YEAR(D69)=2030,50000,IF(YEAR(D69)=2031,50000,IF(YEAR(D69)=2032,50000,IF(YEAR(D69)=2033,50000,IF(YEAR(D69)=2034,50000,IF(YEAR(D69)&gt;=2035,60000,0)))))))))))/1000</f>
        <v>50</v>
      </c>
      <c r="G69" s="290">
        <f ca="1">KTVCOI!P68</f>
        <v>0.3814746480924982</v>
      </c>
      <c r="H69" s="295">
        <f t="shared" ca="1" si="19"/>
        <v>-3065.824897752967</v>
      </c>
      <c r="I69" s="948"/>
      <c r="J69" s="296">
        <f t="shared" ref="J69:J132" ca="1" si="22">H69</f>
        <v>-3065.824897752967</v>
      </c>
      <c r="K69" s="949"/>
      <c r="L69" s="949"/>
      <c r="M69" s="949"/>
      <c r="N69" s="950"/>
      <c r="O69" s="950"/>
      <c r="X69" s="1004"/>
      <c r="Y69" s="1004"/>
    </row>
    <row r="70" spans="2:25" ht="9.75" customHeight="1">
      <c r="B70" s="946"/>
      <c r="C70" s="946"/>
      <c r="D70" s="294">
        <f t="shared" ca="1" si="20"/>
        <v>48239</v>
      </c>
      <c r="E70" s="359">
        <f t="shared" ref="E70:E133" si="23">E69</f>
        <v>0</v>
      </c>
      <c r="F70" s="360">
        <f t="shared" ca="1" si="21"/>
        <v>50</v>
      </c>
      <c r="G70" s="290">
        <f ca="1">KTVCOI!P69</f>
        <v>0.38833782038204245</v>
      </c>
      <c r="H70" s="295">
        <f t="shared" ca="1" si="19"/>
        <v>-3120.0819760271497</v>
      </c>
      <c r="I70" s="948"/>
      <c r="J70" s="296">
        <f t="shared" ca="1" si="22"/>
        <v>-3120.0819760271497</v>
      </c>
      <c r="K70" s="949"/>
      <c r="L70" s="949"/>
      <c r="M70" s="949"/>
      <c r="N70" s="950"/>
      <c r="O70" s="950"/>
      <c r="X70" s="1004"/>
      <c r="Y70" s="1004"/>
    </row>
    <row r="71" spans="2:25" ht="9.75" customHeight="1">
      <c r="B71" s="946"/>
      <c r="C71" s="946"/>
      <c r="D71" s="294">
        <f t="shared" ca="1" si="20"/>
        <v>48270</v>
      </c>
      <c r="E71" s="359">
        <f t="shared" si="23"/>
        <v>0</v>
      </c>
      <c r="F71" s="360">
        <f t="shared" ca="1" si="21"/>
        <v>50</v>
      </c>
      <c r="G71" s="290">
        <f ca="1">KTVCOI!P70</f>
        <v>0.39521038363010558</v>
      </c>
      <c r="H71" s="295">
        <f t="shared" ca="1" si="19"/>
        <v>-3174.4132948929914</v>
      </c>
      <c r="I71" s="948"/>
      <c r="J71" s="296">
        <f t="shared" ca="1" si="22"/>
        <v>-3174.4132948929914</v>
      </c>
      <c r="K71" s="949"/>
      <c r="L71" s="949"/>
      <c r="M71" s="949"/>
      <c r="N71" s="950"/>
      <c r="O71" s="950"/>
      <c r="X71" s="1004"/>
      <c r="Y71" s="1004"/>
    </row>
    <row r="72" spans="2:25" ht="9.75" customHeight="1">
      <c r="B72" s="946"/>
      <c r="C72" s="946"/>
      <c r="D72" s="294">
        <f t="shared" ca="1" si="20"/>
        <v>48299</v>
      </c>
      <c r="E72" s="359">
        <f t="shared" si="23"/>
        <v>0</v>
      </c>
      <c r="F72" s="360">
        <f t="shared" ca="1" si="21"/>
        <v>50</v>
      </c>
      <c r="G72" s="290">
        <f ca="1">KTVCOI!P71</f>
        <v>0.40209235068644555</v>
      </c>
      <c r="H72" s="295">
        <f t="shared" ca="1" si="19"/>
        <v>-3228.8189559347575</v>
      </c>
      <c r="I72" s="948"/>
      <c r="J72" s="296">
        <f t="shared" ca="1" si="22"/>
        <v>-3228.8189559347575</v>
      </c>
      <c r="K72" s="949"/>
      <c r="L72" s="949"/>
      <c r="M72" s="949"/>
      <c r="N72" s="950"/>
      <c r="O72" s="950"/>
      <c r="X72" s="1004"/>
      <c r="Y72" s="1004"/>
    </row>
    <row r="73" spans="2:25" ht="9.75" customHeight="1">
      <c r="B73" s="946"/>
      <c r="C73" s="946"/>
      <c r="D73" s="294">
        <f t="shared" ca="1" si="20"/>
        <v>48330</v>
      </c>
      <c r="E73" s="359">
        <f t="shared" si="23"/>
        <v>0</v>
      </c>
      <c r="F73" s="360">
        <f t="shared" ca="1" si="21"/>
        <v>50</v>
      </c>
      <c r="G73" s="290">
        <f ca="1">KTVCOI!P72</f>
        <v>0.40898373441840263</v>
      </c>
      <c r="H73" s="295">
        <f t="shared" ca="1" si="19"/>
        <v>-3283.2990608757127</v>
      </c>
      <c r="I73" s="948"/>
      <c r="J73" s="296">
        <f t="shared" ca="1" si="22"/>
        <v>-3283.2990608757127</v>
      </c>
      <c r="K73" s="949"/>
      <c r="L73" s="949"/>
      <c r="M73" s="949"/>
      <c r="N73" s="950"/>
      <c r="O73" s="950"/>
      <c r="X73" s="1004"/>
      <c r="Y73" s="1004"/>
    </row>
    <row r="74" spans="2:25" ht="9.75" customHeight="1">
      <c r="B74" s="946"/>
      <c r="C74" s="946"/>
      <c r="D74" s="294">
        <f t="shared" ca="1" si="20"/>
        <v>48360</v>
      </c>
      <c r="E74" s="359">
        <f t="shared" si="23"/>
        <v>0</v>
      </c>
      <c r="F74" s="360">
        <f t="shared" ca="1" si="21"/>
        <v>50</v>
      </c>
      <c r="G74" s="290">
        <f ca="1">KTVCOI!P73</f>
        <v>0.41588454771092365</v>
      </c>
      <c r="H74" s="295">
        <f t="shared" ca="1" si="19"/>
        <v>-3337.8537115783101</v>
      </c>
      <c r="I74" s="948"/>
      <c r="J74" s="296">
        <f t="shared" ca="1" si="22"/>
        <v>-3337.8537115783101</v>
      </c>
      <c r="K74" s="949"/>
      <c r="L74" s="949"/>
      <c r="M74" s="949"/>
      <c r="N74" s="950"/>
      <c r="O74" s="950"/>
      <c r="X74" s="1004"/>
      <c r="Y74" s="1004"/>
    </row>
    <row r="75" spans="2:25" ht="9.75" customHeight="1">
      <c r="B75" s="946"/>
      <c r="C75" s="946"/>
      <c r="D75" s="294">
        <f t="shared" ca="1" si="20"/>
        <v>48391</v>
      </c>
      <c r="E75" s="359">
        <f t="shared" si="23"/>
        <v>0</v>
      </c>
      <c r="F75" s="360">
        <f t="shared" ca="1" si="21"/>
        <v>50</v>
      </c>
      <c r="G75" s="290">
        <f ca="1">KTVCOI!P74</f>
        <v>0.42279480346658599</v>
      </c>
      <c r="H75" s="295">
        <f t="shared" ca="1" si="19"/>
        <v>-3392.4830100443837</v>
      </c>
      <c r="I75" s="948"/>
      <c r="J75" s="297">
        <f ca="1">H75+I64</f>
        <v>-3392.4830100443837</v>
      </c>
      <c r="K75" s="949"/>
      <c r="L75" s="949"/>
      <c r="M75" s="949"/>
      <c r="N75" s="950"/>
      <c r="O75" s="950"/>
      <c r="X75" s="1004"/>
      <c r="Y75" s="1004"/>
    </row>
    <row r="76" spans="2:25" ht="9.75" customHeight="1">
      <c r="B76" s="951">
        <f>B64+1</f>
        <v>7</v>
      </c>
      <c r="C76" s="952">
        <f ca="1">C64+1</f>
        <v>36</v>
      </c>
      <c r="D76" s="287">
        <f t="shared" ca="1" si="20"/>
        <v>48421</v>
      </c>
      <c r="E76" s="359">
        <f t="shared" si="23"/>
        <v>0</v>
      </c>
      <c r="F76" s="289">
        <f t="shared" ca="1" si="21"/>
        <v>50</v>
      </c>
      <c r="G76" s="290">
        <f ca="1">KTVCOI!P75</f>
        <v>0.45798520635599188</v>
      </c>
      <c r="H76" s="290">
        <f ca="1">(J75+KTVTRDGTTKcamket!F13-F76-G76)*(1+$U$3)</f>
        <v>-3447.2153642048033</v>
      </c>
      <c r="I76" s="953"/>
      <c r="J76" s="292">
        <f t="shared" ca="1" si="22"/>
        <v>-3447.2153642048033</v>
      </c>
      <c r="K76" s="949">
        <f ca="1">J87</f>
        <v>-4054.2670915954509</v>
      </c>
      <c r="L76" s="949"/>
      <c r="M76" s="949"/>
      <c r="N76" s="950">
        <f t="shared" ref="N76" ca="1" si="24">SUM(G76:G87)</f>
        <v>5.9857325220498145</v>
      </c>
      <c r="O76" s="950"/>
      <c r="X76" s="945">
        <f t="shared" ref="X76:Y76" ca="1" si="25">SUM(F76:F87)</f>
        <v>600</v>
      </c>
      <c r="Y76" s="945">
        <f t="shared" ca="1" si="25"/>
        <v>5.9857325220498145</v>
      </c>
    </row>
    <row r="77" spans="2:25" ht="9.75" customHeight="1">
      <c r="B77" s="951"/>
      <c r="C77" s="951"/>
      <c r="D77" s="287">
        <f t="shared" ca="1" si="20"/>
        <v>48452</v>
      </c>
      <c r="E77" s="359">
        <f t="shared" si="23"/>
        <v>0</v>
      </c>
      <c r="F77" s="289">
        <f t="shared" ca="1" si="21"/>
        <v>50</v>
      </c>
      <c r="G77" s="290">
        <f ca="1">KTVCOI!P76</f>
        <v>0.46537407416764848</v>
      </c>
      <c r="H77" s="290">
        <f ca="1">(H76-F77-G77)*(1+$U$3)</f>
        <v>-3502.0230659516055</v>
      </c>
      <c r="I77" s="953"/>
      <c r="J77" s="292">
        <f t="shared" ca="1" si="22"/>
        <v>-3502.0230659516055</v>
      </c>
      <c r="K77" s="949"/>
      <c r="L77" s="949"/>
      <c r="M77" s="949"/>
      <c r="N77" s="950"/>
      <c r="O77" s="950"/>
      <c r="X77" s="1004"/>
      <c r="Y77" s="1004"/>
    </row>
    <row r="78" spans="2:25" ht="9.75" customHeight="1">
      <c r="B78" s="951"/>
      <c r="C78" s="951"/>
      <c r="D78" s="287">
        <f t="shared" ca="1" si="20"/>
        <v>48483</v>
      </c>
      <c r="E78" s="359">
        <f t="shared" si="23"/>
        <v>0</v>
      </c>
      <c r="F78" s="289">
        <f t="shared" ca="1" si="21"/>
        <v>50</v>
      </c>
      <c r="G78" s="290">
        <f ca="1">KTVCOI!P77</f>
        <v>0.47277311390346677</v>
      </c>
      <c r="H78" s="290">
        <f t="shared" ref="H78:H87" ca="1" si="26">(H77-F78-G78)*(1+$U$3)</f>
        <v>-3556.9062190124459</v>
      </c>
      <c r="I78" s="953"/>
      <c r="J78" s="292">
        <f t="shared" ca="1" si="22"/>
        <v>-3556.9062190124459</v>
      </c>
      <c r="K78" s="949"/>
      <c r="L78" s="949"/>
      <c r="M78" s="949"/>
      <c r="N78" s="950"/>
      <c r="O78" s="950"/>
      <c r="X78" s="1004"/>
      <c r="Y78" s="1004"/>
    </row>
    <row r="79" spans="2:25" ht="9.75" customHeight="1">
      <c r="B79" s="951"/>
      <c r="C79" s="951"/>
      <c r="D79" s="287">
        <f t="shared" ca="1" si="20"/>
        <v>48513</v>
      </c>
      <c r="E79" s="359">
        <f t="shared" si="23"/>
        <v>0</v>
      </c>
      <c r="F79" s="289">
        <f t="shared" ca="1" si="21"/>
        <v>50</v>
      </c>
      <c r="G79" s="290">
        <f ca="1">KTVCOI!P78</f>
        <v>0.48018233956668027</v>
      </c>
      <c r="H79" s="290">
        <f t="shared" ca="1" si="26"/>
        <v>-3611.8649272577773</v>
      </c>
      <c r="I79" s="953"/>
      <c r="J79" s="292">
        <f t="shared" ca="1" si="22"/>
        <v>-3611.8649272577773</v>
      </c>
      <c r="K79" s="949"/>
      <c r="L79" s="949"/>
      <c r="M79" s="949"/>
      <c r="N79" s="950"/>
      <c r="O79" s="950"/>
      <c r="X79" s="1004"/>
      <c r="Y79" s="1004"/>
    </row>
    <row r="80" spans="2:25" ht="9.75" customHeight="1">
      <c r="B80" s="951"/>
      <c r="C80" s="951"/>
      <c r="D80" s="287">
        <f t="shared" ca="1" si="20"/>
        <v>48544</v>
      </c>
      <c r="E80" s="359">
        <f t="shared" si="23"/>
        <v>0</v>
      </c>
      <c r="F80" s="289">
        <f t="shared" ca="1" si="21"/>
        <v>50</v>
      </c>
      <c r="G80" s="290">
        <f ca="1">KTVCOI!P79</f>
        <v>0.48760176517979992</v>
      </c>
      <c r="H80" s="290">
        <f t="shared" ca="1" si="26"/>
        <v>-3666.8992947010461</v>
      </c>
      <c r="I80" s="953"/>
      <c r="J80" s="292">
        <f t="shared" ca="1" si="22"/>
        <v>-3666.8992947010461</v>
      </c>
      <c r="K80" s="949"/>
      <c r="L80" s="949"/>
      <c r="M80" s="949"/>
      <c r="N80" s="950"/>
      <c r="O80" s="950"/>
      <c r="X80" s="1004"/>
      <c r="Y80" s="1004"/>
    </row>
    <row r="81" spans="2:25" ht="9.75" customHeight="1">
      <c r="B81" s="951"/>
      <c r="C81" s="951"/>
      <c r="D81" s="287">
        <f t="shared" ca="1" si="20"/>
        <v>48574</v>
      </c>
      <c r="E81" s="359">
        <f t="shared" si="23"/>
        <v>0</v>
      </c>
      <c r="F81" s="289">
        <f t="shared" ca="1" si="21"/>
        <v>50</v>
      </c>
      <c r="G81" s="290">
        <f ca="1">KTVCOI!P80</f>
        <v>0.49503140478464119</v>
      </c>
      <c r="H81" s="290">
        <f t="shared" ca="1" si="26"/>
        <v>-3722.0094254988894</v>
      </c>
      <c r="I81" s="953"/>
      <c r="J81" s="292">
        <f t="shared" ca="1" si="22"/>
        <v>-3722.0094254988894</v>
      </c>
      <c r="K81" s="949"/>
      <c r="L81" s="949"/>
      <c r="M81" s="949"/>
      <c r="N81" s="950"/>
      <c r="O81" s="950"/>
      <c r="X81" s="1004"/>
      <c r="Y81" s="1004"/>
    </row>
    <row r="82" spans="2:25" ht="9.75" customHeight="1">
      <c r="B82" s="951"/>
      <c r="C82" s="951"/>
      <c r="D82" s="287">
        <f t="shared" ca="1" si="20"/>
        <v>48605</v>
      </c>
      <c r="E82" s="359">
        <f t="shared" si="23"/>
        <v>0</v>
      </c>
      <c r="F82" s="289">
        <f t="shared" ca="1" si="21"/>
        <v>50</v>
      </c>
      <c r="G82" s="290">
        <f ca="1">KTVCOI!P81</f>
        <v>0.50247127244235013</v>
      </c>
      <c r="H82" s="290">
        <f t="shared" ca="1" si="26"/>
        <v>-3777.1954239513325</v>
      </c>
      <c r="I82" s="953"/>
      <c r="J82" s="292">
        <f t="shared" ca="1" si="22"/>
        <v>-3777.1954239513325</v>
      </c>
      <c r="K82" s="949"/>
      <c r="L82" s="949"/>
      <c r="M82" s="949"/>
      <c r="N82" s="950"/>
      <c r="O82" s="950"/>
      <c r="X82" s="1004"/>
      <c r="Y82" s="1004"/>
    </row>
    <row r="83" spans="2:25" ht="9.75" customHeight="1">
      <c r="B83" s="951"/>
      <c r="C83" s="951"/>
      <c r="D83" s="287">
        <f t="shared" ca="1" si="20"/>
        <v>48636</v>
      </c>
      <c r="E83" s="359">
        <f t="shared" si="23"/>
        <v>0</v>
      </c>
      <c r="F83" s="289">
        <f t="shared" ca="1" si="21"/>
        <v>50</v>
      </c>
      <c r="G83" s="290">
        <f ca="1">KTVCOI!P82</f>
        <v>0.50992138223342998</v>
      </c>
      <c r="H83" s="290">
        <f t="shared" ca="1" si="26"/>
        <v>-3832.4573945019852</v>
      </c>
      <c r="I83" s="953"/>
      <c r="J83" s="292">
        <f t="shared" ca="1" si="22"/>
        <v>-3832.4573945019852</v>
      </c>
      <c r="K83" s="949"/>
      <c r="L83" s="949"/>
      <c r="M83" s="949"/>
      <c r="N83" s="950"/>
      <c r="O83" s="950"/>
      <c r="X83" s="1004"/>
      <c r="Y83" s="1004"/>
    </row>
    <row r="84" spans="2:25" ht="9.75" customHeight="1">
      <c r="B84" s="951"/>
      <c r="C84" s="951"/>
      <c r="D84" s="287">
        <f t="shared" ca="1" si="20"/>
        <v>48664</v>
      </c>
      <c r="E84" s="359">
        <f t="shared" si="23"/>
        <v>0</v>
      </c>
      <c r="F84" s="289">
        <f t="shared" ca="1" si="21"/>
        <v>50</v>
      </c>
      <c r="G84" s="290">
        <f ca="1">KTVCOI!P83</f>
        <v>0.51738174825776795</v>
      </c>
      <c r="H84" s="290">
        <f t="shared" ca="1" si="26"/>
        <v>-3887.7954417382398</v>
      </c>
      <c r="I84" s="953"/>
      <c r="J84" s="292">
        <f t="shared" ca="1" si="22"/>
        <v>-3887.7954417382398</v>
      </c>
      <c r="K84" s="949"/>
      <c r="L84" s="949"/>
      <c r="M84" s="949"/>
      <c r="N84" s="950"/>
      <c r="O84" s="950"/>
      <c r="X84" s="1004"/>
      <c r="Y84" s="1004"/>
    </row>
    <row r="85" spans="2:25" ht="9.75" customHeight="1">
      <c r="B85" s="951"/>
      <c r="C85" s="951"/>
      <c r="D85" s="287">
        <f t="shared" ca="1" si="20"/>
        <v>48695</v>
      </c>
      <c r="E85" s="359">
        <f t="shared" si="23"/>
        <v>0</v>
      </c>
      <c r="F85" s="289">
        <f t="shared" ca="1" si="21"/>
        <v>50</v>
      </c>
      <c r="G85" s="290">
        <f ca="1">KTVCOI!P84</f>
        <v>0.52485238463466244</v>
      </c>
      <c r="H85" s="290">
        <f t="shared" ca="1" si="26"/>
        <v>-3943.2096703914713</v>
      </c>
      <c r="I85" s="953"/>
      <c r="J85" s="292">
        <f t="shared" ca="1" si="22"/>
        <v>-3943.2096703914713</v>
      </c>
      <c r="K85" s="949"/>
      <c r="L85" s="949"/>
      <c r="M85" s="949"/>
      <c r="N85" s="950"/>
      <c r="O85" s="950"/>
      <c r="X85" s="1004"/>
      <c r="Y85" s="1004"/>
    </row>
    <row r="86" spans="2:25" ht="9.75" customHeight="1">
      <c r="B86" s="951"/>
      <c r="C86" s="951"/>
      <c r="D86" s="287">
        <f t="shared" ca="1" si="20"/>
        <v>48725</v>
      </c>
      <c r="E86" s="359">
        <f t="shared" si="23"/>
        <v>0</v>
      </c>
      <c r="F86" s="289">
        <f t="shared" ca="1" si="21"/>
        <v>50</v>
      </c>
      <c r="G86" s="290">
        <f ca="1">KTVCOI!P85</f>
        <v>0.53233330550284863</v>
      </c>
      <c r="H86" s="290">
        <f t="shared" ca="1" si="26"/>
        <v>-3998.7001853372317</v>
      </c>
      <c r="I86" s="953"/>
      <c r="J86" s="292">
        <f t="shared" ca="1" si="22"/>
        <v>-3998.7001853372317</v>
      </c>
      <c r="K86" s="949"/>
      <c r="L86" s="949"/>
      <c r="M86" s="949"/>
      <c r="N86" s="950"/>
      <c r="O86" s="950"/>
      <c r="X86" s="1004"/>
      <c r="Y86" s="1004"/>
    </row>
    <row r="87" spans="2:25" ht="9.75" customHeight="1">
      <c r="B87" s="951"/>
      <c r="C87" s="951"/>
      <c r="D87" s="287">
        <f t="shared" ca="1" si="20"/>
        <v>48756</v>
      </c>
      <c r="E87" s="359">
        <f t="shared" si="23"/>
        <v>0</v>
      </c>
      <c r="F87" s="289">
        <f t="shared" ca="1" si="21"/>
        <v>50</v>
      </c>
      <c r="G87" s="290">
        <f ca="1">KTVCOI!P86</f>
        <v>0.53982452502052636</v>
      </c>
      <c r="H87" s="290">
        <f t="shared" ca="1" si="26"/>
        <v>-4054.2670915954509</v>
      </c>
      <c r="I87" s="953"/>
      <c r="J87" s="293">
        <f ca="1">H87+I76</f>
        <v>-4054.2670915954509</v>
      </c>
      <c r="K87" s="949"/>
      <c r="L87" s="949"/>
      <c r="M87" s="949"/>
      <c r="N87" s="950"/>
      <c r="O87" s="950"/>
      <c r="X87" s="1004"/>
      <c r="Y87" s="1004"/>
    </row>
    <row r="88" spans="2:25" ht="9.75" customHeight="1">
      <c r="B88" s="946">
        <f>B76+1</f>
        <v>8</v>
      </c>
      <c r="C88" s="947">
        <f ca="1">C76+1</f>
        <v>37</v>
      </c>
      <c r="D88" s="294">
        <f t="shared" ca="1" si="20"/>
        <v>48786</v>
      </c>
      <c r="E88" s="359">
        <f t="shared" si="23"/>
        <v>0</v>
      </c>
      <c r="F88" s="360">
        <f t="shared" ca="1" si="21"/>
        <v>50</v>
      </c>
      <c r="G88" s="290">
        <f ca="1">KTVCOI!P87</f>
        <v>0.58786872828134029</v>
      </c>
      <c r="H88" s="295">
        <f ca="1">(J87+KTVTRDGTTKcamket!F14-F88-G88)*(1+U3)</f>
        <v>-4109.9510873347799</v>
      </c>
      <c r="I88" s="948"/>
      <c r="J88" s="296">
        <f t="shared" ca="1" si="22"/>
        <v>-4109.9510873347799</v>
      </c>
      <c r="K88" s="949">
        <f ca="1">J99</f>
        <v>-4727.5948731326234</v>
      </c>
      <c r="L88" s="949"/>
      <c r="M88" s="949"/>
      <c r="N88" s="950">
        <f t="shared" ref="N88" ca="1" si="27">SUM(G88:G99)</f>
        <v>7.5897914456429341</v>
      </c>
      <c r="O88" s="950"/>
      <c r="X88" s="945">
        <f t="shared" ref="X88:Y88" ca="1" si="28">SUM(F88:F99)</f>
        <v>600</v>
      </c>
      <c r="Y88" s="945">
        <f t="shared" ca="1" si="28"/>
        <v>7.5897914456429341</v>
      </c>
    </row>
    <row r="89" spans="2:25" ht="9.75" customHeight="1">
      <c r="B89" s="946"/>
      <c r="C89" s="946"/>
      <c r="D89" s="294">
        <f t="shared" ca="1" si="20"/>
        <v>48817</v>
      </c>
      <c r="E89" s="359">
        <f t="shared" si="23"/>
        <v>0</v>
      </c>
      <c r="F89" s="360">
        <f t="shared" ca="1" si="21"/>
        <v>50</v>
      </c>
      <c r="G89" s="290">
        <f ca="1">KTVCOI!P88</f>
        <v>0.59594290766354308</v>
      </c>
      <c r="H89" s="295">
        <f ca="1">(H88-F89-G89)*(1+$U$3)</f>
        <v>-4165.7122982741994</v>
      </c>
      <c r="I89" s="948"/>
      <c r="J89" s="296">
        <f t="shared" ca="1" si="22"/>
        <v>-4165.7122982741994</v>
      </c>
      <c r="K89" s="949"/>
      <c r="L89" s="949"/>
      <c r="M89" s="949"/>
      <c r="N89" s="950"/>
      <c r="O89" s="950"/>
      <c r="X89" s="1004"/>
      <c r="Y89" s="1004"/>
    </row>
    <row r="90" spans="2:25" ht="9.75" customHeight="1">
      <c r="B90" s="946"/>
      <c r="C90" s="946"/>
      <c r="D90" s="294">
        <f t="shared" ca="1" si="20"/>
        <v>48848</v>
      </c>
      <c r="E90" s="359">
        <f t="shared" si="23"/>
        <v>0</v>
      </c>
      <c r="F90" s="360">
        <f t="shared" ca="1" si="21"/>
        <v>50</v>
      </c>
      <c r="G90" s="290">
        <f ca="1">KTVCOI!P89</f>
        <v>0.60402828324975888</v>
      </c>
      <c r="H90" s="295">
        <f t="shared" ref="H90:H99" ca="1" si="29">(H89-F90-G90)*(1+$U$3)</f>
        <v>-4221.5508314855351</v>
      </c>
      <c r="I90" s="948"/>
      <c r="J90" s="296">
        <f t="shared" ca="1" si="22"/>
        <v>-4221.5508314855351</v>
      </c>
      <c r="K90" s="949"/>
      <c r="L90" s="949"/>
      <c r="M90" s="949"/>
      <c r="N90" s="950"/>
      <c r="O90" s="950"/>
      <c r="X90" s="1004"/>
      <c r="Y90" s="1004"/>
    </row>
    <row r="91" spans="2:25" ht="9.75" customHeight="1">
      <c r="B91" s="946"/>
      <c r="C91" s="946"/>
      <c r="D91" s="294">
        <f t="shared" ca="1" si="20"/>
        <v>48878</v>
      </c>
      <c r="E91" s="359">
        <f t="shared" si="23"/>
        <v>0</v>
      </c>
      <c r="F91" s="360">
        <f t="shared" ca="1" si="21"/>
        <v>50</v>
      </c>
      <c r="G91" s="290">
        <f ca="1">KTVCOI!P90</f>
        <v>0.61212487056540255</v>
      </c>
      <c r="H91" s="295">
        <f t="shared" ca="1" si="29"/>
        <v>-4277.4667941890866</v>
      </c>
      <c r="I91" s="948"/>
      <c r="J91" s="296">
        <f t="shared" ca="1" si="22"/>
        <v>-4277.4667941890866</v>
      </c>
      <c r="K91" s="949"/>
      <c r="L91" s="949"/>
      <c r="M91" s="949"/>
      <c r="N91" s="950"/>
      <c r="O91" s="950"/>
      <c r="X91" s="1004"/>
      <c r="Y91" s="1004"/>
    </row>
    <row r="92" spans="2:25" ht="9.75" customHeight="1">
      <c r="B92" s="946"/>
      <c r="C92" s="946"/>
      <c r="D92" s="294">
        <f t="shared" ca="1" si="20"/>
        <v>48909</v>
      </c>
      <c r="E92" s="359">
        <f t="shared" si="23"/>
        <v>0</v>
      </c>
      <c r="F92" s="360">
        <f t="shared" ca="1" si="21"/>
        <v>50</v>
      </c>
      <c r="G92" s="290">
        <f ca="1">KTVCOI!P91</f>
        <v>0.62023268515741758</v>
      </c>
      <c r="H92" s="295">
        <f t="shared" ca="1" si="29"/>
        <v>-4333.4602937538311</v>
      </c>
      <c r="I92" s="948"/>
      <c r="J92" s="296">
        <f t="shared" ca="1" si="22"/>
        <v>-4333.4602937538311</v>
      </c>
      <c r="K92" s="949"/>
      <c r="L92" s="949"/>
      <c r="M92" s="949"/>
      <c r="N92" s="950"/>
      <c r="O92" s="950"/>
      <c r="X92" s="1004"/>
      <c r="Y92" s="1004"/>
    </row>
    <row r="93" spans="2:25" ht="9.75" customHeight="1">
      <c r="B93" s="946"/>
      <c r="C93" s="946"/>
      <c r="D93" s="294">
        <f t="shared" ca="1" si="20"/>
        <v>48939</v>
      </c>
      <c r="E93" s="359">
        <f t="shared" si="23"/>
        <v>0</v>
      </c>
      <c r="F93" s="360">
        <f t="shared" ca="1" si="21"/>
        <v>50</v>
      </c>
      <c r="G93" s="290">
        <f ca="1">KTVCOI!P92</f>
        <v>0.62835174259430548</v>
      </c>
      <c r="H93" s="295">
        <f t="shared" ca="1" si="29"/>
        <v>-4389.5314376976339</v>
      </c>
      <c r="I93" s="948"/>
      <c r="J93" s="296">
        <f t="shared" ca="1" si="22"/>
        <v>-4389.5314376976339</v>
      </c>
      <c r="K93" s="949"/>
      <c r="L93" s="949"/>
      <c r="M93" s="949"/>
      <c r="N93" s="950"/>
      <c r="O93" s="950"/>
      <c r="X93" s="1004"/>
      <c r="Y93" s="1004"/>
    </row>
    <row r="94" spans="2:25" ht="9.75" customHeight="1">
      <c r="B94" s="946"/>
      <c r="C94" s="946"/>
      <c r="D94" s="294">
        <f t="shared" ca="1" si="20"/>
        <v>48970</v>
      </c>
      <c r="E94" s="359">
        <f t="shared" si="23"/>
        <v>0</v>
      </c>
      <c r="F94" s="360">
        <f t="shared" ca="1" si="21"/>
        <v>50</v>
      </c>
      <c r="G94" s="290">
        <f ca="1">KTVCOI!P93</f>
        <v>0.63648205846615691</v>
      </c>
      <c r="H94" s="295">
        <f t="shared" ca="1" si="29"/>
        <v>-4445.6803336874491</v>
      </c>
      <c r="I94" s="948"/>
      <c r="J94" s="296">
        <f t="shared" ca="1" si="22"/>
        <v>-4445.6803336874491</v>
      </c>
      <c r="K94" s="949"/>
      <c r="L94" s="949"/>
      <c r="M94" s="949"/>
      <c r="N94" s="950"/>
      <c r="O94" s="950"/>
      <c r="X94" s="1004"/>
      <c r="Y94" s="1004"/>
    </row>
    <row r="95" spans="2:25" ht="9.75" customHeight="1">
      <c r="B95" s="946"/>
      <c r="C95" s="946"/>
      <c r="D95" s="294">
        <f t="shared" ca="1" si="20"/>
        <v>49001</v>
      </c>
      <c r="E95" s="359">
        <f t="shared" si="23"/>
        <v>0</v>
      </c>
      <c r="F95" s="360">
        <f t="shared" ca="1" si="21"/>
        <v>50</v>
      </c>
      <c r="G95" s="290">
        <f ca="1">KTVCOI!P94</f>
        <v>0.64462364838468011</v>
      </c>
      <c r="H95" s="295">
        <f t="shared" ca="1" si="29"/>
        <v>-4501.9070895395298</v>
      </c>
      <c r="I95" s="948"/>
      <c r="J95" s="296">
        <f t="shared" ca="1" si="22"/>
        <v>-4501.9070895395298</v>
      </c>
      <c r="K95" s="949"/>
      <c r="L95" s="949"/>
      <c r="M95" s="949"/>
      <c r="N95" s="950"/>
      <c r="O95" s="950"/>
      <c r="X95" s="1004"/>
      <c r="Y95" s="1004"/>
    </row>
    <row r="96" spans="2:25" ht="9.75" customHeight="1">
      <c r="B96" s="946"/>
      <c r="C96" s="946"/>
      <c r="D96" s="294">
        <f t="shared" ca="1" si="20"/>
        <v>49029</v>
      </c>
      <c r="E96" s="359">
        <f t="shared" si="23"/>
        <v>0</v>
      </c>
      <c r="F96" s="360">
        <f t="shared" ca="1" si="21"/>
        <v>50</v>
      </c>
      <c r="G96" s="290">
        <f ca="1">KTVCOI!P95</f>
        <v>0.65277652798323182</v>
      </c>
      <c r="H96" s="295">
        <f t="shared" ca="1" si="29"/>
        <v>-4558.2118132196356</v>
      </c>
      <c r="I96" s="948"/>
      <c r="J96" s="296">
        <f t="shared" ca="1" si="22"/>
        <v>-4558.2118132196356</v>
      </c>
      <c r="K96" s="949"/>
      <c r="L96" s="949"/>
      <c r="M96" s="949"/>
      <c r="N96" s="950"/>
      <c r="O96" s="950"/>
      <c r="X96" s="1004"/>
      <c r="Y96" s="1004"/>
    </row>
    <row r="97" spans="2:25" ht="9.75" customHeight="1">
      <c r="B97" s="946"/>
      <c r="C97" s="946"/>
      <c r="D97" s="294">
        <f t="shared" ca="1" si="20"/>
        <v>49060</v>
      </c>
      <c r="E97" s="359">
        <f t="shared" si="23"/>
        <v>0</v>
      </c>
      <c r="F97" s="360">
        <f t="shared" ca="1" si="21"/>
        <v>50</v>
      </c>
      <c r="G97" s="290">
        <f ca="1">KTVCOI!P96</f>
        <v>0.66094071291684708</v>
      </c>
      <c r="H97" s="295">
        <f t="shared" ca="1" si="29"/>
        <v>-4614.5946128432379</v>
      </c>
      <c r="I97" s="948"/>
      <c r="J97" s="296">
        <f t="shared" ca="1" si="22"/>
        <v>-4614.5946128432379</v>
      </c>
      <c r="K97" s="949"/>
      <c r="L97" s="949"/>
      <c r="M97" s="949"/>
      <c r="N97" s="950"/>
      <c r="O97" s="950"/>
      <c r="X97" s="1004"/>
      <c r="Y97" s="1004"/>
    </row>
    <row r="98" spans="2:25" ht="9.75" customHeight="1">
      <c r="B98" s="946"/>
      <c r="C98" s="946"/>
      <c r="D98" s="294">
        <f t="shared" ca="1" si="20"/>
        <v>49090</v>
      </c>
      <c r="E98" s="359">
        <f t="shared" si="23"/>
        <v>0</v>
      </c>
      <c r="F98" s="360">
        <f t="shared" ca="1" si="21"/>
        <v>50</v>
      </c>
      <c r="G98" s="290">
        <f ca="1">KTVCOI!P97</f>
        <v>0.66911621886226946</v>
      </c>
      <c r="H98" s="295">
        <f t="shared" ca="1" si="29"/>
        <v>-4671.0555966757274</v>
      </c>
      <c r="I98" s="948"/>
      <c r="J98" s="296">
        <f t="shared" ca="1" si="22"/>
        <v>-4671.0555966757274</v>
      </c>
      <c r="K98" s="949"/>
      <c r="L98" s="949"/>
      <c r="M98" s="949"/>
      <c r="N98" s="950"/>
      <c r="O98" s="950"/>
      <c r="X98" s="1004"/>
      <c r="Y98" s="1004"/>
    </row>
    <row r="99" spans="2:25" ht="9.75" customHeight="1">
      <c r="B99" s="946"/>
      <c r="C99" s="946"/>
      <c r="D99" s="294">
        <f t="shared" ca="1" si="20"/>
        <v>49121</v>
      </c>
      <c r="E99" s="359">
        <f t="shared" si="23"/>
        <v>0</v>
      </c>
      <c r="F99" s="360">
        <f t="shared" ca="1" si="21"/>
        <v>50</v>
      </c>
      <c r="G99" s="290">
        <f ca="1">KTVCOI!P98</f>
        <v>0.67730306151798059</v>
      </c>
      <c r="H99" s="295">
        <f t="shared" ca="1" si="29"/>
        <v>-4727.5948731326234</v>
      </c>
      <c r="I99" s="948"/>
      <c r="J99" s="297">
        <f ca="1">H99+I88</f>
        <v>-4727.5948731326234</v>
      </c>
      <c r="K99" s="949"/>
      <c r="L99" s="949"/>
      <c r="M99" s="949"/>
      <c r="N99" s="950"/>
      <c r="O99" s="950"/>
      <c r="X99" s="1004"/>
      <c r="Y99" s="1004"/>
    </row>
    <row r="100" spans="2:25" ht="9.75" customHeight="1">
      <c r="B100" s="951">
        <f>B88+1</f>
        <v>9</v>
      </c>
      <c r="C100" s="952">
        <f ca="1">C88+1</f>
        <v>38</v>
      </c>
      <c r="D100" s="287">
        <f t="shared" ca="1" si="20"/>
        <v>49151</v>
      </c>
      <c r="E100" s="359">
        <f t="shared" si="23"/>
        <v>0</v>
      </c>
      <c r="F100" s="289">
        <f t="shared" ca="1" si="21"/>
        <v>50</v>
      </c>
      <c r="G100" s="290">
        <f ca="1">KTVCOI!P99</f>
        <v>0.74065653012411092</v>
      </c>
      <c r="H100" s="290">
        <f ca="1">(J99+KTVTRDGTTKcamket!F15-F100-G100)*(1+$U$3)</f>
        <v>-4784.267774527897</v>
      </c>
      <c r="I100" s="953"/>
      <c r="J100" s="292">
        <f t="shared" ca="1" si="22"/>
        <v>-4784.267774527897</v>
      </c>
      <c r="K100" s="949">
        <f ca="1">J111</f>
        <v>-5473.2094407052455</v>
      </c>
      <c r="L100" s="949"/>
      <c r="M100" s="949"/>
      <c r="N100" s="950">
        <f t="shared" ref="N100" ca="1" si="30">SUM(G100:G111)</f>
        <v>9.5001892965913441</v>
      </c>
      <c r="O100" s="950"/>
      <c r="X100" s="945">
        <f t="shared" ref="X100:Y100" ca="1" si="31">SUM(F100:F111)</f>
        <v>660</v>
      </c>
      <c r="Y100" s="945">
        <f t="shared" ca="1" si="31"/>
        <v>9.5001892965913441</v>
      </c>
    </row>
    <row r="101" spans="2:25" ht="9.75" customHeight="1">
      <c r="B101" s="951"/>
      <c r="C101" s="951"/>
      <c r="D101" s="287">
        <f t="shared" ca="1" si="20"/>
        <v>49182</v>
      </c>
      <c r="E101" s="359">
        <f t="shared" si="23"/>
        <v>0</v>
      </c>
      <c r="F101" s="289">
        <f t="shared" ca="1" si="21"/>
        <v>50</v>
      </c>
      <c r="G101" s="290">
        <f ca="1">KTVCOI!P100</f>
        <v>0.74953528467603714</v>
      </c>
      <c r="H101" s="290">
        <f ca="1">(H100-F101-G101)*(1+$U$3)</f>
        <v>-4841.0199244115256</v>
      </c>
      <c r="I101" s="953"/>
      <c r="J101" s="292">
        <f t="shared" ca="1" si="22"/>
        <v>-4841.0199244115256</v>
      </c>
      <c r="K101" s="949"/>
      <c r="L101" s="949"/>
      <c r="M101" s="949"/>
      <c r="N101" s="950"/>
      <c r="O101" s="950"/>
      <c r="X101" s="1004"/>
      <c r="Y101" s="1004"/>
    </row>
    <row r="102" spans="2:25" ht="9.75" customHeight="1">
      <c r="B102" s="951"/>
      <c r="C102" s="951"/>
      <c r="D102" s="287">
        <f t="shared" ca="1" si="20"/>
        <v>49213</v>
      </c>
      <c r="E102" s="359">
        <f t="shared" si="23"/>
        <v>0</v>
      </c>
      <c r="F102" s="289">
        <f t="shared" ca="1" si="21"/>
        <v>50</v>
      </c>
      <c r="G102" s="290">
        <f ca="1">KTVCOI!P101</f>
        <v>0.75842645482447235</v>
      </c>
      <c r="H102" s="290">
        <f t="shared" ref="H102:H111" ca="1" si="32">(H101-F102-G102)*(1+$U$3)</f>
        <v>-4897.8514336005428</v>
      </c>
      <c r="I102" s="953"/>
      <c r="J102" s="292">
        <f t="shared" ca="1" si="22"/>
        <v>-4897.8514336005428</v>
      </c>
      <c r="K102" s="949"/>
      <c r="L102" s="949"/>
      <c r="M102" s="949"/>
      <c r="N102" s="950"/>
      <c r="O102" s="950"/>
      <c r="X102" s="1004"/>
      <c r="Y102" s="1004"/>
    </row>
    <row r="103" spans="2:25" ht="9.75" customHeight="1">
      <c r="B103" s="951"/>
      <c r="C103" s="951"/>
      <c r="D103" s="287">
        <f t="shared" ca="1" si="20"/>
        <v>49243</v>
      </c>
      <c r="E103" s="359">
        <f t="shared" si="23"/>
        <v>0</v>
      </c>
      <c r="F103" s="289">
        <f t="shared" ca="1" si="21"/>
        <v>50</v>
      </c>
      <c r="G103" s="290">
        <f ca="1">KTVCOI!P102</f>
        <v>0.76733005793075171</v>
      </c>
      <c r="H103" s="290">
        <f t="shared" ca="1" si="32"/>
        <v>-4954.7624130669465</v>
      </c>
      <c r="I103" s="953"/>
      <c r="J103" s="292">
        <f t="shared" ca="1" si="22"/>
        <v>-4954.7624130669465</v>
      </c>
      <c r="K103" s="949"/>
      <c r="L103" s="949"/>
      <c r="M103" s="949"/>
      <c r="N103" s="950"/>
      <c r="O103" s="950"/>
      <c r="X103" s="1004"/>
      <c r="Y103" s="1004"/>
    </row>
    <row r="104" spans="2:25" ht="9.75" customHeight="1">
      <c r="B104" s="951"/>
      <c r="C104" s="951"/>
      <c r="D104" s="287">
        <f t="shared" ca="1" si="20"/>
        <v>49274</v>
      </c>
      <c r="E104" s="359">
        <f t="shared" si="23"/>
        <v>0</v>
      </c>
      <c r="F104" s="289">
        <f t="shared" ca="1" si="21"/>
        <v>50</v>
      </c>
      <c r="G104" s="290">
        <f ca="1">KTVCOI!P103</f>
        <v>0.77624611138048827</v>
      </c>
      <c r="H104" s="290">
        <f t="shared" ca="1" si="32"/>
        <v>-5011.7529739379088</v>
      </c>
      <c r="I104" s="953"/>
      <c r="J104" s="292">
        <f t="shared" ca="1" si="22"/>
        <v>-5011.7529739379088</v>
      </c>
      <c r="K104" s="949"/>
      <c r="L104" s="949"/>
      <c r="M104" s="949"/>
      <c r="N104" s="950"/>
      <c r="O104" s="950"/>
      <c r="X104" s="1004"/>
      <c r="Y104" s="1004"/>
    </row>
    <row r="105" spans="2:25" ht="9.75" customHeight="1">
      <c r="B105" s="951"/>
      <c r="C105" s="951"/>
      <c r="D105" s="287">
        <f t="shared" ca="1" si="20"/>
        <v>49304</v>
      </c>
      <c r="E105" s="359">
        <f t="shared" si="23"/>
        <v>0</v>
      </c>
      <c r="F105" s="289">
        <f t="shared" ca="1" si="21"/>
        <v>50</v>
      </c>
      <c r="G105" s="290">
        <f ca="1">KTVCOI!P104</f>
        <v>0.78517463258360565</v>
      </c>
      <c r="H105" s="290">
        <f t="shared" ca="1" si="32"/>
        <v>-5068.8232274959983</v>
      </c>
      <c r="I105" s="953"/>
      <c r="J105" s="292">
        <f t="shared" ca="1" si="22"/>
        <v>-5068.8232274959983</v>
      </c>
      <c r="K105" s="949"/>
      <c r="L105" s="949"/>
      <c r="M105" s="949"/>
      <c r="N105" s="950"/>
      <c r="O105" s="950"/>
      <c r="X105" s="1004"/>
      <c r="Y105" s="1004"/>
    </row>
    <row r="106" spans="2:25" ht="9.75" customHeight="1">
      <c r="B106" s="951"/>
      <c r="C106" s="951"/>
      <c r="D106" s="287">
        <f t="shared" ca="1" si="20"/>
        <v>49335</v>
      </c>
      <c r="E106" s="359">
        <f t="shared" si="23"/>
        <v>0</v>
      </c>
      <c r="F106" s="289">
        <f t="shared" ca="1" si="21"/>
        <v>60</v>
      </c>
      <c r="G106" s="290">
        <f ca="1">KTVCOI!P105</f>
        <v>0.79411563897437298</v>
      </c>
      <c r="H106" s="290">
        <f t="shared" ca="1" si="32"/>
        <v>-5135.9857000565598</v>
      </c>
      <c r="I106" s="953"/>
      <c r="J106" s="292">
        <f t="shared" ca="1" si="22"/>
        <v>-5135.9857000565598</v>
      </c>
      <c r="K106" s="949"/>
      <c r="L106" s="949"/>
      <c r="M106" s="949"/>
      <c r="N106" s="950"/>
      <c r="O106" s="950"/>
      <c r="X106" s="1004"/>
      <c r="Y106" s="1004"/>
    </row>
    <row r="107" spans="2:25" ht="9.75" customHeight="1">
      <c r="B107" s="951"/>
      <c r="C107" s="951"/>
      <c r="D107" s="287">
        <f t="shared" ca="1" si="20"/>
        <v>49366</v>
      </c>
      <c r="E107" s="359">
        <f t="shared" si="23"/>
        <v>0</v>
      </c>
      <c r="F107" s="289">
        <f t="shared" ca="1" si="21"/>
        <v>60</v>
      </c>
      <c r="G107" s="290">
        <f ca="1">KTVCOI!P106</f>
        <v>0.80463775967552775</v>
      </c>
      <c r="H107" s="290">
        <f t="shared" ca="1" si="32"/>
        <v>-5203.2420891855963</v>
      </c>
      <c r="I107" s="953"/>
      <c r="J107" s="292">
        <f t="shared" ca="1" si="22"/>
        <v>-5203.2420891855963</v>
      </c>
      <c r="K107" s="949"/>
      <c r="L107" s="949"/>
      <c r="M107" s="949"/>
      <c r="N107" s="950"/>
      <c r="O107" s="950"/>
      <c r="X107" s="1004"/>
      <c r="Y107" s="1004"/>
    </row>
    <row r="108" spans="2:25" ht="9.75" customHeight="1">
      <c r="B108" s="951"/>
      <c r="C108" s="951"/>
      <c r="D108" s="287">
        <f t="shared" ca="1" si="20"/>
        <v>49394</v>
      </c>
      <c r="E108" s="359">
        <f t="shared" si="23"/>
        <v>0</v>
      </c>
      <c r="F108" s="289">
        <f t="shared" ca="1" si="21"/>
        <v>60</v>
      </c>
      <c r="G108" s="290">
        <f ca="1">KTVCOI!P107</f>
        <v>0.8151745939724101</v>
      </c>
      <c r="H108" s="290">
        <f t="shared" ca="1" si="32"/>
        <v>-5270.5925262112369</v>
      </c>
      <c r="I108" s="953"/>
      <c r="J108" s="292">
        <f t="shared" ca="1" si="22"/>
        <v>-5270.5925262112369</v>
      </c>
      <c r="K108" s="949"/>
      <c r="L108" s="949"/>
      <c r="M108" s="949"/>
      <c r="N108" s="950"/>
      <c r="O108" s="950"/>
      <c r="X108" s="1004"/>
      <c r="Y108" s="1004"/>
    </row>
    <row r="109" spans="2:25" ht="9.75" customHeight="1">
      <c r="B109" s="951"/>
      <c r="C109" s="951"/>
      <c r="D109" s="287">
        <f t="shared" ca="1" si="20"/>
        <v>49425</v>
      </c>
      <c r="E109" s="359">
        <f t="shared" si="23"/>
        <v>0</v>
      </c>
      <c r="F109" s="289">
        <f t="shared" ca="1" si="21"/>
        <v>60</v>
      </c>
      <c r="G109" s="290">
        <f ca="1">KTVCOI!P108</f>
        <v>0.82572616243976027</v>
      </c>
      <c r="H109" s="290">
        <f t="shared" ca="1" si="32"/>
        <v>-5338.0371426452521</v>
      </c>
      <c r="I109" s="953"/>
      <c r="J109" s="292">
        <f t="shared" ca="1" si="22"/>
        <v>-5338.0371426452521</v>
      </c>
      <c r="K109" s="949"/>
      <c r="L109" s="949"/>
      <c r="M109" s="949"/>
      <c r="N109" s="950"/>
      <c r="O109" s="950"/>
      <c r="X109" s="1004"/>
      <c r="Y109" s="1004"/>
    </row>
    <row r="110" spans="2:25" ht="9.75" customHeight="1">
      <c r="B110" s="951"/>
      <c r="C110" s="951"/>
      <c r="D110" s="287">
        <f t="shared" ca="1" si="20"/>
        <v>49455</v>
      </c>
      <c r="E110" s="359">
        <f t="shared" si="23"/>
        <v>0</v>
      </c>
      <c r="F110" s="289">
        <f t="shared" ca="1" si="21"/>
        <v>60</v>
      </c>
      <c r="G110" s="290">
        <f ca="1">KTVCOI!P109</f>
        <v>0.83629248568108938</v>
      </c>
      <c r="H110" s="290">
        <f t="shared" ca="1" si="32"/>
        <v>-5405.5760701833124</v>
      </c>
      <c r="I110" s="953"/>
      <c r="J110" s="292">
        <f t="shared" ca="1" si="22"/>
        <v>-5405.5760701833124</v>
      </c>
      <c r="K110" s="949"/>
      <c r="L110" s="949"/>
      <c r="M110" s="949"/>
      <c r="N110" s="950"/>
      <c r="O110" s="950"/>
      <c r="X110" s="1004"/>
      <c r="Y110" s="1004"/>
    </row>
    <row r="111" spans="2:25" ht="9.75" customHeight="1">
      <c r="B111" s="951"/>
      <c r="C111" s="951"/>
      <c r="D111" s="287">
        <f t="shared" ca="1" si="20"/>
        <v>49486</v>
      </c>
      <c r="E111" s="359">
        <f t="shared" si="23"/>
        <v>0</v>
      </c>
      <c r="F111" s="289">
        <f t="shared" ca="1" si="21"/>
        <v>60</v>
      </c>
      <c r="G111" s="290">
        <f ca="1">KTVCOI!P110</f>
        <v>0.84687358432871884</v>
      </c>
      <c r="H111" s="290">
        <f t="shared" ca="1" si="32"/>
        <v>-5473.2094407052455</v>
      </c>
      <c r="I111" s="953"/>
      <c r="J111" s="293">
        <f ca="1">H111+I100</f>
        <v>-5473.2094407052455</v>
      </c>
      <c r="K111" s="949"/>
      <c r="L111" s="949"/>
      <c r="M111" s="949"/>
      <c r="N111" s="950"/>
      <c r="O111" s="950"/>
      <c r="X111" s="1004"/>
      <c r="Y111" s="1004"/>
    </row>
    <row r="112" spans="2:25" ht="9.75" customHeight="1">
      <c r="B112" s="946">
        <f>B100+1</f>
        <v>10</v>
      </c>
      <c r="C112" s="947">
        <f ca="1">C100+1</f>
        <v>39</v>
      </c>
      <c r="D112" s="294">
        <f t="shared" ca="1" si="20"/>
        <v>49516</v>
      </c>
      <c r="E112" s="359">
        <f t="shared" si="23"/>
        <v>0</v>
      </c>
      <c r="F112" s="360">
        <f t="shared" ca="1" si="21"/>
        <v>60</v>
      </c>
      <c r="G112" s="290">
        <f ca="1">KTVCOI!P111</f>
        <v>0.92588459705263715</v>
      </c>
      <c r="H112" s="295">
        <f ca="1">(J111+KTVTRDGTTKcamket!F16-F112-G112)*(1+$U$3)</f>
        <v>-5541.0058863298291</v>
      </c>
      <c r="I112" s="948">
        <f ca="1">IF(COUNTIF(KTVTRDGTTKcamket!$E$7:E16,0)&gt;0,0,50%*'Tinh phi QL'!H12/1000)</f>
        <v>0</v>
      </c>
      <c r="J112" s="296">
        <f t="shared" ca="1" si="22"/>
        <v>-5541.0058863298291</v>
      </c>
      <c r="K112" s="949">
        <f ca="1">J123</f>
        <v>-6293.1095770247539</v>
      </c>
      <c r="L112" s="949"/>
      <c r="M112" s="949"/>
      <c r="N112" s="950">
        <f t="shared" ref="N112" ca="1" si="33">SUM(G112:G123)</f>
        <v>11.871133639480286</v>
      </c>
      <c r="O112" s="950"/>
      <c r="X112" s="945">
        <f t="shared" ref="X112:Y112" ca="1" si="34">SUM(F112:F123)</f>
        <v>720</v>
      </c>
      <c r="Y112" s="945">
        <f t="shared" ca="1" si="34"/>
        <v>11.871133639480286</v>
      </c>
    </row>
    <row r="113" spans="2:25" ht="9.75" customHeight="1">
      <c r="B113" s="946"/>
      <c r="C113" s="946"/>
      <c r="D113" s="294">
        <f t="shared" ca="1" si="20"/>
        <v>49547</v>
      </c>
      <c r="E113" s="359">
        <f t="shared" si="23"/>
        <v>0</v>
      </c>
      <c r="F113" s="360">
        <f t="shared" ca="1" si="21"/>
        <v>60</v>
      </c>
      <c r="G113" s="290">
        <f ca="1">KTVCOI!P112</f>
        <v>0.93735349577079596</v>
      </c>
      <c r="H113" s="295">
        <f ca="1">(H112-F113-G113)*(1+$U$3)</f>
        <v>-5608.8979835460887</v>
      </c>
      <c r="I113" s="948"/>
      <c r="J113" s="296">
        <f t="shared" ca="1" si="22"/>
        <v>-5608.8979835460887</v>
      </c>
      <c r="K113" s="949"/>
      <c r="L113" s="949"/>
      <c r="M113" s="949"/>
      <c r="N113" s="950"/>
      <c r="O113" s="950"/>
      <c r="X113" s="1004"/>
      <c r="Y113" s="1004"/>
    </row>
    <row r="114" spans="2:25" ht="9.75" customHeight="1">
      <c r="B114" s="946"/>
      <c r="C114" s="946"/>
      <c r="D114" s="294">
        <f t="shared" ca="1" si="20"/>
        <v>49578</v>
      </c>
      <c r="E114" s="359">
        <f t="shared" si="23"/>
        <v>0</v>
      </c>
      <c r="F114" s="360">
        <f t="shared" ca="1" si="21"/>
        <v>60</v>
      </c>
      <c r="G114" s="290">
        <f ca="1">KTVCOI!P113</f>
        <v>0.94883857554987994</v>
      </c>
      <c r="H114" s="295">
        <f t="shared" ref="H114:H123" ca="1" si="35">(H113-F114-G114)*(1+$U$3)</f>
        <v>-5676.8858673054519</v>
      </c>
      <c r="I114" s="948"/>
      <c r="J114" s="296">
        <f t="shared" ca="1" si="22"/>
        <v>-5676.8858673054519</v>
      </c>
      <c r="K114" s="949"/>
      <c r="L114" s="949"/>
      <c r="M114" s="949"/>
      <c r="N114" s="950"/>
      <c r="O114" s="950"/>
      <c r="X114" s="1004"/>
      <c r="Y114" s="1004"/>
    </row>
    <row r="115" spans="2:25" ht="9.75" customHeight="1">
      <c r="B115" s="946"/>
      <c r="C115" s="946"/>
      <c r="D115" s="294">
        <f t="shared" ca="1" si="20"/>
        <v>49608</v>
      </c>
      <c r="E115" s="359">
        <f t="shared" si="23"/>
        <v>0</v>
      </c>
      <c r="F115" s="360">
        <f t="shared" ca="1" si="21"/>
        <v>60</v>
      </c>
      <c r="G115" s="290">
        <f ca="1">KTVCOI!P114</f>
        <v>0.9603398592191722</v>
      </c>
      <c r="H115" s="295">
        <f t="shared" ca="1" si="35"/>
        <v>-5744.9696727497412</v>
      </c>
      <c r="I115" s="948"/>
      <c r="J115" s="296">
        <f t="shared" ca="1" si="22"/>
        <v>-5744.9696727497412</v>
      </c>
      <c r="K115" s="949"/>
      <c r="L115" s="949"/>
      <c r="M115" s="949"/>
      <c r="N115" s="950"/>
      <c r="O115" s="950"/>
      <c r="X115" s="1004"/>
      <c r="Y115" s="1004"/>
    </row>
    <row r="116" spans="2:25" ht="9.75" customHeight="1">
      <c r="B116" s="946"/>
      <c r="C116" s="946"/>
      <c r="D116" s="294">
        <f t="shared" ca="1" si="20"/>
        <v>49639</v>
      </c>
      <c r="E116" s="359">
        <f t="shared" si="23"/>
        <v>0</v>
      </c>
      <c r="F116" s="360">
        <f t="shared" ca="1" si="21"/>
        <v>60</v>
      </c>
      <c r="G116" s="290">
        <f ca="1">KTVCOI!P115</f>
        <v>0.97185736964016456</v>
      </c>
      <c r="H116" s="295">
        <f t="shared" ca="1" si="35"/>
        <v>-5813.1495352114471</v>
      </c>
      <c r="I116" s="948"/>
      <c r="J116" s="296">
        <f t="shared" ca="1" si="22"/>
        <v>-5813.1495352114471</v>
      </c>
      <c r="K116" s="949"/>
      <c r="L116" s="949"/>
      <c r="M116" s="949"/>
      <c r="N116" s="950"/>
      <c r="O116" s="950"/>
      <c r="X116" s="1004"/>
      <c r="Y116" s="1004"/>
    </row>
    <row r="117" spans="2:25" ht="9.75" customHeight="1">
      <c r="B117" s="946"/>
      <c r="C117" s="946"/>
      <c r="D117" s="294">
        <f t="shared" ca="1" si="20"/>
        <v>49669</v>
      </c>
      <c r="E117" s="359">
        <f t="shared" si="23"/>
        <v>0</v>
      </c>
      <c r="F117" s="360">
        <f t="shared" ca="1" si="21"/>
        <v>60</v>
      </c>
      <c r="G117" s="290">
        <f ca="1">KTVCOI!P116</f>
        <v>0.98339112970660303</v>
      </c>
      <c r="H117" s="295">
        <f t="shared" ca="1" si="35"/>
        <v>-5881.4255902139967</v>
      </c>
      <c r="I117" s="948"/>
      <c r="J117" s="296">
        <f t="shared" ca="1" si="22"/>
        <v>-5881.4255902139967</v>
      </c>
      <c r="K117" s="949"/>
      <c r="L117" s="949"/>
      <c r="M117" s="949"/>
      <c r="N117" s="950"/>
      <c r="O117" s="950"/>
      <c r="X117" s="1004"/>
      <c r="Y117" s="1004"/>
    </row>
    <row r="118" spans="2:25" ht="9.75" customHeight="1">
      <c r="B118" s="946"/>
      <c r="C118" s="946"/>
      <c r="D118" s="294">
        <f t="shared" ca="1" si="20"/>
        <v>49700</v>
      </c>
      <c r="E118" s="359">
        <f t="shared" si="23"/>
        <v>0</v>
      </c>
      <c r="F118" s="360">
        <f t="shared" ca="1" si="21"/>
        <v>60</v>
      </c>
      <c r="G118" s="290">
        <f ca="1">KTVCOI!P117</f>
        <v>0.99494116234453445</v>
      </c>
      <c r="H118" s="295">
        <f t="shared" ca="1" si="35"/>
        <v>-5949.7979734720211</v>
      </c>
      <c r="I118" s="948"/>
      <c r="J118" s="296">
        <f t="shared" ca="1" si="22"/>
        <v>-5949.7979734720211</v>
      </c>
      <c r="K118" s="949"/>
      <c r="L118" s="949"/>
      <c r="M118" s="949"/>
      <c r="N118" s="950"/>
      <c r="O118" s="950"/>
      <c r="X118" s="1004"/>
      <c r="Y118" s="1004"/>
    </row>
    <row r="119" spans="2:25" ht="9.75" customHeight="1">
      <c r="B119" s="946"/>
      <c r="C119" s="946"/>
      <c r="D119" s="294">
        <f t="shared" ca="1" si="20"/>
        <v>49731</v>
      </c>
      <c r="E119" s="359">
        <f t="shared" si="23"/>
        <v>0</v>
      </c>
      <c r="F119" s="360">
        <f t="shared" ca="1" si="21"/>
        <v>60</v>
      </c>
      <c r="G119" s="290">
        <f ca="1">KTVCOI!P118</f>
        <v>1.0065074905123501</v>
      </c>
      <c r="H119" s="295">
        <f t="shared" ca="1" si="35"/>
        <v>-6018.2668208916266</v>
      </c>
      <c r="I119" s="948"/>
      <c r="J119" s="296">
        <f t="shared" ca="1" si="22"/>
        <v>-6018.2668208916266</v>
      </c>
      <c r="K119" s="949"/>
      <c r="L119" s="949"/>
      <c r="M119" s="949"/>
      <c r="N119" s="950"/>
      <c r="O119" s="950"/>
      <c r="X119" s="1004"/>
      <c r="Y119" s="1004"/>
    </row>
    <row r="120" spans="2:25" ht="9.75" customHeight="1">
      <c r="B120" s="946"/>
      <c r="C120" s="946"/>
      <c r="D120" s="294">
        <f t="shared" ca="1" si="20"/>
        <v>49760</v>
      </c>
      <c r="E120" s="359">
        <f t="shared" si="23"/>
        <v>0</v>
      </c>
      <c r="F120" s="360">
        <f t="shared" ca="1" si="21"/>
        <v>60</v>
      </c>
      <c r="G120" s="290">
        <f ca="1">KTVCOI!P119</f>
        <v>1.0180901372008335</v>
      </c>
      <c r="H120" s="295">
        <f t="shared" ca="1" si="35"/>
        <v>-6086.8322685706644</v>
      </c>
      <c r="I120" s="948"/>
      <c r="J120" s="296">
        <f t="shared" ca="1" si="22"/>
        <v>-6086.8322685706644</v>
      </c>
      <c r="K120" s="949"/>
      <c r="L120" s="949"/>
      <c r="M120" s="949"/>
      <c r="N120" s="950"/>
      <c r="O120" s="950"/>
      <c r="X120" s="1004"/>
      <c r="Y120" s="1004"/>
    </row>
    <row r="121" spans="2:25" ht="9.75" customHeight="1">
      <c r="B121" s="946"/>
      <c r="C121" s="946"/>
      <c r="D121" s="294">
        <f t="shared" ca="1" si="20"/>
        <v>49791</v>
      </c>
      <c r="E121" s="359">
        <f t="shared" si="23"/>
        <v>0</v>
      </c>
      <c r="F121" s="360">
        <f t="shared" ca="1" si="21"/>
        <v>60</v>
      </c>
      <c r="G121" s="290">
        <f ca="1">KTVCOI!P120</f>
        <v>1.0296891254332039</v>
      </c>
      <c r="H121" s="295">
        <f t="shared" ca="1" si="35"/>
        <v>-6155.4944527990028</v>
      </c>
      <c r="I121" s="948"/>
      <c r="J121" s="296">
        <f t="shared" ca="1" si="22"/>
        <v>-6155.4944527990028</v>
      </c>
      <c r="K121" s="949"/>
      <c r="L121" s="949"/>
      <c r="M121" s="949"/>
      <c r="N121" s="950"/>
      <c r="O121" s="950"/>
      <c r="X121" s="1004"/>
      <c r="Y121" s="1004"/>
    </row>
    <row r="122" spans="2:25" ht="9.75" customHeight="1">
      <c r="B122" s="946"/>
      <c r="C122" s="946"/>
      <c r="D122" s="294">
        <f t="shared" ca="1" si="20"/>
        <v>49821</v>
      </c>
      <c r="E122" s="359">
        <f t="shared" si="23"/>
        <v>0</v>
      </c>
      <c r="F122" s="360">
        <f t="shared" ca="1" si="21"/>
        <v>60</v>
      </c>
      <c r="G122" s="290">
        <f ca="1">KTVCOI!P121</f>
        <v>1.0413044782651646</v>
      </c>
      <c r="H122" s="295">
        <f t="shared" ca="1" si="35"/>
        <v>-6224.2535100587957</v>
      </c>
      <c r="I122" s="948"/>
      <c r="J122" s="296">
        <f t="shared" ca="1" si="22"/>
        <v>-6224.2535100587957</v>
      </c>
      <c r="K122" s="949"/>
      <c r="L122" s="949"/>
      <c r="M122" s="949"/>
      <c r="N122" s="950"/>
      <c r="O122" s="950"/>
      <c r="X122" s="1004"/>
      <c r="Y122" s="1004"/>
    </row>
    <row r="123" spans="2:25" ht="9.75" customHeight="1">
      <c r="B123" s="946"/>
      <c r="C123" s="946"/>
      <c r="D123" s="294">
        <f t="shared" ca="1" si="20"/>
        <v>49852</v>
      </c>
      <c r="E123" s="359">
        <f t="shared" si="23"/>
        <v>0</v>
      </c>
      <c r="F123" s="360">
        <f t="shared" ca="1" si="21"/>
        <v>60</v>
      </c>
      <c r="G123" s="290">
        <f ca="1">KTVCOI!P122</f>
        <v>1.0529362187849463</v>
      </c>
      <c r="H123" s="295">
        <f t="shared" ca="1" si="35"/>
        <v>-6293.1095770247539</v>
      </c>
      <c r="I123" s="948"/>
      <c r="J123" s="297">
        <f ca="1">H123+I112</f>
        <v>-6293.1095770247539</v>
      </c>
      <c r="K123" s="949"/>
      <c r="L123" s="949"/>
      <c r="M123" s="949"/>
      <c r="N123" s="950"/>
      <c r="O123" s="950"/>
      <c r="X123" s="1004"/>
      <c r="Y123" s="1004"/>
    </row>
    <row r="124" spans="2:25" ht="9.75" customHeight="1">
      <c r="B124" s="951">
        <f>B112+1</f>
        <v>11</v>
      </c>
      <c r="C124" s="952">
        <f ca="1">C112+1</f>
        <v>40</v>
      </c>
      <c r="D124" s="287">
        <f t="shared" ca="1" si="20"/>
        <v>49882</v>
      </c>
      <c r="E124" s="359">
        <f t="shared" si="23"/>
        <v>0</v>
      </c>
      <c r="F124" s="289">
        <f t="shared" ca="1" si="21"/>
        <v>60</v>
      </c>
      <c r="G124" s="290">
        <f ca="1">KTVCOI!P123</f>
        <v>1.1589810137687255</v>
      </c>
      <c r="H124" s="290">
        <f ca="1">(J123+KTVTRDGTTKcamket!F17-F124-G124)*(1+$V$3)</f>
        <v>-6359.5396659962071</v>
      </c>
      <c r="I124" s="953"/>
      <c r="J124" s="292">
        <f t="shared" ca="1" si="22"/>
        <v>-6359.5396659962071</v>
      </c>
      <c r="K124" s="949">
        <f ca="1">J135</f>
        <v>-7094.7308442159492</v>
      </c>
      <c r="L124" s="949"/>
      <c r="M124" s="949"/>
      <c r="N124" s="950">
        <f t="shared" ref="N124" ca="1" si="36">SUM(G124:G135)</f>
        <v>14.717964955455326</v>
      </c>
      <c r="O124" s="950"/>
      <c r="X124" s="945">
        <f t="shared" ref="X124:Y124" ca="1" si="37">SUM(F124:F135)</f>
        <v>720</v>
      </c>
      <c r="Y124" s="945">
        <f t="shared" ca="1" si="37"/>
        <v>14.717964955455326</v>
      </c>
    </row>
    <row r="125" spans="2:25" ht="9.75" customHeight="1">
      <c r="B125" s="951"/>
      <c r="C125" s="951"/>
      <c r="D125" s="287">
        <f t="shared" ca="1" si="20"/>
        <v>49913</v>
      </c>
      <c r="E125" s="359">
        <f t="shared" si="23"/>
        <v>0</v>
      </c>
      <c r="F125" s="289">
        <f t="shared" ca="1" si="21"/>
        <v>60</v>
      </c>
      <c r="G125" s="290">
        <f ca="1">KTVCOI!P124</f>
        <v>1.1712152218209682</v>
      </c>
      <c r="H125" s="290">
        <f ca="1">(H124-F125-G125)*(1+$V$3)</f>
        <v>-6426.0371056151953</v>
      </c>
      <c r="I125" s="953"/>
      <c r="J125" s="292">
        <f t="shared" ca="1" si="22"/>
        <v>-6426.0371056151953</v>
      </c>
      <c r="K125" s="949"/>
      <c r="L125" s="949"/>
      <c r="M125" s="949"/>
      <c r="N125" s="950"/>
      <c r="O125" s="950"/>
      <c r="X125" s="1004"/>
      <c r="Y125" s="1004"/>
    </row>
    <row r="126" spans="2:25" ht="9.75" customHeight="1">
      <c r="B126" s="951"/>
      <c r="C126" s="951"/>
      <c r="D126" s="287">
        <f t="shared" ca="1" si="20"/>
        <v>49944</v>
      </c>
      <c r="E126" s="359">
        <f t="shared" si="23"/>
        <v>0</v>
      </c>
      <c r="F126" s="289">
        <f t="shared" ca="1" si="21"/>
        <v>60</v>
      </c>
      <c r="G126" s="290">
        <f ca="1">KTVCOI!P125</f>
        <v>1.1834618336174649</v>
      </c>
      <c r="H126" s="290">
        <f t="shared" ref="H126:H135" ca="1" si="38">(H125-F126-G126)*(1+$V$3)</f>
        <v>-6492.6019641656821</v>
      </c>
      <c r="I126" s="953"/>
      <c r="J126" s="292">
        <f t="shared" ca="1" si="22"/>
        <v>-6492.6019641656821</v>
      </c>
      <c r="K126" s="949"/>
      <c r="L126" s="949"/>
      <c r="M126" s="949"/>
      <c r="N126" s="950"/>
      <c r="O126" s="950"/>
      <c r="X126" s="1004"/>
      <c r="Y126" s="1004"/>
    </row>
    <row r="127" spans="2:25" ht="9.75" customHeight="1">
      <c r="B127" s="951"/>
      <c r="C127" s="951"/>
      <c r="D127" s="287">
        <f t="shared" ca="1" si="20"/>
        <v>49974</v>
      </c>
      <c r="E127" s="359">
        <f t="shared" si="23"/>
        <v>0</v>
      </c>
      <c r="F127" s="289">
        <f t="shared" ca="1" si="21"/>
        <v>60</v>
      </c>
      <c r="G127" s="290">
        <f ca="1">KTVCOI!P126</f>
        <v>1.1957208617338464</v>
      </c>
      <c r="H127" s="290">
        <f t="shared" ca="1" si="38"/>
        <v>-6559.2343100008602</v>
      </c>
      <c r="I127" s="953"/>
      <c r="J127" s="292">
        <f t="shared" ca="1" si="22"/>
        <v>-6559.2343100008602</v>
      </c>
      <c r="K127" s="949"/>
      <c r="L127" s="949"/>
      <c r="M127" s="949"/>
      <c r="N127" s="950"/>
      <c r="O127" s="950"/>
      <c r="X127" s="1004"/>
      <c r="Y127" s="1004"/>
    </row>
    <row r="128" spans="2:25" ht="9.75" customHeight="1">
      <c r="B128" s="951"/>
      <c r="C128" s="951"/>
      <c r="D128" s="287">
        <f t="shared" ca="1" si="20"/>
        <v>50005</v>
      </c>
      <c r="E128" s="359">
        <f t="shared" si="23"/>
        <v>0</v>
      </c>
      <c r="F128" s="289">
        <f t="shared" ca="1" si="21"/>
        <v>60</v>
      </c>
      <c r="G128" s="290">
        <f ca="1">KTVCOI!P127</f>
        <v>1.2079923187584918</v>
      </c>
      <c r="H128" s="290">
        <f t="shared" ca="1" si="38"/>
        <v>-6625.9342115432228</v>
      </c>
      <c r="I128" s="953"/>
      <c r="J128" s="292">
        <f t="shared" ca="1" si="22"/>
        <v>-6625.9342115432228</v>
      </c>
      <c r="K128" s="949"/>
      <c r="L128" s="949"/>
      <c r="M128" s="949"/>
      <c r="N128" s="950"/>
      <c r="O128" s="950"/>
      <c r="X128" s="1004"/>
      <c r="Y128" s="1004"/>
    </row>
    <row r="129" spans="2:25" ht="9.75" customHeight="1">
      <c r="B129" s="951"/>
      <c r="C129" s="951"/>
      <c r="D129" s="287">
        <f t="shared" ca="1" si="20"/>
        <v>50035</v>
      </c>
      <c r="E129" s="359">
        <f t="shared" si="23"/>
        <v>0</v>
      </c>
      <c r="F129" s="289">
        <f t="shared" ca="1" si="21"/>
        <v>60</v>
      </c>
      <c r="G129" s="290">
        <f ca="1">KTVCOI!P128</f>
        <v>1.2202762172925434</v>
      </c>
      <c r="H129" s="290">
        <f t="shared" ca="1" si="38"/>
        <v>-6692.701737284634</v>
      </c>
      <c r="I129" s="953"/>
      <c r="J129" s="292">
        <f t="shared" ca="1" si="22"/>
        <v>-6692.701737284634</v>
      </c>
      <c r="K129" s="949"/>
      <c r="L129" s="949"/>
      <c r="M129" s="949"/>
      <c r="N129" s="950"/>
      <c r="O129" s="950"/>
      <c r="X129" s="1004"/>
      <c r="Y129" s="1004"/>
    </row>
    <row r="130" spans="2:25" ht="9.75" customHeight="1">
      <c r="B130" s="951"/>
      <c r="C130" s="951"/>
      <c r="D130" s="287">
        <f t="shared" ca="1" si="20"/>
        <v>50066</v>
      </c>
      <c r="E130" s="359">
        <f t="shared" si="23"/>
        <v>0</v>
      </c>
      <c r="F130" s="289">
        <f t="shared" ca="1" si="21"/>
        <v>60</v>
      </c>
      <c r="G130" s="290">
        <f ca="1">KTVCOI!P129</f>
        <v>1.2325725699499201</v>
      </c>
      <c r="H130" s="290">
        <f t="shared" ca="1" si="38"/>
        <v>-6759.5369557863987</v>
      </c>
      <c r="I130" s="953"/>
      <c r="J130" s="292">
        <f t="shared" ca="1" si="22"/>
        <v>-6759.5369557863987</v>
      </c>
      <c r="K130" s="949"/>
      <c r="L130" s="949"/>
      <c r="M130" s="949"/>
      <c r="N130" s="950"/>
      <c r="O130" s="950"/>
      <c r="X130" s="1004"/>
      <c r="Y130" s="1004"/>
    </row>
    <row r="131" spans="2:25" ht="9.75" customHeight="1">
      <c r="B131" s="951"/>
      <c r="C131" s="951"/>
      <c r="D131" s="287">
        <f t="shared" ca="1" si="20"/>
        <v>50097</v>
      </c>
      <c r="E131" s="359">
        <f t="shared" si="23"/>
        <v>0</v>
      </c>
      <c r="F131" s="289">
        <f t="shared" ca="1" si="21"/>
        <v>60</v>
      </c>
      <c r="G131" s="290">
        <f ca="1">KTVCOI!P130</f>
        <v>1.2448813893573285</v>
      </c>
      <c r="H131" s="290">
        <f t="shared" ca="1" si="38"/>
        <v>-6826.4399356793328</v>
      </c>
      <c r="I131" s="953"/>
      <c r="J131" s="292">
        <f t="shared" ca="1" si="22"/>
        <v>-6826.4399356793328</v>
      </c>
      <c r="K131" s="949"/>
      <c r="L131" s="949"/>
      <c r="M131" s="949"/>
      <c r="N131" s="950"/>
      <c r="O131" s="950"/>
      <c r="X131" s="1004"/>
      <c r="Y131" s="1004"/>
    </row>
    <row r="132" spans="2:25" ht="9.75" customHeight="1">
      <c r="B132" s="951"/>
      <c r="C132" s="951"/>
      <c r="D132" s="287">
        <f t="shared" ca="1" si="20"/>
        <v>50125</v>
      </c>
      <c r="E132" s="359">
        <f t="shared" si="23"/>
        <v>0</v>
      </c>
      <c r="F132" s="289">
        <f t="shared" ca="1" si="21"/>
        <v>60</v>
      </c>
      <c r="G132" s="290">
        <f ca="1">KTVCOI!P131</f>
        <v>1.2572026881542773</v>
      </c>
      <c r="H132" s="290">
        <f t="shared" ca="1" si="38"/>
        <v>-6893.4107456638358</v>
      </c>
      <c r="I132" s="953"/>
      <c r="J132" s="292">
        <f t="shared" ca="1" si="22"/>
        <v>-6893.4107456638358</v>
      </c>
      <c r="K132" s="949"/>
      <c r="L132" s="949"/>
      <c r="M132" s="949"/>
      <c r="N132" s="950"/>
      <c r="O132" s="950"/>
      <c r="X132" s="1004"/>
      <c r="Y132" s="1004"/>
    </row>
    <row r="133" spans="2:25" ht="9.75" customHeight="1">
      <c r="B133" s="951"/>
      <c r="C133" s="951"/>
      <c r="D133" s="287">
        <f t="shared" ref="D133:D196" ca="1" si="39">EDATE(D132,1)</f>
        <v>50156</v>
      </c>
      <c r="E133" s="359">
        <f t="shared" si="23"/>
        <v>0</v>
      </c>
      <c r="F133" s="289">
        <f t="shared" ref="F133:F196" ca="1" si="40">IF(YEAR(D133)=2025,40000,IF(YEAR(D133)=2026,40000,IF(YEAR(D133)=2027,40000,IF(YEAR(D133)=2028,40000,IF(YEAR(D133)=2029,40000,IF(YEAR(D133)=2030,50000,IF(YEAR(D133)=2031,50000,IF(YEAR(D133)=2032,50000,IF(YEAR(D133)=2033,50000,IF(YEAR(D133)=2034,50000,IF(YEAR(D133)&gt;=2035,60000,0)))))))))))/1000</f>
        <v>60</v>
      </c>
      <c r="G133" s="290">
        <f ca="1">KTVCOI!P132</f>
        <v>1.2695364789930896</v>
      </c>
      <c r="H133" s="290">
        <f t="shared" ca="1" si="38"/>
        <v>-6960.4494545099587</v>
      </c>
      <c r="I133" s="953"/>
      <c r="J133" s="292">
        <f t="shared" ref="J133:J196" ca="1" si="41">H133</f>
        <v>-6960.4494545099587</v>
      </c>
      <c r="K133" s="949"/>
      <c r="L133" s="949"/>
      <c r="M133" s="949"/>
      <c r="N133" s="950"/>
      <c r="O133" s="950"/>
      <c r="X133" s="1004"/>
      <c r="Y133" s="1004"/>
    </row>
    <row r="134" spans="2:25" ht="9.75" customHeight="1">
      <c r="B134" s="951"/>
      <c r="C134" s="951"/>
      <c r="D134" s="287">
        <f t="shared" ca="1" si="39"/>
        <v>50186</v>
      </c>
      <c r="E134" s="359">
        <f t="shared" ref="E134:E197" si="42">E133</f>
        <v>0</v>
      </c>
      <c r="F134" s="289">
        <f t="shared" ca="1" si="40"/>
        <v>60</v>
      </c>
      <c r="G134" s="290">
        <f ca="1">KTVCOI!P133</f>
        <v>1.2818827745389174</v>
      </c>
      <c r="H134" s="290">
        <f t="shared" ca="1" si="38"/>
        <v>-7027.556131057474</v>
      </c>
      <c r="I134" s="953"/>
      <c r="J134" s="292">
        <f t="shared" ca="1" si="41"/>
        <v>-7027.556131057474</v>
      </c>
      <c r="K134" s="949"/>
      <c r="L134" s="949"/>
      <c r="M134" s="949"/>
      <c r="N134" s="950"/>
      <c r="O134" s="950"/>
      <c r="X134" s="1004"/>
      <c r="Y134" s="1004"/>
    </row>
    <row r="135" spans="2:25" ht="9.75" customHeight="1">
      <c r="B135" s="951"/>
      <c r="C135" s="951"/>
      <c r="D135" s="287">
        <f t="shared" ca="1" si="39"/>
        <v>50217</v>
      </c>
      <c r="E135" s="359">
        <f t="shared" si="42"/>
        <v>0</v>
      </c>
      <c r="F135" s="289">
        <f t="shared" ca="1" si="40"/>
        <v>60</v>
      </c>
      <c r="G135" s="290">
        <f ca="1">KTVCOI!P134</f>
        <v>1.2942415874697515</v>
      </c>
      <c r="H135" s="290">
        <f t="shared" ca="1" si="38"/>
        <v>-7094.7308442159492</v>
      </c>
      <c r="I135" s="953"/>
      <c r="J135" s="293">
        <f ca="1">H135+I124</f>
        <v>-7094.7308442159492</v>
      </c>
      <c r="K135" s="949"/>
      <c r="L135" s="949"/>
      <c r="M135" s="949"/>
      <c r="N135" s="950"/>
      <c r="O135" s="950"/>
      <c r="X135" s="1004"/>
      <c r="Y135" s="1004"/>
    </row>
    <row r="136" spans="2:25" ht="9.75" customHeight="1">
      <c r="B136" s="946">
        <f>B124+1</f>
        <v>12</v>
      </c>
      <c r="C136" s="947">
        <f ca="1">C124+1</f>
        <v>41</v>
      </c>
      <c r="D136" s="294">
        <f t="shared" ca="1" si="39"/>
        <v>50247</v>
      </c>
      <c r="E136" s="359">
        <f t="shared" si="42"/>
        <v>0</v>
      </c>
      <c r="F136" s="360">
        <f t="shared" ca="1" si="40"/>
        <v>60</v>
      </c>
      <c r="G136" s="290">
        <f ca="1">KTVCOI!P135</f>
        <v>1.4130338931396766</v>
      </c>
      <c r="H136" s="295">
        <f ca="1">(J135+KTVTRDGTTKcamket!F18-F136-G136)*(1+$V$3)</f>
        <v>-7162.0801722077258</v>
      </c>
      <c r="I136" s="948"/>
      <c r="J136" s="296">
        <f t="shared" ca="1" si="41"/>
        <v>-7162.0801722077258</v>
      </c>
      <c r="K136" s="949">
        <f ca="1">J147</f>
        <v>-7907.5118856054451</v>
      </c>
      <c r="L136" s="949"/>
      <c r="M136" s="949"/>
      <c r="N136" s="950">
        <f t="shared" ref="N136" ca="1" si="43">SUM(G136:G147)</f>
        <v>17.844756893513281</v>
      </c>
      <c r="O136" s="950"/>
      <c r="X136" s="945">
        <f t="shared" ref="X136:Y136" ca="1" si="44">SUM(F136:F147)</f>
        <v>720</v>
      </c>
      <c r="Y136" s="945">
        <f t="shared" ca="1" si="44"/>
        <v>17.844756893513281</v>
      </c>
    </row>
    <row r="137" spans="2:25" ht="9.75" customHeight="1">
      <c r="B137" s="946"/>
      <c r="C137" s="946"/>
      <c r="D137" s="294">
        <f t="shared" ca="1" si="39"/>
        <v>50278</v>
      </c>
      <c r="E137" s="359">
        <f t="shared" si="42"/>
        <v>0</v>
      </c>
      <c r="F137" s="360">
        <f t="shared" ca="1" si="40"/>
        <v>60</v>
      </c>
      <c r="G137" s="290">
        <f ca="1">KTVCOI!P136</f>
        <v>1.4264476342980388</v>
      </c>
      <c r="H137" s="295">
        <f ca="1">(H136-F137-G137)*(1+$V$3)</f>
        <v>-7229.498793902414</v>
      </c>
      <c r="I137" s="948"/>
      <c r="J137" s="296">
        <f t="shared" ca="1" si="41"/>
        <v>-7229.498793902414</v>
      </c>
      <c r="K137" s="949"/>
      <c r="L137" s="949"/>
      <c r="M137" s="949"/>
      <c r="N137" s="950"/>
      <c r="O137" s="950"/>
      <c r="X137" s="1004"/>
      <c r="Y137" s="1004"/>
    </row>
    <row r="138" spans="2:25" ht="9.75" customHeight="1">
      <c r="B138" s="946"/>
      <c r="C138" s="946"/>
      <c r="D138" s="294">
        <f t="shared" ca="1" si="39"/>
        <v>50309</v>
      </c>
      <c r="E138" s="359">
        <f t="shared" si="42"/>
        <v>0</v>
      </c>
      <c r="F138" s="360">
        <f t="shared" ca="1" si="40"/>
        <v>60</v>
      </c>
      <c r="G138" s="290">
        <f ca="1">KTVCOI!P137</f>
        <v>1.4398751764522311</v>
      </c>
      <c r="H138" s="295">
        <f t="shared" ref="H138:H147" ca="1" si="45">(H137-F138-G138)*(1+$V$3)</f>
        <v>-7296.9867805942276</v>
      </c>
      <c r="I138" s="948"/>
      <c r="J138" s="296">
        <f t="shared" ca="1" si="41"/>
        <v>-7296.9867805942276</v>
      </c>
      <c r="K138" s="949"/>
      <c r="L138" s="949"/>
      <c r="M138" s="949"/>
      <c r="N138" s="950"/>
      <c r="O138" s="950"/>
      <c r="X138" s="1004"/>
      <c r="Y138" s="1004"/>
    </row>
    <row r="139" spans="2:25" ht="9.75" customHeight="1">
      <c r="B139" s="946"/>
      <c r="C139" s="946"/>
      <c r="D139" s="294">
        <f t="shared" ca="1" si="39"/>
        <v>50339</v>
      </c>
      <c r="E139" s="359">
        <f t="shared" si="42"/>
        <v>0</v>
      </c>
      <c r="F139" s="360">
        <f t="shared" ca="1" si="40"/>
        <v>60</v>
      </c>
      <c r="G139" s="290">
        <f ca="1">KTVCOI!P138</f>
        <v>1.4533165338016838</v>
      </c>
      <c r="H139" s="295">
        <f t="shared" ca="1" si="45"/>
        <v>-7364.5442036507302</v>
      </c>
      <c r="I139" s="948"/>
      <c r="J139" s="296">
        <f t="shared" ca="1" si="41"/>
        <v>-7364.5442036507302</v>
      </c>
      <c r="K139" s="949"/>
      <c r="L139" s="949"/>
      <c r="M139" s="949"/>
      <c r="N139" s="950"/>
      <c r="O139" s="950"/>
      <c r="X139" s="1004"/>
      <c r="Y139" s="1004"/>
    </row>
    <row r="140" spans="2:25" ht="9.75" customHeight="1">
      <c r="B140" s="946"/>
      <c r="C140" s="946"/>
      <c r="D140" s="294">
        <f t="shared" ca="1" si="39"/>
        <v>50370</v>
      </c>
      <c r="E140" s="359">
        <f t="shared" si="42"/>
        <v>0</v>
      </c>
      <c r="F140" s="360">
        <f t="shared" ca="1" si="40"/>
        <v>60</v>
      </c>
      <c r="G140" s="290">
        <f ca="1">KTVCOI!P139</f>
        <v>1.4667717205604369</v>
      </c>
      <c r="H140" s="295">
        <f t="shared" ca="1" si="45"/>
        <v>-7432.1711345129143</v>
      </c>
      <c r="I140" s="948"/>
      <c r="J140" s="296">
        <f t="shared" ca="1" si="41"/>
        <v>-7432.1711345129143</v>
      </c>
      <c r="K140" s="949"/>
      <c r="L140" s="949"/>
      <c r="M140" s="949"/>
      <c r="N140" s="950"/>
      <c r="O140" s="950"/>
      <c r="X140" s="1004"/>
      <c r="Y140" s="1004"/>
    </row>
    <row r="141" spans="2:25" ht="9.75" customHeight="1">
      <c r="B141" s="946"/>
      <c r="C141" s="946"/>
      <c r="D141" s="294">
        <f t="shared" ca="1" si="39"/>
        <v>50400</v>
      </c>
      <c r="E141" s="359">
        <f t="shared" si="42"/>
        <v>0</v>
      </c>
      <c r="F141" s="360">
        <f t="shared" ca="1" si="40"/>
        <v>60</v>
      </c>
      <c r="G141" s="290">
        <f ca="1">KTVCOI!P140</f>
        <v>1.4802407509571553</v>
      </c>
      <c r="H141" s="295">
        <f t="shared" ca="1" si="45"/>
        <v>-7499.867644695275</v>
      </c>
      <c r="I141" s="948"/>
      <c r="J141" s="296">
        <f t="shared" ca="1" si="41"/>
        <v>-7499.867644695275</v>
      </c>
      <c r="K141" s="949"/>
      <c r="L141" s="949"/>
      <c r="M141" s="949"/>
      <c r="N141" s="950"/>
      <c r="O141" s="950"/>
      <c r="X141" s="1004"/>
      <c r="Y141" s="1004"/>
    </row>
    <row r="142" spans="2:25" ht="9.75" customHeight="1">
      <c r="B142" s="946"/>
      <c r="C142" s="946"/>
      <c r="D142" s="294">
        <f t="shared" ca="1" si="39"/>
        <v>50431</v>
      </c>
      <c r="E142" s="359">
        <f t="shared" si="42"/>
        <v>0</v>
      </c>
      <c r="F142" s="360">
        <f t="shared" ca="1" si="40"/>
        <v>60</v>
      </c>
      <c r="G142" s="290">
        <f ca="1">KTVCOI!P141</f>
        <v>1.4937236392351423</v>
      </c>
      <c r="H142" s="295">
        <f t="shared" ca="1" si="45"/>
        <v>-7567.6338057858884</v>
      </c>
      <c r="I142" s="948"/>
      <c r="J142" s="296">
        <f t="shared" ca="1" si="41"/>
        <v>-7567.6338057858884</v>
      </c>
      <c r="K142" s="949"/>
      <c r="L142" s="949"/>
      <c r="M142" s="949"/>
      <c r="N142" s="950"/>
      <c r="O142" s="950"/>
      <c r="X142" s="1004"/>
      <c r="Y142" s="1004"/>
    </row>
    <row r="143" spans="2:25" ht="9.75" customHeight="1">
      <c r="B143" s="946"/>
      <c r="C143" s="946"/>
      <c r="D143" s="294">
        <f t="shared" ca="1" si="39"/>
        <v>50462</v>
      </c>
      <c r="E143" s="359">
        <f t="shared" si="42"/>
        <v>0</v>
      </c>
      <c r="F143" s="360">
        <f t="shared" ca="1" si="40"/>
        <v>60</v>
      </c>
      <c r="G143" s="290">
        <f ca="1">KTVCOI!P142</f>
        <v>1.5072203996523561</v>
      </c>
      <c r="H143" s="295">
        <f t="shared" ca="1" si="45"/>
        <v>-7635.4696894464832</v>
      </c>
      <c r="I143" s="948"/>
      <c r="J143" s="296">
        <f t="shared" ca="1" si="41"/>
        <v>-7635.4696894464832</v>
      </c>
      <c r="K143" s="949"/>
      <c r="L143" s="949"/>
      <c r="M143" s="949"/>
      <c r="N143" s="950"/>
      <c r="O143" s="950"/>
      <c r="X143" s="1004"/>
      <c r="Y143" s="1004"/>
    </row>
    <row r="144" spans="2:25" ht="9.75" customHeight="1">
      <c r="B144" s="946"/>
      <c r="C144" s="946"/>
      <c r="D144" s="294">
        <f t="shared" ca="1" si="39"/>
        <v>50490</v>
      </c>
      <c r="E144" s="359">
        <f t="shared" si="42"/>
        <v>0</v>
      </c>
      <c r="F144" s="360">
        <f t="shared" ca="1" si="40"/>
        <v>60</v>
      </c>
      <c r="G144" s="290">
        <f ca="1">KTVCOI!P143</f>
        <v>1.5207310464814245</v>
      </c>
      <c r="H144" s="295">
        <f t="shared" ca="1" si="45"/>
        <v>-7703.375367412521</v>
      </c>
      <c r="I144" s="948"/>
      <c r="J144" s="296">
        <f t="shared" ca="1" si="41"/>
        <v>-7703.375367412521</v>
      </c>
      <c r="K144" s="949"/>
      <c r="L144" s="949"/>
      <c r="M144" s="949"/>
      <c r="N144" s="950"/>
      <c r="O144" s="950"/>
      <c r="X144" s="1004"/>
      <c r="Y144" s="1004"/>
    </row>
    <row r="145" spans="2:25" ht="9.75" customHeight="1">
      <c r="B145" s="946"/>
      <c r="C145" s="946"/>
      <c r="D145" s="294">
        <f t="shared" ca="1" si="39"/>
        <v>50521</v>
      </c>
      <c r="E145" s="359">
        <f t="shared" si="42"/>
        <v>0</v>
      </c>
      <c r="F145" s="360">
        <f t="shared" ca="1" si="40"/>
        <v>60</v>
      </c>
      <c r="G145" s="290">
        <f ca="1">KTVCOI!P144</f>
        <v>1.5342555940096607</v>
      </c>
      <c r="H145" s="295">
        <f t="shared" ca="1" si="45"/>
        <v>-7771.3509114932676</v>
      </c>
      <c r="I145" s="948"/>
      <c r="J145" s="296">
        <f t="shared" ca="1" si="41"/>
        <v>-7771.3509114932676</v>
      </c>
      <c r="K145" s="949"/>
      <c r="L145" s="949"/>
      <c r="M145" s="949"/>
      <c r="N145" s="950"/>
      <c r="O145" s="950"/>
      <c r="X145" s="1004"/>
      <c r="Y145" s="1004"/>
    </row>
    <row r="146" spans="2:25" ht="9.75" customHeight="1">
      <c r="B146" s="946"/>
      <c r="C146" s="946"/>
      <c r="D146" s="294">
        <f t="shared" ca="1" si="39"/>
        <v>50551</v>
      </c>
      <c r="E146" s="359">
        <f t="shared" si="42"/>
        <v>0</v>
      </c>
      <c r="F146" s="360">
        <f t="shared" ca="1" si="40"/>
        <v>60</v>
      </c>
      <c r="G146" s="290">
        <f ca="1">KTVCOI!P145</f>
        <v>1.547794056539076</v>
      </c>
      <c r="H146" s="295">
        <f t="shared" ca="1" si="45"/>
        <v>-7839.396393571873</v>
      </c>
      <c r="I146" s="948"/>
      <c r="J146" s="296">
        <f t="shared" ca="1" si="41"/>
        <v>-7839.396393571873</v>
      </c>
      <c r="K146" s="949"/>
      <c r="L146" s="949"/>
      <c r="M146" s="949"/>
      <c r="N146" s="950"/>
      <c r="O146" s="950"/>
      <c r="X146" s="1004"/>
      <c r="Y146" s="1004"/>
    </row>
    <row r="147" spans="2:25" ht="9.75" customHeight="1">
      <c r="B147" s="946"/>
      <c r="C147" s="946"/>
      <c r="D147" s="294">
        <f t="shared" ca="1" si="39"/>
        <v>50582</v>
      </c>
      <c r="E147" s="359">
        <f t="shared" si="42"/>
        <v>0</v>
      </c>
      <c r="F147" s="360">
        <f t="shared" ca="1" si="40"/>
        <v>60</v>
      </c>
      <c r="G147" s="290">
        <f ca="1">KTVCOI!P146</f>
        <v>1.5613464483863984</v>
      </c>
      <c r="H147" s="295">
        <f t="shared" ca="1" si="45"/>
        <v>-7907.5118856054451</v>
      </c>
      <c r="I147" s="948"/>
      <c r="J147" s="297">
        <f ca="1">H147+I136</f>
        <v>-7907.5118856054451</v>
      </c>
      <c r="K147" s="949"/>
      <c r="L147" s="949"/>
      <c r="M147" s="949"/>
      <c r="N147" s="950"/>
      <c r="O147" s="950"/>
      <c r="X147" s="1004"/>
      <c r="Y147" s="1004"/>
    </row>
    <row r="148" spans="2:25" ht="9.75" customHeight="1">
      <c r="B148" s="951">
        <f>B136+1</f>
        <v>13</v>
      </c>
      <c r="C148" s="952">
        <f ca="1">C136+1</f>
        <v>42</v>
      </c>
      <c r="D148" s="287">
        <f t="shared" ca="1" si="39"/>
        <v>50612</v>
      </c>
      <c r="E148" s="359">
        <f t="shared" si="42"/>
        <v>0</v>
      </c>
      <c r="F148" s="289">
        <f t="shared" ca="1" si="40"/>
        <v>60</v>
      </c>
      <c r="G148" s="290">
        <f ca="1">KTVCOI!P147</f>
        <v>1.7132942418811801</v>
      </c>
      <c r="H148" s="290">
        <f ca="1">(J147+KTVTRDGTTKcamket!F19-F148-G148)*(1+$V$3)</f>
        <v>-7975.8359558758166</v>
      </c>
      <c r="I148" s="953"/>
      <c r="J148" s="292">
        <f t="shared" ca="1" si="41"/>
        <v>-7975.8359558758166</v>
      </c>
      <c r="K148" s="949">
        <f ca="1">J159</f>
        <v>-8732.1357801769627</v>
      </c>
      <c r="L148" s="949"/>
      <c r="M148" s="949"/>
      <c r="N148" s="950">
        <f t="shared" ref="N148" ca="1" si="46">SUM(G148:G159)</f>
        <v>21.539980989073818</v>
      </c>
      <c r="O148" s="950"/>
      <c r="X148" s="945">
        <f t="shared" ref="X148:Y148" ca="1" si="47">SUM(F148:F159)</f>
        <v>720</v>
      </c>
      <c r="Y148" s="945">
        <f t="shared" ca="1" si="47"/>
        <v>21.539980989073818</v>
      </c>
    </row>
    <row r="149" spans="2:25" ht="9.75" customHeight="1">
      <c r="B149" s="951"/>
      <c r="C149" s="951"/>
      <c r="D149" s="287">
        <f t="shared" ca="1" si="39"/>
        <v>50643</v>
      </c>
      <c r="E149" s="359">
        <f t="shared" si="42"/>
        <v>0</v>
      </c>
      <c r="F149" s="289">
        <f t="shared" ca="1" si="40"/>
        <v>60</v>
      </c>
      <c r="G149" s="290">
        <f ca="1">KTVCOI!P148</f>
        <v>1.7280977904397601</v>
      </c>
      <c r="H149" s="290">
        <f ca="1">(H148-F149-G149)*(1+$V$3)</f>
        <v>-8044.2315193952718</v>
      </c>
      <c r="I149" s="953"/>
      <c r="J149" s="292">
        <f t="shared" ca="1" si="41"/>
        <v>-8044.2315193952718</v>
      </c>
      <c r="K149" s="949"/>
      <c r="L149" s="949"/>
      <c r="M149" s="949"/>
      <c r="N149" s="950"/>
      <c r="O149" s="950"/>
      <c r="X149" s="1004"/>
      <c r="Y149" s="1004"/>
    </row>
    <row r="150" spans="2:25" ht="9.75" customHeight="1">
      <c r="B150" s="951"/>
      <c r="C150" s="951"/>
      <c r="D150" s="287">
        <f t="shared" ca="1" si="39"/>
        <v>50674</v>
      </c>
      <c r="E150" s="359">
        <f t="shared" si="42"/>
        <v>0</v>
      </c>
      <c r="F150" s="289">
        <f t="shared" ca="1" si="40"/>
        <v>60</v>
      </c>
      <c r="G150" s="290">
        <f ca="1">KTVCOI!P149</f>
        <v>1.7429168292023089</v>
      </c>
      <c r="H150" s="290">
        <f t="shared" ref="H150:H159" ca="1" si="48">(H149-F150-G150)*(1+$V$3)</f>
        <v>-8112.6986509732378</v>
      </c>
      <c r="I150" s="953"/>
      <c r="J150" s="292">
        <f t="shared" ca="1" si="41"/>
        <v>-8112.6986509732378</v>
      </c>
      <c r="K150" s="949"/>
      <c r="L150" s="949"/>
      <c r="M150" s="949"/>
      <c r="N150" s="950"/>
      <c r="O150" s="950"/>
      <c r="X150" s="1004"/>
      <c r="Y150" s="1004"/>
    </row>
    <row r="151" spans="2:25" ht="9.75" customHeight="1">
      <c r="B151" s="951"/>
      <c r="C151" s="951"/>
      <c r="D151" s="287">
        <f t="shared" ca="1" si="39"/>
        <v>50704</v>
      </c>
      <c r="E151" s="359">
        <f t="shared" si="42"/>
        <v>0</v>
      </c>
      <c r="F151" s="289">
        <f t="shared" ca="1" si="40"/>
        <v>60</v>
      </c>
      <c r="G151" s="290">
        <f ca="1">KTVCOI!P150</f>
        <v>1.757751374377535</v>
      </c>
      <c r="H151" s="290">
        <f t="shared" ca="1" si="48"/>
        <v>-8181.2374254974238</v>
      </c>
      <c r="I151" s="953"/>
      <c r="J151" s="292">
        <f t="shared" ca="1" si="41"/>
        <v>-8181.2374254974238</v>
      </c>
      <c r="K151" s="949"/>
      <c r="L151" s="949"/>
      <c r="M151" s="949"/>
      <c r="N151" s="950"/>
      <c r="O151" s="950"/>
      <c r="X151" s="1004"/>
      <c r="Y151" s="1004"/>
    </row>
    <row r="152" spans="2:25" ht="9.75" customHeight="1">
      <c r="B152" s="951"/>
      <c r="C152" s="951"/>
      <c r="D152" s="287">
        <f t="shared" ca="1" si="39"/>
        <v>50735</v>
      </c>
      <c r="E152" s="359">
        <f t="shared" si="42"/>
        <v>0</v>
      </c>
      <c r="F152" s="289">
        <f t="shared" ca="1" si="40"/>
        <v>60</v>
      </c>
      <c r="G152" s="290">
        <f ca="1">KTVCOI!P151</f>
        <v>1.7726014421911085</v>
      </c>
      <c r="H152" s="290">
        <f t="shared" ca="1" si="48"/>
        <v>-8249.8479179338992</v>
      </c>
      <c r="I152" s="953"/>
      <c r="J152" s="292">
        <f t="shared" ca="1" si="41"/>
        <v>-8249.8479179338992</v>
      </c>
      <c r="K152" s="949"/>
      <c r="L152" s="949"/>
      <c r="M152" s="949"/>
      <c r="N152" s="950"/>
      <c r="O152" s="950"/>
      <c r="X152" s="1004"/>
      <c r="Y152" s="1004"/>
    </row>
    <row r="153" spans="2:25" ht="9.75" customHeight="1">
      <c r="B153" s="951"/>
      <c r="C153" s="951"/>
      <c r="D153" s="287">
        <f t="shared" ca="1" si="39"/>
        <v>50765</v>
      </c>
      <c r="E153" s="359">
        <f t="shared" si="42"/>
        <v>0</v>
      </c>
      <c r="F153" s="289">
        <f t="shared" ca="1" si="40"/>
        <v>60</v>
      </c>
      <c r="G153" s="290">
        <f ca="1">KTVCOI!P152</f>
        <v>1.7874670488856781</v>
      </c>
      <c r="H153" s="290">
        <f t="shared" ca="1" si="48"/>
        <v>-8318.5302033271764</v>
      </c>
      <c r="I153" s="953"/>
      <c r="J153" s="292">
        <f t="shared" ca="1" si="41"/>
        <v>-8318.5302033271764</v>
      </c>
      <c r="K153" s="949"/>
      <c r="L153" s="949"/>
      <c r="M153" s="949"/>
      <c r="N153" s="950"/>
      <c r="O153" s="950"/>
      <c r="X153" s="1004"/>
      <c r="Y153" s="1004"/>
    </row>
    <row r="154" spans="2:25" ht="9.75" customHeight="1">
      <c r="B154" s="951"/>
      <c r="C154" s="951"/>
      <c r="D154" s="287">
        <f t="shared" ca="1" si="39"/>
        <v>50796</v>
      </c>
      <c r="E154" s="359">
        <f t="shared" si="42"/>
        <v>0</v>
      </c>
      <c r="F154" s="289">
        <f t="shared" ca="1" si="40"/>
        <v>60</v>
      </c>
      <c r="G154" s="290">
        <f ca="1">KTVCOI!P153</f>
        <v>1.8023482107208884</v>
      </c>
      <c r="H154" s="290">
        <f t="shared" ca="1" si="48"/>
        <v>-8387.2843568002936</v>
      </c>
      <c r="I154" s="953"/>
      <c r="J154" s="292">
        <f t="shared" ca="1" si="41"/>
        <v>-8387.2843568002936</v>
      </c>
      <c r="K154" s="949"/>
      <c r="L154" s="949"/>
      <c r="M154" s="949"/>
      <c r="N154" s="950"/>
      <c r="O154" s="950"/>
      <c r="X154" s="1004"/>
      <c r="Y154" s="1004"/>
    </row>
    <row r="155" spans="2:25" ht="9.75" customHeight="1">
      <c r="B155" s="951"/>
      <c r="C155" s="951"/>
      <c r="D155" s="287">
        <f t="shared" ca="1" si="39"/>
        <v>50827</v>
      </c>
      <c r="E155" s="359">
        <f t="shared" si="42"/>
        <v>0</v>
      </c>
      <c r="F155" s="289">
        <f t="shared" ca="1" si="40"/>
        <v>60</v>
      </c>
      <c r="G155" s="290">
        <f ca="1">KTVCOI!P154</f>
        <v>1.8172449439733969</v>
      </c>
      <c r="H155" s="290">
        <f t="shared" ca="1" si="48"/>
        <v>-8456.1104535548966</v>
      </c>
      <c r="I155" s="953"/>
      <c r="J155" s="292">
        <f t="shared" ca="1" si="41"/>
        <v>-8456.1104535548966</v>
      </c>
      <c r="K155" s="949"/>
      <c r="L155" s="949"/>
      <c r="M155" s="949"/>
      <c r="N155" s="950"/>
      <c r="O155" s="950"/>
      <c r="X155" s="1004"/>
      <c r="Y155" s="1004"/>
    </row>
    <row r="156" spans="2:25" ht="9.75" customHeight="1">
      <c r="B156" s="951"/>
      <c r="C156" s="951"/>
      <c r="D156" s="287">
        <f t="shared" ca="1" si="39"/>
        <v>50855</v>
      </c>
      <c r="E156" s="359">
        <f t="shared" si="42"/>
        <v>0</v>
      </c>
      <c r="F156" s="289">
        <f t="shared" ca="1" si="40"/>
        <v>60</v>
      </c>
      <c r="G156" s="290">
        <f ca="1">KTVCOI!P155</f>
        <v>1.8321572649368942</v>
      </c>
      <c r="H156" s="290">
        <f t="shared" ca="1" si="48"/>
        <v>-8525.0085688713207</v>
      </c>
      <c r="I156" s="953"/>
      <c r="J156" s="292">
        <f t="shared" ca="1" si="41"/>
        <v>-8525.0085688713207</v>
      </c>
      <c r="K156" s="949"/>
      <c r="L156" s="949"/>
      <c r="M156" s="949"/>
      <c r="N156" s="950"/>
      <c r="O156" s="950"/>
      <c r="X156" s="1004"/>
      <c r="Y156" s="1004"/>
    </row>
    <row r="157" spans="2:25" ht="9.75" customHeight="1">
      <c r="B157" s="951"/>
      <c r="C157" s="951"/>
      <c r="D157" s="287">
        <f t="shared" ca="1" si="39"/>
        <v>50886</v>
      </c>
      <c r="E157" s="359">
        <f t="shared" si="42"/>
        <v>0</v>
      </c>
      <c r="F157" s="289">
        <f t="shared" ca="1" si="40"/>
        <v>60</v>
      </c>
      <c r="G157" s="290">
        <f ca="1">KTVCOI!P156</f>
        <v>1.8470851899221195</v>
      </c>
      <c r="H157" s="290">
        <f t="shared" ca="1" si="48"/>
        <v>-8593.9787781086761</v>
      </c>
      <c r="I157" s="953"/>
      <c r="J157" s="292">
        <f t="shared" ca="1" si="41"/>
        <v>-8593.9787781086761</v>
      </c>
      <c r="K157" s="949"/>
      <c r="L157" s="949"/>
      <c r="M157" s="949"/>
      <c r="N157" s="950"/>
      <c r="O157" s="950"/>
      <c r="X157" s="1004"/>
      <c r="Y157" s="1004"/>
    </row>
    <row r="158" spans="2:25" ht="9.75" customHeight="1">
      <c r="B158" s="951"/>
      <c r="C158" s="951"/>
      <c r="D158" s="287">
        <f t="shared" ca="1" si="39"/>
        <v>50916</v>
      </c>
      <c r="E158" s="359">
        <f t="shared" si="42"/>
        <v>0</v>
      </c>
      <c r="F158" s="289">
        <f t="shared" ca="1" si="40"/>
        <v>60</v>
      </c>
      <c r="G158" s="290">
        <f ca="1">KTVCOI!P157</f>
        <v>1.8620287352568798</v>
      </c>
      <c r="H158" s="290">
        <f t="shared" ca="1" si="48"/>
        <v>-8663.0211567049228</v>
      </c>
      <c r="I158" s="953"/>
      <c r="J158" s="292">
        <f t="shared" ca="1" si="41"/>
        <v>-8663.0211567049228</v>
      </c>
      <c r="K158" s="949"/>
      <c r="L158" s="949"/>
      <c r="M158" s="949"/>
      <c r="N158" s="950"/>
      <c r="O158" s="950"/>
      <c r="X158" s="1004"/>
      <c r="Y158" s="1004"/>
    </row>
    <row r="159" spans="2:25" ht="9.75" customHeight="1">
      <c r="B159" s="951"/>
      <c r="C159" s="951"/>
      <c r="D159" s="287">
        <f t="shared" ca="1" si="39"/>
        <v>50947</v>
      </c>
      <c r="E159" s="359">
        <f t="shared" si="42"/>
        <v>0</v>
      </c>
      <c r="F159" s="289">
        <f t="shared" ca="1" si="40"/>
        <v>60</v>
      </c>
      <c r="G159" s="290">
        <f ca="1">KTVCOI!P158</f>
        <v>1.8769879172860666</v>
      </c>
      <c r="H159" s="290">
        <f t="shared" ca="1" si="48"/>
        <v>-8732.1357801769627</v>
      </c>
      <c r="I159" s="953"/>
      <c r="J159" s="293">
        <f ca="1">H159+I148</f>
        <v>-8732.1357801769627</v>
      </c>
      <c r="K159" s="949"/>
      <c r="L159" s="949"/>
      <c r="M159" s="949"/>
      <c r="N159" s="950"/>
      <c r="O159" s="950"/>
      <c r="X159" s="1004"/>
      <c r="Y159" s="1004"/>
    </row>
    <row r="160" spans="2:25" ht="9.75" customHeight="1">
      <c r="B160" s="946">
        <f>B148+1</f>
        <v>14</v>
      </c>
      <c r="C160" s="947">
        <f ca="1">C148+1</f>
        <v>43</v>
      </c>
      <c r="D160" s="294">
        <f t="shared" ca="1" si="39"/>
        <v>50977</v>
      </c>
      <c r="E160" s="359">
        <f t="shared" si="42"/>
        <v>0</v>
      </c>
      <c r="F160" s="360">
        <f t="shared" ca="1" si="40"/>
        <v>60</v>
      </c>
      <c r="G160" s="290">
        <f ca="1">KTVCOI!P159</f>
        <v>2.052051908341586</v>
      </c>
      <c r="H160" s="295">
        <f ca="1">(J159+KTVTRDGTTKcamket!F20-F160-G160)*(1+$V$3)</f>
        <v>-8801.4829460767396</v>
      </c>
      <c r="I160" s="948"/>
      <c r="J160" s="296">
        <f t="shared" ca="1" si="41"/>
        <v>-8801.4829460767396</v>
      </c>
      <c r="K160" s="949">
        <f ca="1">J171</f>
        <v>-9569.1922984797002</v>
      </c>
      <c r="L160" s="949"/>
      <c r="M160" s="949"/>
      <c r="N160" s="950">
        <f t="shared" ref="N160" ca="1" si="49">SUM(G160:G171)</f>
        <v>25.704023936360215</v>
      </c>
      <c r="O160" s="950"/>
      <c r="X160" s="945">
        <f t="shared" ref="X160:Y160" ca="1" si="50">SUM(F160:F171)</f>
        <v>720</v>
      </c>
      <c r="Y160" s="945">
        <f t="shared" ca="1" si="50"/>
        <v>25.704023936360215</v>
      </c>
    </row>
    <row r="161" spans="2:25" ht="9.75" customHeight="1">
      <c r="B161" s="946"/>
      <c r="C161" s="946"/>
      <c r="D161" s="294">
        <f t="shared" ca="1" si="39"/>
        <v>51008</v>
      </c>
      <c r="E161" s="359">
        <f t="shared" si="42"/>
        <v>0</v>
      </c>
      <c r="F161" s="360">
        <f t="shared" ca="1" si="40"/>
        <v>60</v>
      </c>
      <c r="G161" s="290">
        <f ca="1">KTVCOI!P160</f>
        <v>2.0683484923280333</v>
      </c>
      <c r="H161" s="295">
        <f ca="1">(H160-F161-G161)*(1+$V$3)</f>
        <v>-8870.9039481963755</v>
      </c>
      <c r="I161" s="948"/>
      <c r="J161" s="296">
        <f t="shared" ca="1" si="41"/>
        <v>-8870.9039481963755</v>
      </c>
      <c r="K161" s="949"/>
      <c r="L161" s="949"/>
      <c r="M161" s="949"/>
      <c r="N161" s="950"/>
      <c r="O161" s="950"/>
      <c r="X161" s="1004"/>
      <c r="Y161" s="1004"/>
    </row>
    <row r="162" spans="2:25" ht="9.75" customHeight="1">
      <c r="B162" s="946"/>
      <c r="C162" s="946"/>
      <c r="D162" s="294">
        <f t="shared" ca="1" si="39"/>
        <v>51039</v>
      </c>
      <c r="E162" s="359">
        <f t="shared" si="42"/>
        <v>0</v>
      </c>
      <c r="F162" s="360">
        <f t="shared" ca="1" si="40"/>
        <v>60</v>
      </c>
      <c r="G162" s="290">
        <f ca="1">KTVCOI!P161</f>
        <v>2.0846624278261481</v>
      </c>
      <c r="H162" s="295">
        <f t="shared" ref="H162:H171" ca="1" si="51">(H161-F162-G162)*(1+$V$3)</f>
        <v>-8940.3988651517338</v>
      </c>
      <c r="I162" s="948"/>
      <c r="J162" s="296">
        <f t="shared" ca="1" si="41"/>
        <v>-8940.3988651517338</v>
      </c>
      <c r="K162" s="949"/>
      <c r="L162" s="949"/>
      <c r="M162" s="949"/>
      <c r="N162" s="950"/>
      <c r="O162" s="950"/>
      <c r="X162" s="1004"/>
      <c r="Y162" s="1004"/>
    </row>
    <row r="163" spans="2:25" ht="9.75" customHeight="1">
      <c r="B163" s="946"/>
      <c r="C163" s="946"/>
      <c r="D163" s="294">
        <f t="shared" ca="1" si="39"/>
        <v>51069</v>
      </c>
      <c r="E163" s="359">
        <f t="shared" si="42"/>
        <v>0</v>
      </c>
      <c r="F163" s="360">
        <f t="shared" ca="1" si="40"/>
        <v>60</v>
      </c>
      <c r="G163" s="290">
        <f ca="1">KTVCOI!P162</f>
        <v>2.100993733310657</v>
      </c>
      <c r="H163" s="295">
        <f t="shared" ca="1" si="51"/>
        <v>-9009.9677756423862</v>
      </c>
      <c r="I163" s="948"/>
      <c r="J163" s="296">
        <f t="shared" ca="1" si="41"/>
        <v>-9009.9677756423862</v>
      </c>
      <c r="K163" s="949"/>
      <c r="L163" s="949"/>
      <c r="M163" s="949"/>
      <c r="N163" s="950"/>
      <c r="O163" s="950"/>
      <c r="X163" s="1004"/>
      <c r="Y163" s="1004"/>
    </row>
    <row r="164" spans="2:25" ht="9.75" customHeight="1">
      <c r="B164" s="946"/>
      <c r="C164" s="946"/>
      <c r="D164" s="294">
        <f t="shared" ca="1" si="39"/>
        <v>51100</v>
      </c>
      <c r="E164" s="359">
        <f t="shared" si="42"/>
        <v>0</v>
      </c>
      <c r="F164" s="360">
        <f t="shared" ca="1" si="40"/>
        <v>60</v>
      </c>
      <c r="G164" s="290">
        <f ca="1">KTVCOI!P163</f>
        <v>2.1173424272759607</v>
      </c>
      <c r="H164" s="295">
        <f t="shared" ca="1" si="51"/>
        <v>-9079.610758451694</v>
      </c>
      <c r="I164" s="948"/>
      <c r="J164" s="296">
        <f t="shared" ca="1" si="41"/>
        <v>-9079.610758451694</v>
      </c>
      <c r="K164" s="949"/>
      <c r="L164" s="949"/>
      <c r="M164" s="949"/>
      <c r="N164" s="950"/>
      <c r="O164" s="950"/>
      <c r="X164" s="1004"/>
      <c r="Y164" s="1004"/>
    </row>
    <row r="165" spans="2:25" ht="9.75" customHeight="1">
      <c r="B165" s="946"/>
      <c r="C165" s="946"/>
      <c r="D165" s="294">
        <f t="shared" ca="1" si="39"/>
        <v>51130</v>
      </c>
      <c r="E165" s="359">
        <f t="shared" si="42"/>
        <v>0</v>
      </c>
      <c r="F165" s="360">
        <f t="shared" ca="1" si="40"/>
        <v>60</v>
      </c>
      <c r="G165" s="290">
        <f ca="1">KTVCOI!P164</f>
        <v>2.1337085282361481</v>
      </c>
      <c r="H165" s="295">
        <f t="shared" ca="1" si="51"/>
        <v>-9149.3278924469032</v>
      </c>
      <c r="I165" s="948"/>
      <c r="J165" s="296">
        <f t="shared" ca="1" si="41"/>
        <v>-9149.3278924469032</v>
      </c>
      <c r="K165" s="949"/>
      <c r="L165" s="949"/>
      <c r="M165" s="949"/>
      <c r="N165" s="950"/>
      <c r="O165" s="950"/>
      <c r="X165" s="1004"/>
      <c r="Y165" s="1004"/>
    </row>
    <row r="166" spans="2:25" ht="9.75" customHeight="1">
      <c r="B166" s="946"/>
      <c r="C166" s="946"/>
      <c r="D166" s="294">
        <f t="shared" ca="1" si="39"/>
        <v>51161</v>
      </c>
      <c r="E166" s="359">
        <f t="shared" si="42"/>
        <v>0</v>
      </c>
      <c r="F166" s="360">
        <f t="shared" ca="1" si="40"/>
        <v>60</v>
      </c>
      <c r="G166" s="290">
        <f ca="1">KTVCOI!P165</f>
        <v>2.1500920547250222</v>
      </c>
      <c r="H166" s="295">
        <f t="shared" ca="1" si="51"/>
        <v>-9219.1192565792317</v>
      </c>
      <c r="I166" s="948"/>
      <c r="J166" s="296">
        <f t="shared" ca="1" si="41"/>
        <v>-9219.1192565792317</v>
      </c>
      <c r="K166" s="949"/>
      <c r="L166" s="949"/>
      <c r="M166" s="949"/>
      <c r="N166" s="950"/>
      <c r="O166" s="950"/>
      <c r="X166" s="1004"/>
      <c r="Y166" s="1004"/>
    </row>
    <row r="167" spans="2:25" ht="9.75" customHeight="1">
      <c r="B167" s="946"/>
      <c r="C167" s="946"/>
      <c r="D167" s="294">
        <f t="shared" ca="1" si="39"/>
        <v>51192</v>
      </c>
      <c r="E167" s="359">
        <f t="shared" si="42"/>
        <v>0</v>
      </c>
      <c r="F167" s="360">
        <f t="shared" ca="1" si="40"/>
        <v>60</v>
      </c>
      <c r="G167" s="290">
        <f ca="1">KTVCOI!P166</f>
        <v>2.1664930252961194</v>
      </c>
      <c r="H167" s="295">
        <f t="shared" ca="1" si="51"/>
        <v>-9288.9849298839617</v>
      </c>
      <c r="I167" s="948"/>
      <c r="J167" s="296">
        <f t="shared" ca="1" si="41"/>
        <v>-9288.9849298839617</v>
      </c>
      <c r="K167" s="949"/>
      <c r="L167" s="949"/>
      <c r="M167" s="949"/>
      <c r="N167" s="950"/>
      <c r="O167" s="950"/>
      <c r="X167" s="1004"/>
      <c r="Y167" s="1004"/>
    </row>
    <row r="168" spans="2:25" ht="9.75" customHeight="1">
      <c r="B168" s="946"/>
      <c r="C168" s="946"/>
      <c r="D168" s="294">
        <f t="shared" ca="1" si="39"/>
        <v>51221</v>
      </c>
      <c r="E168" s="359">
        <f t="shared" si="42"/>
        <v>0</v>
      </c>
      <c r="F168" s="360">
        <f t="shared" ca="1" si="40"/>
        <v>60</v>
      </c>
      <c r="G168" s="290">
        <f ca="1">KTVCOI!P167</f>
        <v>2.1829114585227307</v>
      </c>
      <c r="H168" s="295">
        <f t="shared" ca="1" si="51"/>
        <v>-9358.9249914805278</v>
      </c>
      <c r="I168" s="948"/>
      <c r="J168" s="296">
        <f t="shared" ca="1" si="41"/>
        <v>-9358.9249914805278</v>
      </c>
      <c r="K168" s="949"/>
      <c r="L168" s="949"/>
      <c r="M168" s="949"/>
      <c r="N168" s="950"/>
      <c r="O168" s="950"/>
      <c r="X168" s="1004"/>
      <c r="Y168" s="1004"/>
    </row>
    <row r="169" spans="2:25" ht="9.75" customHeight="1">
      <c r="B169" s="946"/>
      <c r="C169" s="946"/>
      <c r="D169" s="294">
        <f t="shared" ca="1" si="39"/>
        <v>51252</v>
      </c>
      <c r="E169" s="359">
        <f t="shared" si="42"/>
        <v>0</v>
      </c>
      <c r="F169" s="360">
        <f t="shared" ca="1" si="40"/>
        <v>60</v>
      </c>
      <c r="G169" s="290">
        <f ca="1">KTVCOI!P168</f>
        <v>2.199347372997924</v>
      </c>
      <c r="H169" s="295">
        <f t="shared" ca="1" si="51"/>
        <v>-9428.9395205725996</v>
      </c>
      <c r="I169" s="948"/>
      <c r="J169" s="296">
        <f t="shared" ca="1" si="41"/>
        <v>-9428.9395205725996</v>
      </c>
      <c r="K169" s="949"/>
      <c r="L169" s="949"/>
      <c r="M169" s="949"/>
      <c r="N169" s="950"/>
      <c r="O169" s="950"/>
      <c r="X169" s="1004"/>
      <c r="Y169" s="1004"/>
    </row>
    <row r="170" spans="2:25" ht="9.75" customHeight="1">
      <c r="B170" s="946"/>
      <c r="C170" s="946"/>
      <c r="D170" s="294">
        <f t="shared" ca="1" si="39"/>
        <v>51282</v>
      </c>
      <c r="E170" s="359">
        <f t="shared" si="42"/>
        <v>0</v>
      </c>
      <c r="F170" s="360">
        <f t="shared" ca="1" si="40"/>
        <v>60</v>
      </c>
      <c r="G170" s="290">
        <f ca="1">KTVCOI!P169</f>
        <v>2.2158007873345609</v>
      </c>
      <c r="H170" s="295">
        <f t="shared" ca="1" si="51"/>
        <v>-9499.0285964481827</v>
      </c>
      <c r="I170" s="948"/>
      <c r="J170" s="296">
        <f t="shared" ca="1" si="41"/>
        <v>-9499.0285964481827</v>
      </c>
      <c r="K170" s="949"/>
      <c r="L170" s="949"/>
      <c r="M170" s="949"/>
      <c r="N170" s="950"/>
      <c r="O170" s="950"/>
      <c r="X170" s="1004"/>
      <c r="Y170" s="1004"/>
    </row>
    <row r="171" spans="2:25" ht="9.75" customHeight="1">
      <c r="B171" s="946"/>
      <c r="C171" s="946"/>
      <c r="D171" s="294">
        <f t="shared" ca="1" si="39"/>
        <v>51313</v>
      </c>
      <c r="E171" s="359">
        <f t="shared" si="42"/>
        <v>0</v>
      </c>
      <c r="F171" s="360">
        <f t="shared" ca="1" si="40"/>
        <v>60</v>
      </c>
      <c r="G171" s="290">
        <f ca="1">KTVCOI!P170</f>
        <v>2.2322717201653228</v>
      </c>
      <c r="H171" s="295">
        <f t="shared" ca="1" si="51"/>
        <v>-9569.1922984797002</v>
      </c>
      <c r="I171" s="948"/>
      <c r="J171" s="297">
        <f ca="1">H171+I160</f>
        <v>-9569.1922984797002</v>
      </c>
      <c r="K171" s="949"/>
      <c r="L171" s="949"/>
      <c r="M171" s="949"/>
      <c r="N171" s="950"/>
      <c r="O171" s="950"/>
      <c r="X171" s="1004"/>
      <c r="Y171" s="1004"/>
    </row>
    <row r="172" spans="2:25" ht="9.75" customHeight="1">
      <c r="B172" s="951">
        <f>B160+1</f>
        <v>15</v>
      </c>
      <c r="C172" s="952">
        <f ca="1">C160+1</f>
        <v>44</v>
      </c>
      <c r="D172" s="287">
        <f t="shared" ca="1" si="39"/>
        <v>51343</v>
      </c>
      <c r="E172" s="359">
        <f t="shared" si="42"/>
        <v>0</v>
      </c>
      <c r="F172" s="289">
        <f t="shared" ca="1" si="40"/>
        <v>60</v>
      </c>
      <c r="G172" s="290">
        <f ca="1">KTVCOI!P171</f>
        <v>2.4401440361123234</v>
      </c>
      <c r="H172" s="290">
        <f ca="1">(J171+KTVTRDGTTKcamket!F20-F172-G172)*(1+$V$3)</f>
        <v>-9639.622248730253</v>
      </c>
      <c r="I172" s="953"/>
      <c r="J172" s="292">
        <f t="shared" ca="1" si="41"/>
        <v>-9639.622248730253</v>
      </c>
      <c r="K172" s="949">
        <f ca="1">J183</f>
        <v>-10419.412303263989</v>
      </c>
      <c r="L172" s="949"/>
      <c r="M172" s="949"/>
      <c r="N172" s="950">
        <f t="shared" ref="N172" ca="1" si="52">SUM(G172:G183)</f>
        <v>30.47136095121887</v>
      </c>
      <c r="O172" s="950"/>
      <c r="X172" s="945">
        <f t="shared" ref="X172:Y172" ca="1" si="53">SUM(F172:F183)</f>
        <v>720</v>
      </c>
      <c r="Y172" s="945">
        <f t="shared" ca="1" si="53"/>
        <v>30.47136095121887</v>
      </c>
    </row>
    <row r="173" spans="2:25" ht="9.75" customHeight="1">
      <c r="B173" s="951"/>
      <c r="C173" s="951"/>
      <c r="D173" s="287">
        <f t="shared" ca="1" si="39"/>
        <v>51374</v>
      </c>
      <c r="E173" s="359">
        <f t="shared" si="42"/>
        <v>0</v>
      </c>
      <c r="F173" s="289">
        <f t="shared" ca="1" si="40"/>
        <v>60</v>
      </c>
      <c r="G173" s="290">
        <f ca="1">KTVCOI!P172</f>
        <v>2.4581036734262147</v>
      </c>
      <c r="H173" s="290">
        <f ca="1">(H172-F173-G173)*(1+$V$3)</f>
        <v>-9710.1285978444484</v>
      </c>
      <c r="I173" s="953"/>
      <c r="J173" s="292">
        <f t="shared" ca="1" si="41"/>
        <v>-9710.1285978444484</v>
      </c>
      <c r="K173" s="949"/>
      <c r="L173" s="949"/>
      <c r="M173" s="949"/>
      <c r="N173" s="950"/>
      <c r="O173" s="950"/>
      <c r="X173" s="1004"/>
      <c r="Y173" s="1004"/>
    </row>
    <row r="174" spans="2:25" ht="9.75" customHeight="1">
      <c r="B174" s="951"/>
      <c r="C174" s="951"/>
      <c r="D174" s="287">
        <f t="shared" ca="1" si="39"/>
        <v>51405</v>
      </c>
      <c r="E174" s="359">
        <f t="shared" si="42"/>
        <v>0</v>
      </c>
      <c r="F174" s="289">
        <f t="shared" ca="1" si="40"/>
        <v>60</v>
      </c>
      <c r="G174" s="290">
        <f ca="1">KTVCOI!P173</f>
        <v>2.4760827924503341</v>
      </c>
      <c r="H174" s="290">
        <f t="shared" ref="H174:H183" ca="1" si="54">(H173-F174-G174)*(1+$V$3)</f>
        <v>-9780.7114286959259</v>
      </c>
      <c r="I174" s="953"/>
      <c r="J174" s="292">
        <f t="shared" ca="1" si="41"/>
        <v>-9780.7114286959259</v>
      </c>
      <c r="K174" s="949"/>
      <c r="L174" s="949"/>
      <c r="M174" s="949"/>
      <c r="N174" s="950"/>
      <c r="O174" s="950"/>
      <c r="X174" s="1004"/>
      <c r="Y174" s="1004"/>
    </row>
    <row r="175" spans="2:25" ht="9.75" customHeight="1">
      <c r="B175" s="951"/>
      <c r="C175" s="951"/>
      <c r="D175" s="287">
        <f t="shared" ca="1" si="39"/>
        <v>51435</v>
      </c>
      <c r="E175" s="359">
        <f t="shared" si="42"/>
        <v>0</v>
      </c>
      <c r="F175" s="289">
        <f t="shared" ca="1" si="40"/>
        <v>60</v>
      </c>
      <c r="G175" s="290">
        <f ca="1">KTVCOI!P174</f>
        <v>2.4940814143174612</v>
      </c>
      <c r="H175" s="290">
        <f t="shared" ca="1" si="54"/>
        <v>-9851.3708242482226</v>
      </c>
      <c r="I175" s="953"/>
      <c r="J175" s="292">
        <f t="shared" ca="1" si="41"/>
        <v>-9851.3708242482226</v>
      </c>
      <c r="K175" s="949"/>
      <c r="L175" s="949"/>
      <c r="M175" s="949"/>
      <c r="N175" s="950"/>
      <c r="O175" s="950"/>
      <c r="X175" s="1004"/>
      <c r="Y175" s="1004"/>
    </row>
    <row r="176" spans="2:25" ht="9.75" customHeight="1">
      <c r="B176" s="951"/>
      <c r="C176" s="951"/>
      <c r="D176" s="287">
        <f t="shared" ca="1" si="39"/>
        <v>51466</v>
      </c>
      <c r="E176" s="359">
        <f t="shared" si="42"/>
        <v>0</v>
      </c>
      <c r="F176" s="289">
        <f t="shared" ca="1" si="40"/>
        <v>60</v>
      </c>
      <c r="G176" s="290">
        <f ca="1">KTVCOI!P175</f>
        <v>2.5120995601832967</v>
      </c>
      <c r="H176" s="290">
        <f t="shared" ca="1" si="54"/>
        <v>-9922.1068675548704</v>
      </c>
      <c r="I176" s="953"/>
      <c r="J176" s="292">
        <f t="shared" ca="1" si="41"/>
        <v>-9922.1068675548704</v>
      </c>
      <c r="K176" s="949"/>
      <c r="L176" s="949"/>
      <c r="M176" s="949"/>
      <c r="N176" s="950"/>
      <c r="O176" s="950"/>
      <c r="X176" s="1004"/>
      <c r="Y176" s="1004"/>
    </row>
    <row r="177" spans="2:25" ht="9.75" customHeight="1">
      <c r="B177" s="951"/>
      <c r="C177" s="951"/>
      <c r="D177" s="287">
        <f t="shared" ca="1" si="39"/>
        <v>51496</v>
      </c>
      <c r="E177" s="359">
        <f t="shared" si="42"/>
        <v>0</v>
      </c>
      <c r="F177" s="289">
        <f t="shared" ca="1" si="40"/>
        <v>60</v>
      </c>
      <c r="G177" s="290">
        <f ca="1">KTVCOI!P176</f>
        <v>2.5301372512264919</v>
      </c>
      <c r="H177" s="290">
        <f t="shared" ca="1" si="54"/>
        <v>-9992.919641759494</v>
      </c>
      <c r="I177" s="953"/>
      <c r="J177" s="292">
        <f t="shared" ca="1" si="41"/>
        <v>-9992.919641759494</v>
      </c>
      <c r="K177" s="949"/>
      <c r="L177" s="949"/>
      <c r="M177" s="949"/>
      <c r="N177" s="950"/>
      <c r="O177" s="950"/>
      <c r="X177" s="1004"/>
      <c r="Y177" s="1004"/>
    </row>
    <row r="178" spans="2:25" ht="9.75" customHeight="1">
      <c r="B178" s="951"/>
      <c r="C178" s="951"/>
      <c r="D178" s="287">
        <f t="shared" ca="1" si="39"/>
        <v>51527</v>
      </c>
      <c r="E178" s="359">
        <f t="shared" si="42"/>
        <v>0</v>
      </c>
      <c r="F178" s="289">
        <f t="shared" ca="1" si="40"/>
        <v>60</v>
      </c>
      <c r="G178" s="290">
        <f ca="1">KTVCOI!P177</f>
        <v>2.5481945086486708</v>
      </c>
      <c r="H178" s="290">
        <f t="shared" ca="1" si="54"/>
        <v>-10063.809230095909</v>
      </c>
      <c r="I178" s="953"/>
      <c r="J178" s="292">
        <f t="shared" ca="1" si="41"/>
        <v>-10063.809230095909</v>
      </c>
      <c r="K178" s="949"/>
      <c r="L178" s="949"/>
      <c r="M178" s="949"/>
      <c r="N178" s="950"/>
      <c r="O178" s="950"/>
      <c r="X178" s="1004"/>
      <c r="Y178" s="1004"/>
    </row>
    <row r="179" spans="2:25" ht="9.75" customHeight="1">
      <c r="B179" s="951"/>
      <c r="C179" s="951"/>
      <c r="D179" s="287">
        <f t="shared" ca="1" si="39"/>
        <v>51558</v>
      </c>
      <c r="E179" s="359">
        <f t="shared" si="42"/>
        <v>0</v>
      </c>
      <c r="F179" s="289">
        <f t="shared" ca="1" si="40"/>
        <v>60</v>
      </c>
      <c r="G179" s="290">
        <f ca="1">KTVCOI!P178</f>
        <v>2.5662713536744568</v>
      </c>
      <c r="H179" s="290">
        <f t="shared" ca="1" si="54"/>
        <v>-10134.775715888218</v>
      </c>
      <c r="I179" s="953"/>
      <c r="J179" s="292">
        <f t="shared" ca="1" si="41"/>
        <v>-10134.775715888218</v>
      </c>
      <c r="K179" s="949"/>
      <c r="L179" s="949"/>
      <c r="M179" s="949"/>
      <c r="N179" s="950"/>
      <c r="O179" s="950"/>
      <c r="X179" s="1004"/>
      <c r="Y179" s="1004"/>
    </row>
    <row r="180" spans="2:25" ht="9.75" customHeight="1">
      <c r="B180" s="951"/>
      <c r="C180" s="951"/>
      <c r="D180" s="287">
        <f t="shared" ca="1" si="39"/>
        <v>51586</v>
      </c>
      <c r="E180" s="359">
        <f t="shared" si="42"/>
        <v>0</v>
      </c>
      <c r="F180" s="289">
        <f t="shared" ca="1" si="40"/>
        <v>60</v>
      </c>
      <c r="G180" s="290">
        <f ca="1">KTVCOI!P179</f>
        <v>2.5843678075514958</v>
      </c>
      <c r="H180" s="290">
        <f t="shared" ca="1" si="54"/>
        <v>-10205.819182550906</v>
      </c>
      <c r="I180" s="953"/>
      <c r="J180" s="292">
        <f t="shared" ca="1" si="41"/>
        <v>-10205.819182550906</v>
      </c>
      <c r="K180" s="949"/>
      <c r="L180" s="949"/>
      <c r="M180" s="949"/>
      <c r="N180" s="950"/>
      <c r="O180" s="950"/>
      <c r="X180" s="1004"/>
      <c r="Y180" s="1004"/>
    </row>
    <row r="181" spans="2:25" ht="9.75" customHeight="1">
      <c r="B181" s="951"/>
      <c r="C181" s="951"/>
      <c r="D181" s="287">
        <f t="shared" ca="1" si="39"/>
        <v>51617</v>
      </c>
      <c r="E181" s="359">
        <f t="shared" si="42"/>
        <v>0</v>
      </c>
      <c r="F181" s="289">
        <f t="shared" ca="1" si="40"/>
        <v>60</v>
      </c>
      <c r="G181" s="290">
        <f ca="1">KTVCOI!P180</f>
        <v>2.6024838915504809</v>
      </c>
      <c r="H181" s="290">
        <f t="shared" ca="1" si="54"/>
        <v>-10276.939713588949</v>
      </c>
      <c r="I181" s="953"/>
      <c r="J181" s="292">
        <f t="shared" ca="1" si="41"/>
        <v>-10276.939713588949</v>
      </c>
      <c r="K181" s="949"/>
      <c r="L181" s="949"/>
      <c r="M181" s="949"/>
      <c r="N181" s="950"/>
      <c r="O181" s="950"/>
      <c r="X181" s="1004"/>
      <c r="Y181" s="1004"/>
    </row>
    <row r="182" spans="2:25" ht="9.75" customHeight="1">
      <c r="B182" s="951"/>
      <c r="C182" s="951"/>
      <c r="D182" s="287">
        <f t="shared" ca="1" si="39"/>
        <v>51647</v>
      </c>
      <c r="E182" s="359">
        <f t="shared" si="42"/>
        <v>0</v>
      </c>
      <c r="F182" s="289">
        <f t="shared" ca="1" si="40"/>
        <v>60</v>
      </c>
      <c r="G182" s="290">
        <f ca="1">KTVCOI!P181</f>
        <v>2.620619626965182</v>
      </c>
      <c r="H182" s="290">
        <f t="shared" ca="1" si="54"/>
        <v>-10348.137392597897</v>
      </c>
      <c r="I182" s="953"/>
      <c r="J182" s="292">
        <f t="shared" ca="1" si="41"/>
        <v>-10348.137392597897</v>
      </c>
      <c r="K182" s="949"/>
      <c r="L182" s="949"/>
      <c r="M182" s="949"/>
      <c r="N182" s="950"/>
      <c r="O182" s="950"/>
      <c r="X182" s="1004"/>
      <c r="Y182" s="1004"/>
    </row>
    <row r="183" spans="2:25" ht="9.75" customHeight="1">
      <c r="B183" s="951"/>
      <c r="C183" s="951"/>
      <c r="D183" s="287">
        <f t="shared" ca="1" si="39"/>
        <v>51678</v>
      </c>
      <c r="E183" s="359">
        <f t="shared" si="42"/>
        <v>0</v>
      </c>
      <c r="F183" s="289">
        <f t="shared" ca="1" si="40"/>
        <v>60</v>
      </c>
      <c r="G183" s="290">
        <f ca="1">KTVCOI!P182</f>
        <v>2.6387750351124639</v>
      </c>
      <c r="H183" s="290">
        <f t="shared" ca="1" si="54"/>
        <v>-10419.412303263989</v>
      </c>
      <c r="I183" s="953"/>
      <c r="J183" s="293">
        <f ca="1">H183+I172</f>
        <v>-10419.412303263989</v>
      </c>
      <c r="K183" s="949"/>
      <c r="L183" s="949"/>
      <c r="M183" s="949"/>
      <c r="N183" s="950"/>
      <c r="O183" s="950"/>
      <c r="X183" s="1004"/>
      <c r="Y183" s="1004"/>
    </row>
    <row r="184" spans="2:25" ht="9.75" customHeight="1">
      <c r="B184" s="946">
        <f>B172+1</f>
        <v>16</v>
      </c>
      <c r="C184" s="947">
        <f ca="1">C172+1</f>
        <v>45</v>
      </c>
      <c r="D184" s="294">
        <f t="shared" ca="1" si="39"/>
        <v>51708</v>
      </c>
      <c r="E184" s="359">
        <f t="shared" si="42"/>
        <v>0</v>
      </c>
      <c r="F184" s="360">
        <f t="shared" ca="1" si="40"/>
        <v>60</v>
      </c>
      <c r="G184" s="290">
        <f ca="1">KTVCOI!P183</f>
        <v>2.8740212269836505</v>
      </c>
      <c r="H184" s="295">
        <f ca="1">(J183+KTVTRDGTTKcamket!F21-F184-G184)*(1+$W$3)</f>
        <v>-10486.643966522764</v>
      </c>
      <c r="I184" s="948"/>
      <c r="J184" s="296">
        <f t="shared" ca="1" si="41"/>
        <v>-10486.643966522764</v>
      </c>
      <c r="K184" s="949">
        <f ca="1">J195</f>
        <v>-11229.268457829079</v>
      </c>
      <c r="L184" s="949"/>
      <c r="M184" s="949"/>
      <c r="N184" s="950">
        <f t="shared" ref="N184" ca="1" si="55">SUM(G184:G195)</f>
        <v>35.715033424548388</v>
      </c>
      <c r="O184" s="950"/>
      <c r="X184" s="945">
        <f t="shared" ref="X184:Y184" ca="1" si="56">SUM(F184:F195)</f>
        <v>720</v>
      </c>
      <c r="Y184" s="945">
        <f t="shared" ca="1" si="56"/>
        <v>35.715033424548388</v>
      </c>
    </row>
    <row r="185" spans="2:25" ht="9.75" customHeight="1">
      <c r="B185" s="946"/>
      <c r="C185" s="946"/>
      <c r="D185" s="294">
        <f t="shared" ca="1" si="39"/>
        <v>51739</v>
      </c>
      <c r="E185" s="359">
        <f t="shared" si="42"/>
        <v>0</v>
      </c>
      <c r="F185" s="360">
        <f t="shared" ca="1" si="40"/>
        <v>60</v>
      </c>
      <c r="G185" s="290">
        <f ca="1">KTVCOI!P184</f>
        <v>2.8925659607658623</v>
      </c>
      <c r="H185" s="295">
        <f ca="1">(H184-F185-G185)*(1+$W$3)</f>
        <v>-10553.922131425095</v>
      </c>
      <c r="I185" s="948"/>
      <c r="J185" s="296">
        <f t="shared" ca="1" si="41"/>
        <v>-10553.922131425095</v>
      </c>
      <c r="K185" s="949"/>
      <c r="L185" s="949"/>
      <c r="M185" s="949"/>
      <c r="N185" s="950"/>
      <c r="O185" s="950"/>
      <c r="X185" s="1004"/>
      <c r="Y185" s="1004"/>
    </row>
    <row r="186" spans="2:25" ht="9.75" customHeight="1">
      <c r="B186" s="946"/>
      <c r="C186" s="946"/>
      <c r="D186" s="294">
        <f t="shared" ca="1" si="39"/>
        <v>51770</v>
      </c>
      <c r="E186" s="359">
        <f t="shared" si="42"/>
        <v>0</v>
      </c>
      <c r="F186" s="360">
        <f t="shared" ca="1" si="40"/>
        <v>60</v>
      </c>
      <c r="G186" s="290">
        <f ca="1">KTVCOI!P185</f>
        <v>2.9111235212514219</v>
      </c>
      <c r="H186" s="295">
        <f t="shared" ref="H186:H243" ca="1" si="57">(H185-F186-G186)*(1+$W$3)</f>
        <v>-10621.24683013444</v>
      </c>
      <c r="I186" s="948"/>
      <c r="J186" s="296">
        <f t="shared" ca="1" si="41"/>
        <v>-10621.24683013444</v>
      </c>
      <c r="K186" s="949"/>
      <c r="L186" s="949"/>
      <c r="M186" s="949"/>
      <c r="N186" s="950"/>
      <c r="O186" s="950"/>
      <c r="X186" s="1004"/>
      <c r="Y186" s="1004"/>
    </row>
    <row r="187" spans="2:25" ht="9.75" customHeight="1">
      <c r="B187" s="946"/>
      <c r="C187" s="946"/>
      <c r="D187" s="294">
        <f t="shared" ca="1" si="39"/>
        <v>51800</v>
      </c>
      <c r="E187" s="359">
        <f t="shared" si="42"/>
        <v>0</v>
      </c>
      <c r="F187" s="360">
        <f t="shared" ca="1" si="40"/>
        <v>60</v>
      </c>
      <c r="G187" s="290">
        <f ca="1">KTVCOI!P186</f>
        <v>2.9296939173120831</v>
      </c>
      <c r="H187" s="295">
        <f t="shared" ca="1" si="57"/>
        <v>-10688.618094836505</v>
      </c>
      <c r="I187" s="948"/>
      <c r="J187" s="296">
        <f t="shared" ca="1" si="41"/>
        <v>-10688.618094836505</v>
      </c>
      <c r="K187" s="949"/>
      <c r="L187" s="949"/>
      <c r="M187" s="949"/>
      <c r="N187" s="950"/>
      <c r="O187" s="950"/>
      <c r="X187" s="1004"/>
      <c r="Y187" s="1004"/>
    </row>
    <row r="188" spans="2:25" ht="9.75" customHeight="1">
      <c r="B188" s="946"/>
      <c r="C188" s="946"/>
      <c r="D188" s="294">
        <f t="shared" ca="1" si="39"/>
        <v>51831</v>
      </c>
      <c r="E188" s="359">
        <f t="shared" si="42"/>
        <v>0</v>
      </c>
      <c r="F188" s="360">
        <f t="shared" ca="1" si="40"/>
        <v>60</v>
      </c>
      <c r="G188" s="290">
        <f ca="1">KTVCOI!P187</f>
        <v>2.9482771578257361</v>
      </c>
      <c r="H188" s="295">
        <f t="shared" ca="1" si="57"/>
        <v>-10756.035957739259</v>
      </c>
      <c r="I188" s="948"/>
      <c r="J188" s="296">
        <f t="shared" ca="1" si="41"/>
        <v>-10756.035957739259</v>
      </c>
      <c r="K188" s="949"/>
      <c r="L188" s="949"/>
      <c r="M188" s="949"/>
      <c r="N188" s="950"/>
      <c r="O188" s="950"/>
      <c r="X188" s="1004"/>
      <c r="Y188" s="1004"/>
    </row>
    <row r="189" spans="2:25" ht="9.75" customHeight="1">
      <c r="B189" s="946"/>
      <c r="C189" s="946"/>
      <c r="D189" s="294">
        <f t="shared" ca="1" si="39"/>
        <v>51861</v>
      </c>
      <c r="E189" s="359">
        <f t="shared" si="42"/>
        <v>0</v>
      </c>
      <c r="F189" s="360">
        <f t="shared" ca="1" si="40"/>
        <v>60</v>
      </c>
      <c r="G189" s="290">
        <f ca="1">KTVCOI!P188</f>
        <v>2.9668732516764122</v>
      </c>
      <c r="H189" s="295">
        <f t="shared" ca="1" si="57"/>
        <v>-10823.500451072943</v>
      </c>
      <c r="I189" s="948"/>
      <c r="J189" s="296">
        <f t="shared" ca="1" si="41"/>
        <v>-10823.500451072943</v>
      </c>
      <c r="K189" s="949"/>
      <c r="L189" s="949"/>
      <c r="M189" s="949"/>
      <c r="N189" s="950"/>
      <c r="O189" s="950"/>
      <c r="X189" s="1004"/>
      <c r="Y189" s="1004"/>
    </row>
    <row r="190" spans="2:25" ht="9.75" customHeight="1">
      <c r="B190" s="946"/>
      <c r="C190" s="946"/>
      <c r="D190" s="294">
        <f t="shared" ca="1" si="39"/>
        <v>51892</v>
      </c>
      <c r="E190" s="359">
        <f t="shared" si="42"/>
        <v>0</v>
      </c>
      <c r="F190" s="360">
        <f t="shared" ca="1" si="40"/>
        <v>60</v>
      </c>
      <c r="G190" s="290">
        <f ca="1">KTVCOI!P189</f>
        <v>2.9854822077542864</v>
      </c>
      <c r="H190" s="295">
        <f t="shared" ca="1" si="57"/>
        <v>-10891.011607090095</v>
      </c>
      <c r="I190" s="948"/>
      <c r="J190" s="296">
        <f t="shared" ca="1" si="41"/>
        <v>-10891.011607090095</v>
      </c>
      <c r="K190" s="949"/>
      <c r="L190" s="949"/>
      <c r="M190" s="949"/>
      <c r="N190" s="950"/>
      <c r="O190" s="950"/>
      <c r="X190" s="1004"/>
      <c r="Y190" s="1004"/>
    </row>
    <row r="191" spans="2:25" ht="9.75" customHeight="1">
      <c r="B191" s="946"/>
      <c r="C191" s="946"/>
      <c r="D191" s="294">
        <f t="shared" ca="1" si="39"/>
        <v>51923</v>
      </c>
      <c r="E191" s="359">
        <f t="shared" si="42"/>
        <v>0</v>
      </c>
      <c r="F191" s="360">
        <f t="shared" ca="1" si="40"/>
        <v>60</v>
      </c>
      <c r="G191" s="290">
        <f ca="1">KTVCOI!P190</f>
        <v>3.0041040349556849</v>
      </c>
      <c r="H191" s="295">
        <f t="shared" ca="1" si="57"/>
        <v>-10958.56945806556</v>
      </c>
      <c r="I191" s="948"/>
      <c r="J191" s="296">
        <f t="shared" ca="1" si="41"/>
        <v>-10958.56945806556</v>
      </c>
      <c r="K191" s="949"/>
      <c r="L191" s="949"/>
      <c r="M191" s="949"/>
      <c r="N191" s="950"/>
      <c r="O191" s="950"/>
      <c r="X191" s="1004"/>
      <c r="Y191" s="1004"/>
    </row>
    <row r="192" spans="2:25" ht="9.75" customHeight="1">
      <c r="B192" s="946"/>
      <c r="C192" s="946"/>
      <c r="D192" s="294">
        <f t="shared" ca="1" si="39"/>
        <v>51951</v>
      </c>
      <c r="E192" s="359">
        <f t="shared" si="42"/>
        <v>0</v>
      </c>
      <c r="F192" s="360">
        <f t="shared" ca="1" si="40"/>
        <v>60</v>
      </c>
      <c r="G192" s="290">
        <f ca="1">KTVCOI!P191</f>
        <v>3.0227387421830838</v>
      </c>
      <c r="H192" s="295">
        <f t="shared" ca="1" si="57"/>
        <v>-11026.174036296507</v>
      </c>
      <c r="I192" s="948"/>
      <c r="J192" s="296">
        <f t="shared" ca="1" si="41"/>
        <v>-11026.174036296507</v>
      </c>
      <c r="K192" s="949"/>
      <c r="L192" s="949"/>
      <c r="M192" s="949"/>
      <c r="N192" s="950"/>
      <c r="O192" s="950"/>
      <c r="X192" s="1004"/>
      <c r="Y192" s="1004"/>
    </row>
    <row r="193" spans="2:25" ht="9.75" customHeight="1">
      <c r="B193" s="946"/>
      <c r="C193" s="946"/>
      <c r="D193" s="294">
        <f t="shared" ca="1" si="39"/>
        <v>51982</v>
      </c>
      <c r="E193" s="359">
        <f t="shared" si="42"/>
        <v>0</v>
      </c>
      <c r="F193" s="360">
        <f t="shared" ca="1" si="40"/>
        <v>60</v>
      </c>
      <c r="G193" s="290">
        <f ca="1">KTVCOI!P192</f>
        <v>3.0413863383451196</v>
      </c>
      <c r="H193" s="295">
        <f t="shared" ca="1" si="57"/>
        <v>-11093.82537410244</v>
      </c>
      <c r="I193" s="948"/>
      <c r="J193" s="296">
        <f t="shared" ca="1" si="41"/>
        <v>-11093.82537410244</v>
      </c>
      <c r="K193" s="949"/>
      <c r="L193" s="949"/>
      <c r="M193" s="949"/>
      <c r="N193" s="950"/>
      <c r="O193" s="950"/>
      <c r="X193" s="1004"/>
      <c r="Y193" s="1004"/>
    </row>
    <row r="194" spans="2:25" ht="9.75" customHeight="1">
      <c r="B194" s="946"/>
      <c r="C194" s="946"/>
      <c r="D194" s="294">
        <f t="shared" ca="1" si="39"/>
        <v>52012</v>
      </c>
      <c r="E194" s="359">
        <f t="shared" si="42"/>
        <v>0</v>
      </c>
      <c r="F194" s="360">
        <f t="shared" ca="1" si="40"/>
        <v>60</v>
      </c>
      <c r="G194" s="290">
        <f ca="1">KTVCOI!P193</f>
        <v>3.0600468323565901</v>
      </c>
      <c r="H194" s="295">
        <f t="shared" ca="1" si="57"/>
        <v>-11161.523503825221</v>
      </c>
      <c r="I194" s="948"/>
      <c r="J194" s="296">
        <f t="shared" ca="1" si="41"/>
        <v>-11161.523503825221</v>
      </c>
      <c r="K194" s="949"/>
      <c r="L194" s="949"/>
      <c r="M194" s="949"/>
      <c r="N194" s="950"/>
      <c r="O194" s="950"/>
      <c r="X194" s="1004"/>
      <c r="Y194" s="1004"/>
    </row>
    <row r="195" spans="2:25" ht="9.75" customHeight="1">
      <c r="B195" s="946"/>
      <c r="C195" s="946"/>
      <c r="D195" s="294">
        <f t="shared" ca="1" si="39"/>
        <v>52043</v>
      </c>
      <c r="E195" s="359">
        <f t="shared" si="42"/>
        <v>0</v>
      </c>
      <c r="F195" s="360">
        <f t="shared" ca="1" si="40"/>
        <v>60</v>
      </c>
      <c r="G195" s="290">
        <f ca="1">KTVCOI!P194</f>
        <v>3.0787202331384567</v>
      </c>
      <c r="H195" s="295">
        <f t="shared" ca="1" si="57"/>
        <v>-11229.268457829079</v>
      </c>
      <c r="I195" s="948"/>
      <c r="J195" s="297">
        <f ca="1">H195+I184</f>
        <v>-11229.268457829079</v>
      </c>
      <c r="K195" s="949"/>
      <c r="L195" s="949"/>
      <c r="M195" s="949"/>
      <c r="N195" s="950"/>
      <c r="O195" s="950"/>
      <c r="X195" s="1004"/>
      <c r="Y195" s="1004"/>
    </row>
    <row r="196" spans="2:25" ht="9.75" customHeight="1">
      <c r="B196" s="951">
        <f>B184+1</f>
        <v>17</v>
      </c>
      <c r="C196" s="952">
        <f ca="1">C184+1</f>
        <v>46</v>
      </c>
      <c r="D196" s="287">
        <f t="shared" ca="1" si="39"/>
        <v>52073</v>
      </c>
      <c r="E196" s="359">
        <f t="shared" si="42"/>
        <v>0</v>
      </c>
      <c r="F196" s="289">
        <f t="shared" ca="1" si="40"/>
        <v>60</v>
      </c>
      <c r="G196" s="290">
        <f ca="1">KTVCOI!P195</f>
        <v>3.3500650899190085</v>
      </c>
      <c r="H196" s="290">
        <f ca="1">(J195+KTVTRDGTTKcamket!F23-F196-G196)*(1+$W$3)</f>
        <v>-11297.313032074837</v>
      </c>
      <c r="I196" s="953"/>
      <c r="J196" s="292">
        <f t="shared" ca="1" si="41"/>
        <v>-11297.313032074837</v>
      </c>
      <c r="K196" s="949">
        <f ca="1">J207</f>
        <v>-12049.018302145498</v>
      </c>
      <c r="L196" s="949"/>
      <c r="M196" s="949"/>
      <c r="N196" s="950">
        <f t="shared" ref="N196" ca="1" si="58">SUM(G196:G207)</f>
        <v>41.543773364425306</v>
      </c>
      <c r="O196" s="950"/>
      <c r="X196" s="945">
        <f t="shared" ref="X196:Y196" ca="1" si="59">SUM(F196:F207)</f>
        <v>720</v>
      </c>
      <c r="Y196" s="945">
        <f t="shared" ca="1" si="59"/>
        <v>41.543773364425306</v>
      </c>
    </row>
    <row r="197" spans="2:25" ht="9.75" customHeight="1">
      <c r="B197" s="951"/>
      <c r="C197" s="951"/>
      <c r="D197" s="287">
        <f t="shared" ref="D197:D243" ca="1" si="60">EDATE(D196,1)</f>
        <v>52104</v>
      </c>
      <c r="E197" s="359">
        <f t="shared" si="42"/>
        <v>0</v>
      </c>
      <c r="F197" s="289">
        <f t="shared" ref="F197:F243" ca="1" si="61">IF(YEAR(D197)=2025,40000,IF(YEAR(D197)=2026,40000,IF(YEAR(D197)=2027,40000,IF(YEAR(D197)=2028,40000,IF(YEAR(D197)=2029,40000,IF(YEAR(D197)=2030,50000,IF(YEAR(D197)=2031,50000,IF(YEAR(D197)=2032,50000,IF(YEAR(D197)=2033,50000,IF(YEAR(D197)=2034,50000,IF(YEAR(D197)&gt;=2035,60000,0)))))))))))/1000</f>
        <v>60</v>
      </c>
      <c r="G197" s="290">
        <f ca="1">KTVCOI!P196</f>
        <v>3.3703650545689929</v>
      </c>
      <c r="H197" s="290">
        <f t="shared" ca="1" si="57"/>
        <v>-11365.406201863858</v>
      </c>
      <c r="I197" s="953"/>
      <c r="J197" s="292">
        <f t="shared" ref="J197:J242" ca="1" si="62">H197</f>
        <v>-11365.406201863858</v>
      </c>
      <c r="K197" s="949"/>
      <c r="L197" s="949"/>
      <c r="M197" s="949"/>
      <c r="N197" s="950"/>
      <c r="O197" s="950"/>
      <c r="X197" s="1004"/>
      <c r="Y197" s="1004"/>
    </row>
    <row r="198" spans="2:25" ht="9.75" customHeight="1">
      <c r="B198" s="951"/>
      <c r="C198" s="951"/>
      <c r="D198" s="287">
        <f t="shared" ca="1" si="60"/>
        <v>52135</v>
      </c>
      <c r="E198" s="359">
        <f t="shared" ref="E198:E243" si="63">E197</f>
        <v>0</v>
      </c>
      <c r="F198" s="289">
        <f t="shared" ca="1" si="61"/>
        <v>60</v>
      </c>
      <c r="G198" s="290">
        <f ca="1">KTVCOI!P197</f>
        <v>3.3906795168893837</v>
      </c>
      <c r="H198" s="290">
        <f t="shared" ca="1" si="57"/>
        <v>-11433.54800190173</v>
      </c>
      <c r="I198" s="953"/>
      <c r="J198" s="292">
        <f t="shared" ca="1" si="62"/>
        <v>-11433.54800190173</v>
      </c>
      <c r="K198" s="949"/>
      <c r="L198" s="949"/>
      <c r="M198" s="949"/>
      <c r="N198" s="950"/>
      <c r="O198" s="950"/>
      <c r="X198" s="1004"/>
      <c r="Y198" s="1004"/>
    </row>
    <row r="199" spans="2:25" ht="9.75" customHeight="1">
      <c r="B199" s="951"/>
      <c r="C199" s="951"/>
      <c r="D199" s="287">
        <f t="shared" ca="1" si="60"/>
        <v>52165</v>
      </c>
      <c r="E199" s="359">
        <f t="shared" si="63"/>
        <v>0</v>
      </c>
      <c r="F199" s="289">
        <f t="shared" ca="1" si="61"/>
        <v>60</v>
      </c>
      <c r="G199" s="290">
        <f ca="1">KTVCOI!P198</f>
        <v>3.4110084872340161</v>
      </c>
      <c r="H199" s="290">
        <f t="shared" ca="1" si="57"/>
        <v>-11501.738466918823</v>
      </c>
      <c r="I199" s="953"/>
      <c r="J199" s="292">
        <f t="shared" ca="1" si="62"/>
        <v>-11501.738466918823</v>
      </c>
      <c r="K199" s="949"/>
      <c r="L199" s="949"/>
      <c r="M199" s="949"/>
      <c r="N199" s="950"/>
      <c r="O199" s="950"/>
      <c r="X199" s="1004"/>
      <c r="Y199" s="1004"/>
    </row>
    <row r="200" spans="2:25" ht="9.75" customHeight="1">
      <c r="B200" s="951"/>
      <c r="C200" s="951"/>
      <c r="D200" s="287">
        <f t="shared" ca="1" si="60"/>
        <v>52196</v>
      </c>
      <c r="E200" s="359">
        <f t="shared" si="63"/>
        <v>0</v>
      </c>
      <c r="F200" s="289">
        <f t="shared" ca="1" si="61"/>
        <v>60</v>
      </c>
      <c r="G200" s="290">
        <f ca="1">KTVCOI!P199</f>
        <v>3.4313519759641156</v>
      </c>
      <c r="H200" s="290">
        <f t="shared" ca="1" si="57"/>
        <v>-11569.977631670314</v>
      </c>
      <c r="I200" s="953"/>
      <c r="J200" s="292">
        <f t="shared" ca="1" si="62"/>
        <v>-11569.977631670314</v>
      </c>
      <c r="K200" s="949"/>
      <c r="L200" s="949"/>
      <c r="M200" s="949"/>
      <c r="N200" s="950"/>
      <c r="O200" s="950"/>
      <c r="X200" s="1004"/>
      <c r="Y200" s="1004"/>
    </row>
    <row r="201" spans="2:25" ht="9.75" customHeight="1">
      <c r="B201" s="951"/>
      <c r="C201" s="951"/>
      <c r="D201" s="287">
        <f t="shared" ca="1" si="60"/>
        <v>52226</v>
      </c>
      <c r="E201" s="359">
        <f t="shared" si="63"/>
        <v>0</v>
      </c>
      <c r="F201" s="289">
        <f t="shared" ca="1" si="61"/>
        <v>60</v>
      </c>
      <c r="G201" s="290">
        <f ca="1">KTVCOI!P200</f>
        <v>3.45170999344831</v>
      </c>
      <c r="H201" s="290">
        <f t="shared" ca="1" si="57"/>
        <v>-11638.265530936198</v>
      </c>
      <c r="I201" s="953"/>
      <c r="J201" s="292">
        <f t="shared" ca="1" si="62"/>
        <v>-11638.265530936198</v>
      </c>
      <c r="K201" s="949"/>
      <c r="L201" s="949"/>
      <c r="M201" s="949"/>
      <c r="N201" s="950"/>
      <c r="O201" s="950"/>
      <c r="X201" s="1004"/>
      <c r="Y201" s="1004"/>
    </row>
    <row r="202" spans="2:25" ht="9.75" customHeight="1">
      <c r="B202" s="951"/>
      <c r="C202" s="951"/>
      <c r="D202" s="287">
        <f t="shared" ca="1" si="60"/>
        <v>52257</v>
      </c>
      <c r="E202" s="359">
        <f t="shared" si="63"/>
        <v>0</v>
      </c>
      <c r="F202" s="289">
        <f t="shared" ca="1" si="61"/>
        <v>60</v>
      </c>
      <c r="G202" s="290">
        <f ca="1">KTVCOI!P201</f>
        <v>3.4720825500626322</v>
      </c>
      <c r="H202" s="290">
        <f t="shared" ca="1" si="57"/>
        <v>-11706.60219952131</v>
      </c>
      <c r="I202" s="953"/>
      <c r="J202" s="292">
        <f t="shared" ca="1" si="62"/>
        <v>-11706.60219952131</v>
      </c>
      <c r="K202" s="949"/>
      <c r="L202" s="949"/>
      <c r="M202" s="949"/>
      <c r="N202" s="950"/>
      <c r="O202" s="950"/>
      <c r="X202" s="1004"/>
      <c r="Y202" s="1004"/>
    </row>
    <row r="203" spans="2:25" ht="9.75" customHeight="1">
      <c r="B203" s="951"/>
      <c r="C203" s="951"/>
      <c r="D203" s="287">
        <f t="shared" ca="1" si="60"/>
        <v>52288</v>
      </c>
      <c r="E203" s="359">
        <f t="shared" si="63"/>
        <v>0</v>
      </c>
      <c r="F203" s="289">
        <f t="shared" ca="1" si="61"/>
        <v>60</v>
      </c>
      <c r="G203" s="290">
        <f ca="1">KTVCOI!P202</f>
        <v>3.4924696561905244</v>
      </c>
      <c r="H203" s="290">
        <f t="shared" ca="1" si="57"/>
        <v>-11774.987672255344</v>
      </c>
      <c r="I203" s="953"/>
      <c r="J203" s="292">
        <f t="shared" ca="1" si="62"/>
        <v>-11774.987672255344</v>
      </c>
      <c r="K203" s="949"/>
      <c r="L203" s="949"/>
      <c r="M203" s="949"/>
      <c r="N203" s="950"/>
      <c r="O203" s="950"/>
      <c r="X203" s="1004"/>
      <c r="Y203" s="1004"/>
    </row>
    <row r="204" spans="2:25" ht="9.75" customHeight="1">
      <c r="B204" s="951"/>
      <c r="C204" s="951"/>
      <c r="D204" s="287">
        <f t="shared" ca="1" si="60"/>
        <v>52316</v>
      </c>
      <c r="E204" s="359">
        <f t="shared" si="63"/>
        <v>0</v>
      </c>
      <c r="F204" s="289">
        <f t="shared" ca="1" si="61"/>
        <v>60</v>
      </c>
      <c r="G204" s="290">
        <f ca="1">KTVCOI!P203</f>
        <v>3.512871322222844</v>
      </c>
      <c r="H204" s="290">
        <f t="shared" ca="1" si="57"/>
        <v>-11843.421983992863</v>
      </c>
      <c r="I204" s="953"/>
      <c r="J204" s="292">
        <f t="shared" ca="1" si="62"/>
        <v>-11843.421983992863</v>
      </c>
      <c r="K204" s="949"/>
      <c r="L204" s="949"/>
      <c r="M204" s="949"/>
      <c r="N204" s="950"/>
      <c r="O204" s="950"/>
      <c r="X204" s="1004"/>
      <c r="Y204" s="1004"/>
    </row>
    <row r="205" spans="2:25" ht="9.75" customHeight="1">
      <c r="B205" s="951"/>
      <c r="C205" s="951"/>
      <c r="D205" s="287">
        <f t="shared" ca="1" si="60"/>
        <v>52347</v>
      </c>
      <c r="E205" s="359">
        <f t="shared" si="63"/>
        <v>0</v>
      </c>
      <c r="F205" s="289">
        <f t="shared" ca="1" si="61"/>
        <v>60</v>
      </c>
      <c r="G205" s="290">
        <f ca="1">KTVCOI!P204</f>
        <v>3.5332875585578711</v>
      </c>
      <c r="H205" s="290">
        <f t="shared" ca="1" si="57"/>
        <v>-11911.905169613328</v>
      </c>
      <c r="I205" s="953"/>
      <c r="J205" s="292">
        <f t="shared" ca="1" si="62"/>
        <v>-11911.905169613328</v>
      </c>
      <c r="K205" s="949"/>
      <c r="L205" s="949"/>
      <c r="M205" s="949"/>
      <c r="N205" s="950"/>
      <c r="O205" s="950"/>
      <c r="X205" s="1004"/>
      <c r="Y205" s="1004"/>
    </row>
    <row r="206" spans="2:25" ht="9.75" customHeight="1">
      <c r="B206" s="951"/>
      <c r="C206" s="951"/>
      <c r="D206" s="287">
        <f t="shared" ca="1" si="60"/>
        <v>52377</v>
      </c>
      <c r="E206" s="359">
        <f t="shared" si="63"/>
        <v>0</v>
      </c>
      <c r="F206" s="289">
        <f t="shared" ca="1" si="61"/>
        <v>60</v>
      </c>
      <c r="G206" s="290">
        <f ca="1">KTVCOI!P205</f>
        <v>3.55371837560131</v>
      </c>
      <c r="H206" s="290">
        <f t="shared" ca="1" si="57"/>
        <v>-11980.437264021108</v>
      </c>
      <c r="I206" s="953"/>
      <c r="J206" s="292">
        <f t="shared" ca="1" si="62"/>
        <v>-11980.437264021108</v>
      </c>
      <c r="K206" s="949"/>
      <c r="L206" s="949"/>
      <c r="M206" s="949"/>
      <c r="N206" s="950"/>
      <c r="O206" s="950"/>
      <c r="X206" s="1004"/>
      <c r="Y206" s="1004"/>
    </row>
    <row r="207" spans="2:25" ht="9.75" customHeight="1">
      <c r="B207" s="951"/>
      <c r="C207" s="951"/>
      <c r="D207" s="287">
        <f t="shared" ca="1" si="60"/>
        <v>52408</v>
      </c>
      <c r="E207" s="359">
        <f t="shared" si="63"/>
        <v>0</v>
      </c>
      <c r="F207" s="289">
        <f t="shared" ca="1" si="61"/>
        <v>60</v>
      </c>
      <c r="G207" s="290">
        <f ca="1">KTVCOI!P206</f>
        <v>3.5741637837662972</v>
      </c>
      <c r="H207" s="290">
        <f t="shared" ca="1" si="57"/>
        <v>-12049.018302145498</v>
      </c>
      <c r="I207" s="953"/>
      <c r="J207" s="293">
        <f ca="1">H207+I196</f>
        <v>-12049.018302145498</v>
      </c>
      <c r="K207" s="949"/>
      <c r="L207" s="949"/>
      <c r="M207" s="949"/>
      <c r="N207" s="950"/>
      <c r="O207" s="950"/>
      <c r="X207" s="1004"/>
      <c r="Y207" s="1004"/>
    </row>
    <row r="208" spans="2:25" ht="9.75" customHeight="1">
      <c r="B208" s="946">
        <f>B196+1</f>
        <v>18</v>
      </c>
      <c r="C208" s="947">
        <f ca="1">C196+1</f>
        <v>47</v>
      </c>
      <c r="D208" s="294">
        <f t="shared" ca="1" si="60"/>
        <v>52438</v>
      </c>
      <c r="E208" s="359">
        <f t="shared" si="63"/>
        <v>0</v>
      </c>
      <c r="F208" s="360">
        <f t="shared" ca="1" si="61"/>
        <v>60</v>
      </c>
      <c r="G208" s="290">
        <f ca="1">KTVCOI!P207</f>
        <v>3.8858084024419228</v>
      </c>
      <c r="H208" s="295">
        <f ca="1">(J207+KTVTRDGTTKcamket!F24-F208-G208)*(1+$W$3)</f>
        <v>-12117.939624599474</v>
      </c>
      <c r="I208" s="948"/>
      <c r="J208" s="296">
        <f t="shared" ca="1" si="62"/>
        <v>-12117.939624599474</v>
      </c>
      <c r="K208" s="949">
        <f ca="1">J219</f>
        <v>-12879.441058331984</v>
      </c>
      <c r="L208" s="949"/>
      <c r="M208" s="949"/>
      <c r="N208" s="950">
        <f t="shared" ref="N208" ca="1" si="64">SUM(G208:G219)</f>
        <v>48.100307685331003</v>
      </c>
      <c r="O208" s="950"/>
      <c r="X208" s="945">
        <f t="shared" ref="X208:Y208" ca="1" si="65">SUM(F208:F219)</f>
        <v>720</v>
      </c>
      <c r="Y208" s="945">
        <f t="shared" ca="1" si="65"/>
        <v>48.100307685331003</v>
      </c>
    </row>
    <row r="209" spans="2:25" ht="9.75" customHeight="1">
      <c r="B209" s="946"/>
      <c r="C209" s="946"/>
      <c r="D209" s="294">
        <f t="shared" ca="1" si="60"/>
        <v>52469</v>
      </c>
      <c r="E209" s="359">
        <f t="shared" si="63"/>
        <v>0</v>
      </c>
      <c r="F209" s="360">
        <f t="shared" ca="1" si="61"/>
        <v>60</v>
      </c>
      <c r="G209" s="290">
        <f ca="1">KTVCOI!P208</f>
        <v>3.9080355289333304</v>
      </c>
      <c r="H209" s="295">
        <f t="shared" ca="1" si="57"/>
        <v>-12186.91183503695</v>
      </c>
      <c r="I209" s="948"/>
      <c r="J209" s="296">
        <f t="shared" ca="1" si="62"/>
        <v>-12186.91183503695</v>
      </c>
      <c r="K209" s="949"/>
      <c r="L209" s="949"/>
      <c r="M209" s="949"/>
      <c r="N209" s="950"/>
      <c r="O209" s="950"/>
      <c r="X209" s="1004"/>
      <c r="Y209" s="1004"/>
    </row>
    <row r="210" spans="2:25" ht="9.75" customHeight="1">
      <c r="B210" s="946"/>
      <c r="C210" s="946"/>
      <c r="D210" s="294">
        <f t="shared" ca="1" si="60"/>
        <v>52500</v>
      </c>
      <c r="E210" s="359">
        <f t="shared" si="63"/>
        <v>0</v>
      </c>
      <c r="F210" s="360">
        <f t="shared" ca="1" si="61"/>
        <v>60</v>
      </c>
      <c r="G210" s="290">
        <f ca="1">KTVCOI!P209</f>
        <v>3.9302790667994163</v>
      </c>
      <c r="H210" s="295">
        <f t="shared" ca="1" si="57"/>
        <v>-12255.934971031013</v>
      </c>
      <c r="I210" s="948"/>
      <c r="J210" s="296">
        <f t="shared" ca="1" si="62"/>
        <v>-12255.934971031013</v>
      </c>
      <c r="K210" s="949"/>
      <c r="L210" s="949"/>
      <c r="M210" s="949"/>
      <c r="N210" s="950"/>
      <c r="O210" s="950"/>
      <c r="X210" s="1004"/>
      <c r="Y210" s="1004"/>
    </row>
    <row r="211" spans="2:25" ht="9.75" customHeight="1">
      <c r="B211" s="946"/>
      <c r="C211" s="946"/>
      <c r="D211" s="294">
        <f t="shared" ca="1" si="60"/>
        <v>52530</v>
      </c>
      <c r="E211" s="359">
        <f t="shared" si="63"/>
        <v>0</v>
      </c>
      <c r="F211" s="360">
        <f t="shared" ca="1" si="61"/>
        <v>60</v>
      </c>
      <c r="G211" s="290">
        <f ca="1">KTVCOI!P210</f>
        <v>3.9525390281575015</v>
      </c>
      <c r="H211" s="295">
        <f t="shared" ca="1" si="57"/>
        <v>-12325.009070182494</v>
      </c>
      <c r="I211" s="948"/>
      <c r="J211" s="296">
        <f t="shared" ca="1" si="62"/>
        <v>-12325.009070182494</v>
      </c>
      <c r="K211" s="949"/>
      <c r="L211" s="949"/>
      <c r="M211" s="949"/>
      <c r="N211" s="950"/>
      <c r="O211" s="950"/>
      <c r="X211" s="1004"/>
      <c r="Y211" s="1004"/>
    </row>
    <row r="212" spans="2:25" ht="9.75" customHeight="1">
      <c r="B212" s="946"/>
      <c r="C212" s="946"/>
      <c r="D212" s="294">
        <f t="shared" ca="1" si="60"/>
        <v>52561</v>
      </c>
      <c r="E212" s="359">
        <f t="shared" si="63"/>
        <v>0</v>
      </c>
      <c r="F212" s="360">
        <f t="shared" ca="1" si="61"/>
        <v>60</v>
      </c>
      <c r="G212" s="290">
        <f ca="1">KTVCOI!P211</f>
        <v>3.9748154251338548</v>
      </c>
      <c r="H212" s="295">
        <f t="shared" ca="1" si="57"/>
        <v>-12394.134170119984</v>
      </c>
      <c r="I212" s="948"/>
      <c r="J212" s="296">
        <f t="shared" ca="1" si="62"/>
        <v>-12394.134170119984</v>
      </c>
      <c r="K212" s="949"/>
      <c r="L212" s="949"/>
      <c r="M212" s="949"/>
      <c r="N212" s="950"/>
      <c r="O212" s="950"/>
      <c r="X212" s="1004"/>
      <c r="Y212" s="1004"/>
    </row>
    <row r="213" spans="2:25" ht="9.75" customHeight="1">
      <c r="B213" s="946"/>
      <c r="C213" s="946"/>
      <c r="D213" s="294">
        <f t="shared" ca="1" si="60"/>
        <v>52591</v>
      </c>
      <c r="E213" s="359">
        <f t="shared" si="63"/>
        <v>0</v>
      </c>
      <c r="F213" s="360">
        <f t="shared" ca="1" si="61"/>
        <v>60</v>
      </c>
      <c r="G213" s="290">
        <f ca="1">KTVCOI!P212</f>
        <v>3.9971082698636948</v>
      </c>
      <c r="H213" s="295">
        <f t="shared" ca="1" si="57"/>
        <v>-12463.310308499857</v>
      </c>
      <c r="I213" s="948"/>
      <c r="J213" s="296">
        <f t="shared" ca="1" si="62"/>
        <v>-12463.310308499857</v>
      </c>
      <c r="K213" s="949"/>
      <c r="L213" s="949"/>
      <c r="M213" s="949"/>
      <c r="N213" s="950"/>
      <c r="O213" s="950"/>
      <c r="X213" s="1004"/>
      <c r="Y213" s="1004"/>
    </row>
    <row r="214" spans="2:25" ht="9.75" customHeight="1">
      <c r="B214" s="946"/>
      <c r="C214" s="946"/>
      <c r="D214" s="294">
        <f t="shared" ca="1" si="60"/>
        <v>52622</v>
      </c>
      <c r="E214" s="359">
        <f t="shared" si="63"/>
        <v>0</v>
      </c>
      <c r="F214" s="360">
        <f t="shared" ca="1" si="61"/>
        <v>60</v>
      </c>
      <c r="G214" s="290">
        <f ca="1">KTVCOI!P213</f>
        <v>4.0194175744912037</v>
      </c>
      <c r="H214" s="295">
        <f t="shared" ca="1" si="57"/>
        <v>-12532.537523006291</v>
      </c>
      <c r="I214" s="948"/>
      <c r="J214" s="296">
        <f t="shared" ca="1" si="62"/>
        <v>-12532.537523006291</v>
      </c>
      <c r="K214" s="949"/>
      <c r="L214" s="949"/>
      <c r="M214" s="949"/>
      <c r="N214" s="950"/>
      <c r="O214" s="950"/>
      <c r="X214" s="1004"/>
      <c r="Y214" s="1004"/>
    </row>
    <row r="215" spans="2:25" ht="9.75" customHeight="1">
      <c r="B215" s="946"/>
      <c r="C215" s="946"/>
      <c r="D215" s="294">
        <f t="shared" ca="1" si="60"/>
        <v>52653</v>
      </c>
      <c r="E215" s="359">
        <f t="shared" si="63"/>
        <v>0</v>
      </c>
      <c r="F215" s="360">
        <f t="shared" ca="1" si="61"/>
        <v>60</v>
      </c>
      <c r="G215" s="290">
        <f ca="1">KTVCOI!P214</f>
        <v>4.0417433511695284</v>
      </c>
      <c r="H215" s="295">
        <f t="shared" ca="1" si="57"/>
        <v>-12601.815851351292</v>
      </c>
      <c r="I215" s="948"/>
      <c r="J215" s="296">
        <f t="shared" ca="1" si="62"/>
        <v>-12601.815851351292</v>
      </c>
      <c r="K215" s="949"/>
      <c r="L215" s="949"/>
      <c r="M215" s="949"/>
      <c r="N215" s="950"/>
      <c r="O215" s="950"/>
      <c r="X215" s="1004"/>
      <c r="Y215" s="1004"/>
    </row>
    <row r="216" spans="2:25" ht="9.75" customHeight="1">
      <c r="B216" s="946"/>
      <c r="C216" s="946"/>
      <c r="D216" s="294">
        <f t="shared" ca="1" si="60"/>
        <v>52682</v>
      </c>
      <c r="E216" s="359">
        <f t="shared" si="63"/>
        <v>0</v>
      </c>
      <c r="F216" s="360">
        <f t="shared" ca="1" si="61"/>
        <v>60</v>
      </c>
      <c r="G216" s="290">
        <f ca="1">KTVCOI!P215</f>
        <v>4.0640856120607909</v>
      </c>
      <c r="H216" s="295">
        <f t="shared" ca="1" si="57"/>
        <v>-12671.145331274703</v>
      </c>
      <c r="I216" s="948"/>
      <c r="J216" s="296">
        <f t="shared" ca="1" si="62"/>
        <v>-12671.145331274703</v>
      </c>
      <c r="K216" s="949"/>
      <c r="L216" s="949"/>
      <c r="M216" s="949"/>
      <c r="N216" s="950"/>
      <c r="O216" s="950"/>
      <c r="X216" s="1004"/>
      <c r="Y216" s="1004"/>
    </row>
    <row r="217" spans="2:25" ht="9.75" customHeight="1">
      <c r="B217" s="946"/>
      <c r="C217" s="946"/>
      <c r="D217" s="294">
        <f t="shared" ca="1" si="60"/>
        <v>52713</v>
      </c>
      <c r="E217" s="359">
        <f t="shared" si="63"/>
        <v>0</v>
      </c>
      <c r="F217" s="360">
        <f t="shared" ca="1" si="61"/>
        <v>60</v>
      </c>
      <c r="G217" s="290">
        <f ca="1">KTVCOI!P216</f>
        <v>4.0864443693360917</v>
      </c>
      <c r="H217" s="295">
        <f t="shared" ca="1" si="57"/>
        <v>-12740.52600054424</v>
      </c>
      <c r="I217" s="948"/>
      <c r="J217" s="296">
        <f t="shared" ca="1" si="62"/>
        <v>-12740.52600054424</v>
      </c>
      <c r="K217" s="949"/>
      <c r="L217" s="949"/>
      <c r="M217" s="949"/>
      <c r="N217" s="950"/>
      <c r="O217" s="950"/>
      <c r="X217" s="1004"/>
      <c r="Y217" s="1004"/>
    </row>
    <row r="218" spans="2:25" ht="9.75" customHeight="1">
      <c r="B218" s="946"/>
      <c r="C218" s="946"/>
      <c r="D218" s="294">
        <f t="shared" ca="1" si="60"/>
        <v>52743</v>
      </c>
      <c r="E218" s="359">
        <f t="shared" si="63"/>
        <v>0</v>
      </c>
      <c r="F218" s="360">
        <f t="shared" ca="1" si="61"/>
        <v>60</v>
      </c>
      <c r="G218" s="290">
        <f ca="1">KTVCOI!P217</f>
        <v>4.1088196351755171</v>
      </c>
      <c r="H218" s="295">
        <f t="shared" ca="1" si="57"/>
        <v>-12809.957896955499</v>
      </c>
      <c r="I218" s="948"/>
      <c r="J218" s="296">
        <f t="shared" ca="1" si="62"/>
        <v>-12809.957896955499</v>
      </c>
      <c r="K218" s="949"/>
      <c r="L218" s="949"/>
      <c r="M218" s="949"/>
      <c r="N218" s="950"/>
      <c r="O218" s="950"/>
      <c r="X218" s="1004"/>
      <c r="Y218" s="1004"/>
    </row>
    <row r="219" spans="2:25" ht="9.75" customHeight="1">
      <c r="B219" s="946"/>
      <c r="C219" s="946"/>
      <c r="D219" s="294">
        <f t="shared" ca="1" si="60"/>
        <v>52774</v>
      </c>
      <c r="E219" s="359">
        <f t="shared" si="63"/>
        <v>0</v>
      </c>
      <c r="F219" s="360">
        <f t="shared" ca="1" si="61"/>
        <v>60</v>
      </c>
      <c r="G219" s="290">
        <f ca="1">KTVCOI!P218</f>
        <v>4.1312114217681488</v>
      </c>
      <c r="H219" s="295">
        <f t="shared" ca="1" si="57"/>
        <v>-12879.441058331984</v>
      </c>
      <c r="I219" s="948"/>
      <c r="J219" s="297">
        <f ca="1">H219+I208</f>
        <v>-12879.441058331984</v>
      </c>
      <c r="K219" s="949"/>
      <c r="L219" s="949"/>
      <c r="M219" s="949"/>
      <c r="N219" s="950"/>
      <c r="O219" s="950"/>
      <c r="X219" s="1004"/>
      <c r="Y219" s="1004"/>
    </row>
    <row r="220" spans="2:25" ht="9.75" customHeight="1">
      <c r="B220" s="951">
        <f>B208+1</f>
        <v>19</v>
      </c>
      <c r="C220" s="952">
        <f ca="1">C208+1</f>
        <v>48</v>
      </c>
      <c r="D220" s="287">
        <f t="shared" ca="1" si="60"/>
        <v>52804</v>
      </c>
      <c r="E220" s="359">
        <f t="shared" si="63"/>
        <v>0</v>
      </c>
      <c r="F220" s="289">
        <f t="shared" ca="1" si="61"/>
        <v>60</v>
      </c>
      <c r="G220" s="290">
        <f ca="1">KTVCOI!P219</f>
        <v>4.4863386353189743</v>
      </c>
      <c r="H220" s="290">
        <f ca="1">(J219+KTVTRDGTTKcamket!F25-F220-G220)*(1+$W$3)</f>
        <v>-12949.308379735317</v>
      </c>
      <c r="I220" s="953"/>
      <c r="J220" s="292">
        <f t="shared" ca="1" si="62"/>
        <v>-12949.308379735317</v>
      </c>
      <c r="K220" s="949">
        <f ca="1">J231</f>
        <v>-13721.38178675615</v>
      </c>
      <c r="L220" s="949"/>
      <c r="M220" s="949"/>
      <c r="N220" s="950">
        <f t="shared" ref="N220" ca="1" si="66">SUM(G220:G231)</f>
        <v>55.446412002658143</v>
      </c>
      <c r="O220" s="950"/>
      <c r="X220" s="945">
        <f t="shared" ref="X220:Y220" ca="1" si="67">SUM(F220:F231)</f>
        <v>720</v>
      </c>
      <c r="Y220" s="945">
        <f t="shared" ca="1" si="67"/>
        <v>55.446412002658143</v>
      </c>
    </row>
    <row r="221" spans="2:25" ht="9.75" customHeight="1">
      <c r="B221" s="951"/>
      <c r="C221" s="951"/>
      <c r="D221" s="287">
        <f t="shared" ca="1" si="60"/>
        <v>52835</v>
      </c>
      <c r="E221" s="359">
        <f t="shared" si="63"/>
        <v>0</v>
      </c>
      <c r="F221" s="289">
        <f t="shared" ca="1" si="61"/>
        <v>60</v>
      </c>
      <c r="G221" s="290">
        <f ca="1">KTVCOI!P220</f>
        <v>4.5106757522744685</v>
      </c>
      <c r="H221" s="290">
        <f t="shared" ca="1" si="57"/>
        <v>-13019.229093255577</v>
      </c>
      <c r="I221" s="953"/>
      <c r="J221" s="292">
        <f t="shared" ca="1" si="62"/>
        <v>-13019.229093255577</v>
      </c>
      <c r="K221" s="949"/>
      <c r="L221" s="949"/>
      <c r="M221" s="949"/>
      <c r="N221" s="950"/>
      <c r="O221" s="950"/>
      <c r="X221" s="1004"/>
      <c r="Y221" s="1004"/>
    </row>
    <row r="222" spans="2:25" ht="9.75" customHeight="1">
      <c r="B222" s="951"/>
      <c r="C222" s="951"/>
      <c r="D222" s="287">
        <f t="shared" ca="1" si="60"/>
        <v>52866</v>
      </c>
      <c r="E222" s="359">
        <f t="shared" si="63"/>
        <v>0</v>
      </c>
      <c r="F222" s="289">
        <f t="shared" ca="1" si="61"/>
        <v>60</v>
      </c>
      <c r="G222" s="290">
        <f ca="1">KTVCOI!P221</f>
        <v>4.5350314674840257</v>
      </c>
      <c r="H222" s="290">
        <f t="shared" ca="1" si="57"/>
        <v>-13089.203239694642</v>
      </c>
      <c r="I222" s="953"/>
      <c r="J222" s="292">
        <f t="shared" ca="1" si="62"/>
        <v>-13089.203239694642</v>
      </c>
      <c r="K222" s="949"/>
      <c r="L222" s="949"/>
      <c r="M222" s="949"/>
      <c r="N222" s="950"/>
      <c r="O222" s="950"/>
      <c r="X222" s="1004"/>
      <c r="Y222" s="1004"/>
    </row>
    <row r="223" spans="2:25" ht="9.75" customHeight="1">
      <c r="B223" s="951"/>
      <c r="C223" s="951"/>
      <c r="D223" s="287">
        <f t="shared" ca="1" si="60"/>
        <v>52896</v>
      </c>
      <c r="E223" s="359">
        <f t="shared" si="63"/>
        <v>0</v>
      </c>
      <c r="F223" s="289">
        <f t="shared" ca="1" si="61"/>
        <v>60</v>
      </c>
      <c r="G223" s="290">
        <f ca="1">KTVCOI!P222</f>
        <v>4.5594057951602993</v>
      </c>
      <c r="H223" s="290">
        <f t="shared" ca="1" si="57"/>
        <v>-13159.230859885574</v>
      </c>
      <c r="I223" s="953"/>
      <c r="J223" s="292">
        <f t="shared" ca="1" si="62"/>
        <v>-13159.230859885574</v>
      </c>
      <c r="K223" s="949"/>
      <c r="L223" s="949"/>
      <c r="M223" s="949"/>
      <c r="N223" s="950"/>
      <c r="O223" s="950"/>
      <c r="X223" s="1004"/>
      <c r="Y223" s="1004"/>
    </row>
    <row r="224" spans="2:25" ht="9.75" customHeight="1">
      <c r="B224" s="951"/>
      <c r="C224" s="951"/>
      <c r="D224" s="287">
        <f t="shared" ca="1" si="60"/>
        <v>52927</v>
      </c>
      <c r="E224" s="359">
        <f t="shared" si="63"/>
        <v>0</v>
      </c>
      <c r="F224" s="289">
        <f t="shared" ca="1" si="61"/>
        <v>60</v>
      </c>
      <c r="G224" s="290">
        <f ca="1">KTVCOI!P223</f>
        <v>4.5837987495268075</v>
      </c>
      <c r="H224" s="290">
        <f t="shared" ca="1" si="57"/>
        <v>-13229.311994692642</v>
      </c>
      <c r="I224" s="953"/>
      <c r="J224" s="292">
        <f t="shared" ca="1" si="62"/>
        <v>-13229.311994692642</v>
      </c>
      <c r="K224" s="949"/>
      <c r="L224" s="949"/>
      <c r="M224" s="949"/>
      <c r="N224" s="950"/>
      <c r="O224" s="950"/>
      <c r="X224" s="1004"/>
      <c r="Y224" s="1004"/>
    </row>
    <row r="225" spans="2:25" ht="9.75" customHeight="1">
      <c r="B225" s="951"/>
      <c r="C225" s="951"/>
      <c r="D225" s="287">
        <f t="shared" ca="1" si="60"/>
        <v>52957</v>
      </c>
      <c r="E225" s="359">
        <f t="shared" si="63"/>
        <v>0</v>
      </c>
      <c r="F225" s="289">
        <f t="shared" ca="1" si="61"/>
        <v>60</v>
      </c>
      <c r="G225" s="290">
        <f ca="1">KTVCOI!P224</f>
        <v>4.6082103448179366</v>
      </c>
      <c r="H225" s="290">
        <f t="shared" ca="1" si="57"/>
        <v>-13299.446685011337</v>
      </c>
      <c r="I225" s="953"/>
      <c r="J225" s="292">
        <f t="shared" ca="1" si="62"/>
        <v>-13299.446685011337</v>
      </c>
      <c r="K225" s="949"/>
      <c r="L225" s="949"/>
      <c r="M225" s="949"/>
      <c r="N225" s="950"/>
      <c r="O225" s="950"/>
      <c r="X225" s="1004"/>
      <c r="Y225" s="1004"/>
    </row>
    <row r="226" spans="2:25" ht="9.75" customHeight="1">
      <c r="B226" s="951"/>
      <c r="C226" s="951"/>
      <c r="D226" s="287">
        <f t="shared" ca="1" si="60"/>
        <v>52988</v>
      </c>
      <c r="E226" s="359">
        <f t="shared" si="63"/>
        <v>0</v>
      </c>
      <c r="F226" s="289">
        <f t="shared" ca="1" si="61"/>
        <v>60</v>
      </c>
      <c r="G226" s="290">
        <f ca="1">KTVCOI!P225</f>
        <v>4.6326405952789491</v>
      </c>
      <c r="H226" s="290">
        <f t="shared" ca="1" si="57"/>
        <v>-13369.634971768406</v>
      </c>
      <c r="I226" s="953"/>
      <c r="J226" s="292">
        <f t="shared" ca="1" si="62"/>
        <v>-13369.634971768406</v>
      </c>
      <c r="K226" s="949"/>
      <c r="L226" s="949"/>
      <c r="M226" s="949"/>
      <c r="N226" s="950"/>
      <c r="O226" s="950"/>
      <c r="X226" s="1004"/>
      <c r="Y226" s="1004"/>
    </row>
    <row r="227" spans="2:25" ht="9.75" customHeight="1">
      <c r="B227" s="951"/>
      <c r="C227" s="951"/>
      <c r="D227" s="287">
        <f t="shared" ca="1" si="60"/>
        <v>53019</v>
      </c>
      <c r="E227" s="359">
        <f t="shared" si="63"/>
        <v>0</v>
      </c>
      <c r="F227" s="289">
        <f t="shared" ca="1" si="61"/>
        <v>60</v>
      </c>
      <c r="G227" s="290">
        <f ca="1">KTVCOI!P226</f>
        <v>4.6570895151659943</v>
      </c>
      <c r="H227" s="290">
        <f t="shared" ca="1" si="57"/>
        <v>-13439.876895921872</v>
      </c>
      <c r="I227" s="953"/>
      <c r="J227" s="292">
        <f t="shared" ca="1" si="62"/>
        <v>-13439.876895921872</v>
      </c>
      <c r="K227" s="949"/>
      <c r="L227" s="949"/>
      <c r="M227" s="949"/>
      <c r="N227" s="950"/>
      <c r="O227" s="950"/>
      <c r="X227" s="1004"/>
      <c r="Y227" s="1004"/>
    </row>
    <row r="228" spans="2:25" ht="9.75" customHeight="1">
      <c r="B228" s="951"/>
      <c r="C228" s="951"/>
      <c r="D228" s="287">
        <f t="shared" ca="1" si="60"/>
        <v>53047</v>
      </c>
      <c r="E228" s="359">
        <f t="shared" si="63"/>
        <v>0</v>
      </c>
      <c r="F228" s="289">
        <f t="shared" ca="1" si="61"/>
        <v>60</v>
      </c>
      <c r="G228" s="290">
        <f ca="1">KTVCOI!P227</f>
        <v>4.6815571187461185</v>
      </c>
      <c r="H228" s="290">
        <f t="shared" ca="1" si="57"/>
        <v>-13510.172498461057</v>
      </c>
      <c r="I228" s="953"/>
      <c r="J228" s="292">
        <f t="shared" ca="1" si="62"/>
        <v>-13510.172498461057</v>
      </c>
      <c r="K228" s="949"/>
      <c r="L228" s="949"/>
      <c r="M228" s="949"/>
      <c r="N228" s="950"/>
      <c r="O228" s="950"/>
      <c r="X228" s="1004"/>
      <c r="Y228" s="1004"/>
    </row>
    <row r="229" spans="2:25" ht="9.75" customHeight="1">
      <c r="B229" s="951"/>
      <c r="C229" s="951"/>
      <c r="D229" s="287">
        <f t="shared" ca="1" si="60"/>
        <v>53078</v>
      </c>
      <c r="E229" s="359">
        <f t="shared" si="63"/>
        <v>0</v>
      </c>
      <c r="F229" s="289">
        <f t="shared" ca="1" si="61"/>
        <v>60</v>
      </c>
      <c r="G229" s="290">
        <f ca="1">KTVCOI!P228</f>
        <v>4.7060434202972674</v>
      </c>
      <c r="H229" s="290">
        <f t="shared" ca="1" si="57"/>
        <v>-13580.521820406608</v>
      </c>
      <c r="I229" s="953"/>
      <c r="J229" s="292">
        <f t="shared" ca="1" si="62"/>
        <v>-13580.521820406608</v>
      </c>
      <c r="K229" s="949"/>
      <c r="L229" s="949"/>
      <c r="M229" s="949"/>
      <c r="N229" s="950"/>
      <c r="O229" s="950"/>
      <c r="X229" s="1004"/>
      <c r="Y229" s="1004"/>
    </row>
    <row r="230" spans="2:25" ht="9.75" customHeight="1">
      <c r="B230" s="951"/>
      <c r="C230" s="951"/>
      <c r="D230" s="287">
        <f t="shared" ca="1" si="60"/>
        <v>53108</v>
      </c>
      <c r="E230" s="359">
        <f t="shared" si="63"/>
        <v>0</v>
      </c>
      <c r="F230" s="289">
        <f t="shared" ca="1" si="61"/>
        <v>60</v>
      </c>
      <c r="G230" s="290">
        <f ca="1">KTVCOI!P229</f>
        <v>4.7305484341083011</v>
      </c>
      <c r="H230" s="290">
        <f t="shared" ca="1" si="57"/>
        <v>-13650.924902810517</v>
      </c>
      <c r="I230" s="953"/>
      <c r="J230" s="292">
        <f t="shared" ca="1" si="62"/>
        <v>-13650.924902810517</v>
      </c>
      <c r="K230" s="949"/>
      <c r="L230" s="949"/>
      <c r="M230" s="949"/>
      <c r="N230" s="950"/>
      <c r="O230" s="950"/>
      <c r="X230" s="1004"/>
      <c r="Y230" s="1004"/>
    </row>
    <row r="231" spans="2:25" ht="9.75" customHeight="1">
      <c r="B231" s="951"/>
      <c r="C231" s="951"/>
      <c r="D231" s="287">
        <f t="shared" ca="1" si="60"/>
        <v>53139</v>
      </c>
      <c r="E231" s="359">
        <f t="shared" si="63"/>
        <v>0</v>
      </c>
      <c r="F231" s="289">
        <f t="shared" ca="1" si="61"/>
        <v>60</v>
      </c>
      <c r="G231" s="290">
        <f ca="1">KTVCOI!P230</f>
        <v>4.7550721744789968</v>
      </c>
      <c r="H231" s="290">
        <f t="shared" ca="1" si="57"/>
        <v>-13721.38178675615</v>
      </c>
      <c r="I231" s="953"/>
      <c r="J231" s="293">
        <f ca="1">H231+I220</f>
        <v>-13721.38178675615</v>
      </c>
      <c r="K231" s="949"/>
      <c r="L231" s="949"/>
      <c r="M231" s="949"/>
      <c r="N231" s="950"/>
      <c r="O231" s="950"/>
      <c r="X231" s="1004"/>
      <c r="Y231" s="1004"/>
    </row>
    <row r="232" spans="2:25" ht="9.75" customHeight="1">
      <c r="B232" s="946">
        <f>B220+1</f>
        <v>20</v>
      </c>
      <c r="C232" s="947">
        <f ca="1">C220+1</f>
        <v>49</v>
      </c>
      <c r="D232" s="294">
        <f t="shared" ca="1" si="60"/>
        <v>53169</v>
      </c>
      <c r="E232" s="359">
        <f t="shared" si="63"/>
        <v>0</v>
      </c>
      <c r="F232" s="360">
        <f t="shared" ca="1" si="61"/>
        <v>60</v>
      </c>
      <c r="G232" s="290">
        <f ca="1">KTVCOI!P231</f>
        <v>5.1683871396781491</v>
      </c>
      <c r="H232" s="295">
        <f ca="1">(J231+KTVTRDGTTKcamket!F26-F232-G232)*(1+$W$3)</f>
        <v>-13792.281447460718</v>
      </c>
      <c r="I232" s="948">
        <f ca="1">IF(COUNTIF(KTVTRDGTTKcamket!$E$7:E26,0)&gt;0,0,'Tinh phi QL'!H12/1000)</f>
        <v>0</v>
      </c>
      <c r="J232" s="296">
        <f t="shared" ca="1" si="62"/>
        <v>-13792.281447460718</v>
      </c>
      <c r="K232" s="949">
        <f ca="1">J243</f>
        <v>-14575.89611504512</v>
      </c>
      <c r="L232" s="949"/>
      <c r="M232" s="949"/>
      <c r="N232" s="950">
        <f t="shared" ref="N232" ca="1" si="68">SUM(G232:G243)</f>
        <v>63.787875889549007</v>
      </c>
      <c r="O232" s="950"/>
      <c r="X232" s="945">
        <f t="shared" ref="X232:Y232" ca="1" si="69">SUM(F232:F243)</f>
        <v>720</v>
      </c>
      <c r="Y232" s="945">
        <f t="shared" ca="1" si="69"/>
        <v>63.787875889549007</v>
      </c>
    </row>
    <row r="233" spans="2:25" ht="9.75" customHeight="1">
      <c r="B233" s="946"/>
      <c r="C233" s="946"/>
      <c r="D233" s="294">
        <f t="shared" ca="1" si="60"/>
        <v>53200</v>
      </c>
      <c r="E233" s="359">
        <f t="shared" si="63"/>
        <v>0</v>
      </c>
      <c r="F233" s="360">
        <f t="shared" ca="1" si="61"/>
        <v>60</v>
      </c>
      <c r="G233" s="290">
        <f ca="1">KTVCOI!P232</f>
        <v>5.1950926785435367</v>
      </c>
      <c r="H233" s="295">
        <f t="shared" ca="1" si="57"/>
        <v>-13863.237298847482</v>
      </c>
      <c r="I233" s="948"/>
      <c r="J233" s="296">
        <f t="shared" ca="1" si="62"/>
        <v>-13863.237298847482</v>
      </c>
      <c r="K233" s="949"/>
      <c r="L233" s="949"/>
      <c r="M233" s="949"/>
      <c r="N233" s="950"/>
      <c r="O233" s="950"/>
      <c r="X233" s="1004"/>
      <c r="Y233" s="1004"/>
    </row>
    <row r="234" spans="2:25" ht="9.75" customHeight="1">
      <c r="B234" s="946"/>
      <c r="C234" s="946"/>
      <c r="D234" s="294">
        <f t="shared" ca="1" si="60"/>
        <v>53231</v>
      </c>
      <c r="E234" s="359">
        <f t="shared" si="63"/>
        <v>0</v>
      </c>
      <c r="F234" s="360">
        <f t="shared" ca="1" si="61"/>
        <v>60</v>
      </c>
      <c r="G234" s="290">
        <f ca="1">KTVCOI!P233</f>
        <v>5.2218193825658838</v>
      </c>
      <c r="H234" s="295">
        <f t="shared" ca="1" si="57"/>
        <v>-13934.249385449697</v>
      </c>
      <c r="I234" s="948"/>
      <c r="J234" s="296">
        <f t="shared" ca="1" si="62"/>
        <v>-13934.249385449697</v>
      </c>
      <c r="K234" s="949"/>
      <c r="L234" s="949"/>
      <c r="M234" s="949"/>
      <c r="N234" s="950"/>
      <c r="O234" s="950"/>
      <c r="X234" s="1004"/>
      <c r="Y234" s="1004"/>
    </row>
    <row r="235" spans="2:25" ht="9.75" customHeight="1">
      <c r="B235" s="946"/>
      <c r="C235" s="946"/>
      <c r="D235" s="294">
        <f t="shared" ca="1" si="60"/>
        <v>53261</v>
      </c>
      <c r="E235" s="359">
        <f t="shared" si="63"/>
        <v>0</v>
      </c>
      <c r="F235" s="360">
        <f t="shared" ca="1" si="61"/>
        <v>60</v>
      </c>
      <c r="G235" s="290">
        <f ca="1">KTVCOI!P234</f>
        <v>5.2485672685193849</v>
      </c>
      <c r="H235" s="295">
        <f t="shared" ca="1" si="57"/>
        <v>-14005.317751835915</v>
      </c>
      <c r="I235" s="948"/>
      <c r="J235" s="296">
        <f t="shared" ca="1" si="62"/>
        <v>-14005.317751835915</v>
      </c>
      <c r="K235" s="949"/>
      <c r="L235" s="949"/>
      <c r="M235" s="949"/>
      <c r="N235" s="950"/>
      <c r="O235" s="950"/>
      <c r="X235" s="1004"/>
      <c r="Y235" s="1004"/>
    </row>
    <row r="236" spans="2:25" ht="9.75" customHeight="1">
      <c r="B236" s="946"/>
      <c r="C236" s="946"/>
      <c r="D236" s="294">
        <f t="shared" ca="1" si="60"/>
        <v>53292</v>
      </c>
      <c r="E236" s="359">
        <f t="shared" si="63"/>
        <v>0</v>
      </c>
      <c r="F236" s="360">
        <f t="shared" ca="1" si="61"/>
        <v>60</v>
      </c>
      <c r="G236" s="290">
        <f ca="1">KTVCOI!P235</f>
        <v>5.2753363531915278</v>
      </c>
      <c r="H236" s="295">
        <f t="shared" ca="1" si="57"/>
        <v>-14076.442442610009</v>
      </c>
      <c r="I236" s="948"/>
      <c r="J236" s="296">
        <f t="shared" ca="1" si="62"/>
        <v>-14076.442442610009</v>
      </c>
      <c r="K236" s="949"/>
      <c r="L236" s="949"/>
      <c r="M236" s="949"/>
      <c r="N236" s="950"/>
      <c r="O236" s="950"/>
      <c r="X236" s="1004"/>
      <c r="Y236" s="1004"/>
    </row>
    <row r="237" spans="2:25" ht="9.75" customHeight="1">
      <c r="B237" s="946"/>
      <c r="C237" s="946"/>
      <c r="D237" s="294">
        <f t="shared" ca="1" si="60"/>
        <v>53322</v>
      </c>
      <c r="E237" s="359">
        <f t="shared" si="63"/>
        <v>0</v>
      </c>
      <c r="F237" s="360">
        <f t="shared" ca="1" si="61"/>
        <v>60</v>
      </c>
      <c r="G237" s="290">
        <f ca="1">KTVCOI!P236</f>
        <v>5.3021266533831026</v>
      </c>
      <c r="H237" s="295">
        <f t="shared" ca="1" si="57"/>
        <v>-14147.623502411201</v>
      </c>
      <c r="I237" s="948"/>
      <c r="J237" s="296">
        <f t="shared" ca="1" si="62"/>
        <v>-14147.623502411201</v>
      </c>
      <c r="K237" s="949"/>
      <c r="L237" s="949"/>
      <c r="M237" s="949"/>
      <c r="N237" s="950"/>
      <c r="O237" s="950"/>
      <c r="X237" s="1004"/>
      <c r="Y237" s="1004"/>
    </row>
    <row r="238" spans="2:25" ht="9.75" customHeight="1">
      <c r="B238" s="946"/>
      <c r="C238" s="946"/>
      <c r="D238" s="294">
        <f t="shared" ca="1" si="60"/>
        <v>53353</v>
      </c>
      <c r="E238" s="359">
        <f t="shared" si="63"/>
        <v>0</v>
      </c>
      <c r="F238" s="360">
        <f t="shared" ca="1" si="61"/>
        <v>60</v>
      </c>
      <c r="G238" s="290">
        <f ca="1">KTVCOI!P237</f>
        <v>5.3289381859082185</v>
      </c>
      <c r="H238" s="295">
        <f t="shared" ca="1" si="57"/>
        <v>-14218.860975914093</v>
      </c>
      <c r="I238" s="948"/>
      <c r="J238" s="296">
        <f t="shared" ca="1" si="62"/>
        <v>-14218.860975914093</v>
      </c>
      <c r="K238" s="949"/>
      <c r="L238" s="949"/>
      <c r="M238" s="949"/>
      <c r="N238" s="950"/>
      <c r="O238" s="950"/>
      <c r="X238" s="1004"/>
      <c r="Y238" s="1004"/>
    </row>
    <row r="239" spans="2:25" ht="9.75" customHeight="1">
      <c r="B239" s="946"/>
      <c r="C239" s="946"/>
      <c r="D239" s="294">
        <f t="shared" ca="1" si="60"/>
        <v>53384</v>
      </c>
      <c r="E239" s="359">
        <f t="shared" si="63"/>
        <v>0</v>
      </c>
      <c r="F239" s="360">
        <f t="shared" ca="1" si="61"/>
        <v>60</v>
      </c>
      <c r="G239" s="290">
        <f ca="1">KTVCOI!P238</f>
        <v>5.3557709675943075</v>
      </c>
      <c r="H239" s="295">
        <f t="shared" ca="1" si="57"/>
        <v>-14290.154907828693</v>
      </c>
      <c r="I239" s="948"/>
      <c r="J239" s="296">
        <f t="shared" ca="1" si="62"/>
        <v>-14290.154907828693</v>
      </c>
      <c r="K239" s="949"/>
      <c r="L239" s="949"/>
      <c r="M239" s="949"/>
      <c r="N239" s="950"/>
      <c r="O239" s="950"/>
      <c r="X239" s="1004"/>
      <c r="Y239" s="1004"/>
    </row>
    <row r="240" spans="2:25" ht="9.75" customHeight="1">
      <c r="B240" s="946"/>
      <c r="C240" s="946"/>
      <c r="D240" s="294">
        <f t="shared" ca="1" si="60"/>
        <v>53412</v>
      </c>
      <c r="E240" s="359">
        <f t="shared" si="63"/>
        <v>0</v>
      </c>
      <c r="F240" s="360">
        <f t="shared" ca="1" si="61"/>
        <v>60</v>
      </c>
      <c r="G240" s="290">
        <f ca="1">KTVCOI!P239</f>
        <v>5.3826250152821409</v>
      </c>
      <c r="H240" s="295">
        <f t="shared" ca="1" si="57"/>
        <v>-14361.505342900442</v>
      </c>
      <c r="I240" s="948"/>
      <c r="J240" s="296">
        <f t="shared" ca="1" si="62"/>
        <v>-14361.505342900442</v>
      </c>
      <c r="K240" s="949"/>
      <c r="L240" s="949"/>
      <c r="M240" s="949"/>
      <c r="N240" s="950"/>
      <c r="O240" s="950"/>
      <c r="X240" s="1004"/>
      <c r="Y240" s="1004"/>
    </row>
    <row r="241" spans="2:25" ht="9.75" customHeight="1">
      <c r="B241" s="946"/>
      <c r="C241" s="946"/>
      <c r="D241" s="294">
        <f t="shared" ca="1" si="60"/>
        <v>53443</v>
      </c>
      <c r="E241" s="359">
        <f t="shared" si="63"/>
        <v>0</v>
      </c>
      <c r="F241" s="360">
        <f t="shared" ca="1" si="61"/>
        <v>60</v>
      </c>
      <c r="G241" s="290">
        <f ca="1">KTVCOI!P240</f>
        <v>5.4095003458258324</v>
      </c>
      <c r="H241" s="295">
        <f t="shared" ca="1" si="57"/>
        <v>-14432.912325910247</v>
      </c>
      <c r="I241" s="948"/>
      <c r="J241" s="296">
        <f t="shared" ca="1" si="62"/>
        <v>-14432.912325910247</v>
      </c>
      <c r="K241" s="949"/>
      <c r="L241" s="949"/>
      <c r="M241" s="949"/>
      <c r="N241" s="950"/>
      <c r="O241" s="950"/>
      <c r="X241" s="1004"/>
      <c r="Y241" s="1004"/>
    </row>
    <row r="242" spans="2:25" ht="9.75" customHeight="1">
      <c r="B242" s="946"/>
      <c r="C242" s="946"/>
      <c r="D242" s="294">
        <f t="shared" ca="1" si="60"/>
        <v>53473</v>
      </c>
      <c r="E242" s="359">
        <f t="shared" si="63"/>
        <v>0</v>
      </c>
      <c r="F242" s="360">
        <f t="shared" ca="1" si="61"/>
        <v>60</v>
      </c>
      <c r="G242" s="290">
        <f ca="1">KTVCOI!P241</f>
        <v>5.4363969760928592</v>
      </c>
      <c r="H242" s="295">
        <f t="shared" ca="1" si="57"/>
        <v>-14504.375901674501</v>
      </c>
      <c r="I242" s="948"/>
      <c r="J242" s="296">
        <f t="shared" ca="1" si="62"/>
        <v>-14504.375901674501</v>
      </c>
      <c r="K242" s="949"/>
      <c r="L242" s="949"/>
      <c r="M242" s="949"/>
      <c r="N242" s="950"/>
      <c r="O242" s="950"/>
      <c r="X242" s="1004"/>
      <c r="Y242" s="1004"/>
    </row>
    <row r="243" spans="2:25" ht="9.75" customHeight="1">
      <c r="B243" s="946"/>
      <c r="C243" s="946"/>
      <c r="D243" s="294">
        <f t="shared" ca="1" si="60"/>
        <v>53504</v>
      </c>
      <c r="E243" s="359">
        <f t="shared" si="63"/>
        <v>0</v>
      </c>
      <c r="F243" s="360">
        <f t="shared" ca="1" si="61"/>
        <v>60</v>
      </c>
      <c r="G243" s="290">
        <f ca="1">KTVCOI!P242</f>
        <v>5.4633149229640603</v>
      </c>
      <c r="H243" s="295">
        <f t="shared" ca="1" si="57"/>
        <v>-14575.89611504512</v>
      </c>
      <c r="I243" s="948"/>
      <c r="J243" s="297">
        <f ca="1">H243+I232</f>
        <v>-14575.89611504512</v>
      </c>
      <c r="K243" s="949"/>
      <c r="L243" s="949"/>
      <c r="M243" s="949"/>
      <c r="N243" s="950"/>
      <c r="O243" s="950"/>
      <c r="X243" s="1004"/>
      <c r="Y243" s="1004"/>
    </row>
  </sheetData>
  <sheetProtection selectLockedCells="1"/>
  <mergeCells count="138">
    <mergeCell ref="Y232:Y243"/>
    <mergeCell ref="B232:B243"/>
    <mergeCell ref="C232:C243"/>
    <mergeCell ref="I232:I243"/>
    <mergeCell ref="K232:M243"/>
    <mergeCell ref="N232:O243"/>
    <mergeCell ref="X232:X243"/>
    <mergeCell ref="Y208:Y219"/>
    <mergeCell ref="B220:B231"/>
    <mergeCell ref="C220:C231"/>
    <mergeCell ref="I220:I231"/>
    <mergeCell ref="K220:M231"/>
    <mergeCell ref="N220:O231"/>
    <mergeCell ref="X220:X231"/>
    <mergeCell ref="Y220:Y231"/>
    <mergeCell ref="B208:B219"/>
    <mergeCell ref="C208:C219"/>
    <mergeCell ref="I208:I219"/>
    <mergeCell ref="K208:M219"/>
    <mergeCell ref="N208:O219"/>
    <mergeCell ref="X208:X219"/>
    <mergeCell ref="Y184:Y195"/>
    <mergeCell ref="B196:B207"/>
    <mergeCell ref="C196:C207"/>
    <mergeCell ref="I196:I207"/>
    <mergeCell ref="K196:M207"/>
    <mergeCell ref="N196:O207"/>
    <mergeCell ref="X196:X207"/>
    <mergeCell ref="Y196:Y207"/>
    <mergeCell ref="B184:B195"/>
    <mergeCell ref="C184:C195"/>
    <mergeCell ref="I184:I195"/>
    <mergeCell ref="K184:M195"/>
    <mergeCell ref="N184:O195"/>
    <mergeCell ref="X184:X195"/>
    <mergeCell ref="Y160:Y171"/>
    <mergeCell ref="B172:B183"/>
    <mergeCell ref="C172:C183"/>
    <mergeCell ref="I172:I183"/>
    <mergeCell ref="K172:M183"/>
    <mergeCell ref="N172:O183"/>
    <mergeCell ref="X172:X183"/>
    <mergeCell ref="Y172:Y183"/>
    <mergeCell ref="B160:B171"/>
    <mergeCell ref="C160:C171"/>
    <mergeCell ref="I160:I171"/>
    <mergeCell ref="K160:M171"/>
    <mergeCell ref="N160:O171"/>
    <mergeCell ref="X160:X171"/>
    <mergeCell ref="Y136:Y147"/>
    <mergeCell ref="B148:B159"/>
    <mergeCell ref="C148:C159"/>
    <mergeCell ref="I148:I159"/>
    <mergeCell ref="K148:M159"/>
    <mergeCell ref="N148:O159"/>
    <mergeCell ref="X148:X159"/>
    <mergeCell ref="Y148:Y159"/>
    <mergeCell ref="B136:B147"/>
    <mergeCell ref="C136:C147"/>
    <mergeCell ref="I136:I147"/>
    <mergeCell ref="K136:M147"/>
    <mergeCell ref="N136:O147"/>
    <mergeCell ref="X136:X147"/>
    <mergeCell ref="Y112:Y123"/>
    <mergeCell ref="B124:B135"/>
    <mergeCell ref="C124:C135"/>
    <mergeCell ref="I124:I135"/>
    <mergeCell ref="K124:M135"/>
    <mergeCell ref="N124:O135"/>
    <mergeCell ref="X124:X135"/>
    <mergeCell ref="Y124:Y135"/>
    <mergeCell ref="B112:B123"/>
    <mergeCell ref="C112:C123"/>
    <mergeCell ref="I112:I123"/>
    <mergeCell ref="K112:M123"/>
    <mergeCell ref="N112:O123"/>
    <mergeCell ref="X112:X123"/>
    <mergeCell ref="Y88:Y99"/>
    <mergeCell ref="B100:B111"/>
    <mergeCell ref="C100:C111"/>
    <mergeCell ref="I100:I111"/>
    <mergeCell ref="K100:M111"/>
    <mergeCell ref="N100:O111"/>
    <mergeCell ref="X100:X111"/>
    <mergeCell ref="Y100:Y111"/>
    <mergeCell ref="B88:B99"/>
    <mergeCell ref="C88:C99"/>
    <mergeCell ref="I88:I99"/>
    <mergeCell ref="K88:M99"/>
    <mergeCell ref="N88:O99"/>
    <mergeCell ref="X88:X99"/>
    <mergeCell ref="Y64:Y75"/>
    <mergeCell ref="B76:B87"/>
    <mergeCell ref="C76:C87"/>
    <mergeCell ref="I76:I87"/>
    <mergeCell ref="K76:M87"/>
    <mergeCell ref="N76:O87"/>
    <mergeCell ref="X76:X87"/>
    <mergeCell ref="Y76:Y87"/>
    <mergeCell ref="B64:B75"/>
    <mergeCell ref="C64:C75"/>
    <mergeCell ref="I64:I75"/>
    <mergeCell ref="K64:M75"/>
    <mergeCell ref="N64:O75"/>
    <mergeCell ref="X64:X75"/>
    <mergeCell ref="B52:B63"/>
    <mergeCell ref="C52:C63"/>
    <mergeCell ref="I52:I63"/>
    <mergeCell ref="K52:M63"/>
    <mergeCell ref="N52:O63"/>
    <mergeCell ref="X52:X63"/>
    <mergeCell ref="Y52:Y63"/>
    <mergeCell ref="B40:B51"/>
    <mergeCell ref="C40:C51"/>
    <mergeCell ref="I40:I51"/>
    <mergeCell ref="K40:M51"/>
    <mergeCell ref="N40:O51"/>
    <mergeCell ref="X40:X51"/>
    <mergeCell ref="Y28:Y39"/>
    <mergeCell ref="Y4:Y15"/>
    <mergeCell ref="B16:B27"/>
    <mergeCell ref="C16:C27"/>
    <mergeCell ref="K16:M27"/>
    <mergeCell ref="N16:O27"/>
    <mergeCell ref="X16:X27"/>
    <mergeCell ref="Y16:Y27"/>
    <mergeCell ref="Y40:Y51"/>
    <mergeCell ref="B2:I2"/>
    <mergeCell ref="B4:B15"/>
    <mergeCell ref="C4:C15"/>
    <mergeCell ref="K4:M15"/>
    <mergeCell ref="N4:O15"/>
    <mergeCell ref="X4:X15"/>
    <mergeCell ref="B28:B39"/>
    <mergeCell ref="C28:C39"/>
    <mergeCell ref="K28:M39"/>
    <mergeCell ref="N28:O39"/>
    <mergeCell ref="X28:X39"/>
  </mergeCells>
  <conditionalFormatting sqref="H1:J52 H53:H63 J53:J63 H64:J1048576">
    <cfRule type="cellIs" dxfId="189" priority="1" operator="lessThan">
      <formula>0</formula>
    </cfRule>
  </conditionalFormatting>
  <pageMargins left="0.75" right="0.75" top="1" bottom="1" header="0.5" footer="0.5"/>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0FA68-371D-4CE9-862D-DA4F0719335B}">
  <dimension ref="B1:P12"/>
  <sheetViews>
    <sheetView showGridLines="0" zoomScale="70" zoomScaleNormal="70" workbookViewId="0">
      <selection activeCell="S7" sqref="S7"/>
    </sheetView>
  </sheetViews>
  <sheetFormatPr defaultColWidth="9.296875" defaultRowHeight="14.5"/>
  <cols>
    <col min="1" max="1" width="4.796875" style="28" customWidth="1"/>
    <col min="2" max="2" width="30.296875" style="28" customWidth="1"/>
    <col min="3" max="3" width="14.296875" style="28" bestFit="1" customWidth="1"/>
    <col min="4" max="4" width="18.796875" style="28" customWidth="1"/>
    <col min="5" max="5" width="14.19921875" style="28" hidden="1" customWidth="1"/>
    <col min="6" max="6" width="18.19921875" style="28" hidden="1" customWidth="1"/>
    <col min="7" max="7" width="17" style="28" hidden="1" customWidth="1"/>
    <col min="8" max="8" width="16" style="28" customWidth="1"/>
    <col min="9" max="9" width="17.296875" style="28" hidden="1" customWidth="1"/>
    <col min="10" max="10" width="21.796875" style="28" customWidth="1"/>
    <col min="11" max="11" width="12.69921875" style="28" hidden="1" customWidth="1"/>
    <col min="12" max="12" width="19.296875" style="28" hidden="1" customWidth="1"/>
    <col min="13" max="13" width="31" style="28" customWidth="1"/>
    <col min="14" max="14" width="16.296875" style="28" customWidth="1"/>
    <col min="15" max="16384" width="9.296875" style="28"/>
  </cols>
  <sheetData>
    <row r="1" spans="2:16" ht="20.25" customHeight="1"/>
    <row r="2" spans="2:16" ht="24" customHeight="1">
      <c r="B2" s="1013" t="s">
        <v>142</v>
      </c>
      <c r="C2" s="1013"/>
      <c r="D2" s="1013"/>
      <c r="E2" s="1013"/>
      <c r="F2" s="1013"/>
      <c r="G2" s="1013"/>
      <c r="H2" s="1013"/>
      <c r="I2" s="1013"/>
      <c r="J2" s="1013"/>
      <c r="K2" s="1013"/>
      <c r="L2" s="1013"/>
      <c r="M2" s="1013"/>
    </row>
    <row r="3" spans="2:16">
      <c r="B3" s="1014" t="s">
        <v>126</v>
      </c>
      <c r="C3" s="1014"/>
      <c r="D3" s="1014"/>
      <c r="E3" s="1014"/>
      <c r="F3" s="1014"/>
      <c r="G3" s="1014"/>
      <c r="H3" s="1014"/>
      <c r="I3" s="1014"/>
      <c r="J3" s="1014"/>
      <c r="K3" s="49"/>
      <c r="L3" s="1015">
        <f ca="1">NOW()</f>
        <v>46229.759433564817</v>
      </c>
      <c r="M3" s="1015"/>
      <c r="N3" s="1012" t="s">
        <v>557</v>
      </c>
      <c r="O3" s="1012"/>
      <c r="P3" s="1012"/>
    </row>
    <row r="4" spans="2:16" ht="51.75" customHeight="1">
      <c r="B4" s="207" t="s">
        <v>127</v>
      </c>
      <c r="C4" s="208" t="s">
        <v>128</v>
      </c>
      <c r="D4" s="208" t="s">
        <v>129</v>
      </c>
      <c r="E4" s="208" t="s">
        <v>130</v>
      </c>
      <c r="F4" s="208" t="s">
        <v>131</v>
      </c>
      <c r="G4" s="208" t="s">
        <v>132</v>
      </c>
      <c r="H4" s="208" t="s">
        <v>133</v>
      </c>
      <c r="I4" s="208" t="s">
        <v>134</v>
      </c>
      <c r="J4" s="208" t="s">
        <v>135</v>
      </c>
      <c r="K4" s="50" t="s">
        <v>136</v>
      </c>
      <c r="L4" s="50" t="s">
        <v>137</v>
      </c>
      <c r="M4" s="209" t="s">
        <v>546</v>
      </c>
    </row>
    <row r="5" spans="2:16" ht="51.75" customHeight="1">
      <c r="B5" s="210" t="s">
        <v>139</v>
      </c>
      <c r="C5" s="211">
        <v>42836</v>
      </c>
      <c r="D5" s="212">
        <v>10008</v>
      </c>
      <c r="E5" s="213" t="s">
        <v>138</v>
      </c>
      <c r="F5" s="212">
        <v>11957</v>
      </c>
      <c r="G5" s="212">
        <v>12717</v>
      </c>
      <c r="H5" s="214">
        <v>24922</v>
      </c>
      <c r="I5" s="215" t="e">
        <f>(DATEDIF(C5,#REF!,"d"))/365</f>
        <v>#REF!</v>
      </c>
      <c r="J5" s="215">
        <f ca="1">(DATEDIF(C5,$L$3,"d"))/365</f>
        <v>9.2958904109589042</v>
      </c>
      <c r="K5" s="51" t="s">
        <v>138</v>
      </c>
      <c r="L5" s="52" t="e">
        <f>ROUND(((F5/D5)^(1/I5))-1,4)</f>
        <v>#REF!</v>
      </c>
      <c r="M5" s="52">
        <f ca="1">ROUND(((H5/D5)^(1/J5))-1,4)</f>
        <v>0.1031</v>
      </c>
    </row>
    <row r="6" spans="2:16" ht="51.75" customHeight="1">
      <c r="B6" s="210" t="s">
        <v>140</v>
      </c>
      <c r="C6" s="211">
        <v>44278</v>
      </c>
      <c r="D6" s="212">
        <v>9942</v>
      </c>
      <c r="E6" s="213" t="s">
        <v>138</v>
      </c>
      <c r="F6" s="212">
        <v>11676</v>
      </c>
      <c r="G6" s="212">
        <v>12789</v>
      </c>
      <c r="H6" s="214">
        <v>17443</v>
      </c>
      <c r="I6" s="215" t="e">
        <f>(DATEDIF(C6,#REF!,"d"))/365</f>
        <v>#REF!</v>
      </c>
      <c r="J6" s="215">
        <f ca="1">(DATEDIF(C6,$L$3,"d"))/365</f>
        <v>5.3452054794520549</v>
      </c>
      <c r="K6" s="51" t="s">
        <v>138</v>
      </c>
      <c r="L6" s="52" t="e">
        <f>ROUND(((F6/D6)^(1/I6))-1,4)</f>
        <v>#REF!</v>
      </c>
      <c r="M6" s="52">
        <f ca="1">ROUND(((H6/D6)^(1/J6))-1,4)</f>
        <v>0.1109</v>
      </c>
    </row>
    <row r="7" spans="2:16" ht="51.75" customHeight="1">
      <c r="B7" s="210" t="s">
        <v>560</v>
      </c>
      <c r="C7" s="211">
        <v>42836</v>
      </c>
      <c r="D7" s="212">
        <v>10018</v>
      </c>
      <c r="E7" s="213" t="s">
        <v>138</v>
      </c>
      <c r="F7" s="212">
        <v>11809</v>
      </c>
      <c r="G7" s="212">
        <v>12916</v>
      </c>
      <c r="H7" s="214">
        <v>22049</v>
      </c>
      <c r="I7" s="215" t="e">
        <f>(DATEDIF(C7,#REF!,"d"))/365</f>
        <v>#REF!</v>
      </c>
      <c r="J7" s="215">
        <f ca="1">(DATEDIF(C7,$L$3,"d"))/365</f>
        <v>9.2958904109589042</v>
      </c>
      <c r="K7" s="51" t="s">
        <v>138</v>
      </c>
      <c r="L7" s="52" t="e">
        <f>ROUND(((F7/D7)^(1/I7))-1,4)</f>
        <v>#REF!</v>
      </c>
      <c r="M7" s="52">
        <f ca="1">ROUND(((H7/D7)^(1/J7))-1,4)</f>
        <v>8.8599999999999998E-2</v>
      </c>
    </row>
    <row r="8" spans="2:16" ht="51.75" customHeight="1">
      <c r="B8" s="210" t="s">
        <v>141</v>
      </c>
      <c r="C8" s="211">
        <v>39612</v>
      </c>
      <c r="D8" s="212">
        <v>372.68</v>
      </c>
      <c r="E8" s="213">
        <v>927.02</v>
      </c>
      <c r="F8" s="212">
        <v>1007.09</v>
      </c>
      <c r="G8" s="212">
        <v>1130</v>
      </c>
      <c r="H8" s="214">
        <v>1901</v>
      </c>
      <c r="I8" s="215" t="e">
        <f>(DATEDIF(C8,#REF!,"d"))/365</f>
        <v>#REF!</v>
      </c>
      <c r="J8" s="215">
        <f ca="1">(DATEDIF(C8,$L$3,"d"))/365</f>
        <v>18.12876712328767</v>
      </c>
      <c r="K8" s="53">
        <f>((F8/E8)^(1/10))-1</f>
        <v>8.3189238136180954E-3</v>
      </c>
      <c r="L8" s="52" t="e">
        <f>ROUND(((F8/D8)^(1/I8))-1,4)</f>
        <v>#REF!</v>
      </c>
      <c r="M8" s="52">
        <f ca="1">ROUND(((H8/D8)^(1/J8))-1,4)</f>
        <v>9.4E-2</v>
      </c>
      <c r="N8" s="1012" t="s">
        <v>558</v>
      </c>
      <c r="O8" s="1012"/>
      <c r="P8" s="1012"/>
    </row>
    <row r="12" spans="2:16">
      <c r="H12" s="54"/>
    </row>
  </sheetData>
  <sheetProtection selectLockedCells="1"/>
  <mergeCells count="5">
    <mergeCell ref="N8:P8"/>
    <mergeCell ref="B2:M2"/>
    <mergeCell ref="N3:P3"/>
    <mergeCell ref="B3:J3"/>
    <mergeCell ref="L3:M3"/>
  </mergeCells>
  <conditionalFormatting sqref="B5:M8">
    <cfRule type="expression" dxfId="188" priority="4">
      <formula>MOD(ROW(),2)&gt;0</formula>
    </cfRule>
  </conditionalFormatting>
  <hyperlinks>
    <hyperlink ref="N3:P3" r:id="rId1" display="Xem Giá Quỹ ILP" xr:uid="{78689F82-B67A-4C2B-B9E0-652DCF2D9A26}"/>
    <hyperlink ref="N8:P8" r:id="rId2" display="Xem chỉ số Vnindex" xr:uid="{D5063BBB-8998-4BAC-B072-230EFCF334B3}"/>
  </hyperlinks>
  <pageMargins left="0.7" right="0.7" top="0.75" bottom="0.75" header="0.3" footer="0.3"/>
  <pageSetup paperSize="9" orientation="portrait" verticalDpi="0" r:id="rId3"/>
  <drawing r:id="rId4"/>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894AC0-FC78-4F0B-89F9-628A67A9DD7B}">
  <dimension ref="B1:P23"/>
  <sheetViews>
    <sheetView showGridLines="0" zoomScale="85" zoomScaleNormal="85" workbookViewId="0"/>
  </sheetViews>
  <sheetFormatPr defaultColWidth="9.296875" defaultRowHeight="15.5"/>
  <cols>
    <col min="1" max="1" width="1.796875" style="354" customWidth="1"/>
    <col min="2" max="3" width="6" style="354" customWidth="1"/>
    <col min="4" max="4" width="12.5" style="354" customWidth="1"/>
    <col min="5" max="5" width="13.5" style="354" customWidth="1"/>
    <col min="6" max="6" width="15.19921875" style="354" customWidth="1"/>
    <col min="7" max="7" width="14.5" style="354" customWidth="1"/>
    <col min="8" max="8" width="11.5" style="354" customWidth="1"/>
    <col min="9" max="9" width="12.69921875" style="354" customWidth="1"/>
    <col min="10" max="10" width="11.69921875" style="354" customWidth="1"/>
    <col min="11" max="11" width="20.5" style="354" customWidth="1"/>
    <col min="12" max="12" width="18.796875" style="354" customWidth="1"/>
    <col min="13" max="13" width="15" style="354" customWidth="1"/>
    <col min="14" max="14" width="10.796875" style="354" customWidth="1"/>
    <col min="15" max="16" width="17.69921875" style="354" customWidth="1"/>
    <col min="17" max="16384" width="9.296875" style="354"/>
  </cols>
  <sheetData>
    <row r="1" spans="2:16" ht="15.75" customHeight="1">
      <c r="B1" s="1016" t="s">
        <v>814</v>
      </c>
      <c r="C1" s="1016"/>
      <c r="D1" s="1016"/>
      <c r="E1" s="1016"/>
      <c r="F1" s="1016"/>
      <c r="G1" s="1016"/>
      <c r="H1" s="1016"/>
      <c r="I1" s="1016"/>
      <c r="J1" s="1016"/>
      <c r="K1" s="1016"/>
      <c r="L1" s="1016"/>
      <c r="M1" s="1016"/>
      <c r="N1" s="1016"/>
      <c r="O1" s="1016"/>
      <c r="P1" s="353" t="s">
        <v>712</v>
      </c>
    </row>
    <row r="2" spans="2:16" ht="20.25" customHeight="1">
      <c r="B2" s="969" t="s">
        <v>670</v>
      </c>
      <c r="C2" s="969" t="s">
        <v>842</v>
      </c>
      <c r="D2" s="970" t="s">
        <v>735</v>
      </c>
      <c r="E2" s="971"/>
      <c r="F2" s="972"/>
      <c r="G2" s="973" t="s">
        <v>736</v>
      </c>
      <c r="H2" s="969" t="s">
        <v>725</v>
      </c>
      <c r="I2" s="969"/>
      <c r="J2" s="969"/>
      <c r="K2" s="969" t="s">
        <v>737</v>
      </c>
      <c r="L2" s="969"/>
      <c r="M2" s="969"/>
      <c r="N2" s="973" t="s">
        <v>726</v>
      </c>
      <c r="O2" s="970" t="s">
        <v>738</v>
      </c>
      <c r="P2" s="972"/>
    </row>
    <row r="3" spans="2:16" ht="33.75" customHeight="1">
      <c r="B3" s="969"/>
      <c r="C3" s="969"/>
      <c r="D3" s="355" t="s">
        <v>727</v>
      </c>
      <c r="E3" s="355" t="s">
        <v>728</v>
      </c>
      <c r="F3" s="355" t="s">
        <v>729</v>
      </c>
      <c r="G3" s="974"/>
      <c r="H3" s="355" t="s">
        <v>727</v>
      </c>
      <c r="I3" s="355" t="s">
        <v>728</v>
      </c>
      <c r="J3" s="355" t="s">
        <v>730</v>
      </c>
      <c r="K3" s="355" t="s">
        <v>731</v>
      </c>
      <c r="L3" s="355" t="s">
        <v>732</v>
      </c>
      <c r="M3" s="355" t="s">
        <v>733</v>
      </c>
      <c r="N3" s="974"/>
      <c r="O3" s="355" t="s">
        <v>739</v>
      </c>
      <c r="P3" s="355" t="s">
        <v>813</v>
      </c>
    </row>
    <row r="4" spans="2:16" ht="12.75" customHeight="1">
      <c r="B4" s="356">
        <v>1</v>
      </c>
      <c r="C4" s="356">
        <f>KTVBVGTTKcamket!C7</f>
        <v>1</v>
      </c>
      <c r="D4" s="357">
        <f ca="1">KTVBVGTTKcamket!E7</f>
        <v>0</v>
      </c>
      <c r="E4" s="358">
        <v>0</v>
      </c>
      <c r="F4" s="358">
        <f ca="1">D4+E4</f>
        <v>0</v>
      </c>
      <c r="G4" s="358">
        <f ca="1">IF(IFERROR(--TRIM(C4),0)=0,0,_xlfn.AGGREGATE(9,6,KTVTDPhi20nam!E4:AG4))</f>
        <v>6571</v>
      </c>
      <c r="H4" s="358">
        <f ca="1">D4*30%</f>
        <v>0</v>
      </c>
      <c r="I4" s="358">
        <f>E4*1.5%</f>
        <v>0</v>
      </c>
      <c r="J4" s="358">
        <f ca="1">H4+I4</f>
        <v>0</v>
      </c>
      <c r="K4" s="358">
        <f t="shared" ref="K4:L23" ca="1" si="0">D4-H4</f>
        <v>0</v>
      </c>
      <c r="L4" s="358">
        <f t="shared" si="0"/>
        <v>0</v>
      </c>
      <c r="M4" s="358">
        <f ca="1">K4+L4</f>
        <v>0</v>
      </c>
      <c r="N4" s="358">
        <f ca="1">VLOOKUP(B4,KTVBV20namcamket!$B$4:$Y$243,23,0)</f>
        <v>480</v>
      </c>
      <c r="O4" s="358">
        <f ca="1">VLOOKUP(B4,KTVBV20namcamket!$B$4:$Y$243,24,0)</f>
        <v>0.2740849208134159</v>
      </c>
      <c r="P4" s="358">
        <f ca="1">VLOOKUP(B4,KTVBV20namMH!$B$4:$Y$243,24,0)</f>
        <v>0.27513926435729708</v>
      </c>
    </row>
    <row r="5" spans="2:16" ht="12.75" customHeight="1">
      <c r="B5" s="356">
        <v>2</v>
      </c>
      <c r="C5" s="356">
        <f>KTVBVGTTKcamket!C8</f>
        <v>2</v>
      </c>
      <c r="D5" s="357">
        <f ca="1">KTVBVGTTKcamket!E8</f>
        <v>0</v>
      </c>
      <c r="E5" s="358">
        <f>E4</f>
        <v>0</v>
      </c>
      <c r="F5" s="358">
        <f t="shared" ref="F5:F23" ca="1" si="1">D5+E5</f>
        <v>0</v>
      </c>
      <c r="G5" s="358">
        <f ca="1">IF(IFERROR(--TRIM(C5),0)=0,0,_xlfn.AGGREGATE(9,6,KTVTDPhi20nam!E5:AG5))</f>
        <v>6571</v>
      </c>
      <c r="H5" s="358">
        <f ca="1">D5*18%</f>
        <v>0</v>
      </c>
      <c r="I5" s="358">
        <f t="shared" ref="I5:I8" si="2">E5*1.5%</f>
        <v>0</v>
      </c>
      <c r="J5" s="358">
        <f t="shared" ref="J5:J23" ca="1" si="3">H5+I5</f>
        <v>0</v>
      </c>
      <c r="K5" s="358">
        <f t="shared" ca="1" si="0"/>
        <v>0</v>
      </c>
      <c r="L5" s="358">
        <f t="shared" si="0"/>
        <v>0</v>
      </c>
      <c r="M5" s="358">
        <f t="shared" ref="M5:M23" ca="1" si="4">K5+L5</f>
        <v>0</v>
      </c>
      <c r="N5" s="358">
        <f ca="1">VLOOKUP(B5,KTVBV20namcamket!$B$4:$Y$243,23,0)</f>
        <v>480</v>
      </c>
      <c r="O5" s="358">
        <f ca="1">VLOOKUP(B5,KTVBV20namcamket!$B$4:$Y$243,24,0)</f>
        <v>0.90563021965211399</v>
      </c>
      <c r="P5" s="358">
        <f ca="1">VLOOKUP(B5,KTVBV20namMH!$B$4:$Y$243,24,0)</f>
        <v>0.91530746640379246</v>
      </c>
    </row>
    <row r="6" spans="2:16" ht="12.75" customHeight="1">
      <c r="B6" s="356">
        <v>3</v>
      </c>
      <c r="C6" s="356">
        <f>KTVBVGTTKcamket!C9</f>
        <v>3</v>
      </c>
      <c r="D6" s="357">
        <f ca="1">KTVBVGTTKcamket!E9</f>
        <v>0</v>
      </c>
      <c r="E6" s="358">
        <f t="shared" ref="E6:E21" si="5">E5</f>
        <v>0</v>
      </c>
      <c r="F6" s="358">
        <f t="shared" ca="1" si="1"/>
        <v>0</v>
      </c>
      <c r="G6" s="358">
        <f ca="1">IF(IFERROR(--TRIM(C6),0)=0,0,_xlfn.AGGREGATE(9,6,KTVTDPhi20nam!E6:AG6))</f>
        <v>6571</v>
      </c>
      <c r="H6" s="358">
        <f ca="1">D6*12%</f>
        <v>0</v>
      </c>
      <c r="I6" s="358">
        <f t="shared" si="2"/>
        <v>0</v>
      </c>
      <c r="J6" s="358">
        <f t="shared" ca="1" si="3"/>
        <v>0</v>
      </c>
      <c r="K6" s="358">
        <f t="shared" ca="1" si="0"/>
        <v>0</v>
      </c>
      <c r="L6" s="358">
        <f t="shared" si="0"/>
        <v>0</v>
      </c>
      <c r="M6" s="358">
        <f t="shared" ca="1" si="4"/>
        <v>0</v>
      </c>
      <c r="N6" s="358">
        <f ca="1">VLOOKUP(B6,KTVBV20namcamket!$B$4:$Y$243,23,0)</f>
        <v>480</v>
      </c>
      <c r="O6" s="358">
        <f ca="1">VLOOKUP(B6,KTVBV20namcamket!$B$4:$Y$243,24,0)</f>
        <v>1.6104150615685178</v>
      </c>
      <c r="P6" s="358">
        <f ca="1">VLOOKUP(B6,KTVBV20namMH!$B$4:$Y$243,24,0)</f>
        <v>1.6414295503766305</v>
      </c>
    </row>
    <row r="7" spans="2:16" ht="12.75" customHeight="1">
      <c r="B7" s="356">
        <v>4</v>
      </c>
      <c r="C7" s="356">
        <f>KTVBVGTTKcamket!C10</f>
        <v>4</v>
      </c>
      <c r="D7" s="357">
        <f ca="1">KTVBVGTTKcamket!E10</f>
        <v>0</v>
      </c>
      <c r="E7" s="358">
        <f t="shared" si="5"/>
        <v>0</v>
      </c>
      <c r="F7" s="358">
        <f t="shared" ca="1" si="1"/>
        <v>0</v>
      </c>
      <c r="G7" s="358">
        <f ca="1">IF(IFERROR(--TRIM(C7),0)=0,0,_xlfn.AGGREGATE(9,6,KTVTDPhi20nam!E7:AG7))</f>
        <v>6571</v>
      </c>
      <c r="H7" s="358">
        <f ca="1">D7*12%</f>
        <v>0</v>
      </c>
      <c r="I7" s="358">
        <f t="shared" si="2"/>
        <v>0</v>
      </c>
      <c r="J7" s="358">
        <f t="shared" ca="1" si="3"/>
        <v>0</v>
      </c>
      <c r="K7" s="358">
        <f t="shared" ca="1" si="0"/>
        <v>0</v>
      </c>
      <c r="L7" s="358">
        <f t="shared" si="0"/>
        <v>0</v>
      </c>
      <c r="M7" s="358">
        <f t="shared" ca="1" si="4"/>
        <v>0</v>
      </c>
      <c r="N7" s="358">
        <f ca="1">VLOOKUP(B7,KTVBV20namcamket!$B$4:$Y$243,23,0)</f>
        <v>540</v>
      </c>
      <c r="O7" s="358">
        <f ca="1">VLOOKUP(B7,KTVBV20namcamket!$B$4:$Y$243,24,0)</f>
        <v>2.4123786441312647</v>
      </c>
      <c r="P7" s="358">
        <f ca="1">VLOOKUP(B7,KTVBV20namMH!$B$4:$Y$243,24,0)</f>
        <v>2.489551285641721</v>
      </c>
    </row>
    <row r="8" spans="2:16" ht="12.75" customHeight="1">
      <c r="B8" s="356">
        <v>5</v>
      </c>
      <c r="C8" s="356">
        <f>KTVBVGTTKcamket!C11</f>
        <v>5</v>
      </c>
      <c r="D8" s="357">
        <f ca="1">KTVBVGTTKcamket!E11</f>
        <v>0</v>
      </c>
      <c r="E8" s="358">
        <f t="shared" si="5"/>
        <v>0</v>
      </c>
      <c r="F8" s="358">
        <f t="shared" ca="1" si="1"/>
        <v>0</v>
      </c>
      <c r="G8" s="358">
        <f ca="1">IF(IFERROR(--TRIM(C8),0)=0,0,_xlfn.AGGREGATE(9,6,KTVTDPhi20nam!E8:AG8))</f>
        <v>6571</v>
      </c>
      <c r="H8" s="358">
        <f ca="1">D8*12%</f>
        <v>0</v>
      </c>
      <c r="I8" s="358">
        <f t="shared" si="2"/>
        <v>0</v>
      </c>
      <c r="J8" s="358">
        <f t="shared" ca="1" si="3"/>
        <v>0</v>
      </c>
      <c r="K8" s="358">
        <f t="shared" ca="1" si="0"/>
        <v>0</v>
      </c>
      <c r="L8" s="358">
        <f t="shared" si="0"/>
        <v>0</v>
      </c>
      <c r="M8" s="358">
        <f t="shared" ca="1" si="4"/>
        <v>0</v>
      </c>
      <c r="N8" s="358">
        <f ca="1">VLOOKUP(B8,KTVBV20namcamket!$B$4:$Y$243,23,0)</f>
        <v>600</v>
      </c>
      <c r="O8" s="358">
        <f ca="1">VLOOKUP(B8,KTVBV20namcamket!$B$4:$Y$243,24,0)</f>
        <v>3.4382242426968466</v>
      </c>
      <c r="P8" s="358">
        <f ca="1">VLOOKUP(B8,KTVBV20namMH!$B$4:$Y$243,24,0)</f>
        <v>3.6007062456627557</v>
      </c>
    </row>
    <row r="9" spans="2:16" ht="12.75" customHeight="1">
      <c r="B9" s="356">
        <v>6</v>
      </c>
      <c r="C9" s="356">
        <f>KTVBVGTTKcamket!C12</f>
        <v>6</v>
      </c>
      <c r="D9" s="357">
        <f ca="1">KTVBVGTTKcamket!E12</f>
        <v>0</v>
      </c>
      <c r="E9" s="358">
        <f t="shared" si="5"/>
        <v>0</v>
      </c>
      <c r="F9" s="358">
        <f t="shared" ca="1" si="1"/>
        <v>0</v>
      </c>
      <c r="G9" s="358">
        <f ca="1">IF(IFERROR(--TRIM(C9),0)=0,0,_xlfn.AGGREGATE(9,6,KTVTDPhi20nam!E9:AG9))</f>
        <v>7495</v>
      </c>
      <c r="H9" s="358">
        <f ca="1">D9*1.2%</f>
        <v>0</v>
      </c>
      <c r="I9" s="358">
        <f>E9*1%</f>
        <v>0</v>
      </c>
      <c r="J9" s="358">
        <f t="shared" ca="1" si="3"/>
        <v>0</v>
      </c>
      <c r="K9" s="358">
        <f t="shared" ca="1" si="0"/>
        <v>0</v>
      </c>
      <c r="L9" s="358">
        <f t="shared" si="0"/>
        <v>0</v>
      </c>
      <c r="M9" s="358">
        <f t="shared" ca="1" si="4"/>
        <v>0</v>
      </c>
      <c r="N9" s="358">
        <f ca="1">VLOOKUP(B9,KTVBV20namcamket!$B$4:$Y$243,23,0)</f>
        <v>600</v>
      </c>
      <c r="O9" s="358">
        <f ca="1">VLOOKUP(B9,KTVBV20namcamket!$B$4:$Y$243,24,0)</f>
        <v>4.6195317307817962</v>
      </c>
      <c r="P9" s="358">
        <f ca="1">VLOOKUP(B9,KTVBV20namMH!$B$4:$Y$243,24,0)</f>
        <v>4.9166739062154639</v>
      </c>
    </row>
    <row r="10" spans="2:16" ht="12.75" customHeight="1">
      <c r="B10" s="356">
        <v>7</v>
      </c>
      <c r="C10" s="356">
        <f>KTVBVGTTKcamket!C13</f>
        <v>7</v>
      </c>
      <c r="D10" s="357">
        <f ca="1">KTVBVGTTKcamket!E13</f>
        <v>0</v>
      </c>
      <c r="E10" s="358">
        <f t="shared" si="5"/>
        <v>0</v>
      </c>
      <c r="F10" s="358">
        <f t="shared" ca="1" si="1"/>
        <v>0</v>
      </c>
      <c r="G10" s="358">
        <f ca="1">IF(IFERROR(--TRIM(C10),0)=0,0,_xlfn.AGGREGATE(9,6,KTVTDPhi20nam!E10:AG10))</f>
        <v>7495</v>
      </c>
      <c r="H10" s="358">
        <f ca="1">D10*1.2%</f>
        <v>0</v>
      </c>
      <c r="I10" s="358">
        <f t="shared" ref="I10:I13" si="6">E10*1%</f>
        <v>0</v>
      </c>
      <c r="J10" s="358">
        <f t="shared" ca="1" si="3"/>
        <v>0</v>
      </c>
      <c r="K10" s="358">
        <f t="shared" ca="1" si="0"/>
        <v>0</v>
      </c>
      <c r="L10" s="358">
        <f t="shared" si="0"/>
        <v>0</v>
      </c>
      <c r="M10" s="358">
        <f t="shared" ca="1" si="4"/>
        <v>0</v>
      </c>
      <c r="N10" s="358">
        <f ca="1">VLOOKUP(B10,KTVBV20namcamket!$B$4:$Y$243,23,0)</f>
        <v>600</v>
      </c>
      <c r="O10" s="358">
        <f ca="1">VLOOKUP(B10,KTVBV20namcamket!$B$4:$Y$243,24,0)</f>
        <v>5.9857325220498145</v>
      </c>
      <c r="P10" s="358">
        <f ca="1">VLOOKUP(B10,KTVBV20namMH!$B$4:$Y$243,24,0)</f>
        <v>6.4865668642277958</v>
      </c>
    </row>
    <row r="11" spans="2:16" ht="12.75" customHeight="1">
      <c r="B11" s="356">
        <v>8</v>
      </c>
      <c r="C11" s="356">
        <f>KTVBVGTTKcamket!C14</f>
        <v>8</v>
      </c>
      <c r="D11" s="357">
        <f ca="1">KTVBVGTTKcamket!E14</f>
        <v>0</v>
      </c>
      <c r="E11" s="358">
        <f t="shared" si="5"/>
        <v>0</v>
      </c>
      <c r="F11" s="358">
        <f t="shared" ca="1" si="1"/>
        <v>0</v>
      </c>
      <c r="G11" s="358">
        <f ca="1">IF(IFERROR(--TRIM(C11),0)=0,0,_xlfn.AGGREGATE(9,6,KTVTDPhi20nam!E11:AG11))</f>
        <v>7495</v>
      </c>
      <c r="H11" s="358">
        <f ca="1">D11*1.2%</f>
        <v>0</v>
      </c>
      <c r="I11" s="358">
        <f t="shared" si="6"/>
        <v>0</v>
      </c>
      <c r="J11" s="358">
        <f t="shared" ca="1" si="3"/>
        <v>0</v>
      </c>
      <c r="K11" s="358">
        <f t="shared" ca="1" si="0"/>
        <v>0</v>
      </c>
      <c r="L11" s="358">
        <f t="shared" si="0"/>
        <v>0</v>
      </c>
      <c r="M11" s="358">
        <f t="shared" ca="1" si="4"/>
        <v>0</v>
      </c>
      <c r="N11" s="358">
        <f ca="1">VLOOKUP(B11,KTVBV20namcamket!$B$4:$Y$243,23,0)</f>
        <v>600</v>
      </c>
      <c r="O11" s="358">
        <f ca="1">VLOOKUP(B11,KTVBV20namcamket!$B$4:$Y$243,24,0)</f>
        <v>7.5897914456429341</v>
      </c>
      <c r="P11" s="358">
        <f ca="1">VLOOKUP(B11,KTVBV20namMH!$B$4:$Y$243,24,0)</f>
        <v>8.3704413126438393</v>
      </c>
    </row>
    <row r="12" spans="2:16" ht="12.75" customHeight="1">
      <c r="B12" s="356">
        <v>9</v>
      </c>
      <c r="C12" s="356">
        <f>KTVBVGTTKcamket!C15</f>
        <v>9</v>
      </c>
      <c r="D12" s="357">
        <f ca="1">KTVBVGTTKcamket!E15</f>
        <v>0</v>
      </c>
      <c r="E12" s="358">
        <f t="shared" si="5"/>
        <v>0</v>
      </c>
      <c r="F12" s="358">
        <f t="shared" ca="1" si="1"/>
        <v>0</v>
      </c>
      <c r="G12" s="358">
        <f ca="1">IF(IFERROR(--TRIM(C12),0)=0,0,_xlfn.AGGREGATE(9,6,KTVTDPhi20nam!E12:AG12))</f>
        <v>7495</v>
      </c>
      <c r="H12" s="358">
        <f ca="1">D12*1.2%</f>
        <v>0</v>
      </c>
      <c r="I12" s="358">
        <f t="shared" si="6"/>
        <v>0</v>
      </c>
      <c r="J12" s="358">
        <f t="shared" ca="1" si="3"/>
        <v>0</v>
      </c>
      <c r="K12" s="358">
        <f t="shared" ca="1" si="0"/>
        <v>0</v>
      </c>
      <c r="L12" s="358">
        <f t="shared" si="0"/>
        <v>0</v>
      </c>
      <c r="M12" s="358">
        <f t="shared" ca="1" si="4"/>
        <v>0</v>
      </c>
      <c r="N12" s="358">
        <f ca="1">VLOOKUP(B12,KTVBV20namcamket!$B$4:$Y$243,23,0)</f>
        <v>660</v>
      </c>
      <c r="O12" s="358">
        <f ca="1">VLOOKUP(B12,KTVBV20namcamket!$B$4:$Y$243,24,0)</f>
        <v>9.5001892965913441</v>
      </c>
      <c r="P12" s="358">
        <f ca="1">VLOOKUP(B12,KTVBV20namMH!$B$4:$Y$243,24,0)</f>
        <v>10.657647979326496</v>
      </c>
    </row>
    <row r="13" spans="2:16" ht="12.75" customHeight="1">
      <c r="B13" s="356">
        <v>10</v>
      </c>
      <c r="C13" s="356">
        <f>KTVBVGTTKcamket!C16</f>
        <v>10</v>
      </c>
      <c r="D13" s="357">
        <f ca="1">KTVBVGTTKcamket!E16</f>
        <v>0</v>
      </c>
      <c r="E13" s="358">
        <f t="shared" si="5"/>
        <v>0</v>
      </c>
      <c r="F13" s="358">
        <f t="shared" ca="1" si="1"/>
        <v>0</v>
      </c>
      <c r="G13" s="358">
        <f ca="1">IF(IFERROR(--TRIM(C13),0)=0,0,_xlfn.AGGREGATE(9,6,KTVTDPhi20nam!E13:AG13))</f>
        <v>7495</v>
      </c>
      <c r="H13" s="358">
        <f ca="1">D13*1.2%</f>
        <v>0</v>
      </c>
      <c r="I13" s="358">
        <f t="shared" si="6"/>
        <v>0</v>
      </c>
      <c r="J13" s="358">
        <f t="shared" ca="1" si="3"/>
        <v>0</v>
      </c>
      <c r="K13" s="358">
        <f t="shared" ca="1" si="0"/>
        <v>0</v>
      </c>
      <c r="L13" s="358">
        <f t="shared" si="0"/>
        <v>0</v>
      </c>
      <c r="M13" s="358">
        <f t="shared" ca="1" si="4"/>
        <v>0</v>
      </c>
      <c r="N13" s="358">
        <f ca="1">VLOOKUP(B13,KTVBV20namcamket!$B$4:$Y$243,23,0)</f>
        <v>720</v>
      </c>
      <c r="O13" s="358">
        <f ca="1">VLOOKUP(B13,KTVBV20namcamket!$B$4:$Y$243,24,0)</f>
        <v>11.871133639480286</v>
      </c>
      <c r="P13" s="358">
        <f ca="1">VLOOKUP(B13,KTVBV20namMH!$B$4:$Y$243,24,0)</f>
        <v>13.523015714774928</v>
      </c>
    </row>
    <row r="14" spans="2:16" ht="12.75" customHeight="1">
      <c r="B14" s="356">
        <v>11</v>
      </c>
      <c r="C14" s="356">
        <f>KTVBVGTTKcamket!C17</f>
        <v>11</v>
      </c>
      <c r="D14" s="357">
        <f ca="1">KTVBVGTTKcamket!E17</f>
        <v>0</v>
      </c>
      <c r="E14" s="358">
        <f t="shared" si="5"/>
        <v>0</v>
      </c>
      <c r="F14" s="358">
        <f t="shared" ca="1" si="1"/>
        <v>0</v>
      </c>
      <c r="G14" s="358">
        <f ca="1">IF(IFERROR(--TRIM(C14),0)=0,0,_xlfn.AGGREGATE(9,6,KTVTDPhi20nam!E14:AG14))</f>
        <v>8533</v>
      </c>
      <c r="H14" s="358">
        <f ca="1">D14*0%</f>
        <v>0</v>
      </c>
      <c r="I14" s="358">
        <f>E14*0%</f>
        <v>0</v>
      </c>
      <c r="J14" s="358">
        <f t="shared" ca="1" si="3"/>
        <v>0</v>
      </c>
      <c r="K14" s="358">
        <f t="shared" ca="1" si="0"/>
        <v>0</v>
      </c>
      <c r="L14" s="358">
        <f t="shared" si="0"/>
        <v>0</v>
      </c>
      <c r="M14" s="358">
        <f t="shared" ca="1" si="4"/>
        <v>0</v>
      </c>
      <c r="N14" s="358">
        <f ca="1">VLOOKUP(B14,KTVBV20namcamket!$B$4:$Y$243,23,0)</f>
        <v>720</v>
      </c>
      <c r="O14" s="358">
        <f ca="1">VLOOKUP(B14,KTVBV20namcamket!$B$4:$Y$243,24,0)</f>
        <v>14.717964955455326</v>
      </c>
      <c r="P14" s="358">
        <f ca="1">VLOOKUP(B14,KTVBV20namMH!$B$4:$Y$243,24,0)</f>
        <v>17.06410764588712</v>
      </c>
    </row>
    <row r="15" spans="2:16" ht="12.75" customHeight="1">
      <c r="B15" s="356">
        <v>12</v>
      </c>
      <c r="C15" s="356">
        <f>KTVBVGTTKcamket!C18</f>
        <v>12</v>
      </c>
      <c r="D15" s="357">
        <f ca="1">KTVBVGTTKcamket!E18</f>
        <v>0</v>
      </c>
      <c r="E15" s="358">
        <f t="shared" si="5"/>
        <v>0</v>
      </c>
      <c r="F15" s="358">
        <f t="shared" ca="1" si="1"/>
        <v>0</v>
      </c>
      <c r="G15" s="358">
        <f ca="1">IF(IFERROR(--TRIM(C15),0)=0,0,_xlfn.AGGREGATE(9,6,KTVTDPhi20nam!E15:AG15))</f>
        <v>8533</v>
      </c>
      <c r="H15" s="358">
        <f t="shared" ref="H15:H23" ca="1" si="7">D15*0%</f>
        <v>0</v>
      </c>
      <c r="I15" s="358">
        <f t="shared" ref="I15:I23" si="8">E15*0%</f>
        <v>0</v>
      </c>
      <c r="J15" s="358">
        <f t="shared" ca="1" si="3"/>
        <v>0</v>
      </c>
      <c r="K15" s="358">
        <f t="shared" ca="1" si="0"/>
        <v>0</v>
      </c>
      <c r="L15" s="358">
        <f t="shared" si="0"/>
        <v>0</v>
      </c>
      <c r="M15" s="358">
        <f t="shared" ca="1" si="4"/>
        <v>0</v>
      </c>
      <c r="N15" s="358">
        <f ca="1">VLOOKUP(B15,KTVBV20namcamket!$B$4:$Y$243,23,0)</f>
        <v>720</v>
      </c>
      <c r="O15" s="358">
        <f ca="1">VLOOKUP(B15,KTVBV20namcamket!$B$4:$Y$243,24,0)</f>
        <v>17.844756893513281</v>
      </c>
      <c r="P15" s="358">
        <f ca="1">VLOOKUP(B15,KTVBV20namMH!$B$4:$Y$243,24,0)</f>
        <v>21.112442123143971</v>
      </c>
    </row>
    <row r="16" spans="2:16" ht="12.75" customHeight="1">
      <c r="B16" s="356">
        <v>13</v>
      </c>
      <c r="C16" s="356">
        <f>KTVBVGTTKcamket!C19</f>
        <v>13</v>
      </c>
      <c r="D16" s="357">
        <f ca="1">KTVBVGTTKcamket!E19</f>
        <v>0</v>
      </c>
      <c r="E16" s="358">
        <f t="shared" si="5"/>
        <v>0</v>
      </c>
      <c r="F16" s="358">
        <f t="shared" ca="1" si="1"/>
        <v>0</v>
      </c>
      <c r="G16" s="358">
        <f ca="1">IF(IFERROR(--TRIM(C16),0)=0,0,_xlfn.AGGREGATE(9,6,KTVTDPhi20nam!E16:AG16))</f>
        <v>8533</v>
      </c>
      <c r="H16" s="358">
        <f t="shared" ca="1" si="7"/>
        <v>0</v>
      </c>
      <c r="I16" s="358">
        <f t="shared" si="8"/>
        <v>0</v>
      </c>
      <c r="J16" s="358">
        <f t="shared" ca="1" si="3"/>
        <v>0</v>
      </c>
      <c r="K16" s="358">
        <f t="shared" ca="1" si="0"/>
        <v>0</v>
      </c>
      <c r="L16" s="358">
        <f t="shared" si="0"/>
        <v>0</v>
      </c>
      <c r="M16" s="358">
        <f t="shared" ca="1" si="4"/>
        <v>0</v>
      </c>
      <c r="N16" s="358">
        <f ca="1">VLOOKUP(B16,KTVBV20namcamket!$B$4:$Y$243,23,0)</f>
        <v>720</v>
      </c>
      <c r="O16" s="358">
        <f ca="1">VLOOKUP(B16,KTVBV20namcamket!$B$4:$Y$243,24,0)</f>
        <v>21.539980989073818</v>
      </c>
      <c r="P16" s="358">
        <f ca="1">VLOOKUP(B16,KTVBV20namMH!$B$4:$Y$243,24,0)</f>
        <v>26.004429795472468</v>
      </c>
    </row>
    <row r="17" spans="2:16" ht="12.75" customHeight="1">
      <c r="B17" s="356">
        <v>14</v>
      </c>
      <c r="C17" s="356">
        <f>KTVBVGTTKcamket!C20</f>
        <v>14</v>
      </c>
      <c r="D17" s="357">
        <f ca="1">KTVBVGTTKcamket!E20</f>
        <v>0</v>
      </c>
      <c r="E17" s="358">
        <f t="shared" si="5"/>
        <v>0</v>
      </c>
      <c r="F17" s="358">
        <f t="shared" ca="1" si="1"/>
        <v>0</v>
      </c>
      <c r="G17" s="358">
        <f ca="1">IF(IFERROR(--TRIM(C17),0)=0,0,_xlfn.AGGREGATE(9,6,KTVTDPhi20nam!E17:AG17))</f>
        <v>8533</v>
      </c>
      <c r="H17" s="358">
        <f t="shared" ca="1" si="7"/>
        <v>0</v>
      </c>
      <c r="I17" s="358">
        <f t="shared" si="8"/>
        <v>0</v>
      </c>
      <c r="J17" s="358">
        <f t="shared" ca="1" si="3"/>
        <v>0</v>
      </c>
      <c r="K17" s="358">
        <f t="shared" ca="1" si="0"/>
        <v>0</v>
      </c>
      <c r="L17" s="358">
        <f t="shared" si="0"/>
        <v>0</v>
      </c>
      <c r="M17" s="358">
        <f t="shared" ca="1" si="4"/>
        <v>0</v>
      </c>
      <c r="N17" s="358">
        <f ca="1">VLOOKUP(B17,KTVBV20namcamket!$B$4:$Y$243,23,0)</f>
        <v>720</v>
      </c>
      <c r="O17" s="358">
        <f ca="1">VLOOKUP(B17,KTVBV20namcamket!$B$4:$Y$243,24,0)</f>
        <v>25.704023936360215</v>
      </c>
      <c r="P17" s="358">
        <f ca="1">VLOOKUP(B17,KTVBV20namMH!$B$4:$Y$243,24,0)</f>
        <v>31.665349090033377</v>
      </c>
    </row>
    <row r="18" spans="2:16" ht="12.75" customHeight="1">
      <c r="B18" s="356">
        <v>15</v>
      </c>
      <c r="C18" s="356">
        <f>KTVBVGTTKcamket!C21</f>
        <v>15</v>
      </c>
      <c r="D18" s="357">
        <f ca="1">KTVBVGTTKcamket!E21</f>
        <v>0</v>
      </c>
      <c r="E18" s="358">
        <f t="shared" si="5"/>
        <v>0</v>
      </c>
      <c r="F18" s="358">
        <f t="shared" ca="1" si="1"/>
        <v>0</v>
      </c>
      <c r="G18" s="358">
        <f ca="1">IF(IFERROR(--TRIM(C18),0)=0,0,_xlfn.AGGREGATE(9,6,KTVTDPhi20nam!E18:AG18))</f>
        <v>8533</v>
      </c>
      <c r="H18" s="358">
        <f t="shared" ca="1" si="7"/>
        <v>0</v>
      </c>
      <c r="I18" s="358">
        <f t="shared" si="8"/>
        <v>0</v>
      </c>
      <c r="J18" s="358">
        <f t="shared" ca="1" si="3"/>
        <v>0</v>
      </c>
      <c r="K18" s="358">
        <f t="shared" ca="1" si="0"/>
        <v>0</v>
      </c>
      <c r="L18" s="358">
        <f t="shared" si="0"/>
        <v>0</v>
      </c>
      <c r="M18" s="358">
        <f t="shared" ca="1" si="4"/>
        <v>0</v>
      </c>
      <c r="N18" s="358">
        <f ca="1">VLOOKUP(B18,KTVBV20namcamket!$B$4:$Y$243,23,0)</f>
        <v>720</v>
      </c>
      <c r="O18" s="358">
        <f ca="1">VLOOKUP(B18,KTVBV20namcamket!$B$4:$Y$243,24,0)</f>
        <v>30.47136095121887</v>
      </c>
      <c r="P18" s="358">
        <f ca="1">VLOOKUP(B18,KTVBV20namMH!$B$4:$Y$243,24,0)</f>
        <v>38.307196651418238</v>
      </c>
    </row>
    <row r="19" spans="2:16" ht="12.75" customHeight="1">
      <c r="B19" s="356">
        <v>16</v>
      </c>
      <c r="C19" s="356" t="str">
        <f>KTVBVGTTKcamket!C22</f>
        <v/>
      </c>
      <c r="D19" s="357">
        <f>KTVBVGTTKcamket!E22</f>
        <v>0</v>
      </c>
      <c r="E19" s="358">
        <f t="shared" si="5"/>
        <v>0</v>
      </c>
      <c r="F19" s="358">
        <f t="shared" si="1"/>
        <v>0</v>
      </c>
      <c r="G19" s="358">
        <f>IF(IFERROR(--TRIM(C19),0)=0,0,_xlfn.AGGREGATE(9,6,KTVTDPhi20nam!E19:AG19))</f>
        <v>0</v>
      </c>
      <c r="H19" s="358">
        <f t="shared" si="7"/>
        <v>0</v>
      </c>
      <c r="I19" s="358">
        <f t="shared" si="8"/>
        <v>0</v>
      </c>
      <c r="J19" s="358">
        <f t="shared" si="3"/>
        <v>0</v>
      </c>
      <c r="K19" s="358">
        <f t="shared" si="0"/>
        <v>0</v>
      </c>
      <c r="L19" s="358">
        <f t="shared" si="0"/>
        <v>0</v>
      </c>
      <c r="M19" s="358">
        <f t="shared" si="4"/>
        <v>0</v>
      </c>
      <c r="N19" s="358">
        <f ca="1">VLOOKUP(B19,KTVBV20namcamket!$B$4:$Y$243,23,0)</f>
        <v>720</v>
      </c>
      <c r="O19" s="358">
        <f ca="1">VLOOKUP(B19,KTVBV20namcamket!$B$4:$Y$243,24,0)</f>
        <v>35.715033424548388</v>
      </c>
      <c r="P19" s="358">
        <f ca="1">VLOOKUP(B19,KTVBV20namMH!$B$4:$Y$243,24,0)</f>
        <v>45.926666437945514</v>
      </c>
    </row>
    <row r="20" spans="2:16" ht="12.75" customHeight="1">
      <c r="B20" s="356">
        <v>17</v>
      </c>
      <c r="C20" s="356" t="str">
        <f>KTVBVGTTKcamket!C23</f>
        <v/>
      </c>
      <c r="D20" s="357">
        <f>KTVBVGTTKcamket!E23</f>
        <v>0</v>
      </c>
      <c r="E20" s="358">
        <f t="shared" si="5"/>
        <v>0</v>
      </c>
      <c r="F20" s="358">
        <f t="shared" si="1"/>
        <v>0</v>
      </c>
      <c r="G20" s="358">
        <f>IF(IFERROR(--TRIM(C20),0)=0,0,_xlfn.AGGREGATE(9,6,KTVTDPhi20nam!E20:AG20))</f>
        <v>0</v>
      </c>
      <c r="H20" s="358">
        <f t="shared" si="7"/>
        <v>0</v>
      </c>
      <c r="I20" s="358">
        <f t="shared" si="8"/>
        <v>0</v>
      </c>
      <c r="J20" s="358">
        <f t="shared" si="3"/>
        <v>0</v>
      </c>
      <c r="K20" s="358">
        <f t="shared" si="0"/>
        <v>0</v>
      </c>
      <c r="L20" s="358">
        <f t="shared" si="0"/>
        <v>0</v>
      </c>
      <c r="M20" s="358">
        <f t="shared" si="4"/>
        <v>0</v>
      </c>
      <c r="N20" s="358">
        <f ca="1">VLOOKUP(B20,KTVBV20namcamket!$B$4:$Y$243,23,0)</f>
        <v>720</v>
      </c>
      <c r="O20" s="358">
        <f ca="1">VLOOKUP(B20,KTVBV20namcamket!$B$4:$Y$243,24,0)</f>
        <v>41.543773364425306</v>
      </c>
      <c r="P20" s="358">
        <f ca="1">VLOOKUP(B20,KTVBV20namMH!$B$4:$Y$243,24,0)</f>
        <v>54.782352446923156</v>
      </c>
    </row>
    <row r="21" spans="2:16" ht="12.75" customHeight="1">
      <c r="B21" s="356">
        <v>18</v>
      </c>
      <c r="C21" s="356" t="str">
        <f>KTVBVGTTKcamket!C24</f>
        <v/>
      </c>
      <c r="D21" s="357">
        <f>KTVBVGTTKcamket!E24</f>
        <v>0</v>
      </c>
      <c r="E21" s="358">
        <f t="shared" si="5"/>
        <v>0</v>
      </c>
      <c r="F21" s="358">
        <f t="shared" si="1"/>
        <v>0</v>
      </c>
      <c r="G21" s="358">
        <f>IF(IFERROR(--TRIM(C21),0)=0,0,_xlfn.AGGREGATE(9,6,KTVTDPhi20nam!E21:AG21))</f>
        <v>0</v>
      </c>
      <c r="H21" s="358">
        <f t="shared" si="7"/>
        <v>0</v>
      </c>
      <c r="I21" s="358">
        <f t="shared" si="8"/>
        <v>0</v>
      </c>
      <c r="J21" s="358">
        <f t="shared" si="3"/>
        <v>0</v>
      </c>
      <c r="K21" s="358">
        <f t="shared" si="0"/>
        <v>0</v>
      </c>
      <c r="L21" s="358">
        <f t="shared" si="0"/>
        <v>0</v>
      </c>
      <c r="M21" s="358">
        <f t="shared" si="4"/>
        <v>0</v>
      </c>
      <c r="N21" s="358">
        <f ca="1">VLOOKUP(B21,KTVBV20namcamket!$B$4:$Y$243,23,0)</f>
        <v>720</v>
      </c>
      <c r="O21" s="358">
        <f ca="1">VLOOKUP(B21,KTVBV20namcamket!$B$4:$Y$243,24,0)</f>
        <v>48.100307685331003</v>
      </c>
      <c r="P21" s="358">
        <f ca="1">VLOOKUP(B21,KTVBV20namMH!$B$4:$Y$243,24,0)</f>
        <v>65.035001707992947</v>
      </c>
    </row>
    <row r="22" spans="2:16" ht="12.75" customHeight="1">
      <c r="B22" s="356">
        <v>19</v>
      </c>
      <c r="C22" s="356" t="str">
        <f>KTVBVGTTKcamket!C25</f>
        <v/>
      </c>
      <c r="D22" s="357">
        <f>KTVBVGTTKcamket!E25</f>
        <v>0</v>
      </c>
      <c r="E22" s="358">
        <f t="shared" ref="E22:E23" si="9">E21</f>
        <v>0</v>
      </c>
      <c r="F22" s="358">
        <f t="shared" si="1"/>
        <v>0</v>
      </c>
      <c r="G22" s="358">
        <f>IF(IFERROR(--TRIM(C22),0)=0,0,_xlfn.AGGREGATE(9,6,KTVTDPhi20nam!E22:AG22))</f>
        <v>0</v>
      </c>
      <c r="H22" s="358">
        <f t="shared" si="7"/>
        <v>0</v>
      </c>
      <c r="I22" s="358">
        <f t="shared" si="8"/>
        <v>0</v>
      </c>
      <c r="J22" s="358">
        <f t="shared" si="3"/>
        <v>0</v>
      </c>
      <c r="K22" s="358">
        <f t="shared" si="0"/>
        <v>0</v>
      </c>
      <c r="L22" s="358">
        <f t="shared" si="0"/>
        <v>0</v>
      </c>
      <c r="M22" s="358">
        <f t="shared" si="4"/>
        <v>0</v>
      </c>
      <c r="N22" s="358">
        <f ca="1">VLOOKUP(B22,KTVBV20namcamket!$B$4:$Y$243,23,0)</f>
        <v>720</v>
      </c>
      <c r="O22" s="358">
        <f ca="1">VLOOKUP(B22,KTVBV20namcamket!$B$4:$Y$243,24,0)</f>
        <v>55.446412002658143</v>
      </c>
      <c r="P22" s="358">
        <f ca="1">VLOOKUP(B22,KTVBV20namMH!$B$4:$Y$243,24,0)</f>
        <v>76.861156366829022</v>
      </c>
    </row>
    <row r="23" spans="2:16" ht="12.75" customHeight="1">
      <c r="B23" s="356">
        <v>20</v>
      </c>
      <c r="C23" s="356" t="str">
        <f>KTVBVGTTKcamket!C26</f>
        <v/>
      </c>
      <c r="D23" s="357">
        <f>KTVBVGTTKcamket!E26</f>
        <v>0</v>
      </c>
      <c r="E23" s="358">
        <f t="shared" si="9"/>
        <v>0</v>
      </c>
      <c r="F23" s="358">
        <f t="shared" si="1"/>
        <v>0</v>
      </c>
      <c r="G23" s="358">
        <f>IF(IFERROR(--TRIM(C23),0)=0,0,_xlfn.AGGREGATE(9,6,KTVTDPhi20nam!E23:AG23))</f>
        <v>0</v>
      </c>
      <c r="H23" s="358">
        <f t="shared" si="7"/>
        <v>0</v>
      </c>
      <c r="I23" s="358">
        <f t="shared" si="8"/>
        <v>0</v>
      </c>
      <c r="J23" s="358">
        <f t="shared" si="3"/>
        <v>0</v>
      </c>
      <c r="K23" s="358">
        <f t="shared" si="0"/>
        <v>0</v>
      </c>
      <c r="L23" s="358">
        <f t="shared" si="0"/>
        <v>0</v>
      </c>
      <c r="M23" s="358">
        <f t="shared" si="4"/>
        <v>0</v>
      </c>
      <c r="N23" s="358">
        <f ca="1">VLOOKUP(B23,KTVBV20namcamket!$B$4:$Y$243,23,0)</f>
        <v>720</v>
      </c>
      <c r="O23" s="358">
        <f ca="1">VLOOKUP(B23,KTVBV20namcamket!$B$4:$Y$243,24,0)</f>
        <v>63.787875889549007</v>
      </c>
      <c r="P23" s="358">
        <f ca="1">VLOOKUP(B23,KTVBV20namMH!$B$4:$Y$243,24,0)</f>
        <v>90.655843107561836</v>
      </c>
    </row>
  </sheetData>
  <mergeCells count="9">
    <mergeCell ref="B1:O1"/>
    <mergeCell ref="B2:B3"/>
    <mergeCell ref="D2:F2"/>
    <mergeCell ref="G2:G3"/>
    <mergeCell ref="H2:J2"/>
    <mergeCell ref="K2:M2"/>
    <mergeCell ref="N2:N3"/>
    <mergeCell ref="O2:P2"/>
    <mergeCell ref="C2:C3"/>
  </mergeCells>
  <conditionalFormatting sqref="B4:P23">
    <cfRule type="expression" dxfId="187" priority="1">
      <formula>MOD(ROW(),2)&gt;0</formula>
    </cfRule>
    <cfRule type="expression" dxfId="186" priority="2">
      <formula>"mod(row(),2).0"</formula>
    </cfRule>
  </conditionalFormatting>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7EDE9A-F8C8-48CC-BFD3-5A0815AC7F75}">
  <dimension ref="B1:V242"/>
  <sheetViews>
    <sheetView showGridLines="0" topLeftCell="D1" zoomScale="85" zoomScaleNormal="85" workbookViewId="0">
      <pane ySplit="2" topLeftCell="A3" activePane="bottomLeft" state="frozen"/>
      <selection activeCell="C1" sqref="C1"/>
      <selection pane="bottomLeft" activeCell="N3" sqref="N3"/>
    </sheetView>
  </sheetViews>
  <sheetFormatPr defaultColWidth="9.296875" defaultRowHeight="9.75" customHeight="1"/>
  <cols>
    <col min="1" max="1" width="0.19921875" style="252" customWidth="1"/>
    <col min="2" max="2" width="23.69921875" style="252" customWidth="1"/>
    <col min="3" max="3" width="16.69921875" style="252" customWidth="1"/>
    <col min="4" max="6" width="9.296875" style="252"/>
    <col min="7" max="7" width="1.19921875" style="252" customWidth="1"/>
    <col min="8" max="8" width="7.796875" style="252" customWidth="1"/>
    <col min="9" max="9" width="9.296875" style="252"/>
    <col min="10" max="10" width="13.19921875" style="252" bestFit="1" customWidth="1"/>
    <col min="11" max="11" width="4.5" style="252" customWidth="1"/>
    <col min="12" max="12" width="5.296875" style="252" customWidth="1"/>
    <col min="13" max="13" width="9" style="252" customWidth="1"/>
    <col min="14" max="14" width="20.69921875" style="252" customWidth="1"/>
    <col min="15" max="15" width="14" style="252" customWidth="1"/>
    <col min="16" max="16" width="16.19921875" style="454" customWidth="1"/>
    <col min="17" max="17" width="16" style="454" customWidth="1"/>
    <col min="18" max="18" width="15" style="252" customWidth="1"/>
    <col min="19" max="19" width="17.296875" style="252" customWidth="1"/>
    <col min="20" max="20" width="25.796875" style="252" customWidth="1"/>
    <col min="21" max="21" width="22.796875" style="325" customWidth="1"/>
    <col min="22" max="22" width="28.796875" style="252" customWidth="1"/>
    <col min="23" max="16384" width="9.296875" style="252"/>
  </cols>
  <sheetData>
    <row r="1" spans="2:22" ht="9.75" customHeight="1">
      <c r="M1" s="252" t="s">
        <v>665</v>
      </c>
    </row>
    <row r="2" spans="2:22" ht="36" customHeight="1">
      <c r="B2" s="253" t="s">
        <v>666</v>
      </c>
      <c r="C2" s="422">
        <f ca="1">'Hoach dinh tai chinh'!J3</f>
        <v>46229</v>
      </c>
      <c r="D2" s="252" t="s">
        <v>667</v>
      </c>
      <c r="E2" s="252" t="s">
        <v>668</v>
      </c>
      <c r="F2" s="252" t="s">
        <v>669</v>
      </c>
      <c r="H2" s="252" t="s">
        <v>670</v>
      </c>
      <c r="I2" s="252" t="s">
        <v>1</v>
      </c>
      <c r="J2" s="252" t="s">
        <v>678</v>
      </c>
      <c r="L2" s="252" t="s">
        <v>34</v>
      </c>
      <c r="M2" s="252" t="s">
        <v>671</v>
      </c>
      <c r="N2" s="450" t="s">
        <v>672</v>
      </c>
      <c r="O2" s="252" t="s">
        <v>673</v>
      </c>
      <c r="P2" s="254" t="s">
        <v>674</v>
      </c>
      <c r="Q2" s="254" t="s">
        <v>675</v>
      </c>
      <c r="R2" s="450" t="s">
        <v>706</v>
      </c>
      <c r="S2" s="450" t="s">
        <v>707</v>
      </c>
      <c r="T2" s="450" t="s">
        <v>676</v>
      </c>
      <c r="U2" s="255" t="s">
        <v>708</v>
      </c>
      <c r="V2" s="450" t="s">
        <v>709</v>
      </c>
    </row>
    <row r="3" spans="2:22" ht="9.75" customHeight="1">
      <c r="B3" s="253" t="s">
        <v>677</v>
      </c>
      <c r="C3" s="422">
        <f>'Hoach dinh tai chinh'!J5</f>
        <v>34926</v>
      </c>
      <c r="D3" s="252">
        <v>0</v>
      </c>
      <c r="E3" s="329">
        <v>1.84</v>
      </c>
      <c r="F3" s="329">
        <v>1.32</v>
      </c>
      <c r="H3" s="252">
        <v>1</v>
      </c>
      <c r="I3" s="423">
        <f ca="1">C5</f>
        <v>30</v>
      </c>
      <c r="J3" s="462">
        <f>'Tinh phi QL'!$E$12/1000</f>
        <v>0</v>
      </c>
      <c r="L3" s="961">
        <v>1</v>
      </c>
      <c r="M3" s="252">
        <v>1</v>
      </c>
      <c r="N3" s="256">
        <f ca="1">J3-KTVTDGTTKcamket!F7</f>
        <v>0</v>
      </c>
      <c r="O3" s="256">
        <f ca="1">KTVTD20namMH!F4</f>
        <v>40</v>
      </c>
      <c r="P3" s="452">
        <f ca="1">IF('Tinh phi QL'!$H$9="Nam",VLOOKUP(KTVCOI!$I$3,KTVCOI!$D$3:$F$103,2,0)*N3/1000/12,IF('Tinh phi QL'!$H$9="Nữ",VLOOKUP(KTVCOI!$I$3,KTVCOI!$D$3:$F$103,3,0)*N3/1000/12,0))</f>
        <v>0</v>
      </c>
      <c r="R3" s="452">
        <f ca="1">IF('Tinh phi QL'!$H$9="Nam",VLOOKUP(KTVCOI!$I$3,KTVCOI!$D$3:$F$103,2,0)*S3/1000/12,IF('Tinh phi QL'!$H$9="Nữ",VLOOKUP(KTVCOI!$I$3,KTVCOI!$D$3:$F$103,3,0)*S3/1000/12,0))</f>
        <v>0</v>
      </c>
      <c r="S3" s="452">
        <f ca="1">'Tinh phi QL'!E12/1000-KTVTDGTTKMH!F7</f>
        <v>0</v>
      </c>
      <c r="T3" s="418">
        <f ca="1">(KTVTDGTTKcamket!F7-O3-P3)*(1+LS!$E$3)</f>
        <v>-40.114835948763066</v>
      </c>
      <c r="V3" s="418">
        <f ca="1">(KTVTDGTTKMH!F7-O3-R3)*(1+LS!$F$3)</f>
        <v>-40.150192487245846</v>
      </c>
    </row>
    <row r="4" spans="2:22" ht="9.75" customHeight="1">
      <c r="B4" s="253" t="s">
        <v>678</v>
      </c>
      <c r="C4" s="257">
        <f>'Tinh phi QL'!E12/1000</f>
        <v>0</v>
      </c>
      <c r="D4" s="252">
        <v>1</v>
      </c>
      <c r="E4" s="329">
        <v>0.72</v>
      </c>
      <c r="F4" s="329">
        <v>0.59</v>
      </c>
      <c r="H4" s="252">
        <v>2</v>
      </c>
      <c r="I4" s="423">
        <f ca="1">I3+1</f>
        <v>31</v>
      </c>
      <c r="J4" s="462">
        <f>'Tinh phi QL'!$E$12/1000</f>
        <v>0</v>
      </c>
      <c r="L4" s="961"/>
      <c r="M4" s="252">
        <v>2</v>
      </c>
      <c r="N4" s="256">
        <f ca="1">$J$3-T3</f>
        <v>40.114835948763066</v>
      </c>
      <c r="O4" s="256">
        <f ca="1">KTVTD20namMH!F5</f>
        <v>40</v>
      </c>
      <c r="P4" s="452">
        <f ca="1">IF('Tinh phi QL'!$H$9="Nam",VLOOKUP(KTVCOI!$I$3,KTVCOI!$D$3:$F$103,2,0)*N4/1000/12,IF('Tinh phi QL'!$H$9="Nữ",VLOOKUP(KTVCOI!$I$3,KTVCOI!$D$3:$F$103,3,0)*N4/1000/12,0))</f>
        <v>4.1117706847482146E-3</v>
      </c>
      <c r="R4" s="452">
        <f ca="1">IF('Tinh phi QL'!$H$9="Nam",VLOOKUP(KTVCOI!$I$3,KTVCOI!$D$3:$F$103,2,0)*S4/1000/12,IF('Tinh phi QL'!$H$9="Nữ",VLOOKUP(KTVCOI!$I$3,KTVCOI!$D$3:$F$103,3,0)*S4/1000/12,0))</f>
        <v>4.1153947299426988E-3</v>
      </c>
      <c r="S4" s="452">
        <f ca="1">$C$4-V3</f>
        <v>40.150192487245846</v>
      </c>
      <c r="T4" s="418">
        <f ca="1">(T3-O4-P4)*(1+LS!$E$3)</f>
        <v>-80.348961103829353</v>
      </c>
      <c r="V4" s="418">
        <f ca="1">(V3-O4-R4)*(1+LS!$F$3)</f>
        <v>-80.455272253582365</v>
      </c>
    </row>
    <row r="5" spans="2:22" ht="9.75" customHeight="1">
      <c r="B5" s="252" t="s">
        <v>679</v>
      </c>
      <c r="C5" s="423">
        <f ca="1">'Hoach dinh tai chinh'!J7</f>
        <v>30</v>
      </c>
      <c r="D5" s="252">
        <v>2</v>
      </c>
      <c r="E5" s="329">
        <v>0.69</v>
      </c>
      <c r="F5" s="329">
        <v>0.56000000000000005</v>
      </c>
      <c r="H5" s="252">
        <v>3</v>
      </c>
      <c r="I5" s="423">
        <f t="shared" ref="I5:I68" ca="1" si="0">I4+1</f>
        <v>32</v>
      </c>
      <c r="J5" s="462">
        <f>'Tinh phi QL'!$E$12/1000</f>
        <v>0</v>
      </c>
      <c r="L5" s="961"/>
      <c r="M5" s="252">
        <v>3</v>
      </c>
      <c r="N5" s="256">
        <f t="shared" ref="N5:N14" ca="1" si="1">$J$3-T4</f>
        <v>80.348961103829353</v>
      </c>
      <c r="O5" s="256">
        <f ca="1">KTVTD20namMH!F6</f>
        <v>40</v>
      </c>
      <c r="P5" s="452">
        <f ca="1">IF('Tinh phi QL'!$H$9="Nam",VLOOKUP(KTVCOI!$I$3,KTVCOI!$D$3:$F$103,2,0)*N5/1000/12,IF('Tinh phi QL'!$H$9="Nữ",VLOOKUP(KTVCOI!$I$3,KTVCOI!$D$3:$F$103,3,0)*N5/1000/12,0))</f>
        <v>8.2357685131425086E-3</v>
      </c>
      <c r="R5" s="452">
        <f ca="1">IF('Tinh phi QL'!$H$9="Nam",VLOOKUP(KTVCOI!$I$3,KTVCOI!$D$3:$F$103,2,0)*S5/1000/12,IF('Tinh phi QL'!$H$9="Nữ",VLOOKUP(KTVCOI!$I$3,KTVCOI!$D$3:$F$103,3,0)*S5/1000/12,0))</f>
        <v>8.2466654059921915E-3</v>
      </c>
      <c r="S5" s="452">
        <f t="shared" ref="S5:S14" ca="1" si="2">$C$4-V4</f>
        <v>80.455272253582365</v>
      </c>
      <c r="T5" s="418">
        <f ca="1">(T4-O5-P5)*(1+LS!$E$3)</f>
        <v>-120.70273019467496</v>
      </c>
      <c r="V5" s="418">
        <f ca="1">(V4-O5-R5)*(1+LS!$F$3)</f>
        <v>-120.9158368072091</v>
      </c>
    </row>
    <row r="6" spans="2:22" ht="9.75" customHeight="1">
      <c r="B6" s="252" t="s">
        <v>680</v>
      </c>
      <c r="C6" s="424">
        <f ca="1">EDATE(C3,C5*12)</f>
        <v>45884</v>
      </c>
      <c r="D6" s="252">
        <v>3</v>
      </c>
      <c r="E6" s="329">
        <v>0.68</v>
      </c>
      <c r="F6" s="329">
        <v>0.55000000000000004</v>
      </c>
      <c r="H6" s="252">
        <v>4</v>
      </c>
      <c r="I6" s="423">
        <f t="shared" ca="1" si="0"/>
        <v>33</v>
      </c>
      <c r="J6" s="462">
        <f>'Tinh phi QL'!$E$12/1000</f>
        <v>0</v>
      </c>
      <c r="L6" s="961"/>
      <c r="M6" s="252">
        <v>4</v>
      </c>
      <c r="N6" s="256">
        <f t="shared" ca="1" si="1"/>
        <v>120.70273019467496</v>
      </c>
      <c r="O6" s="256">
        <f ca="1">KTVTD20namMH!F7</f>
        <v>40</v>
      </c>
      <c r="P6" s="452">
        <f ca="1">IF('Tinh phi QL'!$H$9="Nam",VLOOKUP(KTVCOI!$I$3,KTVCOI!$D$3:$F$103,2,0)*N6/1000/12,IF('Tinh phi QL'!$H$9="Nữ",VLOOKUP(KTVCOI!$I$3,KTVCOI!$D$3:$F$103,3,0)*N6/1000/12,0))</f>
        <v>1.2372029844954183E-2</v>
      </c>
      <c r="R6" s="452">
        <f ca="1">IF('Tinh phi QL'!$H$9="Nam",VLOOKUP(KTVCOI!$I$3,KTVCOI!$D$3:$F$103,2,0)*S6/1000/12,IF('Tinh phi QL'!$H$9="Nữ",VLOOKUP(KTVCOI!$I$3,KTVCOI!$D$3:$F$103,3,0)*S6/1000/12,0))</f>
        <v>1.2393873272738934E-2</v>
      </c>
      <c r="S6" s="452">
        <f t="shared" ca="1" si="2"/>
        <v>120.9158368072091</v>
      </c>
      <c r="T6" s="418">
        <f ca="1">(T5-O6-P6)*(1+LS!$E$3)</f>
        <v>-161.17649900563256</v>
      </c>
      <c r="V6" s="418">
        <f ca="1">(V5-O6-R6)*(1+LS!$F$3)</f>
        <v>-161.53248596133122</v>
      </c>
    </row>
    <row r="7" spans="2:22" ht="9.75" customHeight="1">
      <c r="C7" s="258"/>
      <c r="D7" s="252">
        <v>4</v>
      </c>
      <c r="E7" s="329">
        <v>0.65</v>
      </c>
      <c r="F7" s="329">
        <v>0.54</v>
      </c>
      <c r="H7" s="252">
        <v>5</v>
      </c>
      <c r="I7" s="423">
        <f t="shared" ca="1" si="0"/>
        <v>34</v>
      </c>
      <c r="J7" s="462">
        <f>'Tinh phi QL'!$E$12/1000</f>
        <v>0</v>
      </c>
      <c r="L7" s="961"/>
      <c r="M7" s="252">
        <v>5</v>
      </c>
      <c r="N7" s="256">
        <f t="shared" ca="1" si="1"/>
        <v>161.17649900563256</v>
      </c>
      <c r="O7" s="256">
        <f ca="1">KTVTD20namMH!F8</f>
        <v>40</v>
      </c>
      <c r="P7" s="452">
        <f ca="1">IF('Tinh phi QL'!$H$9="Nam",VLOOKUP(KTVCOI!$I$3,KTVCOI!$D$3:$F$103,2,0)*N7/1000/12,IF('Tinh phi QL'!$H$9="Nữ",VLOOKUP(KTVCOI!$I$3,KTVCOI!$D$3:$F$103,3,0)*N7/1000/12,0))</f>
        <v>1.6520591148077336E-2</v>
      </c>
      <c r="R7" s="452">
        <f ca="1">IF('Tinh phi QL'!$H$9="Nam",VLOOKUP(KTVCOI!$I$3,KTVCOI!$D$3:$F$103,2,0)*S7/1000/12,IF('Tinh phi QL'!$H$9="Nữ",VLOOKUP(KTVCOI!$I$3,KTVCOI!$D$3:$F$103,3,0)*S7/1000/12,0))</f>
        <v>1.6557079811036449E-2</v>
      </c>
      <c r="S7" s="452">
        <f t="shared" ca="1" si="2"/>
        <v>161.53248596133122</v>
      </c>
      <c r="T7" s="418">
        <f ca="1">(T6-O7-P7)*(1+LS!$E$3)</f>
        <v>-201.77062437902819</v>
      </c>
      <c r="V7" s="418">
        <f ca="1">(V6-O7-R7)*(1+LS!$F$3)</f>
        <v>-202.30582184305149</v>
      </c>
    </row>
    <row r="8" spans="2:22" ht="9.75" customHeight="1">
      <c r="C8" s="258"/>
      <c r="D8" s="252">
        <v>5</v>
      </c>
      <c r="E8" s="329">
        <v>0.62</v>
      </c>
      <c r="F8" s="329">
        <v>0.53</v>
      </c>
      <c r="H8" s="252">
        <v>6</v>
      </c>
      <c r="I8" s="423">
        <f t="shared" ca="1" si="0"/>
        <v>35</v>
      </c>
      <c r="J8" s="462">
        <f>'Tinh phi QL'!$E$12/1000</f>
        <v>0</v>
      </c>
      <c r="L8" s="961"/>
      <c r="M8" s="252">
        <v>6</v>
      </c>
      <c r="N8" s="256">
        <f t="shared" ca="1" si="1"/>
        <v>201.77062437902819</v>
      </c>
      <c r="O8" s="256">
        <f ca="1">KTVTD20namMH!F9</f>
        <v>40</v>
      </c>
      <c r="P8" s="452">
        <f ca="1">IF('Tinh phi QL'!$H$9="Nam",VLOOKUP(KTVCOI!$I$3,KTVCOI!$D$3:$F$103,2,0)*N8/1000/12,IF('Tinh phi QL'!$H$9="Nữ",VLOOKUP(KTVCOI!$I$3,KTVCOI!$D$3:$F$103,3,0)*N8/1000/12,0))</f>
        <v>2.0681488998850389E-2</v>
      </c>
      <c r="R8" s="452">
        <f ca="1">IF('Tinh phi QL'!$H$9="Nam",VLOOKUP(KTVCOI!$I$3,KTVCOI!$D$3:$F$103,2,0)*S8/1000/12,IF('Tinh phi QL'!$H$9="Nữ",VLOOKUP(KTVCOI!$I$3,KTVCOI!$D$3:$F$103,3,0)*S8/1000/12,0))</f>
        <v>2.0736346738912777E-2</v>
      </c>
      <c r="S8" s="452">
        <f t="shared" ca="1" si="2"/>
        <v>202.30582184305149</v>
      </c>
      <c r="T8" s="418">
        <f ca="1">(T7-O8-P8)*(1+LS!$E$3)</f>
        <v>-242.48546421832745</v>
      </c>
      <c r="V8" s="418">
        <f ca="1">(V7-O8-R8)*(1+LS!$F$3)</f>
        <v>-243.23644890229664</v>
      </c>
    </row>
    <row r="9" spans="2:22" ht="9.75" customHeight="1">
      <c r="B9" s="253"/>
      <c r="C9" s="253"/>
      <c r="D9" s="252">
        <v>6</v>
      </c>
      <c r="E9" s="329">
        <v>0.58050000000000002</v>
      </c>
      <c r="F9" s="329">
        <v>0.51</v>
      </c>
      <c r="H9" s="252">
        <v>7</v>
      </c>
      <c r="I9" s="423">
        <f t="shared" ca="1" si="0"/>
        <v>36</v>
      </c>
      <c r="J9" s="462">
        <f>'Tinh phi QL'!$E$12/1000</f>
        <v>0</v>
      </c>
      <c r="L9" s="961"/>
      <c r="M9" s="252">
        <v>7</v>
      </c>
      <c r="N9" s="256">
        <f t="shared" ca="1" si="1"/>
        <v>242.48546421832745</v>
      </c>
      <c r="O9" s="256">
        <f ca="1">KTVTD20namMH!F10</f>
        <v>40</v>
      </c>
      <c r="P9" s="452">
        <f ca="1">IF('Tinh phi QL'!$H$9="Nam",VLOOKUP(KTVCOI!$I$3,KTVCOI!$D$3:$F$103,2,0)*N9/1000/12,IF('Tinh phi QL'!$H$9="Nữ",VLOOKUP(KTVCOI!$I$3,KTVCOI!$D$3:$F$103,3,0)*N9/1000/12,0))</f>
        <v>2.4854760082378562E-2</v>
      </c>
      <c r="R9" s="452">
        <f ca="1">IF('Tinh phi QL'!$H$9="Nam",VLOOKUP(KTVCOI!$I$3,KTVCOI!$D$3:$F$103,2,0)*S9/1000/12,IF('Tinh phi QL'!$H$9="Nữ",VLOOKUP(KTVCOI!$I$3,KTVCOI!$D$3:$F$103,3,0)*S9/1000/12,0))</f>
        <v>2.4931736012485408E-2</v>
      </c>
      <c r="S9" s="452">
        <f t="shared" ca="1" si="2"/>
        <v>243.23644890229664</v>
      </c>
      <c r="T9" s="418">
        <f ca="1">(T8-O9-P9)*(1+LS!$E$3)</f>
        <v>-283.32137749129095</v>
      </c>
      <c r="V9" s="418">
        <f ca="1">(V8-O9-R9)*(1+LS!$F$3)</f>
        <v>-284.32497392077812</v>
      </c>
    </row>
    <row r="10" spans="2:22" ht="9.75" customHeight="1">
      <c r="D10" s="252">
        <v>7</v>
      </c>
      <c r="E10" s="329">
        <v>0.55049999999999999</v>
      </c>
      <c r="F10" s="329">
        <v>0.5</v>
      </c>
      <c r="H10" s="252">
        <v>8</v>
      </c>
      <c r="I10" s="423">
        <f t="shared" ca="1" si="0"/>
        <v>37</v>
      </c>
      <c r="J10" s="462">
        <f>'Tinh phi QL'!$E$12/1000</f>
        <v>0</v>
      </c>
      <c r="L10" s="961"/>
      <c r="M10" s="252">
        <v>8</v>
      </c>
      <c r="N10" s="256">
        <f t="shared" ca="1" si="1"/>
        <v>283.32137749129095</v>
      </c>
      <c r="O10" s="256">
        <f ca="1">KTVTD20namMH!F11</f>
        <v>40</v>
      </c>
      <c r="P10" s="452">
        <f ca="1">IF('Tinh phi QL'!$H$9="Nam",VLOOKUP(KTVCOI!$I$3,KTVCOI!$D$3:$F$103,2,0)*N10/1000/12,IF('Tinh phi QL'!$H$9="Nữ",VLOOKUP(KTVCOI!$I$3,KTVCOI!$D$3:$F$103,3,0)*N10/1000/12,0))</f>
        <v>2.9040441192857317E-2</v>
      </c>
      <c r="R10" s="452">
        <f ca="1">IF('Tinh phi QL'!$H$9="Nam",VLOOKUP(KTVCOI!$I$3,KTVCOI!$D$3:$F$103,2,0)*S10/1000/12,IF('Tinh phi QL'!$H$9="Nữ",VLOOKUP(KTVCOI!$I$3,KTVCOI!$D$3:$F$103,3,0)*S10/1000/12,0))</f>
        <v>2.9143309826879755E-2</v>
      </c>
      <c r="S10" s="452">
        <f t="shared" ca="1" si="2"/>
        <v>284.32497392077812</v>
      </c>
      <c r="T10" s="418">
        <f ca="1">(T9-O10-P10)*(1+LS!$E$3)</f>
        <v>-324.27872423313909</v>
      </c>
      <c r="V10" s="418">
        <f ca="1">(V9-O10-R10)*(1+LS!$F$3)</f>
        <v>-325.57200602098743</v>
      </c>
    </row>
    <row r="11" spans="2:22" ht="9.75" customHeight="1">
      <c r="B11" s="259"/>
      <c r="C11" s="260"/>
      <c r="D11" s="252">
        <v>8</v>
      </c>
      <c r="E11" s="329">
        <v>0.53</v>
      </c>
      <c r="F11" s="329">
        <v>0.49</v>
      </c>
      <c r="H11" s="252">
        <v>9</v>
      </c>
      <c r="I11" s="423">
        <f t="shared" ca="1" si="0"/>
        <v>38</v>
      </c>
      <c r="J11" s="462">
        <f>'Tinh phi QL'!$E$12/1000</f>
        <v>0</v>
      </c>
      <c r="L11" s="961"/>
      <c r="M11" s="252">
        <v>9</v>
      </c>
      <c r="N11" s="256">
        <f t="shared" ca="1" si="1"/>
        <v>324.27872423313909</v>
      </c>
      <c r="O11" s="256">
        <f ca="1">KTVTD20namMH!F12</f>
        <v>40</v>
      </c>
      <c r="P11" s="452">
        <f ca="1">IF('Tinh phi QL'!$H$9="Nam",VLOOKUP(KTVCOI!$I$3,KTVCOI!$D$3:$F$103,2,0)*N11/1000/12,IF('Tinh phi QL'!$H$9="Nữ",VLOOKUP(KTVCOI!$I$3,KTVCOI!$D$3:$F$103,3,0)*N11/1000/12,0))</f>
        <v>3.3238569233896752E-2</v>
      </c>
      <c r="R11" s="452">
        <f ca="1">IF('Tinh phi QL'!$H$9="Nam",VLOOKUP(KTVCOI!$I$3,KTVCOI!$D$3:$F$103,2,0)*S11/1000/12,IF('Tinh phi QL'!$H$9="Nữ",VLOOKUP(KTVCOI!$I$3,KTVCOI!$D$3:$F$103,3,0)*S11/1000/12,0))</f>
        <v>3.3371130617151211E-2</v>
      </c>
      <c r="S11" s="452">
        <f t="shared" ca="1" si="2"/>
        <v>325.57200602098743</v>
      </c>
      <c r="T11" s="418">
        <f ca="1">(T10-O11-P11)*(1+LS!$E$3)</f>
        <v>-365.35786554972663</v>
      </c>
      <c r="V11" s="418">
        <f ca="1">(V10-O11-R11)*(1+LS!$F$3)</f>
        <v>-366.97815667522593</v>
      </c>
    </row>
    <row r="12" spans="2:22" ht="9.75" customHeight="1">
      <c r="C12" s="261"/>
      <c r="D12" s="252">
        <v>9</v>
      </c>
      <c r="E12" s="329">
        <v>0.52</v>
      </c>
      <c r="F12" s="329">
        <v>0.48</v>
      </c>
      <c r="H12" s="252">
        <v>10</v>
      </c>
      <c r="I12" s="423">
        <f t="shared" ca="1" si="0"/>
        <v>39</v>
      </c>
      <c r="J12" s="462">
        <f>'Tinh phi QL'!$E$12/1000</f>
        <v>0</v>
      </c>
      <c r="L12" s="961"/>
      <c r="M12" s="252">
        <v>10</v>
      </c>
      <c r="N12" s="256">
        <f t="shared" ca="1" si="1"/>
        <v>365.35786554972663</v>
      </c>
      <c r="O12" s="256">
        <f ca="1">KTVTD20namMH!F13</f>
        <v>40</v>
      </c>
      <c r="P12" s="452">
        <f ca="1">IF('Tinh phi QL'!$H$9="Nam",VLOOKUP(KTVCOI!$I$3,KTVCOI!$D$3:$F$103,2,0)*N12/1000/12,IF('Tinh phi QL'!$H$9="Nữ",VLOOKUP(KTVCOI!$I$3,KTVCOI!$D$3:$F$103,3,0)*N12/1000/12,0))</f>
        <v>3.744918121884698E-2</v>
      </c>
      <c r="R12" s="452">
        <f ca="1">IF('Tinh phi QL'!$H$9="Nam",VLOOKUP(KTVCOI!$I$3,KTVCOI!$D$3:$F$103,2,0)*S12/1000/12,IF('Tinh phi QL'!$H$9="Nữ",VLOOKUP(KTVCOI!$I$3,KTVCOI!$D$3:$F$103,3,0)*S12/1000/12,0))</f>
        <v>3.7615261059210654E-2</v>
      </c>
      <c r="S12" s="452">
        <f t="shared" ca="1" si="2"/>
        <v>366.97815667522593</v>
      </c>
      <c r="T12" s="418">
        <f ca="1">(T11-O12-P12)*(1+LS!$E$3)</f>
        <v>-406.55916362072622</v>
      </c>
      <c r="V12" s="418">
        <f ca="1">(V11-O12-R12)*(1+LS!$F$3)</f>
        <v>-408.54403971467013</v>
      </c>
    </row>
    <row r="13" spans="2:22" ht="9.75" customHeight="1">
      <c r="D13" s="252">
        <v>10</v>
      </c>
      <c r="E13" s="329">
        <v>0.53</v>
      </c>
      <c r="F13" s="329">
        <v>0.48</v>
      </c>
      <c r="H13" s="252">
        <v>11</v>
      </c>
      <c r="I13" s="423">
        <f t="shared" ca="1" si="0"/>
        <v>40</v>
      </c>
      <c r="J13" s="462">
        <f>'Tinh phi QL'!$E$12/1000</f>
        <v>0</v>
      </c>
      <c r="L13" s="961"/>
      <c r="M13" s="252">
        <v>11</v>
      </c>
      <c r="N13" s="256">
        <f t="shared" ca="1" si="1"/>
        <v>406.55916362072622</v>
      </c>
      <c r="O13" s="256">
        <f ca="1">KTVTD20namMH!F14</f>
        <v>40</v>
      </c>
      <c r="P13" s="452">
        <f ca="1">IF('Tinh phi QL'!$H$9="Nam",VLOOKUP(KTVCOI!$I$3,KTVCOI!$D$3:$F$103,2,0)*N13/1000/12,IF('Tinh phi QL'!$H$9="Nữ",VLOOKUP(KTVCOI!$I$3,KTVCOI!$D$3:$F$103,3,0)*N13/1000/12,0))</f>
        <v>4.1672314271124444E-2</v>
      </c>
      <c r="R13" s="452">
        <f ca="1">IF('Tinh phi QL'!$H$9="Nam",VLOOKUP(KTVCOI!$I$3,KTVCOI!$D$3:$F$103,2,0)*S13/1000/12,IF('Tinh phi QL'!$H$9="Nữ",VLOOKUP(KTVCOI!$I$3,KTVCOI!$D$3:$F$103,3,0)*S13/1000/12,0))</f>
        <v>4.187576407075369E-2</v>
      </c>
      <c r="S13" s="452">
        <f t="shared" ca="1" si="2"/>
        <v>408.54403971467013</v>
      </c>
      <c r="T13" s="418">
        <f ca="1">(T12-O13-P13)*(1+LS!$E$3)</f>
        <v>-447.88298170282167</v>
      </c>
      <c r="V13" s="418">
        <f ca="1">(V12-O13-R13)*(1+LS!$F$3)</f>
        <v>-450.27027133847105</v>
      </c>
    </row>
    <row r="14" spans="2:22" ht="9.75" customHeight="1">
      <c r="D14" s="252">
        <v>11</v>
      </c>
      <c r="E14" s="329">
        <v>0.56999999999999995</v>
      </c>
      <c r="F14" s="329">
        <v>0.49</v>
      </c>
      <c r="H14" s="252">
        <v>12</v>
      </c>
      <c r="I14" s="423">
        <f t="shared" ca="1" si="0"/>
        <v>41</v>
      </c>
      <c r="J14" s="462">
        <f>'Tinh phi QL'!$E$12/1000</f>
        <v>0</v>
      </c>
      <c r="L14" s="961"/>
      <c r="M14" s="252">
        <v>12</v>
      </c>
      <c r="N14" s="256">
        <f t="shared" ca="1" si="1"/>
        <v>447.88298170282167</v>
      </c>
      <c r="O14" s="256">
        <f ca="1">KTVTD20namMH!F15</f>
        <v>40</v>
      </c>
      <c r="P14" s="452">
        <f ca="1">IF('Tinh phi QL'!$H$9="Nam",VLOOKUP(KTVCOI!$I$3,KTVCOI!$D$3:$F$103,2,0)*N14/1000/12,IF('Tinh phi QL'!$H$9="Nữ",VLOOKUP(KTVCOI!$I$3,KTVCOI!$D$3:$F$103,3,0)*N14/1000/12,0))</f>
        <v>4.5908005624539228E-2</v>
      </c>
      <c r="R14" s="452">
        <f ca="1">IF('Tinh phi QL'!$H$9="Nam",VLOOKUP(KTVCOI!$I$3,KTVCOI!$D$3:$F$103,2,0)*S14/1000/12,IF('Tinh phi QL'!$H$9="Nữ",VLOOKUP(KTVCOI!$I$3,KTVCOI!$D$3:$F$103,3,0)*S14/1000/12,0))</f>
        <v>4.6152702812193275E-2</v>
      </c>
      <c r="S14" s="452">
        <f t="shared" ca="1" si="2"/>
        <v>450.27027133847105</v>
      </c>
      <c r="T14" s="419">
        <f ca="1">(T13-O14-P14)*(1+LS!$E$3)</f>
        <v>-489.3296841329107</v>
      </c>
      <c r="V14" s="419">
        <f ca="1">(V13-O14-R14)*(1+LS!$F$3)</f>
        <v>-492.15747012288949</v>
      </c>
    </row>
    <row r="15" spans="2:22" ht="9.75" customHeight="1">
      <c r="D15" s="252">
        <v>12</v>
      </c>
      <c r="E15" s="329">
        <v>0.64</v>
      </c>
      <c r="F15" s="329">
        <v>0.51</v>
      </c>
      <c r="H15" s="252">
        <v>13</v>
      </c>
      <c r="I15" s="423">
        <f t="shared" ca="1" si="0"/>
        <v>42</v>
      </c>
      <c r="J15" s="462">
        <f>'Tinh phi QL'!$E$12/1000</f>
        <v>0</v>
      </c>
      <c r="L15" s="957">
        <f>L3+1</f>
        <v>2</v>
      </c>
      <c r="M15" s="262">
        <v>13</v>
      </c>
      <c r="N15" s="263">
        <f ca="1">$J$4-T14-KTVTDGTTKcamket!F8</f>
        <v>489.3296841329107</v>
      </c>
      <c r="O15" s="256">
        <f ca="1">KTVTD20namMH!F16</f>
        <v>40</v>
      </c>
      <c r="P15" s="451">
        <f ca="1">IF('Tinh phi QL'!$H$9="Nam",VLOOKUP(KTVCOI!$I$4,KTVCOI!$D$3:$F$103,2,0)*N15/1000/12,IF('Tinh phi QL'!$H$9="Nữ",VLOOKUP(KTVCOI!$I$4,KTVCOI!$D$3:$F$103,3,0)*N15/1000/12,0))</f>
        <v>5.1379616833955623E-2</v>
      </c>
      <c r="Q15" s="455"/>
      <c r="R15" s="452">
        <f ca="1">IF('Tinh phi QL'!$H$9="Nam",VLOOKUP(KTVCOI!$I$4,KTVCOI!$D$3:$F$103,2,0)*S15/1000/12,IF('Tinh phi QL'!$H$9="Nữ",VLOOKUP(KTVCOI!$I$4,KTVCOI!$D$3:$F$103,3,0)*S15/1000/12,0))</f>
        <v>5.1676534362903398E-2</v>
      </c>
      <c r="S15" s="451">
        <f ca="1">J4-V14-KTVTDGTTKMH!F8</f>
        <v>492.15747012288949</v>
      </c>
      <c r="T15" s="420">
        <f ca="1">(T14+KTVTDGTTKcamket!F8-O15-P15)*(1+LS!$E$4)</f>
        <v>-530.68666026530059</v>
      </c>
      <c r="U15" s="264"/>
      <c r="V15" s="418">
        <f ca="1">(V14+KTVTDGTTKMH!F8-O15-R15)*(1+LS!$F$4)</f>
        <v>-534.2074920440383</v>
      </c>
    </row>
    <row r="16" spans="2:22" ht="9.75" customHeight="1">
      <c r="D16" s="252">
        <v>13</v>
      </c>
      <c r="E16" s="329">
        <v>0.75</v>
      </c>
      <c r="F16" s="329">
        <v>0.54</v>
      </c>
      <c r="H16" s="252">
        <v>14</v>
      </c>
      <c r="I16" s="423">
        <f t="shared" ca="1" si="0"/>
        <v>43</v>
      </c>
      <c r="J16" s="462">
        <f>'Tinh phi QL'!$E$12/1000</f>
        <v>0</v>
      </c>
      <c r="L16" s="957"/>
      <c r="M16" s="262">
        <v>14</v>
      </c>
      <c r="N16" s="263">
        <f ca="1">$J$4-T15</f>
        <v>530.68666026530059</v>
      </c>
      <c r="O16" s="256">
        <f ca="1">KTVTD20namMH!F17</f>
        <v>40</v>
      </c>
      <c r="P16" s="451">
        <f ca="1">IF('Tinh phi QL'!$H$9="Nam",VLOOKUP(KTVCOI!$I$4,KTVCOI!$D$3:$F$103,2,0)*N16/1000/12,IF('Tinh phi QL'!$H$9="Nữ",VLOOKUP(KTVCOI!$I$4,KTVCOI!$D$3:$F$103,3,0)*N16/1000/12,0))</f>
        <v>5.5722099327856565E-2</v>
      </c>
      <c r="Q16" s="455"/>
      <c r="R16" s="452">
        <f ca="1">IF('Tinh phi QL'!$H$9="Nam",VLOOKUP(KTVCOI!$I$4,KTVCOI!$D$3:$F$103,2,0)*S16/1000/12,IF('Tinh phi QL'!$H$9="Nữ",VLOOKUP(KTVCOI!$I$4,KTVCOI!$D$3:$F$103,3,0)*S16/1000/12,0))</f>
        <v>5.609178666462402E-2</v>
      </c>
      <c r="S16" s="451">
        <f ca="1">$J$4-V15</f>
        <v>534.2074920440383</v>
      </c>
      <c r="T16" s="420">
        <f ca="1">(T15-O16-P16)*(1+LS!$E$4)</f>
        <v>-572.14998705002699</v>
      </c>
      <c r="U16" s="264"/>
      <c r="V16" s="418">
        <f ca="1">(V15-O16-R16)*(1+LS!$F$4)</f>
        <v>-576.41983573045911</v>
      </c>
    </row>
    <row r="17" spans="4:22" ht="9.75" customHeight="1">
      <c r="D17" s="252">
        <v>14</v>
      </c>
      <c r="E17" s="329">
        <v>0.87</v>
      </c>
      <c r="F17" s="329">
        <v>0.56999999999999995</v>
      </c>
      <c r="H17" s="252">
        <v>15</v>
      </c>
      <c r="I17" s="423">
        <f t="shared" ca="1" si="0"/>
        <v>44</v>
      </c>
      <c r="J17" s="462">
        <f>'Tinh phi QL'!$E$12/1000</f>
        <v>0</v>
      </c>
      <c r="L17" s="957"/>
      <c r="M17" s="262">
        <v>15</v>
      </c>
      <c r="N17" s="263">
        <f t="shared" ref="N17:N26" ca="1" si="3">$J$4-T16</f>
        <v>572.14998705002699</v>
      </c>
      <c r="O17" s="256">
        <f ca="1">KTVTD20namMH!F18</f>
        <v>40</v>
      </c>
      <c r="P17" s="451">
        <f ca="1">IF('Tinh phi QL'!$H$9="Nam",VLOOKUP(KTVCOI!$I$4,KTVCOI!$D$3:$F$103,2,0)*N17/1000/12,IF('Tinh phi QL'!$H$9="Nữ",VLOOKUP(KTVCOI!$I$4,KTVCOI!$D$3:$F$103,3,0)*N17/1000/12,0))</f>
        <v>6.0075748640252835E-2</v>
      </c>
      <c r="Q17" s="455"/>
      <c r="R17" s="452">
        <f ca="1">IF('Tinh phi QL'!$H$9="Nam",VLOOKUP(KTVCOI!$I$4,KTVCOI!$D$3:$F$103,2,0)*S17/1000/12,IF('Tinh phi QL'!$H$9="Nữ",VLOOKUP(KTVCOI!$I$4,KTVCOI!$D$3:$F$103,3,0)*S17/1000/12,0))</f>
        <v>6.0524082751698211E-2</v>
      </c>
      <c r="S17" s="451">
        <f t="shared" ref="S17:S26" ca="1" si="4">$J$4-V16</f>
        <v>576.41983573045911</v>
      </c>
      <c r="T17" s="420">
        <f ca="1">(T16-O17-P17)*(1+LS!$E$4)</f>
        <v>-613.7199379708477</v>
      </c>
      <c r="U17" s="264"/>
      <c r="V17" s="418">
        <f ca="1">(V16-O17-R17)*(1+LS!$F$4)</f>
        <v>-618.79512777767479</v>
      </c>
    </row>
    <row r="18" spans="4:22" ht="9.75" customHeight="1">
      <c r="D18" s="252">
        <v>15</v>
      </c>
      <c r="E18" s="329">
        <v>0.99</v>
      </c>
      <c r="F18" s="329">
        <v>0.61</v>
      </c>
      <c r="H18" s="252">
        <v>16</v>
      </c>
      <c r="I18" s="423">
        <f t="shared" ca="1" si="0"/>
        <v>45</v>
      </c>
      <c r="J18" s="462">
        <f>'Tinh phi QL'!$E$12/1000</f>
        <v>0</v>
      </c>
      <c r="L18" s="957"/>
      <c r="M18" s="262">
        <v>16</v>
      </c>
      <c r="N18" s="263">
        <f t="shared" ca="1" si="3"/>
        <v>613.7199379708477</v>
      </c>
      <c r="O18" s="256">
        <f ca="1">KTVTD20namMH!F19</f>
        <v>40</v>
      </c>
      <c r="P18" s="451">
        <f ca="1">IF('Tinh phi QL'!$H$9="Nam",VLOOKUP(KTVCOI!$I$4,KTVCOI!$D$3:$F$103,2,0)*N18/1000/12,IF('Tinh phi QL'!$H$9="Nữ",VLOOKUP(KTVCOI!$I$4,KTVCOI!$D$3:$F$103,3,0)*N18/1000/12,0))</f>
        <v>6.4440593486939007E-2</v>
      </c>
      <c r="Q18" s="455"/>
      <c r="R18" s="452">
        <f ca="1">IF('Tinh phi QL'!$H$9="Nam",VLOOKUP(KTVCOI!$I$4,KTVCOI!$D$3:$F$103,2,0)*S18/1000/12,IF('Tinh phi QL'!$H$9="Nữ",VLOOKUP(KTVCOI!$I$4,KTVCOI!$D$3:$F$103,3,0)*S18/1000/12,0))</f>
        <v>6.4973488416655859E-2</v>
      </c>
      <c r="S18" s="451">
        <f t="shared" ca="1" si="4"/>
        <v>618.79512777767479</v>
      </c>
      <c r="T18" s="420">
        <f ca="1">(T17-O18-P18)*(1+LS!$E$4)</f>
        <v>-655.3967872147922</v>
      </c>
      <c r="U18" s="264"/>
      <c r="V18" s="418">
        <f ca="1">(V17-O18-R18)*(1+LS!$F$4)</f>
        <v>-661.33399719999647</v>
      </c>
    </row>
    <row r="19" spans="4:22" ht="9.75" customHeight="1">
      <c r="D19" s="252">
        <v>16</v>
      </c>
      <c r="E19" s="329">
        <v>1.1100000000000001</v>
      </c>
      <c r="F19" s="329">
        <v>0.64</v>
      </c>
      <c r="H19" s="252">
        <v>17</v>
      </c>
      <c r="I19" s="423">
        <f t="shared" ca="1" si="0"/>
        <v>46</v>
      </c>
      <c r="J19" s="462">
        <f>'Tinh phi QL'!$E$12/1000</f>
        <v>0</v>
      </c>
      <c r="L19" s="957"/>
      <c r="M19" s="262">
        <v>17</v>
      </c>
      <c r="N19" s="263">
        <f t="shared" ca="1" si="3"/>
        <v>655.3967872147922</v>
      </c>
      <c r="O19" s="256">
        <f ca="1">KTVTD20namMH!F20</f>
        <v>40</v>
      </c>
      <c r="P19" s="451">
        <f ca="1">IF('Tinh phi QL'!$H$9="Nam",VLOOKUP(KTVCOI!$I$4,KTVCOI!$D$3:$F$103,2,0)*N19/1000/12,IF('Tinh phi QL'!$H$9="Nữ",VLOOKUP(KTVCOI!$I$4,KTVCOI!$D$3:$F$103,3,0)*N19/1000/12,0))</f>
        <v>6.8816662657553193E-2</v>
      </c>
      <c r="Q19" s="455"/>
      <c r="R19" s="452">
        <f ca="1">IF('Tinh phi QL'!$H$9="Nam",VLOOKUP(KTVCOI!$I$4,KTVCOI!$D$3:$F$103,2,0)*S19/1000/12,IF('Tinh phi QL'!$H$9="Nữ",VLOOKUP(KTVCOI!$I$4,KTVCOI!$D$3:$F$103,3,0)*S19/1000/12,0))</f>
        <v>6.9440069705999627E-2</v>
      </c>
      <c r="S19" s="451">
        <f t="shared" ca="1" si="4"/>
        <v>661.33399719999647</v>
      </c>
      <c r="T19" s="420">
        <f ca="1">(T18-O19-P19)*(1+LS!$E$4)</f>
        <v>-697.18080967396963</v>
      </c>
      <c r="U19" s="264"/>
      <c r="V19" s="418">
        <f ca="1">(V18-O19-R19)*(1+LS!$F$4)</f>
        <v>-704.03707543986059</v>
      </c>
    </row>
    <row r="20" spans="4:22" ht="9.75" customHeight="1">
      <c r="D20" s="252">
        <v>17</v>
      </c>
      <c r="E20" s="329">
        <v>1.2</v>
      </c>
      <c r="F20" s="329">
        <v>0.67</v>
      </c>
      <c r="H20" s="252">
        <v>18</v>
      </c>
      <c r="I20" s="423">
        <f t="shared" ca="1" si="0"/>
        <v>47</v>
      </c>
      <c r="J20" s="462">
        <f>'Tinh phi QL'!$E$12/1000</f>
        <v>0</v>
      </c>
      <c r="L20" s="957"/>
      <c r="M20" s="262">
        <v>18</v>
      </c>
      <c r="N20" s="263">
        <f t="shared" ca="1" si="3"/>
        <v>697.18080967396963</v>
      </c>
      <c r="O20" s="256">
        <f ca="1">KTVTD20namMH!F21</f>
        <v>40</v>
      </c>
      <c r="P20" s="451">
        <f ca="1">IF('Tinh phi QL'!$H$9="Nam",VLOOKUP(KTVCOI!$I$4,KTVCOI!$D$3:$F$103,2,0)*N20/1000/12,IF('Tinh phi QL'!$H$9="Nữ",VLOOKUP(KTVCOI!$I$4,KTVCOI!$D$3:$F$103,3,0)*N20/1000/12,0))</f>
        <v>7.3203985015766818E-2</v>
      </c>
      <c r="Q20" s="455"/>
      <c r="R20" s="452">
        <f ca="1">IF('Tinh phi QL'!$H$9="Nam",VLOOKUP(KTVCOI!$I$4,KTVCOI!$D$3:$F$103,2,0)*S20/1000/12,IF('Tinh phi QL'!$H$9="Nữ",VLOOKUP(KTVCOI!$I$4,KTVCOI!$D$3:$F$103,3,0)*S20/1000/12,0))</f>
        <v>7.3923892921185355E-2</v>
      </c>
      <c r="S20" s="451">
        <f t="shared" ca="1" si="4"/>
        <v>704.03707543986059</v>
      </c>
      <c r="T20" s="420">
        <f ca="1">(T19-O20-P20)*(1+LS!$E$4)</f>
        <v>-739.07228094738207</v>
      </c>
      <c r="U20" s="264"/>
      <c r="V20" s="418">
        <f ca="1">(V19-O20-R20)*(1+LS!$F$4)</f>
        <v>-746.90499637720131</v>
      </c>
    </row>
    <row r="21" spans="4:22" ht="9.75" customHeight="1">
      <c r="D21" s="252">
        <v>18</v>
      </c>
      <c r="E21" s="329">
        <v>1.27</v>
      </c>
      <c r="F21" s="329">
        <v>0.7</v>
      </c>
      <c r="H21" s="252">
        <v>19</v>
      </c>
      <c r="I21" s="423">
        <f t="shared" ca="1" si="0"/>
        <v>48</v>
      </c>
      <c r="J21" s="462">
        <f>'Tinh phi QL'!$E$12/1000</f>
        <v>0</v>
      </c>
      <c r="L21" s="957"/>
      <c r="M21" s="262">
        <v>19</v>
      </c>
      <c r="N21" s="263">
        <f t="shared" ca="1" si="3"/>
        <v>739.07228094738207</v>
      </c>
      <c r="O21" s="256">
        <f ca="1">KTVTD20namMH!F22</f>
        <v>40</v>
      </c>
      <c r="P21" s="451">
        <f ca="1">IF('Tinh phi QL'!$H$9="Nam",VLOOKUP(KTVCOI!$I$4,KTVCOI!$D$3:$F$103,2,0)*N21/1000/12,IF('Tinh phi QL'!$H$9="Nữ",VLOOKUP(KTVCOI!$I$4,KTVCOI!$D$3:$F$103,3,0)*N21/1000/12,0))</f>
        <v>7.7602589499475114E-2</v>
      </c>
      <c r="Q21" s="455"/>
      <c r="R21" s="452">
        <f ca="1">IF('Tinh phi QL'!$H$9="Nam",VLOOKUP(KTVCOI!$I$4,KTVCOI!$D$3:$F$103,2,0)*S21/1000/12,IF('Tinh phi QL'!$H$9="Nữ",VLOOKUP(KTVCOI!$I$4,KTVCOI!$D$3:$F$103,3,0)*S21/1000/12,0))</f>
        <v>7.842502461960614E-2</v>
      </c>
      <c r="S21" s="451">
        <f t="shared" ca="1" si="4"/>
        <v>746.90499637720131</v>
      </c>
      <c r="T21" s="420">
        <f ca="1">(T20-O21-P21)*(1+LS!$E$4)</f>
        <v>-781.07147734274258</v>
      </c>
      <c r="U21" s="264"/>
      <c r="V21" s="418">
        <f ca="1">(V20-O21-R21)*(1+LS!$F$4)</f>
        <v>-789.93839633886057</v>
      </c>
    </row>
    <row r="22" spans="4:22" ht="9.75" customHeight="1">
      <c r="D22" s="252">
        <v>19</v>
      </c>
      <c r="E22" s="329">
        <v>1.32</v>
      </c>
      <c r="F22" s="329">
        <v>0.72</v>
      </c>
      <c r="H22" s="252">
        <v>20</v>
      </c>
      <c r="I22" s="423">
        <f t="shared" ca="1" si="0"/>
        <v>49</v>
      </c>
      <c r="J22" s="462">
        <f>'Tinh phi QL'!$E$12/1000</f>
        <v>0</v>
      </c>
      <c r="L22" s="957"/>
      <c r="M22" s="262">
        <v>20</v>
      </c>
      <c r="N22" s="263">
        <f t="shared" ca="1" si="3"/>
        <v>781.07147734274258</v>
      </c>
      <c r="O22" s="256">
        <f ca="1">KTVTD20namMH!F23</f>
        <v>40</v>
      </c>
      <c r="P22" s="451">
        <f ca="1">IF('Tinh phi QL'!$H$9="Nam",VLOOKUP(KTVCOI!$I$4,KTVCOI!$D$3:$F$103,2,0)*N22/1000/12,IF('Tinh phi QL'!$H$9="Nữ",VLOOKUP(KTVCOI!$I$4,KTVCOI!$D$3:$F$103,3,0)*N22/1000/12,0))</f>
        <v>8.2012505120987969E-2</v>
      </c>
      <c r="Q22" s="455"/>
      <c r="R22" s="452">
        <f ca="1">IF('Tinh phi QL'!$H$9="Nam",VLOOKUP(KTVCOI!$I$4,KTVCOI!$D$3:$F$103,2,0)*S22/1000/12,IF('Tinh phi QL'!$H$9="Nữ",VLOOKUP(KTVCOI!$I$4,KTVCOI!$D$3:$F$103,3,0)*S22/1000/12,0))</f>
        <v>8.2943531615580365E-2</v>
      </c>
      <c r="S22" s="451">
        <f t="shared" ca="1" si="4"/>
        <v>789.93839633886057</v>
      </c>
      <c r="T22" s="420">
        <f ca="1">(T21-O22-P22)*(1+LS!$E$4)</f>
        <v>-823.1786758782971</v>
      </c>
      <c r="U22" s="264"/>
      <c r="V22" s="418">
        <f ca="1">(V21-O22-R22)*(1+LS!$F$4)</f>
        <v>-833.1379141080331</v>
      </c>
    </row>
    <row r="23" spans="4:22" ht="9.75" customHeight="1">
      <c r="D23" s="252">
        <v>20</v>
      </c>
      <c r="E23" s="329">
        <v>1.33</v>
      </c>
      <c r="F23" s="329">
        <v>0.74</v>
      </c>
      <c r="H23" s="252">
        <v>21</v>
      </c>
      <c r="I23" s="423">
        <f t="shared" ca="1" si="0"/>
        <v>50</v>
      </c>
      <c r="J23" s="423"/>
      <c r="L23" s="957"/>
      <c r="M23" s="262">
        <v>21</v>
      </c>
      <c r="N23" s="263">
        <f t="shared" ca="1" si="3"/>
        <v>823.1786758782971</v>
      </c>
      <c r="O23" s="256">
        <f ca="1">KTVTD20namMH!F24</f>
        <v>40</v>
      </c>
      <c r="P23" s="451">
        <f ca="1">IF('Tinh phi QL'!$H$9="Nam",VLOOKUP(KTVCOI!$I$4,KTVCOI!$D$3:$F$103,2,0)*N23/1000/12,IF('Tinh phi QL'!$H$9="Nữ",VLOOKUP(KTVCOI!$I$4,KTVCOI!$D$3:$F$103,3,0)*N23/1000/12,0))</f>
        <v>8.6433760967221177E-2</v>
      </c>
      <c r="Q23" s="455"/>
      <c r="R23" s="452">
        <f ca="1">IF('Tinh phi QL'!$H$9="Nam",VLOOKUP(KTVCOI!$I$4,KTVCOI!$D$3:$F$103,2,0)*S23/1000/12,IF('Tinh phi QL'!$H$9="Nữ",VLOOKUP(KTVCOI!$I$4,KTVCOI!$D$3:$F$103,3,0)*S23/1000/12,0))</f>
        <v>8.7479480981343491E-2</v>
      </c>
      <c r="S23" s="451">
        <f t="shared" ca="1" si="4"/>
        <v>833.1379141080331</v>
      </c>
      <c r="T23" s="420">
        <f ca="1">(T22-O23-P23)*(1+LS!$E$4)</f>
        <v>-865.39415428465202</v>
      </c>
      <c r="U23" s="264"/>
      <c r="V23" s="418">
        <f ca="1">(V22-O23-R23)*(1+LS!$F$4)</f>
        <v>-876.50419093374853</v>
      </c>
    </row>
    <row r="24" spans="4:22" ht="9.75" customHeight="1">
      <c r="D24" s="252">
        <v>21</v>
      </c>
      <c r="E24" s="329">
        <v>1.33</v>
      </c>
      <c r="F24" s="329">
        <v>0.76</v>
      </c>
      <c r="H24" s="252">
        <v>22</v>
      </c>
      <c r="I24" s="423">
        <f t="shared" ca="1" si="0"/>
        <v>51</v>
      </c>
      <c r="J24" s="423"/>
      <c r="L24" s="957"/>
      <c r="M24" s="262">
        <v>22</v>
      </c>
      <c r="N24" s="263">
        <f t="shared" ca="1" si="3"/>
        <v>865.39415428465202</v>
      </c>
      <c r="O24" s="256">
        <f ca="1">KTVTD20namMH!F25</f>
        <v>40</v>
      </c>
      <c r="P24" s="451">
        <f ca="1">IF('Tinh phi QL'!$H$9="Nam",VLOOKUP(KTVCOI!$I$4,KTVCOI!$D$3:$F$103,2,0)*N24/1000/12,IF('Tinh phi QL'!$H$9="Nữ",VLOOKUP(KTVCOI!$I$4,KTVCOI!$D$3:$F$103,3,0)*N24/1000/12,0))</f>
        <v>9.086638619988846E-2</v>
      </c>
      <c r="Q24" s="455"/>
      <c r="R24" s="452">
        <f ca="1">IF('Tinh phi QL'!$H$9="Nam",VLOOKUP(KTVCOI!$I$4,KTVCOI!$D$3:$F$103,2,0)*S24/1000/12,IF('Tinh phi QL'!$H$9="Nữ",VLOOKUP(KTVCOI!$I$4,KTVCOI!$D$3:$F$103,3,0)*S24/1000/12,0))</f>
        <v>9.2032940048043591E-2</v>
      </c>
      <c r="S24" s="451">
        <f t="shared" ca="1" si="4"/>
        <v>876.50419093374853</v>
      </c>
      <c r="T24" s="420">
        <f ca="1">(T23-O24-P24)*(1+LS!$E$4)</f>
        <v>-907.71819100660616</v>
      </c>
      <c r="U24" s="264"/>
      <c r="V24" s="418">
        <f ca="1">(V23-O24-R24)*(1+LS!$F$4)</f>
        <v>-920.03787054039049</v>
      </c>
    </row>
    <row r="25" spans="4:22" ht="9.75" customHeight="1">
      <c r="D25" s="252">
        <v>22</v>
      </c>
      <c r="E25" s="329">
        <v>1.32</v>
      </c>
      <c r="F25" s="329">
        <v>0.77</v>
      </c>
      <c r="H25" s="252">
        <v>23</v>
      </c>
      <c r="I25" s="423">
        <f t="shared" ca="1" si="0"/>
        <v>52</v>
      </c>
      <c r="J25" s="423"/>
      <c r="L25" s="957"/>
      <c r="M25" s="262">
        <v>23</v>
      </c>
      <c r="N25" s="263">
        <f t="shared" ca="1" si="3"/>
        <v>907.71819100660616</v>
      </c>
      <c r="O25" s="256">
        <f ca="1">KTVTD20namMH!F26</f>
        <v>40</v>
      </c>
      <c r="P25" s="451">
        <f ca="1">IF('Tinh phi QL'!$H$9="Nam",VLOOKUP(KTVCOI!$I$4,KTVCOI!$D$3:$F$103,2,0)*N25/1000/12,IF('Tinh phi QL'!$H$9="Nữ",VLOOKUP(KTVCOI!$I$4,KTVCOI!$D$3:$F$103,3,0)*N25/1000/12,0))</f>
        <v>9.531041005569367E-2</v>
      </c>
      <c r="Q25" s="455"/>
      <c r="R25" s="452">
        <f ca="1">IF('Tinh phi QL'!$H$9="Nam",VLOOKUP(KTVCOI!$I$4,KTVCOI!$D$3:$F$103,2,0)*S25/1000/12,IF('Tinh phi QL'!$H$9="Nữ",VLOOKUP(KTVCOI!$I$4,KTVCOI!$D$3:$F$103,3,0)*S25/1000/12,0))</f>
        <v>9.660397640674101E-2</v>
      </c>
      <c r="S25" s="451">
        <f t="shared" ca="1" si="4"/>
        <v>920.03787054039049</v>
      </c>
      <c r="T25" s="420">
        <f ca="1">(T24-O25-P25)*(1+LS!$E$4)</f>
        <v>-950.15106520498716</v>
      </c>
      <c r="U25" s="264"/>
      <c r="V25" s="418">
        <f ca="1">(V24-O25-R25)*(1+LS!$F$4)</f>
        <v>-963.73959913725128</v>
      </c>
    </row>
    <row r="26" spans="4:22" ht="9.75" customHeight="1">
      <c r="D26" s="252">
        <v>23</v>
      </c>
      <c r="E26" s="329">
        <v>1.29</v>
      </c>
      <c r="F26" s="329">
        <v>0.78</v>
      </c>
      <c r="H26" s="252">
        <v>24</v>
      </c>
      <c r="I26" s="423">
        <f t="shared" ca="1" si="0"/>
        <v>53</v>
      </c>
      <c r="J26" s="423"/>
      <c r="L26" s="957"/>
      <c r="M26" s="262">
        <v>24</v>
      </c>
      <c r="N26" s="263">
        <f t="shared" ca="1" si="3"/>
        <v>950.15106520498716</v>
      </c>
      <c r="O26" s="256">
        <f ca="1">KTVTD20namMH!F27</f>
        <v>40</v>
      </c>
      <c r="P26" s="451">
        <f ca="1">IF('Tinh phi QL'!$H$9="Nam",VLOOKUP(KTVCOI!$I$4,KTVCOI!$D$3:$F$103,2,0)*N26/1000/12,IF('Tinh phi QL'!$H$9="Nữ",VLOOKUP(KTVCOI!$I$4,KTVCOI!$D$3:$F$103,3,0)*N26/1000/12,0))</f>
        <v>9.976586184652364E-2</v>
      </c>
      <c r="Q26" s="455"/>
      <c r="R26" s="452">
        <f ca="1">IF('Tinh phi QL'!$H$9="Nam",VLOOKUP(KTVCOI!$I$4,KTVCOI!$D$3:$F$103,2,0)*S26/1000/12,IF('Tinh phi QL'!$H$9="Nữ",VLOOKUP(KTVCOI!$I$4,KTVCOI!$D$3:$F$103,3,0)*S26/1000/12,0))</f>
        <v>0.10119265790941138</v>
      </c>
      <c r="S26" s="451">
        <f t="shared" ca="1" si="4"/>
        <v>963.73959913725128</v>
      </c>
      <c r="T26" s="421">
        <f ca="1">(T25-O26-P26)*(1+LS!$E$4)</f>
        <v>-992.6930567584925</v>
      </c>
      <c r="U26" s="264"/>
      <c r="V26" s="419">
        <f ca="1">(V25-O26-R26)*(1+LS!$F$4)</f>
        <v>-1007.6100254281246</v>
      </c>
    </row>
    <row r="27" spans="4:22" ht="9.75" customHeight="1">
      <c r="D27" s="252">
        <v>24</v>
      </c>
      <c r="E27" s="329">
        <v>1.26</v>
      </c>
      <c r="F27" s="329">
        <v>0.81</v>
      </c>
      <c r="H27" s="252">
        <v>25</v>
      </c>
      <c r="I27" s="423">
        <f t="shared" ca="1" si="0"/>
        <v>54</v>
      </c>
      <c r="J27" s="423"/>
      <c r="L27" s="959">
        <f>L15+1</f>
        <v>3</v>
      </c>
      <c r="M27" s="252">
        <v>25</v>
      </c>
      <c r="N27" s="256">
        <f ca="1">$J$5-T26-KTVTDGTTKcamket!F9</f>
        <v>992.6930567584925</v>
      </c>
      <c r="O27" s="256">
        <f ca="1">KTVTD20namMH!F28</f>
        <v>40</v>
      </c>
      <c r="P27" s="452">
        <f ca="1">IF('Tinh phi QL'!$H$9="Nam",VLOOKUP(KTVCOI!$I$5,KTVCOI!$D$3:$F$103,2,0)*N27/1000/12,IF('Tinh phi QL'!$H$9="Nữ",VLOOKUP(KTVCOI!$I$5,KTVCOI!$D$3:$F$103,3,0)*N27/1000/12,0))</f>
        <v>0.10836899202946877</v>
      </c>
      <c r="R27" s="452">
        <f ca="1">IF('Tinh phi QL'!$H$9="Nam",VLOOKUP(KTVCOI!$I$5,KTVCOI!$D$3:$F$103,2,0)*S27/1000/12,IF('Tinh phi QL'!$H$9="Nữ",VLOOKUP(KTVCOI!$I$5,KTVCOI!$D$3:$F$103,3,0)*S27/1000/12,0))</f>
        <v>0.1099974277759036</v>
      </c>
      <c r="S27" s="451">
        <f ca="1">$J$5-V26-KTVTDGTTKMH!F9</f>
        <v>1007.6100254281246</v>
      </c>
      <c r="T27" s="420">
        <f ca="1">(T26+KTVTDGTTKcamket!F9-O27-P27)*(1+LS!$E$5)</f>
        <v>-1035.3485926876426</v>
      </c>
      <c r="U27" s="264"/>
      <c r="V27" s="418">
        <f ca="1">(V26+KTVTDGTTKMH!F9-O27-R27)*(1+LS!$F$5)</f>
        <v>-1051.6540147601504</v>
      </c>
    </row>
    <row r="28" spans="4:22" ht="9.75" customHeight="1">
      <c r="D28" s="252">
        <v>25</v>
      </c>
      <c r="E28" s="329">
        <v>1.23</v>
      </c>
      <c r="F28" s="329">
        <v>0.82</v>
      </c>
      <c r="H28" s="252">
        <v>26</v>
      </c>
      <c r="I28" s="423">
        <f t="shared" ca="1" si="0"/>
        <v>55</v>
      </c>
      <c r="J28" s="423"/>
      <c r="L28" s="959"/>
      <c r="M28" s="252">
        <v>26</v>
      </c>
      <c r="N28" s="256">
        <f ca="1">$J$5-T27</f>
        <v>1035.3485926876426</v>
      </c>
      <c r="O28" s="256">
        <f ca="1">KTVTD20namMH!F29</f>
        <v>40</v>
      </c>
      <c r="P28" s="452">
        <f ca="1">IF('Tinh phi QL'!$H$9="Nam",VLOOKUP(KTVCOI!$I$5,KTVCOI!$D$3:$F$103,2,0)*N28/1000/12,IF('Tinh phi QL'!$H$9="Nữ",VLOOKUP(KTVCOI!$I$5,KTVCOI!$D$3:$F$103,3,0)*N28/1000/12,0))</f>
        <v>0.11302555470173431</v>
      </c>
      <c r="R28" s="452">
        <f ca="1">IF('Tinh phi QL'!$H$9="Nam",VLOOKUP(KTVCOI!$I$5,KTVCOI!$D$3:$F$103,2,0)*S28/1000/12,IF('Tinh phi QL'!$H$9="Nữ",VLOOKUP(KTVCOI!$I$5,KTVCOI!$D$3:$F$103,3,0)*S28/1000/12,0))</f>
        <v>0.11480556327798308</v>
      </c>
      <c r="S28" s="451">
        <f ca="1">$J$5-V27</f>
        <v>1051.6540147601504</v>
      </c>
      <c r="T28" s="420">
        <f ca="1">(T27-O28-P28)*(1+LS!$E$5)</f>
        <v>-1078.1139967226884</v>
      </c>
      <c r="U28" s="264"/>
      <c r="V28" s="418">
        <f ca="1">(V27-O28-R28)*(1+LS!$F$5)</f>
        <v>-1095.8682071889743</v>
      </c>
    </row>
    <row r="29" spans="4:22" ht="9.75" customHeight="1">
      <c r="D29" s="252">
        <v>26</v>
      </c>
      <c r="E29" s="329">
        <v>1.2</v>
      </c>
      <c r="F29" s="329">
        <v>0.84</v>
      </c>
      <c r="H29" s="252">
        <v>27</v>
      </c>
      <c r="I29" s="423">
        <f t="shared" ca="1" si="0"/>
        <v>56</v>
      </c>
      <c r="J29" s="423"/>
      <c r="L29" s="959"/>
      <c r="M29" s="252">
        <v>27</v>
      </c>
      <c r="N29" s="256">
        <f t="shared" ref="N29:N38" ca="1" si="5">$J$5-T28</f>
        <v>1078.1139967226884</v>
      </c>
      <c r="O29" s="256">
        <f ca="1">KTVTD20namMH!F30</f>
        <v>40</v>
      </c>
      <c r="P29" s="452">
        <f ca="1">IF('Tinh phi QL'!$H$9="Nam",VLOOKUP(KTVCOI!$I$5,KTVCOI!$D$3:$F$103,2,0)*N29/1000/12,IF('Tinh phi QL'!$H$9="Nữ",VLOOKUP(KTVCOI!$I$5,KTVCOI!$D$3:$F$103,3,0)*N29/1000/12,0))</f>
        <v>0.1176941113088935</v>
      </c>
      <c r="R29" s="452">
        <f ca="1">IF('Tinh phi QL'!$H$9="Nam",VLOOKUP(KTVCOI!$I$5,KTVCOI!$D$3:$F$103,2,0)*S29/1000/12,IF('Tinh phi QL'!$H$9="Nữ",VLOOKUP(KTVCOI!$I$5,KTVCOI!$D$3:$F$103,3,0)*S29/1000/12,0))</f>
        <v>0.11963227928479636</v>
      </c>
      <c r="S29" s="451">
        <f t="shared" ref="S29:S38" ca="1" si="6">$J$5-V28</f>
        <v>1095.8682071889743</v>
      </c>
      <c r="T29" s="420">
        <f ca="1">(T28-O29-P29)*(1+LS!$E$5)</f>
        <v>-1120.9895518515334</v>
      </c>
      <c r="U29" s="264"/>
      <c r="V29" s="418">
        <f ca="1">(V28-O29-R29)*(1+LS!$F$5)</f>
        <v>-1140.2532604455284</v>
      </c>
    </row>
    <row r="30" spans="4:22" ht="9.75" customHeight="1">
      <c r="D30" s="252">
        <v>27</v>
      </c>
      <c r="E30" s="329">
        <v>1.2</v>
      </c>
      <c r="F30" s="329">
        <v>0.87</v>
      </c>
      <c r="H30" s="252">
        <v>28</v>
      </c>
      <c r="I30" s="423">
        <f t="shared" ca="1" si="0"/>
        <v>57</v>
      </c>
      <c r="J30" s="423"/>
      <c r="L30" s="959"/>
      <c r="M30" s="252">
        <v>28</v>
      </c>
      <c r="N30" s="256">
        <f t="shared" ca="1" si="5"/>
        <v>1120.9895518515334</v>
      </c>
      <c r="O30" s="256">
        <f ca="1">KTVTD20namMH!F31</f>
        <v>40</v>
      </c>
      <c r="P30" s="452">
        <f ca="1">IF('Tinh phi QL'!$H$9="Nam",VLOOKUP(KTVCOI!$I$5,KTVCOI!$D$3:$F$103,2,0)*N30/1000/12,IF('Tinh phi QL'!$H$9="Nữ",VLOOKUP(KTVCOI!$I$5,KTVCOI!$D$3:$F$103,3,0)*N30/1000/12,0))</f>
        <v>0.12237469274379241</v>
      </c>
      <c r="R30" s="452">
        <f ca="1">IF('Tinh phi QL'!$H$9="Nam",VLOOKUP(KTVCOI!$I$5,KTVCOI!$D$3:$F$103,2,0)*S30/1000/12,IF('Tinh phi QL'!$H$9="Nữ",VLOOKUP(KTVCOI!$I$5,KTVCOI!$D$3:$F$103,3,0)*S30/1000/12,0))</f>
        <v>0.12447764759863687</v>
      </c>
      <c r="S30" s="451">
        <f t="shared" ca="1" si="6"/>
        <v>1140.2532604455284</v>
      </c>
      <c r="T30" s="420">
        <f ca="1">(T29-O30-P30)*(1+LS!$E$5)</f>
        <v>-1163.9755417909746</v>
      </c>
      <c r="U30" s="264"/>
      <c r="V30" s="418">
        <f ca="1">(V29-O30-R30)*(1+LS!$F$5)</f>
        <v>-1184.809834802473</v>
      </c>
    </row>
    <row r="31" spans="4:22" ht="9.75" customHeight="1">
      <c r="D31" s="252">
        <v>28</v>
      </c>
      <c r="E31" s="329">
        <v>1.19</v>
      </c>
      <c r="F31" s="329">
        <v>0.9</v>
      </c>
      <c r="H31" s="252">
        <v>29</v>
      </c>
      <c r="I31" s="423">
        <f t="shared" ca="1" si="0"/>
        <v>58</v>
      </c>
      <c r="J31" s="423"/>
      <c r="L31" s="959"/>
      <c r="M31" s="252">
        <v>29</v>
      </c>
      <c r="N31" s="256">
        <f t="shared" ca="1" si="5"/>
        <v>1163.9755417909746</v>
      </c>
      <c r="O31" s="256">
        <f ca="1">KTVTD20namMH!F32</f>
        <v>40</v>
      </c>
      <c r="P31" s="452">
        <f ca="1">IF('Tinh phi QL'!$H$9="Nam",VLOOKUP(KTVCOI!$I$5,KTVCOI!$D$3:$F$103,2,0)*N31/1000/12,IF('Tinh phi QL'!$H$9="Nữ",VLOOKUP(KTVCOI!$I$5,KTVCOI!$D$3:$F$103,3,0)*N31/1000/12,0))</f>
        <v>0.12706732997884806</v>
      </c>
      <c r="R31" s="452">
        <f ca="1">IF('Tinh phi QL'!$H$9="Nam",VLOOKUP(KTVCOI!$I$5,KTVCOI!$D$3:$F$103,2,0)*S31/1000/12,IF('Tinh phi QL'!$H$9="Nữ",VLOOKUP(KTVCOI!$I$5,KTVCOI!$D$3:$F$103,3,0)*S31/1000/12,0))</f>
        <v>0.12934174029926995</v>
      </c>
      <c r="S31" s="451">
        <f t="shared" ca="1" si="6"/>
        <v>1184.809834802473</v>
      </c>
      <c r="T31" s="420">
        <f ca="1">(T30-O31-P31)*(1+LS!$E$5)</f>
        <v>-1207.0722509885804</v>
      </c>
      <c r="U31" s="264"/>
      <c r="V31" s="418">
        <f ca="1">(V30-O31-R31)*(1+LS!$F$5)</f>
        <v>-1229.5385930840182</v>
      </c>
    </row>
    <row r="32" spans="4:22" ht="9.75" customHeight="1">
      <c r="D32" s="252">
        <v>29</v>
      </c>
      <c r="E32" s="329">
        <v>1.2</v>
      </c>
      <c r="F32" s="329">
        <v>0.92</v>
      </c>
      <c r="H32" s="252">
        <v>30</v>
      </c>
      <c r="I32" s="423">
        <f t="shared" ca="1" si="0"/>
        <v>59</v>
      </c>
      <c r="J32" s="423"/>
      <c r="L32" s="959"/>
      <c r="M32" s="252">
        <v>30</v>
      </c>
      <c r="N32" s="256">
        <f t="shared" ca="1" si="5"/>
        <v>1207.0722509885804</v>
      </c>
      <c r="O32" s="256">
        <f ca="1">KTVTD20namMH!F33</f>
        <v>40</v>
      </c>
      <c r="P32" s="452">
        <f ca="1">IF('Tinh phi QL'!$H$9="Nam",VLOOKUP(KTVCOI!$I$5,KTVCOI!$D$3:$F$103,2,0)*N32/1000/12,IF('Tinh phi QL'!$H$9="Nữ",VLOOKUP(KTVCOI!$I$5,KTVCOI!$D$3:$F$103,3,0)*N32/1000/12,0))</f>
        <v>0.13177205406625336</v>
      </c>
      <c r="R32" s="452">
        <f ca="1">IF('Tinh phi QL'!$H$9="Nam",VLOOKUP(KTVCOI!$I$5,KTVCOI!$D$3:$F$103,2,0)*S32/1000/12,IF('Tinh phi QL'!$H$9="Nữ",VLOOKUP(KTVCOI!$I$5,KTVCOI!$D$3:$F$103,3,0)*S32/1000/12,0))</f>
        <v>0.13422462974500532</v>
      </c>
      <c r="S32" s="451">
        <f t="shared" ca="1" si="6"/>
        <v>1229.5385930840182</v>
      </c>
      <c r="T32" s="420">
        <f ca="1">(T31-O32-P32)*(1+LS!$E$5)</f>
        <v>-1250.2799646245724</v>
      </c>
      <c r="U32" s="264"/>
      <c r="V32" s="418">
        <f ca="1">(V31-O32-R32)*(1+LS!$F$5)</f>
        <v>-1274.440200675785</v>
      </c>
    </row>
    <row r="33" spans="4:22" ht="9.75" customHeight="1">
      <c r="D33" s="252">
        <v>30</v>
      </c>
      <c r="E33" s="329">
        <v>1.23</v>
      </c>
      <c r="F33" s="329">
        <v>0.96</v>
      </c>
      <c r="H33" s="252">
        <v>31</v>
      </c>
      <c r="I33" s="423">
        <f t="shared" ca="1" si="0"/>
        <v>60</v>
      </c>
      <c r="J33" s="423"/>
      <c r="L33" s="959"/>
      <c r="M33" s="252">
        <v>31</v>
      </c>
      <c r="N33" s="256">
        <f t="shared" ca="1" si="5"/>
        <v>1250.2799646245724</v>
      </c>
      <c r="O33" s="256">
        <f ca="1">KTVTD20namMH!F34</f>
        <v>40</v>
      </c>
      <c r="P33" s="452">
        <f ca="1">IF('Tinh phi QL'!$H$9="Nam",VLOOKUP(KTVCOI!$I$5,KTVCOI!$D$3:$F$103,2,0)*N33/1000/12,IF('Tinh phi QL'!$H$9="Nữ",VLOOKUP(KTVCOI!$I$5,KTVCOI!$D$3:$F$103,3,0)*N33/1000/12,0))</f>
        <v>0.13648889613818249</v>
      </c>
      <c r="R33" s="452">
        <f ca="1">IF('Tinh phi QL'!$H$9="Nam",VLOOKUP(KTVCOI!$I$5,KTVCOI!$D$3:$F$103,2,0)*S33/1000/12,IF('Tinh phi QL'!$H$9="Nữ",VLOOKUP(KTVCOI!$I$5,KTVCOI!$D$3:$F$103,3,0)*S33/1000/12,0))</f>
        <v>0.13912638857377321</v>
      </c>
      <c r="S33" s="451">
        <f t="shared" ca="1" si="6"/>
        <v>1274.440200675785</v>
      </c>
      <c r="T33" s="420">
        <f ca="1">(T32-O33-P33)*(1+LS!$E$5)</f>
        <v>-1293.598968613712</v>
      </c>
      <c r="U33" s="264"/>
      <c r="V33" s="418">
        <f ca="1">(V32-O33-R33)*(1+LS!$F$5)</f>
        <v>-1319.5153255347029</v>
      </c>
    </row>
    <row r="34" spans="4:22" ht="9.75" customHeight="1">
      <c r="D34" s="252">
        <v>31</v>
      </c>
      <c r="E34" s="329">
        <v>1.26</v>
      </c>
      <c r="F34" s="329">
        <v>0.99</v>
      </c>
      <c r="H34" s="252">
        <v>32</v>
      </c>
      <c r="I34" s="423">
        <f t="shared" ca="1" si="0"/>
        <v>61</v>
      </c>
      <c r="J34" s="423"/>
      <c r="L34" s="959"/>
      <c r="M34" s="252">
        <v>32</v>
      </c>
      <c r="N34" s="256">
        <f t="shared" ca="1" si="5"/>
        <v>1293.598968613712</v>
      </c>
      <c r="O34" s="256">
        <f ca="1">KTVTD20namMH!F35</f>
        <v>40</v>
      </c>
      <c r="P34" s="452">
        <f ca="1">IF('Tinh phi QL'!$H$9="Nam",VLOOKUP(KTVCOI!$I$5,KTVCOI!$D$3:$F$103,2,0)*N34/1000/12,IF('Tinh phi QL'!$H$9="Nữ",VLOOKUP(KTVCOI!$I$5,KTVCOI!$D$3:$F$103,3,0)*N34/1000/12,0))</f>
        <v>0.14121788740699689</v>
      </c>
      <c r="R34" s="452">
        <f ca="1">IF('Tinh phi QL'!$H$9="Nam",VLOOKUP(KTVCOI!$I$5,KTVCOI!$D$3:$F$103,2,0)*S34/1000/12,IF('Tinh phi QL'!$H$9="Nữ",VLOOKUP(KTVCOI!$I$5,KTVCOI!$D$3:$F$103,3,0)*S34/1000/12,0))</f>
        <v>0.14404708970420507</v>
      </c>
      <c r="S34" s="451">
        <f t="shared" ca="1" si="6"/>
        <v>1319.5153255347029</v>
      </c>
      <c r="T34" s="420">
        <f ca="1">(T33-O34-P34)*(1+LS!$E$5)</f>
        <v>-1337.0295496071935</v>
      </c>
      <c r="U34" s="264"/>
      <c r="V34" s="418">
        <f ca="1">(V33-O34-R34)*(1+LS!$F$5)</f>
        <v>-1364.7646381989466</v>
      </c>
    </row>
    <row r="35" spans="4:22" ht="9.75" customHeight="1">
      <c r="D35" s="252">
        <v>32</v>
      </c>
      <c r="E35" s="329">
        <v>1.31</v>
      </c>
      <c r="F35" s="329">
        <v>1.03</v>
      </c>
      <c r="H35" s="252">
        <v>33</v>
      </c>
      <c r="I35" s="423">
        <f t="shared" ca="1" si="0"/>
        <v>62</v>
      </c>
      <c r="J35" s="423"/>
      <c r="L35" s="959"/>
      <c r="M35" s="252">
        <v>33</v>
      </c>
      <c r="N35" s="256">
        <f t="shared" ca="1" si="5"/>
        <v>1337.0295496071935</v>
      </c>
      <c r="O35" s="256">
        <f ca="1">KTVTD20namMH!F36</f>
        <v>40</v>
      </c>
      <c r="P35" s="452">
        <f ca="1">IF('Tinh phi QL'!$H$9="Nam",VLOOKUP(KTVCOI!$I$5,KTVCOI!$D$3:$F$103,2,0)*N35/1000/12,IF('Tinh phi QL'!$H$9="Nữ",VLOOKUP(KTVCOI!$I$5,KTVCOI!$D$3:$F$103,3,0)*N35/1000/12,0))</f>
        <v>0.14595905916545196</v>
      </c>
      <c r="R35" s="452">
        <f ca="1">IF('Tinh phi QL'!$H$9="Nam",VLOOKUP(KTVCOI!$I$5,KTVCOI!$D$3:$F$103,2,0)*S35/1000/12,IF('Tinh phi QL'!$H$9="Nữ",VLOOKUP(KTVCOI!$I$5,KTVCOI!$D$3:$F$103,3,0)*S35/1000/12,0))</f>
        <v>0.14898680633671835</v>
      </c>
      <c r="S35" s="451">
        <f t="shared" ca="1" si="6"/>
        <v>1364.7646381989466</v>
      </c>
      <c r="T35" s="420">
        <f ca="1">(T34-O35-P35)*(1+LS!$E$5)</f>
        <v>-1380.5719949945399</v>
      </c>
      <c r="U35" s="264"/>
      <c r="V35" s="418">
        <f ca="1">(V34-O35-R35)*(1+LS!$F$5)</f>
        <v>-1410.1888117979115</v>
      </c>
    </row>
    <row r="36" spans="4:22" ht="9.75" customHeight="1">
      <c r="D36" s="252">
        <v>33</v>
      </c>
      <c r="E36" s="329">
        <v>1.37</v>
      </c>
      <c r="F36" s="329">
        <v>1.08</v>
      </c>
      <c r="H36" s="252">
        <v>34</v>
      </c>
      <c r="I36" s="423">
        <f t="shared" ca="1" si="0"/>
        <v>63</v>
      </c>
      <c r="J36" s="423"/>
      <c r="L36" s="959"/>
      <c r="M36" s="252">
        <v>34</v>
      </c>
      <c r="N36" s="256">
        <f t="shared" ca="1" si="5"/>
        <v>1380.5719949945399</v>
      </c>
      <c r="O36" s="256">
        <f ca="1">KTVTD20namMH!F37</f>
        <v>40</v>
      </c>
      <c r="P36" s="452">
        <f ca="1">IF('Tinh phi QL'!$H$9="Nam",VLOOKUP(KTVCOI!$I$5,KTVCOI!$D$3:$F$103,2,0)*N36/1000/12,IF('Tinh phi QL'!$H$9="Nữ",VLOOKUP(KTVCOI!$I$5,KTVCOI!$D$3:$F$103,3,0)*N36/1000/12,0))</f>
        <v>0.15071244278690393</v>
      </c>
      <c r="R36" s="452">
        <f ca="1">IF('Tinh phi QL'!$H$9="Nam",VLOOKUP(KTVCOI!$I$5,KTVCOI!$D$3:$F$103,2,0)*S36/1000/12,IF('Tinh phi QL'!$H$9="Nữ",VLOOKUP(KTVCOI!$I$5,KTVCOI!$D$3:$F$103,3,0)*S36/1000/12,0))</f>
        <v>0.15394561195460535</v>
      </c>
      <c r="S36" s="451">
        <f t="shared" ca="1" si="6"/>
        <v>1410.1888117979115</v>
      </c>
      <c r="T36" s="420">
        <f ca="1">(T35-O36-P36)*(1+LS!$E$5)</f>
        <v>-1424.226592905505</v>
      </c>
      <c r="U36" s="264"/>
      <c r="V36" s="418">
        <f ca="1">(V35-O36-R36)*(1+LS!$F$5)</f>
        <v>-1455.7885220622259</v>
      </c>
    </row>
    <row r="37" spans="4:22" ht="9.75" customHeight="1">
      <c r="D37" s="252">
        <v>34</v>
      </c>
      <c r="E37" s="329">
        <v>1.44</v>
      </c>
      <c r="F37" s="329">
        <v>1.1299999999999999</v>
      </c>
      <c r="H37" s="252">
        <v>35</v>
      </c>
      <c r="I37" s="423">
        <f t="shared" ca="1" si="0"/>
        <v>64</v>
      </c>
      <c r="J37" s="423"/>
      <c r="L37" s="959"/>
      <c r="M37" s="252">
        <v>35</v>
      </c>
      <c r="N37" s="256">
        <f t="shared" ca="1" si="5"/>
        <v>1424.226592905505</v>
      </c>
      <c r="O37" s="256">
        <f ca="1">KTVTD20namMH!F38</f>
        <v>40</v>
      </c>
      <c r="P37" s="452">
        <f ca="1">IF('Tinh phi QL'!$H$9="Nam",VLOOKUP(KTVCOI!$I$5,KTVCOI!$D$3:$F$103,2,0)*N37/1000/12,IF('Tinh phi QL'!$H$9="Nữ",VLOOKUP(KTVCOI!$I$5,KTVCOI!$D$3:$F$103,3,0)*N37/1000/12,0))</f>
        <v>0.15547806972551761</v>
      </c>
      <c r="R37" s="452">
        <f ca="1">IF('Tinh phi QL'!$H$9="Nam",VLOOKUP(KTVCOI!$I$5,KTVCOI!$D$3:$F$103,2,0)*S37/1000/12,IF('Tinh phi QL'!$H$9="Nữ",VLOOKUP(KTVCOI!$I$5,KTVCOI!$D$3:$F$103,3,0)*S37/1000/12,0))</f>
        <v>0.15892358032512635</v>
      </c>
      <c r="S37" s="451">
        <f t="shared" ca="1" si="6"/>
        <v>1455.7885220622259</v>
      </c>
      <c r="T37" s="420">
        <f ca="1">(T36-O37-P37)*(1+LS!$E$5)</f>
        <v>-1467.99363221198</v>
      </c>
      <c r="U37" s="264"/>
      <c r="V37" s="418">
        <f ca="1">(V36-O37-R37)*(1+LS!$F$5)</f>
        <v>-1501.5644473338041</v>
      </c>
    </row>
    <row r="38" spans="4:22" ht="9.75" customHeight="1">
      <c r="D38" s="252">
        <v>35</v>
      </c>
      <c r="E38" s="329">
        <v>1.52</v>
      </c>
      <c r="F38" s="329">
        <v>1.19</v>
      </c>
      <c r="H38" s="252">
        <v>36</v>
      </c>
      <c r="I38" s="423">
        <f t="shared" ca="1" si="0"/>
        <v>65</v>
      </c>
      <c r="J38" s="423"/>
      <c r="L38" s="959"/>
      <c r="M38" s="252">
        <v>36</v>
      </c>
      <c r="N38" s="256">
        <f t="shared" ca="1" si="5"/>
        <v>1467.99363221198</v>
      </c>
      <c r="O38" s="256">
        <f ca="1">KTVTD20namMH!F39</f>
        <v>40</v>
      </c>
      <c r="P38" s="452">
        <f ca="1">IF('Tinh phi QL'!$H$9="Nam",VLOOKUP(KTVCOI!$I$5,KTVCOI!$D$3:$F$103,2,0)*N38/1000/12,IF('Tinh phi QL'!$H$9="Nữ",VLOOKUP(KTVCOI!$I$5,KTVCOI!$D$3:$F$103,3,0)*N38/1000/12,0))</f>
        <v>0.16025597151647447</v>
      </c>
      <c r="R38" s="452">
        <f ca="1">IF('Tinh phi QL'!$H$9="Nam",VLOOKUP(KTVCOI!$I$5,KTVCOI!$D$3:$F$103,2,0)*S38/1000/12,IF('Tinh phi QL'!$H$9="Nữ",VLOOKUP(KTVCOI!$I$5,KTVCOI!$D$3:$F$103,3,0)*S38/1000/12,0))</f>
        <v>0.16392078550060696</v>
      </c>
      <c r="S38" s="451">
        <f t="shared" ca="1" si="6"/>
        <v>1501.5644473338041</v>
      </c>
      <c r="T38" s="421">
        <f ca="1">(T37-O38-P38)*(1+LS!$E$5)</f>
        <v>-1511.8734025299057</v>
      </c>
      <c r="U38" s="264"/>
      <c r="V38" s="419">
        <f ca="1">(V37-O38-R38)*(1+LS!$F$5)</f>
        <v>-1547.5172685759376</v>
      </c>
    </row>
    <row r="39" spans="4:22" ht="9.75" customHeight="1">
      <c r="D39" s="252">
        <v>36</v>
      </c>
      <c r="E39" s="329">
        <v>1.62</v>
      </c>
      <c r="F39" s="329">
        <v>1.27</v>
      </c>
      <c r="H39" s="252">
        <v>37</v>
      </c>
      <c r="I39" s="423">
        <f t="shared" ca="1" si="0"/>
        <v>66</v>
      </c>
      <c r="J39" s="423"/>
      <c r="L39" s="957">
        <f>L27+1</f>
        <v>4</v>
      </c>
      <c r="M39" s="262">
        <v>37</v>
      </c>
      <c r="N39" s="263">
        <f ca="1">J6-T38-KTVTDGTTKcamket!F10</f>
        <v>1511.8734025299057</v>
      </c>
      <c r="O39" s="256">
        <f ca="1">KTVTD20namMH!F40</f>
        <v>40</v>
      </c>
      <c r="P39" s="451">
        <f ca="1">IF('Tinh phi QL'!$H$9="Nam",VLOOKUP(KTVCOI!$I$6,KTVCOI!$D$3:$F$103,2,0)*N39/1000/12,IF('Tinh phi QL'!$H$9="Nữ",VLOOKUP(KTVCOI!$I$6,KTVCOI!$D$3:$F$103,3,0)*N39/1000/12,0))</f>
        <v>0.17260554678883092</v>
      </c>
      <c r="Q39" s="962"/>
      <c r="R39" s="452">
        <f ca="1">IF('Tinh phi QL'!$H$9="Nam",VLOOKUP(KTVCOI!$I$6,KTVCOI!$D$3:$F$103,2,0)*S39/1000/12,IF('Tinh phi QL'!$H$9="Nữ",VLOOKUP(KTVCOI!$I$6,KTVCOI!$D$3:$F$103,3,0)*S39/1000/12,0))</f>
        <v>0.17667488816241952</v>
      </c>
      <c r="S39" s="451">
        <f ca="1">KTVTD20namMH!E40-V38-KTVTDGTTKMH!F10</f>
        <v>1547.5172685759376</v>
      </c>
      <c r="T39" s="420">
        <f ca="1">(T38+KTVTDGTTKcamket!F10-O39-P39)*(1+LS!$E$6)</f>
        <v>-1554.6093382433539</v>
      </c>
      <c r="U39" s="264"/>
      <c r="V39" s="418">
        <f ca="1">(V38+KTVTDGTTKMH!F10-O39-R39)*(1+LS!$F$6)</f>
        <v>-1593.6554360229509</v>
      </c>
    </row>
    <row r="40" spans="4:22" ht="9.75" customHeight="1">
      <c r="D40" s="252">
        <v>37</v>
      </c>
      <c r="E40" s="329">
        <v>1.74</v>
      </c>
      <c r="F40" s="329">
        <v>1.37</v>
      </c>
      <c r="H40" s="252">
        <v>38</v>
      </c>
      <c r="I40" s="423">
        <f t="shared" ca="1" si="0"/>
        <v>67</v>
      </c>
      <c r="J40" s="423"/>
      <c r="L40" s="957"/>
      <c r="M40" s="262">
        <v>38</v>
      </c>
      <c r="N40" s="263">
        <f ca="1">$J$6-T39</f>
        <v>1554.6093382433539</v>
      </c>
      <c r="O40" s="256">
        <f ca="1">KTVTD20namMH!F41</f>
        <v>40</v>
      </c>
      <c r="P40" s="451">
        <f ca="1">IF('Tinh phi QL'!$H$9="Nam",VLOOKUP(KTVCOI!$I$6,KTVCOI!$D$3:$F$103,2,0)*N40/1000/12,IF('Tinh phi QL'!$H$9="Nữ",VLOOKUP(KTVCOI!$I$6,KTVCOI!$D$3:$F$103,3,0)*N40/1000/12,0))</f>
        <v>0.17748456611611627</v>
      </c>
      <c r="Q40" s="962"/>
      <c r="R40" s="452">
        <f ca="1">IF('Tinh phi QL'!$H$9="Nam",VLOOKUP(KTVCOI!$I$6,KTVCOI!$D$3:$F$103,2,0)*S40/1000/12,IF('Tinh phi QL'!$H$9="Nữ",VLOOKUP(KTVCOI!$I$6,KTVCOI!$D$3:$F$103,3,0)*S40/1000/12,0))</f>
        <v>0.18194232894595361</v>
      </c>
      <c r="S40" s="451">
        <f ca="1">KTVTD20namMH!E41-V39</f>
        <v>1593.6554360229509</v>
      </c>
      <c r="T40" s="420">
        <f ca="1">(T39-O40-P40)*(1+LS!$E$6)</f>
        <v>-1597.4207429065709</v>
      </c>
      <c r="U40" s="264"/>
      <c r="V40" s="418">
        <f ca="1">(V39-O40-R40)*(1+LS!$F$6)</f>
        <v>-1639.9721308421445</v>
      </c>
    </row>
    <row r="41" spans="4:22" ht="9.75" customHeight="1">
      <c r="D41" s="252">
        <v>38</v>
      </c>
      <c r="E41" s="329">
        <v>1.88</v>
      </c>
      <c r="F41" s="329">
        <v>1.49</v>
      </c>
      <c r="H41" s="252">
        <v>39</v>
      </c>
      <c r="I41" s="423">
        <f t="shared" ca="1" si="0"/>
        <v>68</v>
      </c>
      <c r="J41" s="423"/>
      <c r="L41" s="957"/>
      <c r="M41" s="262">
        <v>39</v>
      </c>
      <c r="N41" s="263">
        <f t="shared" ref="N41:N50" ca="1" si="7">$J$6-T40</f>
        <v>1597.4207429065709</v>
      </c>
      <c r="O41" s="256">
        <f ca="1">KTVTD20namMH!F42</f>
        <v>40</v>
      </c>
      <c r="P41" s="451">
        <f ca="1">IF('Tinh phi QL'!$H$9="Nam",VLOOKUP(KTVCOI!$I$6,KTVCOI!$D$3:$F$103,2,0)*N41/1000/12,IF('Tinh phi QL'!$H$9="Nữ",VLOOKUP(KTVCOI!$I$6,KTVCOI!$D$3:$F$103,3,0)*N41/1000/12,0))</f>
        <v>0.18237220148183353</v>
      </c>
      <c r="Q41" s="962"/>
      <c r="R41" s="452">
        <f ca="1">IF('Tinh phi QL'!$H$9="Nam",VLOOKUP(KTVCOI!$I$6,KTVCOI!$D$3:$F$103,2,0)*S41/1000/12,IF('Tinh phi QL'!$H$9="Nữ",VLOOKUP(KTVCOI!$I$6,KTVCOI!$D$3:$F$103,3,0)*S41/1000/12,0))</f>
        <v>0.18723015160447817</v>
      </c>
      <c r="S41" s="451">
        <f ca="1">KTVTD20namMH!E42-V40</f>
        <v>1639.9721308421445</v>
      </c>
      <c r="T41" s="420">
        <f ca="1">(T40-O41-P41)*(1+LS!$E$6)</f>
        <v>-1640.3077497929316</v>
      </c>
      <c r="U41" s="264"/>
      <c r="V41" s="418">
        <f ca="1">(V40-O41-R41)*(1+LS!$F$6)</f>
        <v>-1686.468043828675</v>
      </c>
    </row>
    <row r="42" spans="4:22" ht="9.75" customHeight="1">
      <c r="D42" s="252">
        <v>39</v>
      </c>
      <c r="E42" s="329">
        <v>2.0299999999999998</v>
      </c>
      <c r="F42" s="329">
        <v>1.62</v>
      </c>
      <c r="H42" s="252">
        <v>40</v>
      </c>
      <c r="I42" s="423">
        <f t="shared" ca="1" si="0"/>
        <v>69</v>
      </c>
      <c r="J42" s="423"/>
      <c r="L42" s="957"/>
      <c r="M42" s="262">
        <v>40</v>
      </c>
      <c r="N42" s="263">
        <f t="shared" ca="1" si="7"/>
        <v>1640.3077497929316</v>
      </c>
      <c r="O42" s="256">
        <f ca="1">KTVTD20namMH!F43</f>
        <v>40</v>
      </c>
      <c r="P42" s="451">
        <f ca="1">IF('Tinh phi QL'!$H$9="Nam",VLOOKUP(KTVCOI!$I$6,KTVCOI!$D$3:$F$103,2,0)*N42/1000/12,IF('Tinh phi QL'!$H$9="Nữ",VLOOKUP(KTVCOI!$I$6,KTVCOI!$D$3:$F$103,3,0)*N42/1000/12,0))</f>
        <v>0.18726846810135975</v>
      </c>
      <c r="Q42" s="962"/>
      <c r="R42" s="452">
        <f ca="1">IF('Tinh phi QL'!$H$9="Nam",VLOOKUP(KTVCOI!$I$6,KTVCOI!$D$3:$F$103,2,0)*S42/1000/12,IF('Tinh phi QL'!$H$9="Nữ",VLOOKUP(KTVCOI!$I$6,KTVCOI!$D$3:$F$103,3,0)*S42/1000/12,0))</f>
        <v>0.19253843500377374</v>
      </c>
      <c r="S42" s="451">
        <f ca="1">KTVTD20namMH!E43-V41</f>
        <v>1686.468043828675</v>
      </c>
      <c r="T42" s="420">
        <f ca="1">(T41-O42-P42)*(1+LS!$E$6)</f>
        <v>-1683.2704924111631</v>
      </c>
      <c r="U42" s="264"/>
      <c r="V42" s="418">
        <f ca="1">(V41-O42-R42)*(1+LS!$F$6)</f>
        <v>-1733.1438684506675</v>
      </c>
    </row>
    <row r="43" spans="4:22" ht="9.75" customHeight="1">
      <c r="D43" s="252">
        <v>40</v>
      </c>
      <c r="E43" s="329">
        <v>2.21</v>
      </c>
      <c r="F43" s="329">
        <v>1.77</v>
      </c>
      <c r="H43" s="252">
        <v>41</v>
      </c>
      <c r="I43" s="423">
        <f t="shared" ca="1" si="0"/>
        <v>70</v>
      </c>
      <c r="J43" s="423"/>
      <c r="L43" s="957"/>
      <c r="M43" s="262">
        <v>41</v>
      </c>
      <c r="N43" s="263">
        <f t="shared" ca="1" si="7"/>
        <v>1683.2704924111631</v>
      </c>
      <c r="O43" s="256">
        <f ca="1">KTVTD20namMH!F44</f>
        <v>40</v>
      </c>
      <c r="P43" s="451">
        <f ca="1">IF('Tinh phi QL'!$H$9="Nam",VLOOKUP(KTVCOI!$I$6,KTVCOI!$D$3:$F$103,2,0)*N43/1000/12,IF('Tinh phi QL'!$H$9="Nữ",VLOOKUP(KTVCOI!$I$6,KTVCOI!$D$3:$F$103,3,0)*N43/1000/12,0))</f>
        <v>0.19217338121694116</v>
      </c>
      <c r="Q43" s="962"/>
      <c r="R43" s="452">
        <f ca="1">IF('Tinh phi QL'!$H$9="Nam",VLOOKUP(KTVCOI!$I$6,KTVCOI!$D$3:$F$103,2,0)*S43/1000/12,IF('Tinh phi QL'!$H$9="Nữ",VLOOKUP(KTVCOI!$I$6,KTVCOI!$D$3:$F$103,3,0)*S43/1000/12,0))</f>
        <v>0.19786725831478458</v>
      </c>
      <c r="S43" s="451">
        <f ca="1">KTVTD20namMH!E44-V42</f>
        <v>1733.1438684506675</v>
      </c>
      <c r="T43" s="420">
        <f ca="1">(T42-O43-P43)*(1+LS!$E$6)</f>
        <v>-1726.3091045057602</v>
      </c>
      <c r="U43" s="264"/>
      <c r="V43" s="418">
        <f ca="1">(V42-O43-R43)*(1+LS!$F$6)</f>
        <v>-1780.0003008595572</v>
      </c>
    </row>
    <row r="44" spans="4:22" ht="9.75" customHeight="1">
      <c r="D44" s="252">
        <v>41</v>
      </c>
      <c r="E44" s="329">
        <v>2.39</v>
      </c>
      <c r="F44" s="329">
        <v>1.93</v>
      </c>
      <c r="H44" s="252">
        <v>42</v>
      </c>
      <c r="I44" s="423">
        <f t="shared" ca="1" si="0"/>
        <v>71</v>
      </c>
      <c r="J44" s="423"/>
      <c r="L44" s="957"/>
      <c r="M44" s="262">
        <v>42</v>
      </c>
      <c r="N44" s="263">
        <f t="shared" ca="1" si="7"/>
        <v>1726.3091045057602</v>
      </c>
      <c r="O44" s="256">
        <f ca="1">KTVTD20namMH!F45</f>
        <v>40</v>
      </c>
      <c r="P44" s="451">
        <f ca="1">IF('Tinh phi QL'!$H$9="Nam",VLOOKUP(KTVCOI!$I$6,KTVCOI!$D$3:$F$103,2,0)*N44/1000/12,IF('Tinh phi QL'!$H$9="Nữ",VLOOKUP(KTVCOI!$I$6,KTVCOI!$D$3:$F$103,3,0)*N44/1000/12,0))</f>
        <v>0.19708695609774096</v>
      </c>
      <c r="Q44" s="962"/>
      <c r="R44" s="452">
        <f ca="1">IF('Tinh phi QL'!$H$9="Nam",VLOOKUP(KTVCOI!$I$6,KTVCOI!$D$3:$F$103,2,0)*S44/1000/12,IF('Tinh phi QL'!$H$9="Nữ",VLOOKUP(KTVCOI!$I$6,KTVCOI!$D$3:$F$103,3,0)*S44/1000/12,0))</f>
        <v>0.20321670101479947</v>
      </c>
      <c r="S44" s="451">
        <f ca="1">KTVTD20namMH!E45-V43</f>
        <v>1780.0003008595572</v>
      </c>
      <c r="T44" s="420">
        <f ca="1">(T43-O44-P44)*(1+LS!$E$6)</f>
        <v>-1769.4237200574028</v>
      </c>
      <c r="U44" s="264"/>
      <c r="V44" s="418">
        <f ca="1">(V43-O44-R44)*(1+LS!$F$6)</f>
        <v>-1827.0380399004734</v>
      </c>
    </row>
    <row r="45" spans="4:22" ht="9.75" customHeight="1">
      <c r="D45" s="252">
        <v>42</v>
      </c>
      <c r="E45" s="329">
        <v>2.6</v>
      </c>
      <c r="F45" s="329">
        <v>2.09</v>
      </c>
      <c r="H45" s="252">
        <v>43</v>
      </c>
      <c r="I45" s="423">
        <f t="shared" ca="1" si="0"/>
        <v>72</v>
      </c>
      <c r="J45" s="423"/>
      <c r="L45" s="957"/>
      <c r="M45" s="262">
        <v>43</v>
      </c>
      <c r="N45" s="263">
        <f t="shared" ca="1" si="7"/>
        <v>1769.4237200574028</v>
      </c>
      <c r="O45" s="256">
        <f ca="1">KTVTD20namMH!F46</f>
        <v>50</v>
      </c>
      <c r="P45" s="451">
        <f ca="1">IF('Tinh phi QL'!$H$9="Nam",VLOOKUP(KTVCOI!$I$6,KTVCOI!$D$3:$F$103,2,0)*N45/1000/12,IF('Tinh phi QL'!$H$9="Nữ",VLOOKUP(KTVCOI!$I$6,KTVCOI!$D$3:$F$103,3,0)*N45/1000/12,0))</f>
        <v>0.20200920803988684</v>
      </c>
      <c r="Q45" s="962"/>
      <c r="R45" s="452">
        <f ca="1">IF('Tinh phi QL'!$H$9="Nam",VLOOKUP(KTVCOI!$I$6,KTVCOI!$D$3:$F$103,2,0)*S45/1000/12,IF('Tinh phi QL'!$H$9="Nữ",VLOOKUP(KTVCOI!$I$6,KTVCOI!$D$3:$F$103,3,0)*S45/1000/12,0))</f>
        <v>0.20858684288863741</v>
      </c>
      <c r="S45" s="451">
        <f ca="1">KTVTD20namMH!E46-V44</f>
        <v>1827.0380399004734</v>
      </c>
      <c r="T45" s="420">
        <f ca="1">(T44-O45-P45)*(1+LS!$E$6)</f>
        <v>-1822.6309890963905</v>
      </c>
      <c r="U45" s="264"/>
      <c r="V45" s="418">
        <f ca="1">(V44-O45-R45)*(1+LS!$F$6)</f>
        <v>-1884.2953352444738</v>
      </c>
    </row>
    <row r="46" spans="4:22" ht="9.75" customHeight="1">
      <c r="D46" s="252">
        <v>43</v>
      </c>
      <c r="E46" s="329">
        <v>2.82</v>
      </c>
      <c r="F46" s="329">
        <v>2.2400000000000002</v>
      </c>
      <c r="H46" s="252">
        <v>44</v>
      </c>
      <c r="I46" s="423">
        <f t="shared" ca="1" si="0"/>
        <v>73</v>
      </c>
      <c r="J46" s="423"/>
      <c r="L46" s="957"/>
      <c r="M46" s="262">
        <v>44</v>
      </c>
      <c r="N46" s="263">
        <f t="shared" ca="1" si="7"/>
        <v>1822.6309890963905</v>
      </c>
      <c r="O46" s="256">
        <f ca="1">KTVTD20namMH!F47</f>
        <v>50</v>
      </c>
      <c r="P46" s="451">
        <f ca="1">IF('Tinh phi QL'!$H$9="Nam",VLOOKUP(KTVCOI!$I$6,KTVCOI!$D$3:$F$103,2,0)*N46/1000/12,IF('Tinh phi QL'!$H$9="Nữ",VLOOKUP(KTVCOI!$I$6,KTVCOI!$D$3:$F$103,3,0)*N46/1000/12,0))</f>
        <v>0.20808370458850459</v>
      </c>
      <c r="Q46" s="962"/>
      <c r="R46" s="452">
        <f ca="1">IF('Tinh phi QL'!$H$9="Nam",VLOOKUP(KTVCOI!$I$6,KTVCOI!$D$3:$F$103,2,0)*S46/1000/12,IF('Tinh phi QL'!$H$9="Nữ",VLOOKUP(KTVCOI!$I$6,KTVCOI!$D$3:$F$103,3,0)*S46/1000/12,0))</f>
        <v>0.21512371744041078</v>
      </c>
      <c r="S46" s="451">
        <f ca="1">KTVTD20namMH!E47-V45</f>
        <v>1884.2953352444738</v>
      </c>
      <c r="T46" s="420">
        <f ca="1">(T45-O46-P46)*(1+LS!$E$6)</f>
        <v>-1875.9322187951227</v>
      </c>
      <c r="U46" s="264"/>
      <c r="V46" s="418">
        <f ca="1">(V45-O46-R46)*(1+LS!$F$6)</f>
        <v>-1941.7741823977792</v>
      </c>
    </row>
    <row r="47" spans="4:22" ht="9.75" customHeight="1">
      <c r="D47" s="252">
        <v>44</v>
      </c>
      <c r="E47" s="329">
        <v>3.06</v>
      </c>
      <c r="F47" s="329">
        <v>2.41</v>
      </c>
      <c r="H47" s="252">
        <v>45</v>
      </c>
      <c r="I47" s="423">
        <f t="shared" ca="1" si="0"/>
        <v>74</v>
      </c>
      <c r="J47" s="423"/>
      <c r="L47" s="957"/>
      <c r="M47" s="262">
        <v>45</v>
      </c>
      <c r="N47" s="263">
        <f t="shared" ca="1" si="7"/>
        <v>1875.9322187951227</v>
      </c>
      <c r="O47" s="256">
        <f ca="1">KTVTD20namMH!F48</f>
        <v>50</v>
      </c>
      <c r="P47" s="451">
        <f ca="1">IF('Tinh phi QL'!$H$9="Nam",VLOOKUP(KTVCOI!$I$6,KTVCOI!$D$3:$F$103,2,0)*N47/1000/12,IF('Tinh phi QL'!$H$9="Nữ",VLOOKUP(KTVCOI!$I$6,KTVCOI!$D$3:$F$103,3,0)*N47/1000/12,0))</f>
        <v>0.21416892831244319</v>
      </c>
      <c r="Q47" s="962"/>
      <c r="R47" s="452">
        <f ca="1">IF('Tinh phi QL'!$H$9="Nam",VLOOKUP(KTVCOI!$I$6,KTVCOI!$D$3:$F$103,2,0)*S47/1000/12,IF('Tinh phi QL'!$H$9="Nữ",VLOOKUP(KTVCOI!$I$6,KTVCOI!$D$3:$F$103,3,0)*S47/1000/12,0))</f>
        <v>0.22168588582374646</v>
      </c>
      <c r="S47" s="451">
        <f ca="1">KTVTD20namMH!E48-V46</f>
        <v>1941.7741823977792</v>
      </c>
      <c r="T47" s="420">
        <f ca="1">(T46-O47-P47)*(1+LS!$E$6)</f>
        <v>-1929.3275750821604</v>
      </c>
      <c r="U47" s="264"/>
      <c r="V47" s="418">
        <f ca="1">(V46-O47-R47)*(1+LS!$F$6)</f>
        <v>-1999.4754386346269</v>
      </c>
    </row>
    <row r="48" spans="4:22" ht="9.75" customHeight="1">
      <c r="D48" s="252">
        <v>45</v>
      </c>
      <c r="E48" s="329">
        <v>3.31</v>
      </c>
      <c r="F48" s="329">
        <v>2.58</v>
      </c>
      <c r="H48" s="252">
        <v>46</v>
      </c>
      <c r="I48" s="423">
        <f t="shared" ca="1" si="0"/>
        <v>75</v>
      </c>
      <c r="J48" s="423"/>
      <c r="L48" s="957"/>
      <c r="M48" s="262">
        <v>46</v>
      </c>
      <c r="N48" s="263">
        <f t="shared" ca="1" si="7"/>
        <v>1929.3275750821604</v>
      </c>
      <c r="O48" s="256">
        <f ca="1">KTVTD20namMH!F49</f>
        <v>50</v>
      </c>
      <c r="P48" s="451">
        <f ca="1">IF('Tinh phi QL'!$H$9="Nam",VLOOKUP(KTVCOI!$I$6,KTVCOI!$D$3:$F$103,2,0)*N48/1000/12,IF('Tinh phi QL'!$H$9="Nữ",VLOOKUP(KTVCOI!$I$6,KTVCOI!$D$3:$F$103,3,0)*N48/1000/12,0))</f>
        <v>0.22026489815521333</v>
      </c>
      <c r="Q48" s="962"/>
      <c r="R48" s="452">
        <f ca="1">IF('Tinh phi QL'!$H$9="Nam",VLOOKUP(KTVCOI!$I$6,KTVCOI!$D$3:$F$103,2,0)*S48/1000/12,IF('Tinh phi QL'!$H$9="Nữ",VLOOKUP(KTVCOI!$I$6,KTVCOI!$D$3:$F$103,3,0)*S48/1000/12,0))</f>
        <v>0.2282734459107866</v>
      </c>
      <c r="S48" s="451">
        <f ca="1">KTVTD20namMH!E49-V47</f>
        <v>1999.4754386346269</v>
      </c>
      <c r="T48" s="420">
        <f ca="1">(T47-O48-P48)*(1+LS!$E$6)</f>
        <v>-1982.8172241790835</v>
      </c>
      <c r="U48" s="264"/>
      <c r="V48" s="418">
        <f ca="1">(V47-O48-R48)*(1+LS!$F$6)</f>
        <v>-2057.3999645463982</v>
      </c>
    </row>
    <row r="49" spans="4:22" ht="9.75" customHeight="1">
      <c r="D49" s="252">
        <v>46</v>
      </c>
      <c r="E49" s="329">
        <v>3.58</v>
      </c>
      <c r="F49" s="329">
        <v>2.74</v>
      </c>
      <c r="H49" s="252">
        <v>47</v>
      </c>
      <c r="I49" s="423">
        <f t="shared" ca="1" si="0"/>
        <v>76</v>
      </c>
      <c r="J49" s="423"/>
      <c r="L49" s="957"/>
      <c r="M49" s="262">
        <v>47</v>
      </c>
      <c r="N49" s="263">
        <f t="shared" ca="1" si="7"/>
        <v>1982.8172241790835</v>
      </c>
      <c r="O49" s="256">
        <f ca="1">KTVTD20namMH!F50</f>
        <v>50</v>
      </c>
      <c r="P49" s="451">
        <f ca="1">IF('Tinh phi QL'!$H$9="Nam",VLOOKUP(KTVCOI!$I$6,KTVCOI!$D$3:$F$103,2,0)*N49/1000/12,IF('Tinh phi QL'!$H$9="Nữ",VLOOKUP(KTVCOI!$I$6,KTVCOI!$D$3:$F$103,3,0)*N49/1000/12,0))</f>
        <v>0.22637163309377872</v>
      </c>
      <c r="Q49" s="962"/>
      <c r="R49" s="452">
        <f ca="1">IF('Tinh phi QL'!$H$9="Nam",VLOOKUP(KTVCOI!$I$6,KTVCOI!$D$3:$F$103,2,0)*S49/1000/12,IF('Tinh phi QL'!$H$9="Nữ",VLOOKUP(KTVCOI!$I$6,KTVCOI!$D$3:$F$103,3,0)*S49/1000/12,0))</f>
        <v>0.23488649595238051</v>
      </c>
      <c r="S49" s="451">
        <f ca="1">KTVTD20namMH!E50-V48</f>
        <v>2057.3999645463982</v>
      </c>
      <c r="T49" s="420">
        <f ca="1">(T48-O49-P49)*(1+LS!$E$6)</f>
        <v>-2036.4013326010092</v>
      </c>
      <c r="U49" s="264"/>
      <c r="V49" s="418">
        <f ca="1">(V48-O49-R49)*(1+LS!$F$6)</f>
        <v>-2115.5486240544524</v>
      </c>
    </row>
    <row r="50" spans="4:22" ht="9.75" customHeight="1">
      <c r="D50" s="252">
        <v>47</v>
      </c>
      <c r="E50" s="329">
        <v>3.87</v>
      </c>
      <c r="F50" s="329">
        <v>2.93</v>
      </c>
      <c r="H50" s="252">
        <v>48</v>
      </c>
      <c r="I50" s="423">
        <f t="shared" ca="1" si="0"/>
        <v>77</v>
      </c>
      <c r="J50" s="423"/>
      <c r="L50" s="957"/>
      <c r="M50" s="262">
        <v>48</v>
      </c>
      <c r="N50" s="263">
        <f t="shared" ca="1" si="7"/>
        <v>2036.4013326010092</v>
      </c>
      <c r="O50" s="256">
        <f ca="1">KTVTD20namMH!F51</f>
        <v>50</v>
      </c>
      <c r="P50" s="451">
        <f ca="1">IF('Tinh phi QL'!$H$9="Nam",VLOOKUP(KTVCOI!$I$6,KTVCOI!$D$3:$F$103,2,0)*N50/1000/12,IF('Tinh phi QL'!$H$9="Nữ",VLOOKUP(KTVCOI!$I$6,KTVCOI!$D$3:$F$103,3,0)*N50/1000/12,0))</f>
        <v>0.23248915213861523</v>
      </c>
      <c r="Q50" s="962"/>
      <c r="R50" s="452">
        <f ca="1">IF('Tinh phi QL'!$H$9="Nam",VLOOKUP(KTVCOI!$I$6,KTVCOI!$D$3:$F$103,2,0)*S50/1000/12,IF('Tinh phi QL'!$H$9="Nữ",VLOOKUP(KTVCOI!$I$6,KTVCOI!$D$3:$F$103,3,0)*S50/1000/12,0))</f>
        <v>0.24152513457955002</v>
      </c>
      <c r="S50" s="451">
        <f ca="1">KTVTD20namMH!E51-V49</f>
        <v>2115.5486240544524</v>
      </c>
      <c r="T50" s="421">
        <f ca="1">(T49-O50-P50)*(1+LS!$E$6)</f>
        <v>-2090.0800671571092</v>
      </c>
      <c r="U50" s="264"/>
      <c r="V50" s="419">
        <f ca="1">(V49-O50-R50)*(1+LS!$F$6)</f>
        <v>-2173.9222844230135</v>
      </c>
    </row>
    <row r="51" spans="4:22" ht="9.75" customHeight="1">
      <c r="D51" s="252">
        <v>48</v>
      </c>
      <c r="E51" s="329">
        <v>4.18</v>
      </c>
      <c r="F51" s="329">
        <v>3.14</v>
      </c>
      <c r="H51" s="252">
        <v>49</v>
      </c>
      <c r="I51" s="423">
        <f t="shared" ca="1" si="0"/>
        <v>78</v>
      </c>
      <c r="J51" s="423"/>
      <c r="L51" s="959">
        <f>L39+1</f>
        <v>5</v>
      </c>
      <c r="M51" s="252">
        <v>49</v>
      </c>
      <c r="N51" s="256">
        <f ca="1">J7-T50-KTVTDGTTKcamket!F11</f>
        <v>2090.0800671571092</v>
      </c>
      <c r="O51" s="256">
        <f ca="1">KTVTD20namMH!F52</f>
        <v>50</v>
      </c>
      <c r="P51" s="452">
        <f ca="1">IF('Tinh phi QL'!$H$9="Nam",VLOOKUP(KTVCOI!$I$7,KTVCOI!$D$3:$F$103,2,0)*N51/1000/12,IF('Tinh phi QL'!$H$9="Nữ",VLOOKUP(KTVCOI!$I$7,KTVCOI!$D$3:$F$103,3,0)*N51/1000/12,0))</f>
        <v>0.25080960805885305</v>
      </c>
      <c r="Q51" s="959"/>
      <c r="R51" s="452">
        <f ca="1">IF('Tinh phi QL'!$H$9="Nam",VLOOKUP(KTVCOI!$I$7,KTVCOI!$D$3:$F$103,2,0)*S51/1000/12,IF('Tinh phi QL'!$H$9="Nữ",VLOOKUP(KTVCOI!$I$7,KTVCOI!$D$3:$F$103,3,0)*S51/1000/12,0))</f>
        <v>0.26087067413076165</v>
      </c>
      <c r="S51" s="452">
        <f ca="1">KTVTD20namMH!E52-V50-KTVTDGTTKMH!F11</f>
        <v>2173.9222844230135</v>
      </c>
      <c r="T51" s="418">
        <f ca="1">(T50+KTVTDGTTKcamket!F11-O51-P51)*(1+LS!$E$7)</f>
        <v>-2143.8658072211556</v>
      </c>
      <c r="U51" s="958">
        <f>Q51</f>
        <v>0</v>
      </c>
      <c r="V51" s="418">
        <f ca="1">(V50+KTVTDGTTKMH!F11-O51-R51)*(1+LS!$F$7)</f>
        <v>-2232.534545101003</v>
      </c>
    </row>
    <row r="52" spans="4:22" ht="9.75" customHeight="1">
      <c r="D52" s="252">
        <v>49</v>
      </c>
      <c r="E52" s="329">
        <v>4.5199999999999996</v>
      </c>
      <c r="F52" s="329">
        <v>3.35</v>
      </c>
      <c r="H52" s="252">
        <v>50</v>
      </c>
      <c r="I52" s="423">
        <f t="shared" ca="1" si="0"/>
        <v>79</v>
      </c>
      <c r="J52" s="423"/>
      <c r="L52" s="959"/>
      <c r="M52" s="252">
        <v>50</v>
      </c>
      <c r="N52" s="256">
        <f ca="1">$J$7-T51</f>
        <v>2143.8658072211556</v>
      </c>
      <c r="O52" s="256">
        <f ca="1">KTVTD20namMH!F53</f>
        <v>50</v>
      </c>
      <c r="P52" s="452">
        <f ca="1">IF('Tinh phi QL'!$H$9="Nam",VLOOKUP(KTVCOI!$I$7,KTVCOI!$D$3:$F$103,2,0)*N52/1000/12,IF('Tinh phi QL'!$H$9="Nữ",VLOOKUP(KTVCOI!$I$7,KTVCOI!$D$3:$F$103,3,0)*N52/1000/12,0))</f>
        <v>0.25726389686653867</v>
      </c>
      <c r="Q52" s="959"/>
      <c r="R52" s="452">
        <f ca="1">IF('Tinh phi QL'!$H$9="Nam",VLOOKUP(KTVCOI!$I$7,KTVCOI!$D$3:$F$103,2,0)*S52/1000/12,IF('Tinh phi QL'!$H$9="Nữ",VLOOKUP(KTVCOI!$I$7,KTVCOI!$D$3:$F$103,3,0)*S52/1000/12,0))</f>
        <v>0.26790414541212038</v>
      </c>
      <c r="S52" s="452">
        <f ca="1">KTVTD20namMH!E53-V51</f>
        <v>2232.534545101003</v>
      </c>
      <c r="T52" s="418">
        <f ca="1">(T51-O52-P52)*(1+LS!$E$7)</f>
        <v>-2197.7468437563921</v>
      </c>
      <c r="U52" s="958"/>
      <c r="V52" s="418">
        <f ca="1">(V51-O52-R52)*(1+LS!$F$7)</f>
        <v>-2291.3739436899959</v>
      </c>
    </row>
    <row r="53" spans="4:22" ht="9.75" customHeight="1">
      <c r="D53" s="252">
        <v>50</v>
      </c>
      <c r="E53" s="329">
        <v>4.9000000000000004</v>
      </c>
      <c r="F53" s="329">
        <v>3.6</v>
      </c>
      <c r="H53" s="252">
        <v>51</v>
      </c>
      <c r="I53" s="423">
        <f t="shared" ca="1" si="0"/>
        <v>80</v>
      </c>
      <c r="J53" s="423"/>
      <c r="L53" s="959"/>
      <c r="M53" s="252">
        <v>51</v>
      </c>
      <c r="N53" s="256">
        <f t="shared" ref="N53:N62" ca="1" si="8">$J$7-T52</f>
        <v>2197.7468437563921</v>
      </c>
      <c r="O53" s="256">
        <f ca="1">KTVTD20namMH!F54</f>
        <v>50</v>
      </c>
      <c r="P53" s="452">
        <f ca="1">IF('Tinh phi QL'!$H$9="Nam",VLOOKUP(KTVCOI!$I$7,KTVCOI!$D$3:$F$103,2,0)*N53/1000/12,IF('Tinh phi QL'!$H$9="Nữ",VLOOKUP(KTVCOI!$I$7,KTVCOI!$D$3:$F$103,3,0)*N53/1000/12,0))</f>
        <v>0.26372962125076704</v>
      </c>
      <c r="Q53" s="959"/>
      <c r="R53" s="452">
        <f ca="1">IF('Tinh phi QL'!$H$9="Nam",VLOOKUP(KTVCOI!$I$7,KTVCOI!$D$3:$F$103,2,0)*S53/1000/12,IF('Tinh phi QL'!$H$9="Nữ",VLOOKUP(KTVCOI!$I$7,KTVCOI!$D$3:$F$103,3,0)*S53/1000/12,0))</f>
        <v>0.2749648732427995</v>
      </c>
      <c r="S53" s="452">
        <f ca="1">KTVTD20namMH!E54-V52</f>
        <v>2291.3739436899959</v>
      </c>
      <c r="T53" s="418">
        <f ca="1">(T52-O53-P53)*(1+LS!$E$7)</f>
        <v>-2251.7233456071522</v>
      </c>
      <c r="U53" s="958"/>
      <c r="V53" s="418">
        <f ca="1">(V52-O53-R53)*(1+LS!$F$7)</f>
        <v>-2350.4413604090796</v>
      </c>
    </row>
    <row r="54" spans="4:22" ht="9.75" customHeight="1">
      <c r="D54" s="252">
        <v>51</v>
      </c>
      <c r="E54" s="329">
        <v>5.34</v>
      </c>
      <c r="F54" s="329">
        <v>3.85</v>
      </c>
      <c r="H54" s="252">
        <v>52</v>
      </c>
      <c r="I54" s="423">
        <f t="shared" ca="1" si="0"/>
        <v>81</v>
      </c>
      <c r="J54" s="423"/>
      <c r="L54" s="959"/>
      <c r="M54" s="252">
        <v>52</v>
      </c>
      <c r="N54" s="256">
        <f t="shared" ca="1" si="8"/>
        <v>2251.7233456071522</v>
      </c>
      <c r="O54" s="256">
        <f ca="1">KTVTD20namMH!F55</f>
        <v>50</v>
      </c>
      <c r="P54" s="452">
        <f ca="1">IF('Tinh phi QL'!$H$9="Nam",VLOOKUP(KTVCOI!$I$7,KTVCOI!$D$3:$F$103,2,0)*N54/1000/12,IF('Tinh phi QL'!$H$9="Nữ",VLOOKUP(KTVCOI!$I$7,KTVCOI!$D$3:$F$103,3,0)*N54/1000/12,0))</f>
        <v>0.27020680147285825</v>
      </c>
      <c r="Q54" s="959"/>
      <c r="R54" s="452">
        <f ca="1">IF('Tinh phi QL'!$H$9="Nam",VLOOKUP(KTVCOI!$I$7,KTVCOI!$D$3:$F$103,2,0)*S54/1000/12,IF('Tinh phi QL'!$H$9="Nữ",VLOOKUP(KTVCOI!$I$7,KTVCOI!$D$3:$F$103,3,0)*S54/1000/12,0))</f>
        <v>0.28205296324908952</v>
      </c>
      <c r="S54" s="452">
        <f ca="1">KTVTD20namMH!E55-V53</f>
        <v>2350.4413604090796</v>
      </c>
      <c r="T54" s="418">
        <f ca="1">(T53-O54-P54)*(1+LS!$E$7)</f>
        <v>-2305.795481916924</v>
      </c>
      <c r="U54" s="958"/>
      <c r="V54" s="418">
        <f ca="1">(V53-O54-R54)*(1+LS!$F$7)</f>
        <v>-2409.7376788884217</v>
      </c>
    </row>
    <row r="55" spans="4:22" ht="9.75" customHeight="1">
      <c r="D55" s="252">
        <v>52</v>
      </c>
      <c r="E55" s="329">
        <v>5.83</v>
      </c>
      <c r="F55" s="329">
        <v>4.1399999999999997</v>
      </c>
      <c r="H55" s="252">
        <v>53</v>
      </c>
      <c r="I55" s="423">
        <f t="shared" ca="1" si="0"/>
        <v>82</v>
      </c>
      <c r="J55" s="423"/>
      <c r="L55" s="959"/>
      <c r="M55" s="252">
        <v>53</v>
      </c>
      <c r="N55" s="256">
        <f t="shared" ca="1" si="8"/>
        <v>2305.795481916924</v>
      </c>
      <c r="O55" s="256">
        <f ca="1">KTVTD20namMH!F56</f>
        <v>50</v>
      </c>
      <c r="P55" s="452">
        <f ca="1">IF('Tinh phi QL'!$H$9="Nam",VLOOKUP(KTVCOI!$I$7,KTVCOI!$D$3:$F$103,2,0)*N55/1000/12,IF('Tinh phi QL'!$H$9="Nữ",VLOOKUP(KTVCOI!$I$7,KTVCOI!$D$3:$F$103,3,0)*N55/1000/12,0))</f>
        <v>0.27669545783003086</v>
      </c>
      <c r="Q55" s="959"/>
      <c r="R55" s="452">
        <f ca="1">IF('Tinh phi QL'!$H$9="Nam",VLOOKUP(KTVCOI!$I$7,KTVCOI!$D$3:$F$103,2,0)*S55/1000/12,IF('Tinh phi QL'!$H$9="Nữ",VLOOKUP(KTVCOI!$I$7,KTVCOI!$D$3:$F$103,3,0)*S55/1000/12,0))</f>
        <v>0.2891685214666106</v>
      </c>
      <c r="S55" s="452">
        <f ca="1">KTVTD20namMH!E56-V54</f>
        <v>2409.7376788884217</v>
      </c>
      <c r="T55" s="418">
        <f ca="1">(T54-O55-P55)*(1+LS!$E$7)</f>
        <v>-2359.9634221288807</v>
      </c>
      <c r="U55" s="958"/>
      <c r="V55" s="418">
        <f ca="1">(V54-O55-R55)*(1+LS!$F$7)</f>
        <v>-2469.2637861824896</v>
      </c>
    </row>
    <row r="56" spans="4:22" ht="9.75" customHeight="1">
      <c r="D56" s="252">
        <v>53</v>
      </c>
      <c r="E56" s="329">
        <v>6.39</v>
      </c>
      <c r="F56" s="329">
        <v>4.47</v>
      </c>
      <c r="H56" s="252">
        <v>54</v>
      </c>
      <c r="I56" s="423">
        <f t="shared" ca="1" si="0"/>
        <v>83</v>
      </c>
      <c r="J56" s="423"/>
      <c r="L56" s="959"/>
      <c r="M56" s="252">
        <v>54</v>
      </c>
      <c r="N56" s="256">
        <f t="shared" ca="1" si="8"/>
        <v>2359.9634221288807</v>
      </c>
      <c r="O56" s="256">
        <f ca="1">KTVTD20namMH!F57</f>
        <v>50</v>
      </c>
      <c r="P56" s="452">
        <f ca="1">IF('Tinh phi QL'!$H$9="Nam",VLOOKUP(KTVCOI!$I$7,KTVCOI!$D$3:$F$103,2,0)*N56/1000/12,IF('Tinh phi QL'!$H$9="Nữ",VLOOKUP(KTVCOI!$I$7,KTVCOI!$D$3:$F$103,3,0)*N56/1000/12,0))</f>
        <v>0.28319561065546567</v>
      </c>
      <c r="Q56" s="959"/>
      <c r="R56" s="452">
        <f ca="1">IF('Tinh phi QL'!$H$9="Nam",VLOOKUP(KTVCOI!$I$7,KTVCOI!$D$3:$F$103,2,0)*S56/1000/12,IF('Tinh phi QL'!$H$9="Nữ",VLOOKUP(KTVCOI!$I$7,KTVCOI!$D$3:$F$103,3,0)*S56/1000/12,0))</f>
        <v>0.29631165434189871</v>
      </c>
      <c r="S56" s="452">
        <f ca="1">KTVTD20namMH!E57-V55</f>
        <v>2469.2637861824896</v>
      </c>
      <c r="T56" s="418">
        <f ca="1">(T55-O56-P56)*(1+LS!$E$7)</f>
        <v>-2414.2273359864112</v>
      </c>
      <c r="U56" s="958"/>
      <c r="V56" s="418">
        <f ca="1">(V55-O56-R56)*(1+LS!$F$7)</f>
        <v>-2529.020572783319</v>
      </c>
    </row>
    <row r="57" spans="4:22" ht="9.75" customHeight="1">
      <c r="D57" s="252">
        <v>54</v>
      </c>
      <c r="E57" s="329">
        <v>7.01</v>
      </c>
      <c r="F57" s="329">
        <v>4.8</v>
      </c>
      <c r="H57" s="252">
        <v>55</v>
      </c>
      <c r="I57" s="423">
        <f t="shared" ca="1" si="0"/>
        <v>84</v>
      </c>
      <c r="J57" s="423"/>
      <c r="L57" s="959"/>
      <c r="M57" s="252">
        <v>55</v>
      </c>
      <c r="N57" s="256">
        <f t="shared" ca="1" si="8"/>
        <v>2414.2273359864112</v>
      </c>
      <c r="O57" s="256">
        <f ca="1">KTVTD20namMH!F58</f>
        <v>50</v>
      </c>
      <c r="P57" s="452">
        <f ca="1">IF('Tinh phi QL'!$H$9="Nam",VLOOKUP(KTVCOI!$I$7,KTVCOI!$D$3:$F$103,2,0)*N57/1000/12,IF('Tinh phi QL'!$H$9="Nữ",VLOOKUP(KTVCOI!$I$7,KTVCOI!$D$3:$F$103,3,0)*N57/1000/12,0))</f>
        <v>0.28970728031836934</v>
      </c>
      <c r="Q57" s="959"/>
      <c r="R57" s="452">
        <f ca="1">IF('Tinh phi QL'!$H$9="Nam",VLOOKUP(KTVCOI!$I$7,KTVCOI!$D$3:$F$103,2,0)*S57/1000/12,IF('Tinh phi QL'!$H$9="Nữ",VLOOKUP(KTVCOI!$I$7,KTVCOI!$D$3:$F$103,3,0)*S57/1000/12,0))</f>
        <v>0.30348246873399826</v>
      </c>
      <c r="S57" s="452">
        <f ca="1">KTVTD20namMH!E58-V56</f>
        <v>2529.020572783319</v>
      </c>
      <c r="T57" s="418">
        <f ca="1">(T56-O57-P57)*(1+LS!$E$7)</f>
        <v>-2468.5873935336526</v>
      </c>
      <c r="U57" s="958"/>
      <c r="V57" s="418">
        <f ca="1">(V56-O57-R57)*(1+LS!$F$7)</f>
        <v>-2589.0089326338366</v>
      </c>
    </row>
    <row r="58" spans="4:22" ht="9.75" customHeight="1">
      <c r="D58" s="252">
        <v>55</v>
      </c>
      <c r="E58" s="329">
        <v>7.67</v>
      </c>
      <c r="F58" s="329">
        <v>5.13</v>
      </c>
      <c r="H58" s="252">
        <v>56</v>
      </c>
      <c r="I58" s="423">
        <f t="shared" ca="1" si="0"/>
        <v>85</v>
      </c>
      <c r="J58" s="423"/>
      <c r="L58" s="959"/>
      <c r="M58" s="252">
        <v>56</v>
      </c>
      <c r="N58" s="256">
        <f t="shared" ca="1" si="8"/>
        <v>2468.5873935336526</v>
      </c>
      <c r="O58" s="256">
        <f ca="1">KTVTD20namMH!F59</f>
        <v>50</v>
      </c>
      <c r="P58" s="452">
        <f ca="1">IF('Tinh phi QL'!$H$9="Nam",VLOOKUP(KTVCOI!$I$7,KTVCOI!$D$3:$F$103,2,0)*N58/1000/12,IF('Tinh phi QL'!$H$9="Nữ",VLOOKUP(KTVCOI!$I$7,KTVCOI!$D$3:$F$103,3,0)*N58/1000/12,0))</f>
        <v>0.29623048722403827</v>
      </c>
      <c r="Q58" s="959"/>
      <c r="R58" s="452">
        <f ca="1">IF('Tinh phi QL'!$H$9="Nam",VLOOKUP(KTVCOI!$I$7,KTVCOI!$D$3:$F$103,2,0)*S58/1000/12,IF('Tinh phi QL'!$H$9="Nữ",VLOOKUP(KTVCOI!$I$7,KTVCOI!$D$3:$F$103,3,0)*S58/1000/12,0))</f>
        <v>0.31068107191606037</v>
      </c>
      <c r="S58" s="452">
        <f ca="1">KTVTD20namMH!E59-V57</f>
        <v>2589.0089326338366</v>
      </c>
      <c r="T58" s="418">
        <f ca="1">(T57-O58-P58)*(1+LS!$E$7)</f>
        <v>-2523.0437651160223</v>
      </c>
      <c r="U58" s="958"/>
      <c r="V58" s="418">
        <f ca="1">(V57-O58-R58)*(1+LS!$F$7)</f>
        <v>-2649.229763141233</v>
      </c>
    </row>
    <row r="59" spans="4:22" ht="9.75" customHeight="1">
      <c r="D59" s="252">
        <v>56</v>
      </c>
      <c r="E59" s="329">
        <v>8.3800000000000008</v>
      </c>
      <c r="F59" s="329">
        <v>5.46</v>
      </c>
      <c r="H59" s="252">
        <v>57</v>
      </c>
      <c r="I59" s="423">
        <f t="shared" ca="1" si="0"/>
        <v>86</v>
      </c>
      <c r="J59" s="423"/>
      <c r="L59" s="959"/>
      <c r="M59" s="252">
        <v>57</v>
      </c>
      <c r="N59" s="256">
        <f t="shared" ca="1" si="8"/>
        <v>2523.0437651160223</v>
      </c>
      <c r="O59" s="256">
        <f ca="1">KTVTD20namMH!F60</f>
        <v>50</v>
      </c>
      <c r="P59" s="452">
        <f ca="1">IF('Tinh phi QL'!$H$9="Nam",VLOOKUP(KTVCOI!$I$7,KTVCOI!$D$3:$F$103,2,0)*N59/1000/12,IF('Tinh phi QL'!$H$9="Nữ",VLOOKUP(KTVCOI!$I$7,KTVCOI!$D$3:$F$103,3,0)*N59/1000/12,0))</f>
        <v>0.30276525181392272</v>
      </c>
      <c r="Q59" s="959"/>
      <c r="R59" s="452">
        <f ca="1">IF('Tinh phi QL'!$H$9="Nam",VLOOKUP(KTVCOI!$I$7,KTVCOI!$D$3:$F$103,2,0)*S59/1000/12,IF('Tinh phi QL'!$H$9="Nữ",VLOOKUP(KTVCOI!$I$7,KTVCOI!$D$3:$F$103,3,0)*S59/1000/12,0))</f>
        <v>0.31790757157694793</v>
      </c>
      <c r="S59" s="452">
        <f ca="1">KTVTD20namMH!E60-V58</f>
        <v>2649.229763141233</v>
      </c>
      <c r="T59" s="418">
        <f ca="1">(T58-O59-P59)*(1+LS!$E$7)</f>
        <v>-2577.5966213807533</v>
      </c>
      <c r="U59" s="958"/>
      <c r="V59" s="418">
        <f ca="1">(V58-O59-R59)*(1+LS!$F$7)</f>
        <v>-2709.6839651903874</v>
      </c>
    </row>
    <row r="60" spans="4:22" ht="9.75" customHeight="1">
      <c r="D60" s="252">
        <v>57</v>
      </c>
      <c r="E60" s="329">
        <v>9.1300000000000008</v>
      </c>
      <c r="F60" s="329">
        <v>5.78</v>
      </c>
      <c r="H60" s="252">
        <v>58</v>
      </c>
      <c r="I60" s="423">
        <f t="shared" ca="1" si="0"/>
        <v>87</v>
      </c>
      <c r="J60" s="423"/>
      <c r="L60" s="959"/>
      <c r="M60" s="252">
        <v>58</v>
      </c>
      <c r="N60" s="256">
        <f t="shared" ca="1" si="8"/>
        <v>2577.5966213807533</v>
      </c>
      <c r="O60" s="256">
        <f ca="1">KTVTD20namMH!F61</f>
        <v>50</v>
      </c>
      <c r="P60" s="452">
        <f ca="1">IF('Tinh phi QL'!$H$9="Nam",VLOOKUP(KTVCOI!$I$7,KTVCOI!$D$3:$F$103,2,0)*N60/1000/12,IF('Tinh phi QL'!$H$9="Nữ",VLOOKUP(KTVCOI!$I$7,KTVCOI!$D$3:$F$103,3,0)*N60/1000/12,0))</f>
        <v>0.30931159456569041</v>
      </c>
      <c r="Q60" s="959"/>
      <c r="R60" s="452">
        <f ca="1">IF('Tinh phi QL'!$H$9="Nam",VLOOKUP(KTVCOI!$I$7,KTVCOI!$D$3:$F$103,2,0)*S60/1000/12,IF('Tinh phi QL'!$H$9="Nữ",VLOOKUP(KTVCOI!$I$7,KTVCOI!$D$3:$F$103,3,0)*S60/1000/12,0))</f>
        <v>0.32516207582284651</v>
      </c>
      <c r="S60" s="452">
        <f ca="1">KTVTD20namMH!E61-V59</f>
        <v>2709.6839651903874</v>
      </c>
      <c r="T60" s="418">
        <f ca="1">(T59-O60-P60)*(1+LS!$E$7)</f>
        <v>-2632.2461332774265</v>
      </c>
      <c r="U60" s="958"/>
      <c r="V60" s="418">
        <f ca="1">(V59-O60-R60)*(1+LS!$F$7)</f>
        <v>-2770.3724431573442</v>
      </c>
    </row>
    <row r="61" spans="4:22" ht="9.75" customHeight="1">
      <c r="D61" s="252">
        <v>58</v>
      </c>
      <c r="E61" s="329">
        <v>9.93</v>
      </c>
      <c r="F61" s="329">
        <v>6.09</v>
      </c>
      <c r="H61" s="252">
        <v>59</v>
      </c>
      <c r="I61" s="423">
        <f t="shared" ca="1" si="0"/>
        <v>88</v>
      </c>
      <c r="J61" s="423"/>
      <c r="L61" s="959"/>
      <c r="M61" s="252">
        <v>59</v>
      </c>
      <c r="N61" s="256">
        <f t="shared" ca="1" si="8"/>
        <v>2632.2461332774265</v>
      </c>
      <c r="O61" s="256">
        <f ca="1">KTVTD20namMH!F62</f>
        <v>50</v>
      </c>
      <c r="P61" s="452">
        <f ca="1">IF('Tinh phi QL'!$H$9="Nam",VLOOKUP(KTVCOI!$I$7,KTVCOI!$D$3:$F$103,2,0)*N61/1000/12,IF('Tinh phi QL'!$H$9="Nữ",VLOOKUP(KTVCOI!$I$7,KTVCOI!$D$3:$F$103,3,0)*N61/1000/12,0))</f>
        <v>0.31586953599329115</v>
      </c>
      <c r="Q61" s="959"/>
      <c r="R61" s="452">
        <f ca="1">IF('Tinh phi QL'!$H$9="Nam",VLOOKUP(KTVCOI!$I$7,KTVCOI!$D$3:$F$103,2,0)*S61/1000/12,IF('Tinh phi QL'!$H$9="Nữ",VLOOKUP(KTVCOI!$I$7,KTVCOI!$D$3:$F$103,3,0)*S61/1000/12,0))</f>
        <v>0.33244469317888131</v>
      </c>
      <c r="S61" s="452">
        <f ca="1">KTVTD20namMH!E62-V60</f>
        <v>2770.3724431573442</v>
      </c>
      <c r="T61" s="418">
        <f ca="1">(T60-O61-P61)*(1+LS!$E$7)</f>
        <v>-2686.9924720585082</v>
      </c>
      <c r="U61" s="958"/>
      <c r="V61" s="418">
        <f ca="1">(V60-O61-R61)*(1+LS!$F$7)</f>
        <v>-2831.2961049228425</v>
      </c>
    </row>
    <row r="62" spans="4:22" ht="9.75" customHeight="1">
      <c r="D62" s="252">
        <v>59</v>
      </c>
      <c r="E62" s="329">
        <v>10.79</v>
      </c>
      <c r="F62" s="329">
        <v>6.44</v>
      </c>
      <c r="H62" s="252">
        <v>60</v>
      </c>
      <c r="I62" s="423">
        <f t="shared" ca="1" si="0"/>
        <v>89</v>
      </c>
      <c r="J62" s="423"/>
      <c r="L62" s="959"/>
      <c r="M62" s="252">
        <v>60</v>
      </c>
      <c r="N62" s="256">
        <f t="shared" ca="1" si="8"/>
        <v>2686.9924720585082</v>
      </c>
      <c r="O62" s="256">
        <f ca="1">KTVTD20namMH!F63</f>
        <v>50</v>
      </c>
      <c r="P62" s="452">
        <f ca="1">IF('Tinh phi QL'!$H$9="Nam",VLOOKUP(KTVCOI!$I$7,KTVCOI!$D$3:$F$103,2,0)*N62/1000/12,IF('Tinh phi QL'!$H$9="Nữ",VLOOKUP(KTVCOI!$I$7,KTVCOI!$D$3:$F$103,3,0)*N62/1000/12,0))</f>
        <v>0.32243909664702097</v>
      </c>
      <c r="Q62" s="959"/>
      <c r="R62" s="452">
        <f ca="1">IF('Tinh phi QL'!$H$9="Nam",VLOOKUP(KTVCOI!$I$7,KTVCOI!$D$3:$F$103,2,0)*S62/1000/12,IF('Tinh phi QL'!$H$9="Nữ",VLOOKUP(KTVCOI!$I$7,KTVCOI!$D$3:$F$103,3,0)*S62/1000/12,0))</f>
        <v>0.33975553259074109</v>
      </c>
      <c r="S62" s="452">
        <f ca="1">KTVTD20namMH!E63-V61</f>
        <v>2831.2961049228425</v>
      </c>
      <c r="T62" s="419">
        <f ca="1">(T61-O62-P62)*(1+LS!$E$7)</f>
        <v>-2741.8358092798862</v>
      </c>
      <c r="U62" s="958"/>
      <c r="V62" s="419">
        <f ca="1">(V61-O62-R62)*(1+LS!$F$7)</f>
        <v>-2892.4558618858987</v>
      </c>
    </row>
    <row r="63" spans="4:22" ht="9.75" customHeight="1">
      <c r="D63" s="252">
        <v>60</v>
      </c>
      <c r="E63" s="329">
        <v>11.76</v>
      </c>
      <c r="F63" s="329">
        <v>6.86</v>
      </c>
      <c r="H63" s="252">
        <v>61</v>
      </c>
      <c r="I63" s="423">
        <f t="shared" ca="1" si="0"/>
        <v>90</v>
      </c>
      <c r="J63" s="423"/>
      <c r="L63" s="957">
        <f>L51+1</f>
        <v>6</v>
      </c>
      <c r="M63" s="262">
        <v>61</v>
      </c>
      <c r="N63" s="263">
        <f ca="1">$J$8-T62-KTVTDGTTKcamket!F12</f>
        <v>2741.8358092798862</v>
      </c>
      <c r="O63" s="256">
        <f ca="1">KTVTD20namMH!F64</f>
        <v>50</v>
      </c>
      <c r="P63" s="451">
        <f ca="1">IF('Tinh phi QL'!$H$9="Nam",VLOOKUP(KTVCOI!$I$8,KTVCOI!$D$3:$F$103,2,0)*N63/1000/12,IF('Tinh phi QL'!$H$9="Nữ",VLOOKUP(KTVCOI!$I$8,KTVCOI!$D$3:$F$103,3,0)*N63/1000/12,0))</f>
        <v>0.3472992025087856</v>
      </c>
      <c r="Q63" s="957"/>
      <c r="R63" s="452">
        <f ca="1">IF('Tinh phi QL'!$H$9="Nam",VLOOKUP(KTVCOI!$I$8,KTVCOI!$D$3:$F$103,2,0)*S63/1000/12,IF('Tinh phi QL'!$H$9="Nữ",VLOOKUP(KTVCOI!$I$8,KTVCOI!$D$3:$F$103,3,0)*S63/1000/12,0))</f>
        <v>0.36637774250554717</v>
      </c>
      <c r="S63" s="451">
        <f ca="1">KTVTD20namMH!E64-V62-KTVTDGTTKMH!F12</f>
        <v>2892.4558618858987</v>
      </c>
      <c r="T63" s="420">
        <f ca="1">(T62+KTVTDGTTKcamket!F12-KTVCOI!O63-KTVCOI!P63)*(1+LS!$E$8)</f>
        <v>-2795.6495695136528</v>
      </c>
      <c r="U63" s="958">
        <f>Q63</f>
        <v>0</v>
      </c>
      <c r="V63" s="418">
        <f ca="1">(V62+KTVTDGTTKMH!F12-O63-R63)*(1+LS!$F$8)</f>
        <v>-2953.8719844207085</v>
      </c>
    </row>
    <row r="64" spans="4:22" ht="9.75" customHeight="1">
      <c r="D64" s="252">
        <v>61</v>
      </c>
      <c r="E64" s="329">
        <v>12.85</v>
      </c>
      <c r="F64" s="329">
        <v>7.38</v>
      </c>
      <c r="H64" s="252">
        <v>62</v>
      </c>
      <c r="I64" s="423">
        <f t="shared" ca="1" si="0"/>
        <v>91</v>
      </c>
      <c r="J64" s="423"/>
      <c r="L64" s="957"/>
      <c r="M64" s="262">
        <v>62</v>
      </c>
      <c r="N64" s="263">
        <f ca="1">$J$8-T63</f>
        <v>2795.6495695136528</v>
      </c>
      <c r="O64" s="256">
        <f ca="1">KTVTD20namMH!F65</f>
        <v>50</v>
      </c>
      <c r="P64" s="451">
        <f ca="1">IF('Tinh phi QL'!$H$9="Nam",VLOOKUP(KTVCOI!$I$8,KTVCOI!$D$3:$F$103,2,0)*N64/1000/12,IF('Tinh phi QL'!$H$9="Nữ",VLOOKUP(KTVCOI!$I$8,KTVCOI!$D$3:$F$103,3,0)*N64/1000/12,0))</f>
        <v>0.3541156121383961</v>
      </c>
      <c r="Q64" s="957"/>
      <c r="R64" s="452">
        <f ca="1">IF('Tinh phi QL'!$H$9="Nam",VLOOKUP(KTVCOI!$I$8,KTVCOI!$D$3:$F$103,2,0)*S64/1000/12,IF('Tinh phi QL'!$H$9="Nữ",VLOOKUP(KTVCOI!$I$8,KTVCOI!$D$3:$F$103,3,0)*S64/1000/12,0))</f>
        <v>0.37415711802662316</v>
      </c>
      <c r="S64" s="451">
        <f ca="1">KTVTD20namMH!E65-V63</f>
        <v>2953.8719844207085</v>
      </c>
      <c r="T64" s="420">
        <f ca="1">(T63-O64-P64)*(1+LS!$E$8)</f>
        <v>-2849.5369637418439</v>
      </c>
      <c r="U64" s="958"/>
      <c r="V64" s="418">
        <f ca="1">(V63-O64-R64)*(1+LS!$F$8)</f>
        <v>-3015.5265215461463</v>
      </c>
    </row>
    <row r="65" spans="4:22" ht="9.75" customHeight="1">
      <c r="D65" s="252">
        <v>62</v>
      </c>
      <c r="E65" s="329">
        <v>14.08</v>
      </c>
      <c r="F65" s="329">
        <v>8.0399999999999991</v>
      </c>
      <c r="H65" s="252">
        <v>63</v>
      </c>
      <c r="I65" s="423">
        <f t="shared" ca="1" si="0"/>
        <v>92</v>
      </c>
      <c r="J65" s="423"/>
      <c r="L65" s="957"/>
      <c r="M65" s="262">
        <v>63</v>
      </c>
      <c r="N65" s="263">
        <f t="shared" ref="N65:N74" ca="1" si="9">$J$8-T64</f>
        <v>2849.5369637418439</v>
      </c>
      <c r="O65" s="256">
        <f ca="1">KTVTD20namMH!F66</f>
        <v>50</v>
      </c>
      <c r="P65" s="451">
        <f ca="1">IF('Tinh phi QL'!$H$9="Nam",VLOOKUP(KTVCOI!$I$8,KTVCOI!$D$3:$F$103,2,0)*N65/1000/12,IF('Tinh phi QL'!$H$9="Nữ",VLOOKUP(KTVCOI!$I$8,KTVCOI!$D$3:$F$103,3,0)*N65/1000/12,0))</f>
        <v>0.36094134874063361</v>
      </c>
      <c r="Q65" s="957"/>
      <c r="R65" s="452">
        <f ca="1">IF('Tinh phi QL'!$H$9="Nam",VLOOKUP(KTVCOI!$I$8,KTVCOI!$D$3:$F$103,2,0)*S65/1000/12,IF('Tinh phi QL'!$H$9="Nữ",VLOOKUP(KTVCOI!$I$8,KTVCOI!$D$3:$F$103,3,0)*S65/1000/12,0))</f>
        <v>0.38196669272917855</v>
      </c>
      <c r="S65" s="451">
        <f ca="1">KTVTD20namMH!E66-V64</f>
        <v>3015.5265215461463</v>
      </c>
      <c r="T65" s="420">
        <f ca="1">(T64-O65-P65)*(1+LS!$E$8)</f>
        <v>-2903.4980927187116</v>
      </c>
      <c r="U65" s="958"/>
      <c r="V65" s="418">
        <f ca="1">(V64-O65-R65)*(1+LS!$F$8)</f>
        <v>-3077.4203987767942</v>
      </c>
    </row>
    <row r="66" spans="4:22" ht="9.75" customHeight="1">
      <c r="D66" s="252">
        <v>63</v>
      </c>
      <c r="E66" s="329">
        <v>15.47</v>
      </c>
      <c r="F66" s="329">
        <v>8.84</v>
      </c>
      <c r="H66" s="252">
        <v>64</v>
      </c>
      <c r="I66" s="423">
        <f t="shared" ca="1" si="0"/>
        <v>93</v>
      </c>
      <c r="J66" s="423"/>
      <c r="L66" s="957"/>
      <c r="M66" s="262">
        <v>64</v>
      </c>
      <c r="N66" s="263">
        <f t="shared" ca="1" si="9"/>
        <v>2903.4980927187116</v>
      </c>
      <c r="O66" s="256">
        <f ca="1">KTVTD20namMH!F67</f>
        <v>50</v>
      </c>
      <c r="P66" s="451">
        <f ca="1">IF('Tinh phi QL'!$H$9="Nam",VLOOKUP(KTVCOI!$I$8,KTVCOI!$D$3:$F$103,2,0)*N66/1000/12,IF('Tinh phi QL'!$H$9="Nữ",VLOOKUP(KTVCOI!$I$8,KTVCOI!$D$3:$F$103,3,0)*N66/1000/12,0))</f>
        <v>0.36777642507770342</v>
      </c>
      <c r="Q66" s="957"/>
      <c r="R66" s="452">
        <f ca="1">IF('Tinh phi QL'!$H$9="Nam",VLOOKUP(KTVCOI!$I$8,KTVCOI!$D$3:$F$103,2,0)*S66/1000/12,IF('Tinh phi QL'!$H$9="Nữ",VLOOKUP(KTVCOI!$I$8,KTVCOI!$D$3:$F$103,3,0)*S66/1000/12,0))</f>
        <v>0.38980658384506062</v>
      </c>
      <c r="S66" s="451">
        <f ca="1">KTVTD20namMH!E67-V65</f>
        <v>3077.4203987767942</v>
      </c>
      <c r="T66" s="420">
        <f ca="1">(T65-O66-P66)*(1+LS!$E$8)</f>
        <v>-2957.5330573363703</v>
      </c>
      <c r="U66" s="958"/>
      <c r="V66" s="418">
        <f ca="1">(V65-O66-R66)*(1+LS!$F$8)</f>
        <v>-3139.5545452200408</v>
      </c>
    </row>
    <row r="67" spans="4:22" ht="9.75" customHeight="1">
      <c r="D67" s="252">
        <v>64</v>
      </c>
      <c r="E67" s="329">
        <v>16.989999999999998</v>
      </c>
      <c r="F67" s="329">
        <v>9.74</v>
      </c>
      <c r="H67" s="252">
        <v>65</v>
      </c>
      <c r="I67" s="423">
        <f t="shared" ca="1" si="0"/>
        <v>94</v>
      </c>
      <c r="J67" s="423"/>
      <c r="L67" s="957"/>
      <c r="M67" s="262">
        <v>65</v>
      </c>
      <c r="N67" s="263">
        <f t="shared" ca="1" si="9"/>
        <v>2957.5330573363703</v>
      </c>
      <c r="O67" s="256">
        <f ca="1">KTVTD20namMH!F68</f>
        <v>50</v>
      </c>
      <c r="P67" s="451">
        <f ca="1">IF('Tinh phi QL'!$H$9="Nam",VLOOKUP(KTVCOI!$I$8,KTVCOI!$D$3:$F$103,2,0)*N67/1000/12,IF('Tinh phi QL'!$H$9="Nữ",VLOOKUP(KTVCOI!$I$8,KTVCOI!$D$3:$F$103,3,0)*N67/1000/12,0))</f>
        <v>0.37462085392927363</v>
      </c>
      <c r="Q67" s="957"/>
      <c r="R67" s="452">
        <f ca="1">IF('Tinh phi QL'!$H$9="Nam",VLOOKUP(KTVCOI!$I$8,KTVCOI!$D$3:$F$103,2,0)*S67/1000/12,IF('Tinh phi QL'!$H$9="Nữ",VLOOKUP(KTVCOI!$I$8,KTVCOI!$D$3:$F$103,3,0)*S67/1000/12,0))</f>
        <v>0.39767690906120512</v>
      </c>
      <c r="S67" s="451">
        <f ca="1">KTVTD20namMH!E68-V66</f>
        <v>3139.5545452200408</v>
      </c>
      <c r="T67" s="420">
        <f ca="1">(T66-O67-P67)*(1+LS!$E$8)</f>
        <v>-3011.6419586249863</v>
      </c>
      <c r="U67" s="958"/>
      <c r="V67" s="418">
        <f ca="1">(V66-O67-R67)*(1+LS!$F$8)</f>
        <v>-3201.9298935900269</v>
      </c>
    </row>
    <row r="68" spans="4:22" ht="9.75" customHeight="1">
      <c r="D68" s="252">
        <v>65</v>
      </c>
      <c r="E68" s="329">
        <v>18.63</v>
      </c>
      <c r="F68" s="329">
        <v>10.7</v>
      </c>
      <c r="H68" s="252">
        <v>66</v>
      </c>
      <c r="I68" s="423">
        <f t="shared" ca="1" si="0"/>
        <v>95</v>
      </c>
      <c r="J68" s="423"/>
      <c r="L68" s="957"/>
      <c r="M68" s="262">
        <v>66</v>
      </c>
      <c r="N68" s="263">
        <f t="shared" ca="1" si="9"/>
        <v>3011.6419586249863</v>
      </c>
      <c r="O68" s="256">
        <f ca="1">KTVTD20namMH!F69</f>
        <v>50</v>
      </c>
      <c r="P68" s="451">
        <f ca="1">IF('Tinh phi QL'!$H$9="Nam",VLOOKUP(KTVCOI!$I$8,KTVCOI!$D$3:$F$103,2,0)*N68/1000/12,IF('Tinh phi QL'!$H$9="Nữ",VLOOKUP(KTVCOI!$I$8,KTVCOI!$D$3:$F$103,3,0)*N68/1000/12,0))</f>
        <v>0.3814746480924982</v>
      </c>
      <c r="Q68" s="957"/>
      <c r="R68" s="452">
        <f ca="1">IF('Tinh phi QL'!$H$9="Nam",VLOOKUP(KTVCOI!$I$8,KTVCOI!$D$3:$F$103,2,0)*S68/1000/12,IF('Tinh phi QL'!$H$9="Nữ",VLOOKUP(KTVCOI!$I$8,KTVCOI!$D$3:$F$103,3,0)*S68/1000/12,0))</f>
        <v>0.40557778652140342</v>
      </c>
      <c r="S68" s="451">
        <f ca="1">KTVTD20namMH!E69-V67</f>
        <v>3201.9298935900269</v>
      </c>
      <c r="T68" s="420">
        <f ca="1">(T67-O68-P68)*(1+LS!$E$8)</f>
        <v>-3065.824897752967</v>
      </c>
      <c r="U68" s="958"/>
      <c r="V68" s="418">
        <f ca="1">(V67-O68-R68)*(1+LS!$F$8)</f>
        <v>-3264.5473802216466</v>
      </c>
    </row>
    <row r="69" spans="4:22" ht="9.75" customHeight="1">
      <c r="D69" s="252">
        <v>66</v>
      </c>
      <c r="E69" s="329">
        <v>20.39</v>
      </c>
      <c r="F69" s="329">
        <v>11.7</v>
      </c>
      <c r="H69" s="252">
        <v>67</v>
      </c>
      <c r="I69" s="423">
        <f t="shared" ref="I69:I103" ca="1" si="10">I68+1</f>
        <v>96</v>
      </c>
      <c r="J69" s="423"/>
      <c r="L69" s="957"/>
      <c r="M69" s="262">
        <v>67</v>
      </c>
      <c r="N69" s="263">
        <f t="shared" ca="1" si="9"/>
        <v>3065.824897752967</v>
      </c>
      <c r="O69" s="256">
        <f ca="1">KTVTD20namMH!F70</f>
        <v>50</v>
      </c>
      <c r="P69" s="451">
        <f ca="1">IF('Tinh phi QL'!$H$9="Nam",VLOOKUP(KTVCOI!$I$8,KTVCOI!$D$3:$F$103,2,0)*N69/1000/12,IF('Tinh phi QL'!$H$9="Nữ",VLOOKUP(KTVCOI!$I$8,KTVCOI!$D$3:$F$103,3,0)*N69/1000/12,0))</f>
        <v>0.38833782038204245</v>
      </c>
      <c r="Q69" s="957"/>
      <c r="R69" s="452">
        <f ca="1">IF('Tinh phi QL'!$H$9="Nam",VLOOKUP(KTVCOI!$I$8,KTVCOI!$D$3:$F$103,2,0)*S69/1000/12,IF('Tinh phi QL'!$H$9="Nữ",VLOOKUP(KTVCOI!$I$8,KTVCOI!$D$3:$F$103,3,0)*S69/1000/12,0))</f>
        <v>0.41350933482807523</v>
      </c>
      <c r="S69" s="451">
        <f ca="1">KTVTD20namMH!E70-V68</f>
        <v>3264.5473802216466</v>
      </c>
      <c r="T69" s="420">
        <f ca="1">(T68-O69-P69)*(1+LS!$E$8)</f>
        <v>-3120.0819760271497</v>
      </c>
      <c r="U69" s="958"/>
      <c r="V69" s="418">
        <f ca="1">(V68-O69-R69)*(1+LS!$F$8)</f>
        <v>-3327.4079450846043</v>
      </c>
    </row>
    <row r="70" spans="4:22" ht="9.75" customHeight="1">
      <c r="D70" s="252">
        <v>67</v>
      </c>
      <c r="E70" s="329">
        <v>22.25</v>
      </c>
      <c r="F70" s="329">
        <v>12.69</v>
      </c>
      <c r="H70" s="252">
        <v>68</v>
      </c>
      <c r="I70" s="423">
        <f t="shared" ca="1" si="10"/>
        <v>97</v>
      </c>
      <c r="J70" s="423"/>
      <c r="L70" s="957"/>
      <c r="M70" s="262">
        <v>68</v>
      </c>
      <c r="N70" s="263">
        <f t="shared" ca="1" si="9"/>
        <v>3120.0819760271497</v>
      </c>
      <c r="O70" s="256">
        <f ca="1">KTVTD20namMH!F71</f>
        <v>50</v>
      </c>
      <c r="P70" s="451">
        <f ca="1">IF('Tinh phi QL'!$H$9="Nam",VLOOKUP(KTVCOI!$I$8,KTVCOI!$D$3:$F$103,2,0)*N70/1000/12,IF('Tinh phi QL'!$H$9="Nữ",VLOOKUP(KTVCOI!$I$8,KTVCOI!$D$3:$F$103,3,0)*N70/1000/12,0))</f>
        <v>0.39521038363010558</v>
      </c>
      <c r="Q70" s="957"/>
      <c r="R70" s="452">
        <f ca="1">IF('Tinh phi QL'!$H$9="Nam",VLOOKUP(KTVCOI!$I$8,KTVCOI!$D$3:$F$103,2,0)*S70/1000/12,IF('Tinh phi QL'!$H$9="Nữ",VLOOKUP(KTVCOI!$I$8,KTVCOI!$D$3:$F$103,3,0)*S70/1000/12,0))</f>
        <v>0.42147167304404992</v>
      </c>
      <c r="S70" s="451">
        <f ca="1">KTVTD20namMH!E71-V69</f>
        <v>3327.4079450846043</v>
      </c>
      <c r="T70" s="420">
        <f ca="1">(T69-O70-P70)*(1+LS!$E$8)</f>
        <v>-3174.4132948929914</v>
      </c>
      <c r="U70" s="958"/>
      <c r="V70" s="418">
        <f ca="1">(V69-O70-R70)*(1+LS!$F$8)</f>
        <v>-3390.5125317975235</v>
      </c>
    </row>
    <row r="71" spans="4:22" ht="9.75" customHeight="1">
      <c r="D71" s="252">
        <v>68</v>
      </c>
      <c r="E71" s="329">
        <v>24.26</v>
      </c>
      <c r="F71" s="329">
        <v>13.71</v>
      </c>
      <c r="H71" s="252">
        <v>69</v>
      </c>
      <c r="I71" s="423">
        <f t="shared" ca="1" si="10"/>
        <v>98</v>
      </c>
      <c r="J71" s="423"/>
      <c r="L71" s="957"/>
      <c r="M71" s="262">
        <v>69</v>
      </c>
      <c r="N71" s="263">
        <f t="shared" ca="1" si="9"/>
        <v>3174.4132948929914</v>
      </c>
      <c r="O71" s="256">
        <f ca="1">KTVTD20namMH!F72</f>
        <v>50</v>
      </c>
      <c r="P71" s="451">
        <f ca="1">IF('Tinh phi QL'!$H$9="Nam",VLOOKUP(KTVCOI!$I$8,KTVCOI!$D$3:$F$103,2,0)*N71/1000/12,IF('Tinh phi QL'!$H$9="Nữ",VLOOKUP(KTVCOI!$I$8,KTVCOI!$D$3:$F$103,3,0)*N71/1000/12,0))</f>
        <v>0.40209235068644555</v>
      </c>
      <c r="Q71" s="957"/>
      <c r="R71" s="452">
        <f ca="1">IF('Tinh phi QL'!$H$9="Nam",VLOOKUP(KTVCOI!$I$8,KTVCOI!$D$3:$F$103,2,0)*S71/1000/12,IF('Tinh phi QL'!$H$9="Nữ",VLOOKUP(KTVCOI!$I$8,KTVCOI!$D$3:$F$103,3,0)*S71/1000/12,0))</f>
        <v>0.42946492069435305</v>
      </c>
      <c r="S71" s="451">
        <f ca="1">KTVTD20namMH!E72-V70</f>
        <v>3390.5125317975235</v>
      </c>
      <c r="T71" s="420">
        <f ca="1">(T70-O71-P71)*(1+LS!$E$8)</f>
        <v>-3228.8189559347575</v>
      </c>
      <c r="U71" s="958"/>
      <c r="V71" s="418">
        <f ca="1">(V70-O71-R71)*(1+LS!$F$8)</f>
        <v>-3453.8620876421128</v>
      </c>
    </row>
    <row r="72" spans="4:22" ht="9.75" customHeight="1">
      <c r="D72" s="252">
        <v>69</v>
      </c>
      <c r="E72" s="329">
        <v>26.47</v>
      </c>
      <c r="F72" s="329">
        <v>14.86</v>
      </c>
      <c r="H72" s="252">
        <v>70</v>
      </c>
      <c r="I72" s="423">
        <f t="shared" ca="1" si="10"/>
        <v>99</v>
      </c>
      <c r="J72" s="423"/>
      <c r="L72" s="957"/>
      <c r="M72" s="262">
        <v>70</v>
      </c>
      <c r="N72" s="263">
        <f t="shared" ca="1" si="9"/>
        <v>3228.8189559347575</v>
      </c>
      <c r="O72" s="256">
        <f ca="1">KTVTD20namMH!F73</f>
        <v>50</v>
      </c>
      <c r="P72" s="451">
        <f ca="1">IF('Tinh phi QL'!$H$9="Nam",VLOOKUP(KTVCOI!$I$8,KTVCOI!$D$3:$F$103,2,0)*N72/1000/12,IF('Tinh phi QL'!$H$9="Nữ",VLOOKUP(KTVCOI!$I$8,KTVCOI!$D$3:$F$103,3,0)*N72/1000/12,0))</f>
        <v>0.40898373441840263</v>
      </c>
      <c r="Q72" s="957"/>
      <c r="R72" s="452">
        <f ca="1">IF('Tinh phi QL'!$H$9="Nam",VLOOKUP(KTVCOI!$I$8,KTVCOI!$D$3:$F$103,2,0)*S72/1000/12,IF('Tinh phi QL'!$H$9="Nữ",VLOOKUP(KTVCOI!$I$8,KTVCOI!$D$3:$F$103,3,0)*S72/1000/12,0))</f>
        <v>0.43748919776800094</v>
      </c>
      <c r="S72" s="451">
        <f ca="1">KTVTD20namMH!E73-V71</f>
        <v>3453.8620876421128</v>
      </c>
      <c r="T72" s="420">
        <f ca="1">(T71-O72-P72)*(1+LS!$E$8)</f>
        <v>-3283.2990608757127</v>
      </c>
      <c r="U72" s="958"/>
      <c r="V72" s="418">
        <f ca="1">(V71-O72-R72)*(1+LS!$F$8)</f>
        <v>-3517.4575635773845</v>
      </c>
    </row>
    <row r="73" spans="4:22" ht="9.75" customHeight="1">
      <c r="D73" s="252">
        <v>70</v>
      </c>
      <c r="E73" s="329">
        <v>28.96</v>
      </c>
      <c r="F73" s="329">
        <v>16.21</v>
      </c>
      <c r="H73" s="252">
        <v>71</v>
      </c>
      <c r="I73" s="423">
        <f t="shared" ca="1" si="10"/>
        <v>100</v>
      </c>
      <c r="J73" s="423"/>
      <c r="L73" s="957"/>
      <c r="M73" s="262">
        <v>71</v>
      </c>
      <c r="N73" s="263">
        <f t="shared" ca="1" si="9"/>
        <v>3283.2990608757127</v>
      </c>
      <c r="O73" s="256">
        <f ca="1">KTVTD20namMH!F74</f>
        <v>50</v>
      </c>
      <c r="P73" s="451">
        <f ca="1">IF('Tinh phi QL'!$H$9="Nam",VLOOKUP(KTVCOI!$I$8,KTVCOI!$D$3:$F$103,2,0)*N73/1000/12,IF('Tinh phi QL'!$H$9="Nữ",VLOOKUP(KTVCOI!$I$8,KTVCOI!$D$3:$F$103,3,0)*N73/1000/12,0))</f>
        <v>0.41588454771092365</v>
      </c>
      <c r="Q73" s="957"/>
      <c r="R73" s="452">
        <f ca="1">IF('Tinh phi QL'!$H$9="Nam",VLOOKUP(KTVCOI!$I$8,KTVCOI!$D$3:$F$103,2,0)*S73/1000/12,IF('Tinh phi QL'!$H$9="Nữ",VLOOKUP(KTVCOI!$I$8,KTVCOI!$D$3:$F$103,3,0)*S73/1000/12,0))</f>
        <v>0.44554462471980205</v>
      </c>
      <c r="S73" s="451">
        <f ca="1">KTVTD20namMH!E74-V72</f>
        <v>3517.4575635773845</v>
      </c>
      <c r="T73" s="420">
        <f ca="1">(T72-O73-P73)*(1+LS!$E$8)</f>
        <v>-3337.8537115783101</v>
      </c>
      <c r="U73" s="958"/>
      <c r="V73" s="418">
        <f ca="1">(V72-O73-R73)*(1+LS!$F$8)</f>
        <v>-3581.2999142539306</v>
      </c>
    </row>
    <row r="74" spans="4:22" ht="9.75" customHeight="1">
      <c r="D74" s="252">
        <v>71</v>
      </c>
      <c r="E74" s="329">
        <v>31.8</v>
      </c>
      <c r="F74" s="329">
        <v>17.87</v>
      </c>
      <c r="H74" s="252">
        <v>72</v>
      </c>
      <c r="I74" s="423">
        <f t="shared" ca="1" si="10"/>
        <v>101</v>
      </c>
      <c r="J74" s="423"/>
      <c r="L74" s="957"/>
      <c r="M74" s="262">
        <v>72</v>
      </c>
      <c r="N74" s="263">
        <f t="shared" ca="1" si="9"/>
        <v>3337.8537115783101</v>
      </c>
      <c r="O74" s="256">
        <f ca="1">KTVTD20namMH!F75</f>
        <v>50</v>
      </c>
      <c r="P74" s="451">
        <f ca="1">IF('Tinh phi QL'!$H$9="Nam",VLOOKUP(KTVCOI!$I$8,KTVCOI!$D$3:$F$103,2,0)*N74/1000/12,IF('Tinh phi QL'!$H$9="Nữ",VLOOKUP(KTVCOI!$I$8,KTVCOI!$D$3:$F$103,3,0)*N74/1000/12,0))</f>
        <v>0.42279480346658599</v>
      </c>
      <c r="Q74" s="957"/>
      <c r="R74" s="452">
        <f ca="1">IF('Tinh phi QL'!$H$9="Nam",VLOOKUP(KTVCOI!$I$8,KTVCOI!$D$3:$F$103,2,0)*S74/1000/12,IF('Tinh phi QL'!$H$9="Nữ",VLOOKUP(KTVCOI!$I$8,KTVCOI!$D$3:$F$103,3,0)*S74/1000/12,0))</f>
        <v>0.45363132247216459</v>
      </c>
      <c r="S74" s="451">
        <f ca="1">KTVTD20namMH!E75-V73</f>
        <v>3581.2999142539306</v>
      </c>
      <c r="T74" s="421">
        <f ca="1">(T73-O74-P74)*(1+LS!$E$8)</f>
        <v>-3392.4830100443837</v>
      </c>
      <c r="U74" s="958"/>
      <c r="V74" s="419">
        <f ca="1">(V73-O74-R74)*(1+LS!$F$8)</f>
        <v>-3645.3900980282538</v>
      </c>
    </row>
    <row r="75" spans="4:22" ht="9.75" customHeight="1">
      <c r="D75" s="252">
        <v>72</v>
      </c>
      <c r="E75" s="329">
        <v>35.06</v>
      </c>
      <c r="F75" s="329">
        <v>19.93</v>
      </c>
      <c r="H75" s="252">
        <v>73</v>
      </c>
      <c r="I75" s="423">
        <f t="shared" ca="1" si="10"/>
        <v>102</v>
      </c>
      <c r="J75" s="423"/>
      <c r="L75" s="959">
        <f>L63+1</f>
        <v>7</v>
      </c>
      <c r="M75" s="252">
        <v>73</v>
      </c>
      <c r="N75" s="256">
        <f ca="1">$J$9-T74-KTVTDGTTKcamket!F13</f>
        <v>3392.4830100443837</v>
      </c>
      <c r="O75" s="256">
        <f ca="1">KTVTD20namMH!F76</f>
        <v>50</v>
      </c>
      <c r="P75" s="452">
        <f ca="1">IF('Tinh phi QL'!$H$9="Nam",VLOOKUP(KTVCOI!$I$9,KTVCOI!$D$3:$F$103,2,0)*N75/1000/12,IF('Tinh phi QL'!$H$9="Nữ",VLOOKUP(KTVCOI!$I$9,KTVCOI!$D$3:$F$103,3,0)*N75/1000/12,0))</f>
        <v>0.45798520635599188</v>
      </c>
      <c r="Q75" s="957"/>
      <c r="R75" s="452">
        <f ca="1">IF('Tinh phi QL'!$H$9="Nam",VLOOKUP(KTVCOI!$I$9,KTVCOI!$D$3:$F$103,2,0)*S75/1000/12,IF('Tinh phi QL'!$H$9="Nữ",VLOOKUP(KTVCOI!$I$9,KTVCOI!$D$3:$F$103,3,0)*S75/1000/12,0))</f>
        <v>0.49212766323381429</v>
      </c>
      <c r="S75" s="452">
        <f ca="1">KTVTD20namMH!E76-V74-KTVTDGTTKMH!F13</f>
        <v>3645.3900980282538</v>
      </c>
      <c r="T75" s="418">
        <f ca="1">(T74+KTVTDGTTKcamket!F13-KTVCOI!O75-KTVCOI!P75)*(1+LS!$E$9)</f>
        <v>-3447.2153642048033</v>
      </c>
      <c r="U75" s="958">
        <f>Q75</f>
        <v>0</v>
      </c>
      <c r="V75" s="418">
        <f ca="1">(V74+KTVTDGTTKMH!F13-O75-R75)*(1+LS!$F$9)</f>
        <v>-3709.7595692925956</v>
      </c>
    </row>
    <row r="76" spans="4:22" ht="9.75" customHeight="1">
      <c r="D76" s="252">
        <v>73</v>
      </c>
      <c r="E76" s="329">
        <v>38.74</v>
      </c>
      <c r="F76" s="329">
        <v>22.391999999999999</v>
      </c>
      <c r="H76" s="252">
        <v>74</v>
      </c>
      <c r="I76" s="423">
        <f t="shared" ca="1" si="10"/>
        <v>103</v>
      </c>
      <c r="J76" s="423"/>
      <c r="L76" s="959"/>
      <c r="M76" s="252">
        <v>74</v>
      </c>
      <c r="N76" s="256">
        <f ca="1">$J$9-T75</f>
        <v>3447.2153642048033</v>
      </c>
      <c r="O76" s="256">
        <f ca="1">KTVTD20namMH!F77</f>
        <v>50</v>
      </c>
      <c r="P76" s="452">
        <f ca="1">IF('Tinh phi QL'!$H$9="Nam",VLOOKUP(KTVCOI!$I$9,KTVCOI!$D$3:$F$103,2,0)*N76/1000/12,IF('Tinh phi QL'!$H$9="Nữ",VLOOKUP(KTVCOI!$I$9,KTVCOI!$D$3:$F$103,3,0)*N76/1000/12,0))</f>
        <v>0.46537407416764848</v>
      </c>
      <c r="Q76" s="957"/>
      <c r="R76" s="452">
        <f ca="1">IF('Tinh phi QL'!$H$9="Nam",VLOOKUP(KTVCOI!$I$9,KTVCOI!$D$3:$F$103,2,0)*S76/1000/12,IF('Tinh phi QL'!$H$9="Nữ",VLOOKUP(KTVCOI!$I$9,KTVCOI!$D$3:$F$103,3,0)*S76/1000/12,0))</f>
        <v>0.50081754185450045</v>
      </c>
      <c r="S76" s="452">
        <f ca="1">KTVTD20namMH!E77-V75</f>
        <v>3709.7595692925956</v>
      </c>
      <c r="T76" s="418">
        <f ca="1">(T75-O76-P76)*(1+LS!$E$9)</f>
        <v>-3502.0230659516055</v>
      </c>
      <c r="U76" s="958"/>
      <c r="V76" s="418">
        <f ca="1">(V75-O76-R76)*(1+LS!$F$9)</f>
        <v>-3774.3794583392173</v>
      </c>
    </row>
    <row r="77" spans="4:22" ht="9.75" customHeight="1">
      <c r="D77" s="252">
        <v>74</v>
      </c>
      <c r="E77" s="329">
        <v>42.77</v>
      </c>
      <c r="F77" s="329">
        <v>25.24</v>
      </c>
      <c r="H77" s="252">
        <v>75</v>
      </c>
      <c r="I77" s="423">
        <f t="shared" ca="1" si="10"/>
        <v>104</v>
      </c>
      <c r="J77" s="423"/>
      <c r="L77" s="959"/>
      <c r="M77" s="252">
        <v>75</v>
      </c>
      <c r="N77" s="256">
        <f ca="1">KTVTD20namcamket!E78-T76</f>
        <v>3502.0230659516055</v>
      </c>
      <c r="O77" s="256">
        <f ca="1">KTVTD20namMH!F78</f>
        <v>50</v>
      </c>
      <c r="P77" s="452">
        <f ca="1">IF('Tinh phi QL'!$H$9="Nam",VLOOKUP(KTVCOI!$I$9,KTVCOI!$D$3:$F$103,2,0)*N77/1000/12,IF('Tinh phi QL'!$H$9="Nữ",VLOOKUP(KTVCOI!$I$9,KTVCOI!$D$3:$F$103,3,0)*N77/1000/12,0))</f>
        <v>0.47277311390346677</v>
      </c>
      <c r="Q77" s="957"/>
      <c r="R77" s="452">
        <f ca="1">IF('Tinh phi QL'!$H$9="Nam",VLOOKUP(KTVCOI!$I$9,KTVCOI!$D$3:$F$103,2,0)*S77/1000/12,IF('Tinh phi QL'!$H$9="Nữ",VLOOKUP(KTVCOI!$I$9,KTVCOI!$D$3:$F$103,3,0)*S77/1000/12,0))</f>
        <v>0.50954122687579428</v>
      </c>
      <c r="S77" s="452">
        <f ca="1">KTVTD20namMH!E78-V76</f>
        <v>3774.3794583392173</v>
      </c>
      <c r="T77" s="418">
        <f ca="1">(T76-O77-P77)*(1+LS!$E$9)</f>
        <v>-3556.9062190124459</v>
      </c>
      <c r="U77" s="958"/>
      <c r="V77" s="418">
        <f ca="1">(V76-O77-R77)*(1+LS!$F$9)</f>
        <v>-3839.2507393731958</v>
      </c>
    </row>
    <row r="78" spans="4:22" ht="9.75" customHeight="1">
      <c r="D78" s="252">
        <v>75</v>
      </c>
      <c r="E78" s="329">
        <v>47.08</v>
      </c>
      <c r="F78" s="329">
        <v>28.393999999999998</v>
      </c>
      <c r="H78" s="252">
        <v>76</v>
      </c>
      <c r="I78" s="423">
        <f t="shared" ca="1" si="10"/>
        <v>105</v>
      </c>
      <c r="J78" s="423"/>
      <c r="L78" s="959"/>
      <c r="M78" s="252">
        <v>76</v>
      </c>
      <c r="N78" s="256">
        <f ca="1">KTVTD20namcamket!E79-T77</f>
        <v>3556.9062190124459</v>
      </c>
      <c r="O78" s="256">
        <f ca="1">KTVTD20namMH!F79</f>
        <v>50</v>
      </c>
      <c r="P78" s="452">
        <f ca="1">IF('Tinh phi QL'!$H$9="Nam",VLOOKUP(KTVCOI!$I$9,KTVCOI!$D$3:$F$103,2,0)*N78/1000/12,IF('Tinh phi QL'!$H$9="Nữ",VLOOKUP(KTVCOI!$I$9,KTVCOI!$D$3:$F$103,3,0)*N78/1000/12,0))</f>
        <v>0.48018233956668027</v>
      </c>
      <c r="Q78" s="957"/>
      <c r="R78" s="452">
        <f ca="1">IF('Tinh phi QL'!$H$9="Nam",VLOOKUP(KTVCOI!$I$9,KTVCOI!$D$3:$F$103,2,0)*S78/1000/12,IF('Tinh phi QL'!$H$9="Nữ",VLOOKUP(KTVCOI!$I$9,KTVCOI!$D$3:$F$103,3,0)*S78/1000/12,0))</f>
        <v>0.51829884981538143</v>
      </c>
      <c r="S78" s="452">
        <f ca="1">KTVTD20namMH!E79-V77</f>
        <v>3839.2507393731958</v>
      </c>
      <c r="T78" s="418">
        <f ca="1">(T77-O78-P78)*(1+LS!$E$9)</f>
        <v>-3611.8649272577773</v>
      </c>
      <c r="U78" s="958"/>
      <c r="V78" s="418">
        <f ca="1">(V77-O78-R78)*(1+LS!$F$9)</f>
        <v>-3904.3743903895761</v>
      </c>
    </row>
    <row r="79" spans="4:22" ht="9.75" customHeight="1">
      <c r="D79" s="252">
        <v>76</v>
      </c>
      <c r="E79" s="329">
        <v>51.59</v>
      </c>
      <c r="F79" s="329">
        <v>31.82</v>
      </c>
      <c r="H79" s="252">
        <v>77</v>
      </c>
      <c r="I79" s="423">
        <f t="shared" ca="1" si="10"/>
        <v>106</v>
      </c>
      <c r="J79" s="423"/>
      <c r="L79" s="959"/>
      <c r="M79" s="252">
        <v>77</v>
      </c>
      <c r="N79" s="256">
        <f ca="1">KTVTD20namcamket!E80-T78</f>
        <v>3611.8649272577773</v>
      </c>
      <c r="O79" s="256">
        <f ca="1">KTVTD20namMH!F80</f>
        <v>50</v>
      </c>
      <c r="P79" s="452">
        <f ca="1">IF('Tinh phi QL'!$H$9="Nam",VLOOKUP(KTVCOI!$I$9,KTVCOI!$D$3:$F$103,2,0)*N79/1000/12,IF('Tinh phi QL'!$H$9="Nữ",VLOOKUP(KTVCOI!$I$9,KTVCOI!$D$3:$F$103,3,0)*N79/1000/12,0))</f>
        <v>0.48760176517979992</v>
      </c>
      <c r="Q79" s="957"/>
      <c r="R79" s="452">
        <f ca="1">IF('Tinh phi QL'!$H$9="Nam",VLOOKUP(KTVCOI!$I$9,KTVCOI!$D$3:$F$103,2,0)*S79/1000/12,IF('Tinh phi QL'!$H$9="Nữ",VLOOKUP(KTVCOI!$I$9,KTVCOI!$D$3:$F$103,3,0)*S79/1000/12,0))</f>
        <v>0.52709054270259281</v>
      </c>
      <c r="S79" s="452">
        <f ca="1">KTVTD20namMH!E80-V78</f>
        <v>3904.3743903895761</v>
      </c>
      <c r="T79" s="418">
        <f ca="1">(T78-O79-P79)*(1+LS!$E$9)</f>
        <v>-3666.8992947010461</v>
      </c>
      <c r="U79" s="958"/>
      <c r="V79" s="418">
        <f ca="1">(V78-O79-R79)*(1+LS!$F$9)</f>
        <v>-3969.7513931881163</v>
      </c>
    </row>
    <row r="80" spans="4:22" ht="9.75" customHeight="1">
      <c r="D80" s="252">
        <v>77</v>
      </c>
      <c r="E80" s="329">
        <v>56.27</v>
      </c>
      <c r="F80" s="329">
        <v>35.481999999999999</v>
      </c>
      <c r="H80" s="252">
        <v>78</v>
      </c>
      <c r="I80" s="423">
        <f t="shared" ca="1" si="10"/>
        <v>107</v>
      </c>
      <c r="J80" s="423"/>
      <c r="L80" s="959"/>
      <c r="M80" s="252">
        <v>78</v>
      </c>
      <c r="N80" s="256">
        <f ca="1">KTVTD20namcamket!E81-T79</f>
        <v>3666.8992947010461</v>
      </c>
      <c r="O80" s="256">
        <f ca="1">KTVTD20namMH!F81</f>
        <v>50</v>
      </c>
      <c r="P80" s="452">
        <f ca="1">IF('Tinh phi QL'!$H$9="Nam",VLOOKUP(KTVCOI!$I$9,KTVCOI!$D$3:$F$103,2,0)*N80/1000/12,IF('Tinh phi QL'!$H$9="Nữ",VLOOKUP(KTVCOI!$I$9,KTVCOI!$D$3:$F$103,3,0)*N80/1000/12,0))</f>
        <v>0.49503140478464119</v>
      </c>
      <c r="Q80" s="957"/>
      <c r="R80" s="452">
        <f ca="1">IF('Tinh phi QL'!$H$9="Nam",VLOOKUP(KTVCOI!$I$9,KTVCOI!$D$3:$F$103,2,0)*S80/1000/12,IF('Tinh phi QL'!$H$9="Nữ",VLOOKUP(KTVCOI!$I$9,KTVCOI!$D$3:$F$103,3,0)*S80/1000/12,0))</f>
        <v>0.53591643808039569</v>
      </c>
      <c r="S80" s="452">
        <f ca="1">KTVTD20namMH!E81-V79</f>
        <v>3969.7513931881163</v>
      </c>
      <c r="T80" s="418">
        <f ca="1">(T79-O80-P80)*(1+LS!$E$9)</f>
        <v>-3722.0094254988894</v>
      </c>
      <c r="U80" s="958"/>
      <c r="V80" s="418">
        <f ca="1">(V79-O80-R80)*(1+LS!$F$9)</f>
        <v>-4035.3827333880881</v>
      </c>
    </row>
    <row r="81" spans="4:22" ht="9.75" customHeight="1">
      <c r="D81" s="252">
        <v>78</v>
      </c>
      <c r="E81" s="329">
        <v>61.13</v>
      </c>
      <c r="F81" s="329">
        <v>39.432000000000002</v>
      </c>
      <c r="H81" s="252">
        <v>79</v>
      </c>
      <c r="I81" s="423">
        <f t="shared" ca="1" si="10"/>
        <v>108</v>
      </c>
      <c r="J81" s="423"/>
      <c r="L81" s="959"/>
      <c r="M81" s="252">
        <v>79</v>
      </c>
      <c r="N81" s="256">
        <f ca="1">KTVTD20namcamket!E82-T80</f>
        <v>3722.0094254988894</v>
      </c>
      <c r="O81" s="256">
        <f ca="1">KTVTD20namMH!F82</f>
        <v>50</v>
      </c>
      <c r="P81" s="452">
        <f ca="1">IF('Tinh phi QL'!$H$9="Nam",VLOOKUP(KTVCOI!$I$9,KTVCOI!$D$3:$F$103,2,0)*N81/1000/12,IF('Tinh phi QL'!$H$9="Nữ",VLOOKUP(KTVCOI!$I$9,KTVCOI!$D$3:$F$103,3,0)*N81/1000/12,0))</f>
        <v>0.50247127244235013</v>
      </c>
      <c r="Q81" s="957"/>
      <c r="R81" s="452">
        <f ca="1">IF('Tinh phi QL'!$H$9="Nam",VLOOKUP(KTVCOI!$I$9,KTVCOI!$D$3:$F$103,2,0)*S81/1000/12,IF('Tinh phi QL'!$H$9="Nữ",VLOOKUP(KTVCOI!$I$9,KTVCOI!$D$3:$F$103,3,0)*S81/1000/12,0))</f>
        <v>0.54477666900739197</v>
      </c>
      <c r="S81" s="452">
        <f ca="1">KTVTD20namMH!E82-V80</f>
        <v>4035.3827333880881</v>
      </c>
      <c r="T81" s="418">
        <f ca="1">(T80-O81-P81)*(1+LS!$E$9)</f>
        <v>-3777.1954239513325</v>
      </c>
      <c r="U81" s="958"/>
      <c r="V81" s="418">
        <f ca="1">(V80-O81-R81)*(1+LS!$F$9)</f>
        <v>-4101.2694004431378</v>
      </c>
    </row>
    <row r="82" spans="4:22" ht="9.75" customHeight="1">
      <c r="D82" s="252">
        <v>79</v>
      </c>
      <c r="E82" s="329">
        <v>66.34</v>
      </c>
      <c r="F82" s="329">
        <v>43.805</v>
      </c>
      <c r="H82" s="252">
        <v>80</v>
      </c>
      <c r="I82" s="423">
        <f t="shared" ca="1" si="10"/>
        <v>109</v>
      </c>
      <c r="J82" s="423"/>
      <c r="L82" s="959"/>
      <c r="M82" s="252">
        <v>80</v>
      </c>
      <c r="N82" s="256">
        <f ca="1">KTVTD20namcamket!E83-T81</f>
        <v>3777.1954239513325</v>
      </c>
      <c r="O82" s="256">
        <f ca="1">KTVTD20namMH!F83</f>
        <v>50</v>
      </c>
      <c r="P82" s="452">
        <f ca="1">IF('Tinh phi QL'!$H$9="Nam",VLOOKUP(KTVCOI!$I$9,KTVCOI!$D$3:$F$103,2,0)*N82/1000/12,IF('Tinh phi QL'!$H$9="Nữ",VLOOKUP(KTVCOI!$I$9,KTVCOI!$D$3:$F$103,3,0)*N82/1000/12,0))</f>
        <v>0.50992138223342998</v>
      </c>
      <c r="Q82" s="957"/>
      <c r="R82" s="452">
        <f ca="1">IF('Tinh phi QL'!$H$9="Nam",VLOOKUP(KTVCOI!$I$9,KTVCOI!$D$3:$F$103,2,0)*S82/1000/12,IF('Tinh phi QL'!$H$9="Nữ",VLOOKUP(KTVCOI!$I$9,KTVCOI!$D$3:$F$103,3,0)*S82/1000/12,0))</f>
        <v>0.55367136905982373</v>
      </c>
      <c r="S82" s="452">
        <f ca="1">KTVTD20namMH!E83-V81</f>
        <v>4101.2694004431378</v>
      </c>
      <c r="T82" s="418">
        <f ca="1">(T81-O82-P82)*(1+LS!$E$9)</f>
        <v>-3832.4573945019852</v>
      </c>
      <c r="U82" s="958"/>
      <c r="V82" s="418">
        <f ca="1">(V81-O82-R82)*(1+LS!$F$9)</f>
        <v>-4167.4123876562016</v>
      </c>
    </row>
    <row r="83" spans="4:22" ht="9.75" customHeight="1">
      <c r="D83" s="252">
        <v>80</v>
      </c>
      <c r="E83" s="329">
        <v>72.058000000000007</v>
      </c>
      <c r="F83" s="329">
        <v>48.948999999999998</v>
      </c>
      <c r="H83" s="252">
        <v>81</v>
      </c>
      <c r="I83" s="423">
        <f t="shared" ca="1" si="10"/>
        <v>110</v>
      </c>
      <c r="J83" s="423"/>
      <c r="L83" s="959"/>
      <c r="M83" s="252">
        <v>81</v>
      </c>
      <c r="N83" s="256">
        <f ca="1">KTVTD20namcamket!E84-T82</f>
        <v>3832.4573945019852</v>
      </c>
      <c r="O83" s="256">
        <f ca="1">KTVTD20namMH!F84</f>
        <v>50</v>
      </c>
      <c r="P83" s="452">
        <f ca="1">IF('Tinh phi QL'!$H$9="Nam",VLOOKUP(KTVCOI!$I$9,KTVCOI!$D$3:$F$103,2,0)*N83/1000/12,IF('Tinh phi QL'!$H$9="Nữ",VLOOKUP(KTVCOI!$I$9,KTVCOI!$D$3:$F$103,3,0)*N83/1000/12,0))</f>
        <v>0.51738174825776795</v>
      </c>
      <c r="Q83" s="957"/>
      <c r="R83" s="452">
        <f ca="1">IF('Tinh phi QL'!$H$9="Nam",VLOOKUP(KTVCOI!$I$9,KTVCOI!$D$3:$F$103,2,0)*S83/1000/12,IF('Tinh phi QL'!$H$9="Nữ",VLOOKUP(KTVCOI!$I$9,KTVCOI!$D$3:$F$103,3,0)*S83/1000/12,0))</f>
        <v>0.56260067233358724</v>
      </c>
      <c r="S83" s="452">
        <f ca="1">KTVTD20namMH!E84-V82</f>
        <v>4167.4123876562016</v>
      </c>
      <c r="T83" s="418">
        <f ca="1">(T82-O83-P83)*(1+LS!$E$9)</f>
        <v>-3887.7954417382398</v>
      </c>
      <c r="U83" s="958"/>
      <c r="V83" s="418">
        <f ca="1">(V82-O83-R83)*(1+LS!$F$9)</f>
        <v>-4233.8126921944804</v>
      </c>
    </row>
    <row r="84" spans="4:22" ht="9.75" customHeight="1">
      <c r="D84" s="252">
        <v>81</v>
      </c>
      <c r="E84" s="329">
        <v>78.462999999999994</v>
      </c>
      <c r="F84" s="329">
        <v>54.682000000000002</v>
      </c>
      <c r="H84" s="252">
        <v>82</v>
      </c>
      <c r="I84" s="423">
        <f t="shared" ca="1" si="10"/>
        <v>111</v>
      </c>
      <c r="J84" s="423"/>
      <c r="L84" s="959"/>
      <c r="M84" s="252">
        <v>82</v>
      </c>
      <c r="N84" s="256">
        <f ca="1">KTVTD20namcamket!E85-T83</f>
        <v>3887.7954417382398</v>
      </c>
      <c r="O84" s="256">
        <f ca="1">KTVTD20namMH!F85</f>
        <v>50</v>
      </c>
      <c r="P84" s="452">
        <f ca="1">IF('Tinh phi QL'!$H$9="Nam",VLOOKUP(KTVCOI!$I$9,KTVCOI!$D$3:$F$103,2,0)*N84/1000/12,IF('Tinh phi QL'!$H$9="Nữ",VLOOKUP(KTVCOI!$I$9,KTVCOI!$D$3:$F$103,3,0)*N84/1000/12,0))</f>
        <v>0.52485238463466244</v>
      </c>
      <c r="Q84" s="957"/>
      <c r="R84" s="452">
        <f ca="1">IF('Tinh phi QL'!$H$9="Nam",VLOOKUP(KTVCOI!$I$9,KTVCOI!$D$3:$F$103,2,0)*S84/1000/12,IF('Tinh phi QL'!$H$9="Nữ",VLOOKUP(KTVCOI!$I$9,KTVCOI!$D$3:$F$103,3,0)*S84/1000/12,0))</f>
        <v>0.57156471344625492</v>
      </c>
      <c r="S84" s="452">
        <f ca="1">KTVTD20namMH!E85-V83</f>
        <v>4233.8126921944804</v>
      </c>
      <c r="T84" s="418">
        <f ca="1">(T83-O84-P84)*(1+LS!$E$9)</f>
        <v>-3943.2096703914713</v>
      </c>
      <c r="U84" s="958"/>
      <c r="V84" s="418">
        <f ca="1">(V83-O84-R84)*(1+LS!$F$9)</f>
        <v>-4300.4713151044753</v>
      </c>
    </row>
    <row r="85" spans="4:22" ht="9.75" customHeight="1">
      <c r="D85" s="252">
        <v>82</v>
      </c>
      <c r="E85" s="329">
        <v>85.686999999999998</v>
      </c>
      <c r="F85" s="329">
        <v>61.3</v>
      </c>
      <c r="H85" s="252">
        <v>83</v>
      </c>
      <c r="I85" s="423">
        <f t="shared" ca="1" si="10"/>
        <v>112</v>
      </c>
      <c r="J85" s="423"/>
      <c r="L85" s="959"/>
      <c r="M85" s="252">
        <v>83</v>
      </c>
      <c r="N85" s="256">
        <f ca="1">KTVTD20namcamket!E86-T84</f>
        <v>3943.2096703914713</v>
      </c>
      <c r="O85" s="256">
        <f ca="1">KTVTD20namMH!F86</f>
        <v>50</v>
      </c>
      <c r="P85" s="452">
        <f ca="1">IF('Tinh phi QL'!$H$9="Nam",VLOOKUP(KTVCOI!$I$9,KTVCOI!$D$3:$F$103,2,0)*N85/1000/12,IF('Tinh phi QL'!$H$9="Nữ",VLOOKUP(KTVCOI!$I$9,KTVCOI!$D$3:$F$103,3,0)*N85/1000/12,0))</f>
        <v>0.53233330550284863</v>
      </c>
      <c r="Q85" s="957"/>
      <c r="R85" s="452">
        <f ca="1">IF('Tinh phi QL'!$H$9="Nam",VLOOKUP(KTVCOI!$I$9,KTVCOI!$D$3:$F$103,2,0)*S85/1000/12,IF('Tinh phi QL'!$H$9="Nữ",VLOOKUP(KTVCOI!$I$9,KTVCOI!$D$3:$F$103,3,0)*S85/1000/12,0))</f>
        <v>0.58056362753910418</v>
      </c>
      <c r="S85" s="452">
        <f ca="1">KTVTD20namMH!E86-V84</f>
        <v>4300.4713151044753</v>
      </c>
      <c r="T85" s="418">
        <f ca="1">(T84-O85-P85)*(1+LS!$E$9)</f>
        <v>-3998.7001853372317</v>
      </c>
      <c r="U85" s="958"/>
      <c r="V85" s="418">
        <f ca="1">(V84-O85-R85)*(1+LS!$F$9)</f>
        <v>-4367.3892613270764</v>
      </c>
    </row>
    <row r="86" spans="4:22" ht="9.75" customHeight="1">
      <c r="D86" s="252">
        <v>83</v>
      </c>
      <c r="E86" s="329">
        <v>93.688000000000002</v>
      </c>
      <c r="F86" s="329">
        <v>68.781999999999996</v>
      </c>
      <c r="H86" s="252">
        <v>84</v>
      </c>
      <c r="I86" s="423">
        <f t="shared" ca="1" si="10"/>
        <v>113</v>
      </c>
      <c r="J86" s="423"/>
      <c r="L86" s="959"/>
      <c r="M86" s="252">
        <v>84</v>
      </c>
      <c r="N86" s="256">
        <f ca="1">KTVTD20namcamket!E87-T85</f>
        <v>3998.7001853372317</v>
      </c>
      <c r="O86" s="256">
        <f ca="1">KTVTD20namMH!F87</f>
        <v>50</v>
      </c>
      <c r="P86" s="452">
        <f ca="1">IF('Tinh phi QL'!$H$9="Nam",VLOOKUP(KTVCOI!$I$9,KTVCOI!$D$3:$F$103,2,0)*N86/1000/12,IF('Tinh phi QL'!$H$9="Nữ",VLOOKUP(KTVCOI!$I$9,KTVCOI!$D$3:$F$103,3,0)*N86/1000/12,0))</f>
        <v>0.53982452502052636</v>
      </c>
      <c r="Q86" s="957"/>
      <c r="R86" s="452">
        <f ca="1">IF('Tinh phi QL'!$H$9="Nam",VLOOKUP(KTVCOI!$I$9,KTVCOI!$D$3:$F$103,2,0)*S86/1000/12,IF('Tinh phi QL'!$H$9="Nữ",VLOOKUP(KTVCOI!$I$9,KTVCOI!$D$3:$F$103,3,0)*S86/1000/12,0))</f>
        <v>0.58959755027915539</v>
      </c>
      <c r="S86" s="452">
        <f ca="1">KTVTD20namMH!E87-V85</f>
        <v>4367.3892613270764</v>
      </c>
      <c r="T86" s="419">
        <f ca="1">(T85-O86-P86)*(1+LS!$E$9)</f>
        <v>-4054.2670915954509</v>
      </c>
      <c r="U86" s="958"/>
      <c r="V86" s="419">
        <f ca="1">(V85-O86-R86)*(1+LS!$F$9)</f>
        <v>-4434.5675397127143</v>
      </c>
    </row>
    <row r="87" spans="4:22" ht="9.75" customHeight="1">
      <c r="D87" s="252">
        <v>84</v>
      </c>
      <c r="E87" s="329">
        <v>102.28400000000001</v>
      </c>
      <c r="F87" s="329">
        <v>77.016999999999996</v>
      </c>
      <c r="H87" s="252">
        <v>85</v>
      </c>
      <c r="I87" s="423">
        <f t="shared" ca="1" si="10"/>
        <v>114</v>
      </c>
      <c r="J87" s="423"/>
      <c r="L87" s="957">
        <f>L75+1</f>
        <v>8</v>
      </c>
      <c r="M87" s="262">
        <v>85</v>
      </c>
      <c r="N87" s="263">
        <f ca="1">$J$10-T86-KTVTDGTTKcamket!F14</f>
        <v>4054.2670915954509</v>
      </c>
      <c r="O87" s="256">
        <f ca="1">KTVTD20namMH!F88</f>
        <v>50</v>
      </c>
      <c r="P87" s="451">
        <f ca="1">IF('Tinh phi QL'!$H$9="Nam",VLOOKUP(KTVCOI!$I$10,KTVCOI!$D$3:$F$103,2,0)*N87/1000/12,IF('Tinh phi QL'!$H$9="Nữ",VLOOKUP(KTVCOI!$I$10,KTVCOI!$D$3:$F$103,3,0)*N87/1000/12,0))</f>
        <v>0.58786872828134029</v>
      </c>
      <c r="Q87" s="957"/>
      <c r="R87" s="452">
        <f ca="1">IF('Tinh phi QL'!$H$9="Nam",VLOOKUP(KTVCOI!$I$10,KTVCOI!$D$3:$F$103,2,0)*S87/1000/12,IF('Tinh phi QL'!$H$9="Nữ",VLOOKUP(KTVCOI!$I$10,KTVCOI!$D$3:$F$103,3,0)*S87/1000/12,0))</f>
        <v>0.64301229325834353</v>
      </c>
      <c r="S87" s="451">
        <f ca="1">KTVTD20namMH!E88-V86-KTVTDGTTKMH!F14</f>
        <v>4434.5675397127143</v>
      </c>
      <c r="T87" s="420">
        <f ca="1">(T86+KTVTDGTTKcamket!F14-O87-P87)*(1+LS!$E$10)</f>
        <v>-4109.9510873347799</v>
      </c>
      <c r="U87" s="958">
        <f>Q87</f>
        <v>0</v>
      </c>
      <c r="V87" s="418">
        <f ca="1">(V86+KTVTDGTTKMH!F14-O87-R87)*(1+LS!$F$10)</f>
        <v>-4502.0516752216499</v>
      </c>
    </row>
    <row r="88" spans="4:22" ht="9.75" customHeight="1">
      <c r="D88" s="252">
        <v>85</v>
      </c>
      <c r="E88" s="329">
        <v>111.286</v>
      </c>
      <c r="F88" s="329">
        <v>85.918000000000006</v>
      </c>
      <c r="H88" s="252">
        <v>86</v>
      </c>
      <c r="I88" s="423">
        <f t="shared" ca="1" si="10"/>
        <v>115</v>
      </c>
      <c r="J88" s="423"/>
      <c r="L88" s="957"/>
      <c r="M88" s="262">
        <v>86</v>
      </c>
      <c r="N88" s="263">
        <f ca="1">$J$10-T87</f>
        <v>4109.9510873347799</v>
      </c>
      <c r="O88" s="256">
        <f ca="1">KTVTD20namMH!F89</f>
        <v>50</v>
      </c>
      <c r="P88" s="451">
        <f ca="1">IF('Tinh phi QL'!$H$9="Nam",VLOOKUP(KTVCOI!$I$10,KTVCOI!$D$3:$F$103,2,0)*N88/1000/12,IF('Tinh phi QL'!$H$9="Nữ",VLOOKUP(KTVCOI!$I$10,KTVCOI!$D$3:$F$103,3,0)*N88/1000/12,0))</f>
        <v>0.59594290766354308</v>
      </c>
      <c r="Q88" s="957"/>
      <c r="R88" s="452">
        <f ca="1">IF('Tinh phi QL'!$H$9="Nam",VLOOKUP(KTVCOI!$I$10,KTVCOI!$D$3:$F$103,2,0)*S88/1000/12,IF('Tinh phi QL'!$H$9="Nữ",VLOOKUP(KTVCOI!$I$10,KTVCOI!$D$3:$F$103,3,0)*S88/1000/12,0))</f>
        <v>0.65279749290713929</v>
      </c>
      <c r="S88" s="451">
        <f ca="1">KTVTD20namMH!E89-V87</f>
        <v>4502.0516752216499</v>
      </c>
      <c r="T88" s="420">
        <f ca="1">(T87-O88-P88)*(1+LS!$E$10)</f>
        <v>-4165.7122982741994</v>
      </c>
      <c r="U88" s="958"/>
      <c r="V88" s="418">
        <f ca="1">(V87-O88-R88)*(1+LS!$F$10)</f>
        <v>-4569.7990229258639</v>
      </c>
    </row>
    <row r="89" spans="4:22" ht="9.75" customHeight="1">
      <c r="D89" s="252">
        <v>86</v>
      </c>
      <c r="E89" s="329">
        <v>120.547</v>
      </c>
      <c r="F89" s="329">
        <v>95.424000000000007</v>
      </c>
      <c r="H89" s="252">
        <v>87</v>
      </c>
      <c r="I89" s="423">
        <f t="shared" ca="1" si="10"/>
        <v>116</v>
      </c>
      <c r="J89" s="423"/>
      <c r="L89" s="957"/>
      <c r="M89" s="262">
        <v>87</v>
      </c>
      <c r="N89" s="263">
        <f t="shared" ref="N89:N98" ca="1" si="11">$J$10-T88</f>
        <v>4165.7122982741994</v>
      </c>
      <c r="O89" s="256">
        <f ca="1">KTVTD20namMH!F90</f>
        <v>50</v>
      </c>
      <c r="P89" s="451">
        <f ca="1">IF('Tinh phi QL'!$H$9="Nam",VLOOKUP(KTVCOI!$I$10,KTVCOI!$D$3:$F$103,2,0)*N89/1000/12,IF('Tinh phi QL'!$H$9="Nữ",VLOOKUP(KTVCOI!$I$10,KTVCOI!$D$3:$F$103,3,0)*N89/1000/12,0))</f>
        <v>0.60402828324975888</v>
      </c>
      <c r="Q89" s="957"/>
      <c r="R89" s="452">
        <f ca="1">IF('Tinh phi QL'!$H$9="Nam",VLOOKUP(KTVCOI!$I$10,KTVCOI!$D$3:$F$103,2,0)*S89/1000/12,IF('Tinh phi QL'!$H$9="Nữ",VLOOKUP(KTVCOI!$I$10,KTVCOI!$D$3:$F$103,3,0)*S89/1000/12,0))</f>
        <v>0.66262085832425022</v>
      </c>
      <c r="S89" s="451">
        <f ca="1">KTVTD20namMH!E90-V88</f>
        <v>4569.7990229258639</v>
      </c>
      <c r="T89" s="420">
        <f ca="1">(T88-O89-P89)*(1+LS!$E$10)</f>
        <v>-4221.5508314855351</v>
      </c>
      <c r="U89" s="958"/>
      <c r="V89" s="418">
        <f ca="1">(V88-O89-R89)*(1+LS!$F$10)</f>
        <v>-4637.8106094467876</v>
      </c>
    </row>
    <row r="90" spans="4:22" ht="9.75" customHeight="1">
      <c r="D90" s="252">
        <v>87</v>
      </c>
      <c r="E90" s="329">
        <v>130.011</v>
      </c>
      <c r="F90" s="329">
        <v>105.51300000000001</v>
      </c>
      <c r="H90" s="252">
        <v>88</v>
      </c>
      <c r="I90" s="423">
        <f t="shared" ca="1" si="10"/>
        <v>117</v>
      </c>
      <c r="J90" s="423"/>
      <c r="L90" s="957"/>
      <c r="M90" s="262">
        <v>88</v>
      </c>
      <c r="N90" s="263">
        <f t="shared" ca="1" si="11"/>
        <v>4221.5508314855351</v>
      </c>
      <c r="O90" s="256">
        <f ca="1">KTVTD20namMH!F91</f>
        <v>50</v>
      </c>
      <c r="P90" s="451">
        <f ca="1">IF('Tinh phi QL'!$H$9="Nam",VLOOKUP(KTVCOI!$I$10,KTVCOI!$D$3:$F$103,2,0)*N90/1000/12,IF('Tinh phi QL'!$H$9="Nữ",VLOOKUP(KTVCOI!$I$10,KTVCOI!$D$3:$F$103,3,0)*N90/1000/12,0))</f>
        <v>0.61212487056540255</v>
      </c>
      <c r="Q90" s="957"/>
      <c r="R90" s="452">
        <f ca="1">IF('Tinh phi QL'!$H$9="Nam",VLOOKUP(KTVCOI!$I$10,KTVCOI!$D$3:$F$103,2,0)*S90/1000/12,IF('Tinh phi QL'!$H$9="Nữ",VLOOKUP(KTVCOI!$I$10,KTVCOI!$D$3:$F$103,3,0)*S90/1000/12,0))</f>
        <v>0.67248253836978422</v>
      </c>
      <c r="S90" s="451">
        <f ca="1">KTVTD20namMH!E91-V89</f>
        <v>4637.8106094467876</v>
      </c>
      <c r="T90" s="420">
        <f ca="1">(T89-O90-P90)*(1+LS!$E$10)</f>
        <v>-4277.4667941890866</v>
      </c>
      <c r="U90" s="958"/>
      <c r="V90" s="418">
        <f ca="1">(V89-O90-R90)*(1+LS!$F$10)</f>
        <v>-4706.0874654100407</v>
      </c>
    </row>
    <row r="91" spans="4:22" ht="9.75" customHeight="1">
      <c r="D91" s="252">
        <v>88</v>
      </c>
      <c r="E91" s="329">
        <v>139.67099999999999</v>
      </c>
      <c r="F91" s="329">
        <v>116.19199999999999</v>
      </c>
      <c r="H91" s="252">
        <v>89</v>
      </c>
      <c r="I91" s="423">
        <f t="shared" ca="1" si="10"/>
        <v>118</v>
      </c>
      <c r="J91" s="423"/>
      <c r="L91" s="957"/>
      <c r="M91" s="262">
        <v>89</v>
      </c>
      <c r="N91" s="263">
        <f t="shared" ca="1" si="11"/>
        <v>4277.4667941890866</v>
      </c>
      <c r="O91" s="256">
        <f ca="1">KTVTD20namMH!F92</f>
        <v>50</v>
      </c>
      <c r="P91" s="451">
        <f ca="1">IF('Tinh phi QL'!$H$9="Nam",VLOOKUP(KTVCOI!$I$10,KTVCOI!$D$3:$F$103,2,0)*N91/1000/12,IF('Tinh phi QL'!$H$9="Nữ",VLOOKUP(KTVCOI!$I$10,KTVCOI!$D$3:$F$103,3,0)*N91/1000/12,0))</f>
        <v>0.62023268515741758</v>
      </c>
      <c r="Q91" s="957"/>
      <c r="R91" s="452">
        <f ca="1">IF('Tinh phi QL'!$H$9="Nam",VLOOKUP(KTVCOI!$I$10,KTVCOI!$D$3:$F$103,2,0)*S91/1000/12,IF('Tinh phi QL'!$H$9="Nữ",VLOOKUP(KTVCOI!$I$10,KTVCOI!$D$3:$F$103,3,0)*S91/1000/12,0))</f>
        <v>0.68238268248445599</v>
      </c>
      <c r="S91" s="451">
        <f ca="1">KTVTD20namMH!E92-V90</f>
        <v>4706.0874654100407</v>
      </c>
      <c r="T91" s="420">
        <f ca="1">(T90-O91-P91)*(1+LS!$E$10)</f>
        <v>-4333.4602937538311</v>
      </c>
      <c r="U91" s="958"/>
      <c r="V91" s="418">
        <f ca="1">(V90-O91-R91)*(1+LS!$F$10)</f>
        <v>-4774.6306254610517</v>
      </c>
    </row>
    <row r="92" spans="4:22" ht="9.75" customHeight="1">
      <c r="D92" s="252">
        <v>89</v>
      </c>
      <c r="E92" s="329">
        <v>149.583</v>
      </c>
      <c r="F92" s="329">
        <v>127.54600000000001</v>
      </c>
      <c r="H92" s="252">
        <v>90</v>
      </c>
      <c r="I92" s="423">
        <f t="shared" ca="1" si="10"/>
        <v>119</v>
      </c>
      <c r="J92" s="423"/>
      <c r="L92" s="957"/>
      <c r="M92" s="262">
        <v>90</v>
      </c>
      <c r="N92" s="263">
        <f t="shared" ca="1" si="11"/>
        <v>4333.4602937538311</v>
      </c>
      <c r="O92" s="256">
        <f ca="1">KTVTD20namMH!F93</f>
        <v>50</v>
      </c>
      <c r="P92" s="451">
        <f ca="1">IF('Tinh phi QL'!$H$9="Nam",VLOOKUP(KTVCOI!$I$10,KTVCOI!$D$3:$F$103,2,0)*N92/1000/12,IF('Tinh phi QL'!$H$9="Nữ",VLOOKUP(KTVCOI!$I$10,KTVCOI!$D$3:$F$103,3,0)*N92/1000/12,0))</f>
        <v>0.62835174259430548</v>
      </c>
      <c r="Q92" s="957"/>
      <c r="R92" s="452">
        <f ca="1">IF('Tinh phi QL'!$H$9="Nam",VLOOKUP(KTVCOI!$I$10,KTVCOI!$D$3:$F$103,2,0)*S92/1000/12,IF('Tinh phi QL'!$H$9="Nữ",VLOOKUP(KTVCOI!$I$10,KTVCOI!$D$3:$F$103,3,0)*S92/1000/12,0))</f>
        <v>0.69232144069185253</v>
      </c>
      <c r="S92" s="451">
        <f ca="1">KTVTD20namMH!E93-V91</f>
        <v>4774.6306254610517</v>
      </c>
      <c r="T92" s="420">
        <f ca="1">(T91-O92-P92)*(1+LS!$E$10)</f>
        <v>-4389.5314376976339</v>
      </c>
      <c r="U92" s="958"/>
      <c r="V92" s="418">
        <f ca="1">(V91-O92-R92)*(1+LS!$F$10)</f>
        <v>-4843.4411282807341</v>
      </c>
    </row>
    <row r="93" spans="4:22" ht="9.75" customHeight="1">
      <c r="D93" s="252">
        <v>90</v>
      </c>
      <c r="E93" s="329">
        <v>159.90100000000001</v>
      </c>
      <c r="F93" s="329">
        <v>139.708</v>
      </c>
      <c r="H93" s="252">
        <v>91</v>
      </c>
      <c r="I93" s="423">
        <f t="shared" ca="1" si="10"/>
        <v>120</v>
      </c>
      <c r="J93" s="423"/>
      <c r="L93" s="957"/>
      <c r="M93" s="262">
        <v>91</v>
      </c>
      <c r="N93" s="263">
        <f t="shared" ca="1" si="11"/>
        <v>4389.5314376976339</v>
      </c>
      <c r="O93" s="256">
        <f ca="1">KTVTD20namMH!F94</f>
        <v>50</v>
      </c>
      <c r="P93" s="451">
        <f ca="1">IF('Tinh phi QL'!$H$9="Nam",VLOOKUP(KTVCOI!$I$10,KTVCOI!$D$3:$F$103,2,0)*N93/1000/12,IF('Tinh phi QL'!$H$9="Nữ",VLOOKUP(KTVCOI!$I$10,KTVCOI!$D$3:$F$103,3,0)*N93/1000/12,0))</f>
        <v>0.63648205846615691</v>
      </c>
      <c r="Q93" s="957"/>
      <c r="R93" s="452">
        <f ca="1">IF('Tinh phi QL'!$H$9="Nam",VLOOKUP(KTVCOI!$I$10,KTVCOI!$D$3:$F$103,2,0)*S93/1000/12,IF('Tinh phi QL'!$H$9="Nữ",VLOOKUP(KTVCOI!$I$10,KTVCOI!$D$3:$F$103,3,0)*S93/1000/12,0))</f>
        <v>0.70229896360070654</v>
      </c>
      <c r="S93" s="451">
        <f ca="1">KTVTD20namMH!E94-V92</f>
        <v>4843.4411282807341</v>
      </c>
      <c r="T93" s="420">
        <f ca="1">(T92-O93-P93)*(1+LS!$E$10)</f>
        <v>-4445.6803336874491</v>
      </c>
      <c r="U93" s="958"/>
      <c r="V93" s="418">
        <f ca="1">(V92-O93-R93)*(1+LS!$F$10)</f>
        <v>-4912.5200166012282</v>
      </c>
    </row>
    <row r="94" spans="4:22" ht="9.75" customHeight="1">
      <c r="D94" s="252">
        <v>91</v>
      </c>
      <c r="E94" s="329">
        <v>170.87700000000001</v>
      </c>
      <c r="F94" s="329">
        <v>152.93700000000001</v>
      </c>
      <c r="H94" s="252">
        <v>92</v>
      </c>
      <c r="I94" s="423">
        <f t="shared" ca="1" si="10"/>
        <v>121</v>
      </c>
      <c r="J94" s="423"/>
      <c r="L94" s="957"/>
      <c r="M94" s="262">
        <v>92</v>
      </c>
      <c r="N94" s="263">
        <f t="shared" ca="1" si="11"/>
        <v>4445.6803336874491</v>
      </c>
      <c r="O94" s="256">
        <f ca="1">KTVTD20namMH!F95</f>
        <v>50</v>
      </c>
      <c r="P94" s="451">
        <f ca="1">IF('Tinh phi QL'!$H$9="Nam",VLOOKUP(KTVCOI!$I$10,KTVCOI!$D$3:$F$103,2,0)*N94/1000/12,IF('Tinh phi QL'!$H$9="Nữ",VLOOKUP(KTVCOI!$I$10,KTVCOI!$D$3:$F$103,3,0)*N94/1000/12,0))</f>
        <v>0.64462364838468011</v>
      </c>
      <c r="Q94" s="957"/>
      <c r="R94" s="452">
        <f ca="1">IF('Tinh phi QL'!$H$9="Nam",VLOOKUP(KTVCOI!$I$10,KTVCOI!$D$3:$F$103,2,0)*S94/1000/12,IF('Tinh phi QL'!$H$9="Nữ",VLOOKUP(KTVCOI!$I$10,KTVCOI!$D$3:$F$103,3,0)*S94/1000/12,0))</f>
        <v>0.71231540240717806</v>
      </c>
      <c r="S94" s="451">
        <f ca="1">KTVTD20namMH!E95-V93</f>
        <v>4912.5200166012282</v>
      </c>
      <c r="T94" s="420">
        <f ca="1">(T93-O94-P94)*(1+LS!$E$10)</f>
        <v>-4501.9070895395298</v>
      </c>
      <c r="U94" s="958"/>
      <c r="V94" s="418">
        <f ca="1">(V93-O94-R94)*(1+LS!$F$10)</f>
        <v>-4981.868337221701</v>
      </c>
    </row>
    <row r="95" spans="4:22" ht="9.75" customHeight="1">
      <c r="D95" s="252">
        <v>92</v>
      </c>
      <c r="E95" s="329">
        <v>183.001</v>
      </c>
      <c r="F95" s="329">
        <v>167.69900000000001</v>
      </c>
      <c r="H95" s="252">
        <v>93</v>
      </c>
      <c r="I95" s="423">
        <f t="shared" ca="1" si="10"/>
        <v>122</v>
      </c>
      <c r="J95" s="423"/>
      <c r="L95" s="957"/>
      <c r="M95" s="262">
        <v>93</v>
      </c>
      <c r="N95" s="263">
        <f t="shared" ca="1" si="11"/>
        <v>4501.9070895395298</v>
      </c>
      <c r="O95" s="256">
        <f ca="1">KTVTD20namMH!F96</f>
        <v>50</v>
      </c>
      <c r="P95" s="451">
        <f ca="1">IF('Tinh phi QL'!$H$9="Nam",VLOOKUP(KTVCOI!$I$10,KTVCOI!$D$3:$F$103,2,0)*N95/1000/12,IF('Tinh phi QL'!$H$9="Nữ",VLOOKUP(KTVCOI!$I$10,KTVCOI!$D$3:$F$103,3,0)*N95/1000/12,0))</f>
        <v>0.65277652798323182</v>
      </c>
      <c r="Q95" s="957"/>
      <c r="R95" s="452">
        <f ca="1">IF('Tinh phi QL'!$H$9="Nam",VLOOKUP(KTVCOI!$I$10,KTVCOI!$D$3:$F$103,2,0)*S95/1000/12,IF('Tinh phi QL'!$H$9="Nữ",VLOOKUP(KTVCOI!$I$10,KTVCOI!$D$3:$F$103,3,0)*S95/1000/12,0))</f>
        <v>0.72237090889714661</v>
      </c>
      <c r="S95" s="451">
        <f ca="1">KTVTD20namMH!E96-V94</f>
        <v>4981.868337221701</v>
      </c>
      <c r="T95" s="420">
        <f ca="1">(T94-O95-P95)*(1+LS!$E$10)</f>
        <v>-4558.2118132196356</v>
      </c>
      <c r="U95" s="958"/>
      <c r="V95" s="418">
        <f ca="1">(V94-O95-R95)*(1+LS!$F$10)</f>
        <v>-5051.4871410242104</v>
      </c>
    </row>
    <row r="96" spans="4:22" ht="9.75" customHeight="1">
      <c r="D96" s="252">
        <v>93</v>
      </c>
      <c r="E96" s="329">
        <v>197.49100000000001</v>
      </c>
      <c r="F96" s="329">
        <v>185.066</v>
      </c>
      <c r="H96" s="252">
        <v>94</v>
      </c>
      <c r="I96" s="423">
        <f t="shared" ca="1" si="10"/>
        <v>123</v>
      </c>
      <c r="J96" s="423"/>
      <c r="L96" s="957"/>
      <c r="M96" s="262">
        <v>94</v>
      </c>
      <c r="N96" s="263">
        <f t="shared" ca="1" si="11"/>
        <v>4558.2118132196356</v>
      </c>
      <c r="O96" s="256">
        <f ca="1">KTVTD20namMH!F97</f>
        <v>50</v>
      </c>
      <c r="P96" s="451">
        <f ca="1">IF('Tinh phi QL'!$H$9="Nam",VLOOKUP(KTVCOI!$I$10,KTVCOI!$D$3:$F$103,2,0)*N96/1000/12,IF('Tinh phi QL'!$H$9="Nữ",VLOOKUP(KTVCOI!$I$10,KTVCOI!$D$3:$F$103,3,0)*N96/1000/12,0))</f>
        <v>0.66094071291684708</v>
      </c>
      <c r="Q96" s="957"/>
      <c r="R96" s="452">
        <f ca="1">IF('Tinh phi QL'!$H$9="Nam",VLOOKUP(KTVCOI!$I$10,KTVCOI!$D$3:$F$103,2,0)*S96/1000/12,IF('Tinh phi QL'!$H$9="Nữ",VLOOKUP(KTVCOI!$I$10,KTVCOI!$D$3:$F$103,3,0)*S96/1000/12,0))</f>
        <v>0.73246563544851051</v>
      </c>
      <c r="S96" s="451">
        <f ca="1">KTVTD20namMH!E97-V95</f>
        <v>5051.4871410242104</v>
      </c>
      <c r="T96" s="420">
        <f ca="1">(T95-O96-P96)*(1+LS!$E$10)</f>
        <v>-4614.5946128432379</v>
      </c>
      <c r="U96" s="958"/>
      <c r="V96" s="418">
        <f ca="1">(V95-O96-R96)*(1+LS!$F$10)</f>
        <v>-5121.3774829896274</v>
      </c>
    </row>
    <row r="97" spans="4:22" ht="9.75" customHeight="1">
      <c r="D97" s="252">
        <v>94</v>
      </c>
      <c r="E97" s="329">
        <v>216.97900000000001</v>
      </c>
      <c r="F97" s="329">
        <v>207.422</v>
      </c>
      <c r="H97" s="252">
        <v>95</v>
      </c>
      <c r="I97" s="423">
        <f t="shared" ca="1" si="10"/>
        <v>124</v>
      </c>
      <c r="J97" s="423"/>
      <c r="L97" s="957"/>
      <c r="M97" s="262">
        <v>95</v>
      </c>
      <c r="N97" s="263">
        <f t="shared" ca="1" si="11"/>
        <v>4614.5946128432379</v>
      </c>
      <c r="O97" s="256">
        <f ca="1">KTVTD20namMH!F98</f>
        <v>50</v>
      </c>
      <c r="P97" s="451">
        <f ca="1">IF('Tinh phi QL'!$H$9="Nam",VLOOKUP(KTVCOI!$I$10,KTVCOI!$D$3:$F$103,2,0)*N97/1000/12,IF('Tinh phi QL'!$H$9="Nữ",VLOOKUP(KTVCOI!$I$10,KTVCOI!$D$3:$F$103,3,0)*N97/1000/12,0))</f>
        <v>0.66911621886226946</v>
      </c>
      <c r="Q97" s="957"/>
      <c r="R97" s="452">
        <f ca="1">IF('Tinh phi QL'!$H$9="Nam",VLOOKUP(KTVCOI!$I$10,KTVCOI!$D$3:$F$103,2,0)*S97/1000/12,IF('Tinh phi QL'!$H$9="Nữ",VLOOKUP(KTVCOI!$I$10,KTVCOI!$D$3:$F$103,3,0)*S97/1000/12,0))</f>
        <v>0.74259973503349608</v>
      </c>
      <c r="S97" s="451">
        <f ca="1">KTVTD20namMH!E98-V96</f>
        <v>5121.3774829896274</v>
      </c>
      <c r="T97" s="420">
        <f ca="1">(T96-O97-P97)*(1+LS!$E$10)</f>
        <v>-4671.0555966757274</v>
      </c>
      <c r="U97" s="958"/>
      <c r="V97" s="418">
        <f ca="1">(V96-O97-R97)*(1+LS!$F$10)</f>
        <v>-5191.5404222136267</v>
      </c>
    </row>
    <row r="98" spans="4:22" ht="9.75" customHeight="1">
      <c r="D98" s="252">
        <v>95</v>
      </c>
      <c r="E98" s="329">
        <v>246.30199999999999</v>
      </c>
      <c r="F98" s="329">
        <v>239.59299999999999</v>
      </c>
      <c r="H98" s="252">
        <v>96</v>
      </c>
      <c r="I98" s="423">
        <f t="shared" ca="1" si="10"/>
        <v>125</v>
      </c>
      <c r="J98" s="423"/>
      <c r="L98" s="957"/>
      <c r="M98" s="262">
        <v>96</v>
      </c>
      <c r="N98" s="263">
        <f t="shared" ca="1" si="11"/>
        <v>4671.0555966757274</v>
      </c>
      <c r="O98" s="256">
        <f ca="1">KTVTD20namMH!F99</f>
        <v>50</v>
      </c>
      <c r="P98" s="451">
        <f ca="1">IF('Tinh phi QL'!$H$9="Nam",VLOOKUP(KTVCOI!$I$10,KTVCOI!$D$3:$F$103,2,0)*N98/1000/12,IF('Tinh phi QL'!$H$9="Nữ",VLOOKUP(KTVCOI!$I$10,KTVCOI!$D$3:$F$103,3,0)*N98/1000/12,0))</f>
        <v>0.67730306151798059</v>
      </c>
      <c r="Q98" s="957"/>
      <c r="R98" s="452">
        <f ca="1">IF('Tinh phi QL'!$H$9="Nam",VLOOKUP(KTVCOI!$I$10,KTVCOI!$D$3:$F$103,2,0)*S98/1000/12,IF('Tinh phi QL'!$H$9="Nữ",VLOOKUP(KTVCOI!$I$10,KTVCOI!$D$3:$F$103,3,0)*S98/1000/12,0))</f>
        <v>0.75277336122097582</v>
      </c>
      <c r="S98" s="451">
        <f ca="1">KTVTD20namMH!E99-V97</f>
        <v>5191.5404222136267</v>
      </c>
      <c r="T98" s="421">
        <f ca="1">(T97-O98-P98)*(1+LS!$E$10)</f>
        <v>-4727.5948731326234</v>
      </c>
      <c r="U98" s="958"/>
      <c r="V98" s="419">
        <f ca="1">(V97-O98-R98)*(1+LS!$F$10)</f>
        <v>-5261.9770219227312</v>
      </c>
    </row>
    <row r="99" spans="4:22" ht="9.75" customHeight="1">
      <c r="D99" s="252">
        <v>96</v>
      </c>
      <c r="E99" s="329">
        <v>294.69299999999998</v>
      </c>
      <c r="F99" s="329">
        <v>290.78300000000002</v>
      </c>
      <c r="H99" s="252">
        <v>97</v>
      </c>
      <c r="I99" s="423">
        <f t="shared" ca="1" si="10"/>
        <v>126</v>
      </c>
      <c r="J99" s="423"/>
      <c r="L99" s="959">
        <f>L87+1</f>
        <v>9</v>
      </c>
      <c r="M99" s="252">
        <v>97</v>
      </c>
      <c r="N99" s="256">
        <f ca="1">$J$11-T98-KTVTDGTTKcamket!F15</f>
        <v>4727.5948731326234</v>
      </c>
      <c r="O99" s="256">
        <f ca="1">KTVTD20namMH!F100</f>
        <v>50</v>
      </c>
      <c r="P99" s="452">
        <f ca="1">IF('Tinh phi QL'!$H$9="Nam",VLOOKUP(KTVCOI!$I$11,KTVCOI!$D$3:$F$103,2,0)*N99/1000/12,IF('Tinh phi QL'!$H$9="Nữ",VLOOKUP(KTVCOI!$I$11,KTVCOI!$D$3:$F$103,3,0)*N99/1000/12,0))</f>
        <v>0.74065653012411092</v>
      </c>
      <c r="Q99" s="957"/>
      <c r="R99" s="452">
        <f ca="1">IF('Tinh phi QL'!$H$9="Nam",VLOOKUP(KTVCOI!$I$11,KTVCOI!$D$3:$F$103,2,0)*S99/1000/12,IF('Tinh phi QL'!$H$9="Nữ",VLOOKUP(KTVCOI!$I$11,KTVCOI!$D$3:$F$103,3,0)*S99/1000/12,0))</f>
        <v>0.8243764001012277</v>
      </c>
      <c r="S99" s="452">
        <f ca="1">KTVTD20namMH!E100-V98-KTVTDGTTKMH!F15</f>
        <v>5261.9770219227312</v>
      </c>
      <c r="T99" s="418">
        <f ca="1">(T98+KTVTDGTTKcamket!F14-O99-P99)*(1+LS!$E$11)</f>
        <v>-4784.267774527897</v>
      </c>
      <c r="U99" s="958">
        <f>Q99</f>
        <v>0</v>
      </c>
      <c r="V99" s="418">
        <f ca="1">(V98+KTVTDGTTKMH!F15-O99-R99)*(1+LS!$F$11)</f>
        <v>-5332.7499697292651</v>
      </c>
    </row>
    <row r="100" spans="4:22" ht="9.75" customHeight="1">
      <c r="D100" s="252">
        <v>97</v>
      </c>
      <c r="E100" s="329">
        <v>378.7</v>
      </c>
      <c r="F100" s="329">
        <v>377.45299999999997</v>
      </c>
      <c r="H100" s="252">
        <v>98</v>
      </c>
      <c r="I100" s="423">
        <f t="shared" ca="1" si="10"/>
        <v>127</v>
      </c>
      <c r="J100" s="423"/>
      <c r="L100" s="959"/>
      <c r="M100" s="252">
        <v>98</v>
      </c>
      <c r="N100" s="256">
        <f ca="1">$J$11-T99</f>
        <v>4784.267774527897</v>
      </c>
      <c r="O100" s="256">
        <f ca="1">KTVTD20namMH!F101</f>
        <v>50</v>
      </c>
      <c r="P100" s="452">
        <f ca="1">IF('Tinh phi QL'!$H$9="Nam",VLOOKUP(KTVCOI!$I$11,KTVCOI!$D$3:$F$103,2,0)*N100/1000/12,IF('Tinh phi QL'!$H$9="Nữ",VLOOKUP(KTVCOI!$I$11,KTVCOI!$D$3:$F$103,3,0)*N100/1000/12,0))</f>
        <v>0.74953528467603714</v>
      </c>
      <c r="Q100" s="957"/>
      <c r="R100" s="452">
        <f ca="1">IF('Tinh phi QL'!$H$9="Nam",VLOOKUP(KTVCOI!$I$11,KTVCOI!$D$3:$F$103,2,0)*S100/1000/12,IF('Tinh phi QL'!$H$9="Nữ",VLOOKUP(KTVCOI!$I$11,KTVCOI!$D$3:$F$103,3,0)*S100/1000/12,0))</f>
        <v>0.83546416192425144</v>
      </c>
      <c r="S100" s="452">
        <f ca="1">KTVTD20namMH!E101-V99</f>
        <v>5332.7499697292651</v>
      </c>
      <c r="T100" s="418">
        <f ca="1">(T99-O100-P100)*(1+LS!$E$11)</f>
        <v>-4841.0199244115256</v>
      </c>
      <c r="U100" s="958"/>
      <c r="V100" s="418">
        <f ca="1">(V99-O100-R100)*(1+LS!$F$11)</f>
        <v>-5403.7997860566047</v>
      </c>
    </row>
    <row r="101" spans="4:22" ht="9.75" customHeight="1">
      <c r="D101" s="252">
        <v>98</v>
      </c>
      <c r="E101" s="329">
        <v>521.60500000000002</v>
      </c>
      <c r="F101" s="329">
        <v>522.69100000000003</v>
      </c>
      <c r="H101" s="252">
        <v>99</v>
      </c>
      <c r="I101" s="423">
        <f t="shared" ca="1" si="10"/>
        <v>128</v>
      </c>
      <c r="J101" s="423"/>
      <c r="L101" s="959"/>
      <c r="M101" s="252">
        <v>99</v>
      </c>
      <c r="N101" s="256">
        <f t="shared" ref="N101:N110" ca="1" si="12">$J$11-T100</f>
        <v>4841.0199244115256</v>
      </c>
      <c r="O101" s="256">
        <f ca="1">KTVTD20namMH!F102</f>
        <v>50</v>
      </c>
      <c r="P101" s="452">
        <f ca="1">IF('Tinh phi QL'!$H$9="Nam",VLOOKUP(KTVCOI!$I$11,KTVCOI!$D$3:$F$103,2,0)*N101/1000/12,IF('Tinh phi QL'!$H$9="Nữ",VLOOKUP(KTVCOI!$I$11,KTVCOI!$D$3:$F$103,3,0)*N101/1000/12,0))</f>
        <v>0.75842645482447235</v>
      </c>
      <c r="Q101" s="957"/>
      <c r="R101" s="452">
        <f ca="1">IF('Tinh phi QL'!$H$9="Nam",VLOOKUP(KTVCOI!$I$11,KTVCOI!$D$3:$F$103,2,0)*S101/1000/12,IF('Tinh phi QL'!$H$9="Nữ",VLOOKUP(KTVCOI!$I$11,KTVCOI!$D$3:$F$103,3,0)*S101/1000/12,0))</f>
        <v>0.84659529981553472</v>
      </c>
      <c r="S101" s="452">
        <f ca="1">KTVTD20namMH!E102-V100</f>
        <v>5403.7997860566047</v>
      </c>
      <c r="T101" s="418">
        <f ca="1">(T100-O101-P101)*(1+LS!$E$11)</f>
        <v>-4897.8514336005428</v>
      </c>
      <c r="U101" s="958"/>
      <c r="V101" s="418">
        <f ca="1">(V100-O101-R101)*(1+LS!$F$11)</f>
        <v>-5475.1275540329825</v>
      </c>
    </row>
    <row r="102" spans="4:22" ht="9.75" customHeight="1">
      <c r="D102" s="252">
        <v>99</v>
      </c>
      <c r="E102" s="329">
        <v>700</v>
      </c>
      <c r="F102" s="329">
        <v>702.57899999999995</v>
      </c>
      <c r="H102" s="252">
        <v>100</v>
      </c>
      <c r="I102" s="423">
        <f t="shared" ca="1" si="10"/>
        <v>129</v>
      </c>
      <c r="J102" s="423"/>
      <c r="L102" s="959"/>
      <c r="M102" s="252">
        <v>100</v>
      </c>
      <c r="N102" s="256">
        <f t="shared" ca="1" si="12"/>
        <v>4897.8514336005428</v>
      </c>
      <c r="O102" s="256">
        <f ca="1">KTVTD20namMH!F103</f>
        <v>50</v>
      </c>
      <c r="P102" s="452">
        <f ca="1">IF('Tinh phi QL'!$H$9="Nam",VLOOKUP(KTVCOI!$I$11,KTVCOI!$D$3:$F$103,2,0)*N102/1000/12,IF('Tinh phi QL'!$H$9="Nữ",VLOOKUP(KTVCOI!$I$11,KTVCOI!$D$3:$F$103,3,0)*N102/1000/12,0))</f>
        <v>0.76733005793075171</v>
      </c>
      <c r="Q102" s="957"/>
      <c r="R102" s="452">
        <f ca="1">IF('Tinh phi QL'!$H$9="Nam",VLOOKUP(KTVCOI!$I$11,KTVCOI!$D$3:$F$103,2,0)*S102/1000/12,IF('Tinh phi QL'!$H$9="Nữ",VLOOKUP(KTVCOI!$I$11,KTVCOI!$D$3:$F$103,3,0)*S102/1000/12,0))</f>
        <v>0.85776998346516731</v>
      </c>
      <c r="S102" s="452">
        <f ca="1">KTVTD20namMH!E103-V101</f>
        <v>5475.1275540329825</v>
      </c>
      <c r="T102" s="418">
        <f ca="1">(T101-O102-P102)*(1+LS!$E$11)</f>
        <v>-4954.7624130669465</v>
      </c>
      <c r="U102" s="958"/>
      <c r="V102" s="418">
        <f ca="1">(V101-O102-R102)*(1+LS!$F$11)</f>
        <v>-5546.7343610238995</v>
      </c>
    </row>
    <row r="103" spans="4:22" ht="9.75" customHeight="1">
      <c r="D103" s="252">
        <v>100</v>
      </c>
      <c r="E103" s="329">
        <v>700</v>
      </c>
      <c r="F103" s="329">
        <v>702.57899999999995</v>
      </c>
      <c r="H103" s="252">
        <v>101</v>
      </c>
      <c r="I103" s="423">
        <f t="shared" ca="1" si="10"/>
        <v>130</v>
      </c>
      <c r="J103" s="423"/>
      <c r="L103" s="959"/>
      <c r="M103" s="252">
        <v>101</v>
      </c>
      <c r="N103" s="256">
        <f t="shared" ca="1" si="12"/>
        <v>4954.7624130669465</v>
      </c>
      <c r="O103" s="256">
        <f ca="1">KTVTD20namMH!F104</f>
        <v>50</v>
      </c>
      <c r="P103" s="452">
        <f ca="1">IF('Tinh phi QL'!$H$9="Nam",VLOOKUP(KTVCOI!$I$11,KTVCOI!$D$3:$F$103,2,0)*N103/1000/12,IF('Tinh phi QL'!$H$9="Nữ",VLOOKUP(KTVCOI!$I$11,KTVCOI!$D$3:$F$103,3,0)*N103/1000/12,0))</f>
        <v>0.77624611138048827</v>
      </c>
      <c r="Q103" s="957"/>
      <c r="R103" s="452">
        <f ca="1">IF('Tinh phi QL'!$H$9="Nam",VLOOKUP(KTVCOI!$I$11,KTVCOI!$D$3:$F$103,2,0)*S103/1000/12,IF('Tinh phi QL'!$H$9="Nữ",VLOOKUP(KTVCOI!$I$11,KTVCOI!$D$3:$F$103,3,0)*S103/1000/12,0))</f>
        <v>0.8689883832270775</v>
      </c>
      <c r="S103" s="452">
        <f ca="1">KTVTD20namMH!E104-V102</f>
        <v>5546.7343610238995</v>
      </c>
      <c r="T103" s="418">
        <f ca="1">(T102-O103-P103)*(1+LS!$E$11)</f>
        <v>-5011.7529739379088</v>
      </c>
      <c r="U103" s="958"/>
      <c r="V103" s="418">
        <f ca="1">(V102-O103-R103)*(1+LS!$F$11)</f>
        <v>-5618.6212986487044</v>
      </c>
    </row>
    <row r="104" spans="4:22" ht="9.75" customHeight="1">
      <c r="E104" s="329"/>
      <c r="F104" s="329"/>
      <c r="L104" s="959"/>
      <c r="M104" s="252">
        <v>102</v>
      </c>
      <c r="N104" s="256">
        <f t="shared" ca="1" si="12"/>
        <v>5011.7529739379088</v>
      </c>
      <c r="O104" s="256">
        <f ca="1">KTVTD20namMH!F105</f>
        <v>50</v>
      </c>
      <c r="P104" s="452">
        <f ca="1">IF('Tinh phi QL'!$H$9="Nam",VLOOKUP(KTVCOI!$I$11,KTVCOI!$D$3:$F$103,2,0)*N104/1000/12,IF('Tinh phi QL'!$H$9="Nữ",VLOOKUP(KTVCOI!$I$11,KTVCOI!$D$3:$F$103,3,0)*N104/1000/12,0))</f>
        <v>0.78517463258360565</v>
      </c>
      <c r="Q104" s="957"/>
      <c r="R104" s="452">
        <f ca="1">IF('Tinh phi QL'!$H$9="Nam",VLOOKUP(KTVCOI!$I$11,KTVCOI!$D$3:$F$103,2,0)*S104/1000/12,IF('Tinh phi QL'!$H$9="Nữ",VLOOKUP(KTVCOI!$I$11,KTVCOI!$D$3:$F$103,3,0)*S104/1000/12,0))</f>
        <v>0.88025067012163027</v>
      </c>
      <c r="S104" s="452">
        <f ca="1">KTVTD20namMH!E105-V103</f>
        <v>5618.6212986487044</v>
      </c>
      <c r="T104" s="418">
        <f ca="1">(T103-O104-P104)*(1+LS!$E$11)</f>
        <v>-5068.8232274959983</v>
      </c>
      <c r="U104" s="958"/>
      <c r="V104" s="418">
        <f ca="1">(V103-O104-R104)*(1+LS!$F$11)</f>
        <v>-5690.7894627972346</v>
      </c>
    </row>
    <row r="105" spans="4:22" ht="9.75" customHeight="1">
      <c r="E105" s="329"/>
      <c r="F105" s="329"/>
      <c r="L105" s="959"/>
      <c r="M105" s="252">
        <v>103</v>
      </c>
      <c r="N105" s="256">
        <f t="shared" ca="1" si="12"/>
        <v>5068.8232274959983</v>
      </c>
      <c r="O105" s="256">
        <f ca="1">KTVTD20namMH!F106</f>
        <v>60</v>
      </c>
      <c r="P105" s="452">
        <f ca="1">IF('Tinh phi QL'!$H$9="Nam",VLOOKUP(KTVCOI!$I$11,KTVCOI!$D$3:$F$103,2,0)*N105/1000/12,IF('Tinh phi QL'!$H$9="Nữ",VLOOKUP(KTVCOI!$I$11,KTVCOI!$D$3:$F$103,3,0)*N105/1000/12,0))</f>
        <v>0.79411563897437298</v>
      </c>
      <c r="Q105" s="957"/>
      <c r="R105" s="452">
        <f ca="1">IF('Tinh phi QL'!$H$9="Nam",VLOOKUP(KTVCOI!$I$11,KTVCOI!$D$3:$F$103,2,0)*S105/1000/12,IF('Tinh phi QL'!$H$9="Nữ",VLOOKUP(KTVCOI!$I$11,KTVCOI!$D$3:$F$103,3,0)*S105/1000/12,0))</f>
        <v>0.89155701583823344</v>
      </c>
      <c r="S105" s="452">
        <f ca="1">KTVTD20namMH!E106-V104</f>
        <v>5690.7894627972346</v>
      </c>
      <c r="T105" s="418">
        <f ca="1">(T104-O105-P105)*(1+LS!$E$11)</f>
        <v>-5135.9857000565598</v>
      </c>
      <c r="U105" s="958"/>
      <c r="V105" s="418">
        <f ca="1">(V104-O105-R105)*(1+LS!$F$11)</f>
        <v>-5773.2775017683334</v>
      </c>
    </row>
    <row r="106" spans="4:22" ht="9.75" customHeight="1">
      <c r="E106" s="329"/>
      <c r="F106" s="329"/>
      <c r="L106" s="959"/>
      <c r="M106" s="252">
        <v>104</v>
      </c>
      <c r="N106" s="256">
        <f t="shared" ca="1" si="12"/>
        <v>5135.9857000565598</v>
      </c>
      <c r="O106" s="256">
        <f ca="1">KTVTD20namMH!F107</f>
        <v>60</v>
      </c>
      <c r="P106" s="452">
        <f ca="1">IF('Tinh phi QL'!$H$9="Nam",VLOOKUP(KTVCOI!$I$11,KTVCOI!$D$3:$F$103,2,0)*N106/1000/12,IF('Tinh phi QL'!$H$9="Nữ",VLOOKUP(KTVCOI!$I$11,KTVCOI!$D$3:$F$103,3,0)*N106/1000/12,0))</f>
        <v>0.80463775967552775</v>
      </c>
      <c r="Q106" s="957"/>
      <c r="R106" s="452">
        <f ca="1">IF('Tinh phi QL'!$H$9="Nam",VLOOKUP(KTVCOI!$I$11,KTVCOI!$D$3:$F$103,2,0)*S106/1000/12,IF('Tinh phi QL'!$H$9="Nữ",VLOOKUP(KTVCOI!$I$11,KTVCOI!$D$3:$F$103,3,0)*S106/1000/12,0))</f>
        <v>0.90448014194370552</v>
      </c>
      <c r="S106" s="452">
        <f ca="1">KTVTD20namMH!E107-V105</f>
        <v>5773.2775017683334</v>
      </c>
      <c r="T106" s="418">
        <f ca="1">(T105-O106-P106)*(1+LS!$E$11)</f>
        <v>-5203.2420891855963</v>
      </c>
      <c r="U106" s="958"/>
      <c r="V106" s="418">
        <f ca="1">(V105-O106-R106)*(1+LS!$F$11)</f>
        <v>-5856.0882394829778</v>
      </c>
    </row>
    <row r="107" spans="4:22" ht="9.75" customHeight="1">
      <c r="E107" s="329"/>
      <c r="F107" s="329"/>
      <c r="L107" s="959"/>
      <c r="M107" s="252">
        <v>105</v>
      </c>
      <c r="N107" s="256">
        <f t="shared" ca="1" si="12"/>
        <v>5203.2420891855963</v>
      </c>
      <c r="O107" s="256">
        <f ca="1">KTVTD20namMH!F108</f>
        <v>60</v>
      </c>
      <c r="P107" s="452">
        <f ca="1">IF('Tinh phi QL'!$H$9="Nam",VLOOKUP(KTVCOI!$I$11,KTVCOI!$D$3:$F$103,2,0)*N107/1000/12,IF('Tinh phi QL'!$H$9="Nữ",VLOOKUP(KTVCOI!$I$11,KTVCOI!$D$3:$F$103,3,0)*N107/1000/12,0))</f>
        <v>0.8151745939724101</v>
      </c>
      <c r="Q107" s="957"/>
      <c r="R107" s="452">
        <f ca="1">IF('Tinh phi QL'!$H$9="Nam",VLOOKUP(KTVCOI!$I$11,KTVCOI!$D$3:$F$103,2,0)*S107/1000/12,IF('Tinh phi QL'!$H$9="Nữ",VLOOKUP(KTVCOI!$I$11,KTVCOI!$D$3:$F$103,3,0)*S107/1000/12,0))</f>
        <v>0.91745382418566657</v>
      </c>
      <c r="S107" s="452">
        <f ca="1">KTVTD20namMH!E108-V106</f>
        <v>5856.0882394829778</v>
      </c>
      <c r="T107" s="418">
        <f ca="1">(T106-O107-P107)*(1+LS!$E$11)</f>
        <v>-5270.5925262112369</v>
      </c>
      <c r="U107" s="958"/>
      <c r="V107" s="418">
        <f ca="1">(V106-O107-R107)*(1+LS!$F$11)</f>
        <v>-5939.2229383603044</v>
      </c>
    </row>
    <row r="108" spans="4:22" ht="9.75" customHeight="1">
      <c r="E108" s="329"/>
      <c r="F108" s="329"/>
      <c r="L108" s="959"/>
      <c r="M108" s="252">
        <v>106</v>
      </c>
      <c r="N108" s="256">
        <f t="shared" ca="1" si="12"/>
        <v>5270.5925262112369</v>
      </c>
      <c r="O108" s="256">
        <f ca="1">KTVTD20namMH!F109</f>
        <v>60</v>
      </c>
      <c r="P108" s="452">
        <f ca="1">IF('Tinh phi QL'!$H$9="Nam",VLOOKUP(KTVCOI!$I$11,KTVCOI!$D$3:$F$103,2,0)*N108/1000/12,IF('Tinh phi QL'!$H$9="Nữ",VLOOKUP(KTVCOI!$I$11,KTVCOI!$D$3:$F$103,3,0)*N108/1000/12,0))</f>
        <v>0.82572616243976027</v>
      </c>
      <c r="Q108" s="957"/>
      <c r="R108" s="452">
        <f ca="1">IF('Tinh phi QL'!$H$9="Nam",VLOOKUP(KTVCOI!$I$11,KTVCOI!$D$3:$F$103,2,0)*S108/1000/12,IF('Tinh phi QL'!$H$9="Nữ",VLOOKUP(KTVCOI!$I$11,KTVCOI!$D$3:$F$103,3,0)*S108/1000/12,0))</f>
        <v>0.93047826034311443</v>
      </c>
      <c r="S108" s="452">
        <f ca="1">KTVTD20namMH!E109-V107</f>
        <v>5939.2229383603044</v>
      </c>
      <c r="T108" s="418">
        <f ca="1">(T107-O108-P108)*(1+LS!$E$11)</f>
        <v>-5338.0371426452521</v>
      </c>
      <c r="U108" s="958"/>
      <c r="V108" s="418">
        <f ca="1">(V107-O108-R108)*(1+LS!$F$11)</f>
        <v>-6022.68286575812</v>
      </c>
    </row>
    <row r="109" spans="4:22" ht="9.75" customHeight="1">
      <c r="E109" s="329"/>
      <c r="F109" s="329"/>
      <c r="L109" s="959"/>
      <c r="M109" s="252">
        <v>107</v>
      </c>
      <c r="N109" s="256">
        <f t="shared" ca="1" si="12"/>
        <v>5338.0371426452521</v>
      </c>
      <c r="O109" s="256">
        <f ca="1">KTVTD20namMH!F110</f>
        <v>60</v>
      </c>
      <c r="P109" s="452">
        <f ca="1">IF('Tinh phi QL'!$H$9="Nam",VLOOKUP(KTVCOI!$I$11,KTVCOI!$D$3:$F$103,2,0)*N109/1000/12,IF('Tinh phi QL'!$H$9="Nữ",VLOOKUP(KTVCOI!$I$11,KTVCOI!$D$3:$F$103,3,0)*N109/1000/12,0))</f>
        <v>0.83629248568108938</v>
      </c>
      <c r="Q109" s="957"/>
      <c r="R109" s="452">
        <f ca="1">IF('Tinh phi QL'!$H$9="Nam",VLOOKUP(KTVCOI!$I$11,KTVCOI!$D$3:$F$103,2,0)*S109/1000/12,IF('Tinh phi QL'!$H$9="Nữ",VLOOKUP(KTVCOI!$I$11,KTVCOI!$D$3:$F$103,3,0)*S109/1000/12,0))</f>
        <v>0.94355364896877214</v>
      </c>
      <c r="S109" s="452">
        <f ca="1">KTVTD20namMH!E110-V108</f>
        <v>6022.68286575812</v>
      </c>
      <c r="T109" s="418">
        <f ca="1">(T108-O109-P109)*(1+LS!$E$11)</f>
        <v>-5405.5760701833124</v>
      </c>
      <c r="U109" s="958"/>
      <c r="V109" s="418">
        <f ca="1">(V108-O109-R109)*(1+LS!$F$11)</f>
        <v>-6106.4692939922215</v>
      </c>
    </row>
    <row r="110" spans="4:22" ht="9.75" customHeight="1">
      <c r="E110" s="329"/>
      <c r="F110" s="329"/>
      <c r="L110" s="959"/>
      <c r="M110" s="252">
        <v>108</v>
      </c>
      <c r="N110" s="256">
        <f t="shared" ca="1" si="12"/>
        <v>5405.5760701833124</v>
      </c>
      <c r="O110" s="256">
        <f ca="1">KTVTD20namMH!F111</f>
        <v>60</v>
      </c>
      <c r="P110" s="452">
        <f ca="1">IF('Tinh phi QL'!$H$9="Nam",VLOOKUP(KTVCOI!$I$11,KTVCOI!$D$3:$F$103,2,0)*N110/1000/12,IF('Tinh phi QL'!$H$9="Nữ",VLOOKUP(KTVCOI!$I$11,KTVCOI!$D$3:$F$103,3,0)*N110/1000/12,0))</f>
        <v>0.84687358432871884</v>
      </c>
      <c r="Q110" s="957"/>
      <c r="R110" s="452">
        <f ca="1">IF('Tinh phi QL'!$H$9="Nam",VLOOKUP(KTVCOI!$I$11,KTVCOI!$D$3:$F$103,2,0)*S110/1000/12,IF('Tinh phi QL'!$H$9="Nữ",VLOOKUP(KTVCOI!$I$11,KTVCOI!$D$3:$F$103,3,0)*S110/1000/12,0))</f>
        <v>0.95668018939211474</v>
      </c>
      <c r="S110" s="452">
        <f ca="1">KTVTD20namMH!E111-V109</f>
        <v>6106.4692939922215</v>
      </c>
      <c r="T110" s="419">
        <f ca="1">(T109-O110-P110)*(1+LS!$E$11)</f>
        <v>-5473.2094407052455</v>
      </c>
      <c r="U110" s="958"/>
      <c r="V110" s="419">
        <f ca="1">(V109-O110-R110)*(1+LS!$F$11)</f>
        <v>-6190.5835003557886</v>
      </c>
    </row>
    <row r="111" spans="4:22" ht="9.75" customHeight="1">
      <c r="E111" s="329"/>
      <c r="F111" s="329"/>
      <c r="L111" s="957">
        <f>L99+1</f>
        <v>10</v>
      </c>
      <c r="M111" s="262">
        <v>109</v>
      </c>
      <c r="N111" s="263">
        <f ca="1">$J$12-T110-KTVTDGTTKcamket!F16</f>
        <v>5473.2094407052455</v>
      </c>
      <c r="O111" s="256">
        <f ca="1">KTVTD20namMH!F112</f>
        <v>60</v>
      </c>
      <c r="P111" s="451">
        <f ca="1">IF('Tinh phi QL'!$H$9="Nam",VLOOKUP(KTVCOI!$I$12,KTVCOI!$D$3:$F$103,2,0)*N111/1000/12,IF('Tinh phi QL'!$H$9="Nữ",VLOOKUP(KTVCOI!$I$12,KTVCOI!$D$3:$F$103,3,0)*N111/1000/12,0))</f>
        <v>0.92588459705263715</v>
      </c>
      <c r="Q111" s="957">
        <f ca="1">KTVTD20namcamket!I112</f>
        <v>0</v>
      </c>
      <c r="R111" s="452">
        <f ca="1">IF('Tinh phi QL'!$H$9="Nam",VLOOKUP(KTVCOI!$I$12,KTVCOI!$D$3:$F$103,2,0)*S111/1000/12,IF('Tinh phi QL'!$H$9="Nữ",VLOOKUP(KTVCOI!$I$12,KTVCOI!$D$3:$F$103,3,0)*S111/1000/12,0))</f>
        <v>1.0472403754768542</v>
      </c>
      <c r="S111" s="451">
        <f ca="1">KTVTD20namMH!E112-V110-KTVTDGTTKMH!F16</f>
        <v>6190.5835003557886</v>
      </c>
      <c r="T111" s="420">
        <f ca="1">(T110+KTVTDGTTKcamket!F16-O111-P111)*(1+LS!$E$12)</f>
        <v>-5541.0058863298291</v>
      </c>
      <c r="U111" s="958">
        <f ca="1">Q111</f>
        <v>0</v>
      </c>
      <c r="V111" s="418">
        <f ca="1">(V110+KTVTDGTTKMH!F16-O111-R111)*(1+LS!$F$12)</f>
        <v>-6275.1044399885905</v>
      </c>
    </row>
    <row r="112" spans="4:22" ht="9.75" customHeight="1">
      <c r="E112" s="329"/>
      <c r="F112" s="329"/>
      <c r="L112" s="957"/>
      <c r="M112" s="262">
        <v>110</v>
      </c>
      <c r="N112" s="263">
        <f ca="1">$J$12-T111</f>
        <v>5541.0058863298291</v>
      </c>
      <c r="O112" s="256">
        <f ca="1">KTVTD20namMH!F113</f>
        <v>60</v>
      </c>
      <c r="P112" s="451">
        <f ca="1">IF('Tinh phi QL'!$H$9="Nam",VLOOKUP(KTVCOI!$I$12,KTVCOI!$D$3:$F$103,2,0)*N112/1000/12,IF('Tinh phi QL'!$H$9="Nữ",VLOOKUP(KTVCOI!$I$12,KTVCOI!$D$3:$F$103,3,0)*N112/1000/12,0))</f>
        <v>0.93735349577079596</v>
      </c>
      <c r="Q112" s="957"/>
      <c r="R112" s="452">
        <f ca="1">IF('Tinh phi QL'!$H$9="Nam",VLOOKUP(KTVCOI!$I$12,KTVCOI!$D$3:$F$103,2,0)*S112/1000/12,IF('Tinh phi QL'!$H$9="Nữ",VLOOKUP(KTVCOI!$I$12,KTVCOI!$D$3:$F$103,3,0)*S112/1000/12,0))</f>
        <v>1.0615385010980698</v>
      </c>
      <c r="S112" s="451">
        <f ca="1">KTVTD20namMH!E113-V111</f>
        <v>6275.1044399885905</v>
      </c>
      <c r="T112" s="420">
        <f ca="1">(T111-O112-P112)*(1+LS!$E$12)</f>
        <v>-5608.8979835460887</v>
      </c>
      <c r="U112" s="958"/>
      <c r="V112" s="418">
        <f ca="1">(V111-O112-R112)*(1+LS!$F$12)</f>
        <v>-6359.9570916874854</v>
      </c>
    </row>
    <row r="113" spans="5:22" ht="9.75" customHeight="1">
      <c r="E113" s="329"/>
      <c r="F113" s="329"/>
      <c r="L113" s="957"/>
      <c r="M113" s="262">
        <v>111</v>
      </c>
      <c r="N113" s="263">
        <f t="shared" ref="N113:N122" ca="1" si="13">$J$12-T112</f>
        <v>5608.8979835460887</v>
      </c>
      <c r="O113" s="256">
        <f ca="1">KTVTD20namMH!F114</f>
        <v>60</v>
      </c>
      <c r="P113" s="451">
        <f ca="1">IF('Tinh phi QL'!$H$9="Nam",VLOOKUP(KTVCOI!$I$12,KTVCOI!$D$3:$F$103,2,0)*N113/1000/12,IF('Tinh phi QL'!$H$9="Nữ",VLOOKUP(KTVCOI!$I$12,KTVCOI!$D$3:$F$103,3,0)*N113/1000/12,0))</f>
        <v>0.94883857554987994</v>
      </c>
      <c r="Q113" s="957"/>
      <c r="R113" s="452">
        <f ca="1">IF('Tinh phi QL'!$H$9="Nam",VLOOKUP(KTVCOI!$I$12,KTVCOI!$D$3:$F$103,2,0)*S113/1000/12,IF('Tinh phi QL'!$H$9="Nữ",VLOOKUP(KTVCOI!$I$12,KTVCOI!$D$3:$F$103,3,0)*S113/1000/12,0))</f>
        <v>1.0758927413437995</v>
      </c>
      <c r="S113" s="451">
        <f ca="1">KTVTD20namMH!E114-V112</f>
        <v>6359.9570916874854</v>
      </c>
      <c r="T113" s="420">
        <f ca="1">(T112-O113-P113)*(1+LS!$E$12)</f>
        <v>-5676.8858673054519</v>
      </c>
      <c r="U113" s="958"/>
      <c r="V113" s="418">
        <f ca="1">(V112-O113-R113)*(1+LS!$F$12)</f>
        <v>-6445.1427572943039</v>
      </c>
    </row>
    <row r="114" spans="5:22" ht="9.75" customHeight="1">
      <c r="E114" s="329"/>
      <c r="F114" s="329"/>
      <c r="L114" s="957"/>
      <c r="M114" s="262">
        <v>112</v>
      </c>
      <c r="N114" s="263">
        <f t="shared" ca="1" si="13"/>
        <v>5676.8858673054519</v>
      </c>
      <c r="O114" s="256">
        <f ca="1">KTVTD20namMH!F115</f>
        <v>60</v>
      </c>
      <c r="P114" s="451">
        <f ca="1">IF('Tinh phi QL'!$H$9="Nam",VLOOKUP(KTVCOI!$I$12,KTVCOI!$D$3:$F$103,2,0)*N114/1000/12,IF('Tinh phi QL'!$H$9="Nữ",VLOOKUP(KTVCOI!$I$12,KTVCOI!$D$3:$F$103,3,0)*N114/1000/12,0))</f>
        <v>0.9603398592191722</v>
      </c>
      <c r="Q114" s="957"/>
      <c r="R114" s="452">
        <f ca="1">IF('Tinh phi QL'!$H$9="Nam",VLOOKUP(KTVCOI!$I$12,KTVCOI!$D$3:$F$103,2,0)*S114/1000/12,IF('Tinh phi QL'!$H$9="Nữ",VLOOKUP(KTVCOI!$I$12,KTVCOI!$D$3:$F$103,3,0)*S114/1000/12,0))</f>
        <v>1.0903033164422864</v>
      </c>
      <c r="S114" s="451">
        <f ca="1">KTVTD20namMH!E115-V113</f>
        <v>6445.1427572943039</v>
      </c>
      <c r="T114" s="420">
        <f ca="1">(T113-O114-P114)*(1+LS!$E$12)</f>
        <v>-5744.9696727497412</v>
      </c>
      <c r="U114" s="958"/>
      <c r="V114" s="418">
        <f ca="1">(V113-O114-R114)*(1+LS!$F$12)</f>
        <v>-6530.6627437601028</v>
      </c>
    </row>
    <row r="115" spans="5:22" ht="9.75" customHeight="1">
      <c r="E115" s="329"/>
      <c r="F115" s="329"/>
      <c r="L115" s="957"/>
      <c r="M115" s="262">
        <v>113</v>
      </c>
      <c r="N115" s="263">
        <f t="shared" ca="1" si="13"/>
        <v>5744.9696727497412</v>
      </c>
      <c r="O115" s="256">
        <f ca="1">KTVTD20namMH!F116</f>
        <v>60</v>
      </c>
      <c r="P115" s="451">
        <f ca="1">IF('Tinh phi QL'!$H$9="Nam",VLOOKUP(KTVCOI!$I$12,KTVCOI!$D$3:$F$103,2,0)*N115/1000/12,IF('Tinh phi QL'!$H$9="Nữ",VLOOKUP(KTVCOI!$I$12,KTVCOI!$D$3:$F$103,3,0)*N115/1000/12,0))</f>
        <v>0.97185736964016456</v>
      </c>
      <c r="Q115" s="957"/>
      <c r="R115" s="452">
        <f ca="1">IF('Tinh phi QL'!$H$9="Nam",VLOOKUP(KTVCOI!$I$12,KTVCOI!$D$3:$F$103,2,0)*S115/1000/12,IF('Tinh phi QL'!$H$9="Nữ",VLOOKUP(KTVCOI!$I$12,KTVCOI!$D$3:$F$103,3,0)*S115/1000/12,0))</f>
        <v>1.104770447486084</v>
      </c>
      <c r="S115" s="451">
        <f ca="1">KTVTD20namMH!E116-V114</f>
        <v>6530.6627437601028</v>
      </c>
      <c r="T115" s="420">
        <f ca="1">(T114-O115-P115)*(1+LS!$E$12)</f>
        <v>-5813.1495352114471</v>
      </c>
      <c r="U115" s="958"/>
      <c r="V115" s="418">
        <f ca="1">(V114-O115-R115)*(1+LS!$F$12)</f>
        <v>-6616.5183631652189</v>
      </c>
    </row>
    <row r="116" spans="5:22" ht="9.75" customHeight="1">
      <c r="E116" s="329"/>
      <c r="F116" s="329"/>
      <c r="L116" s="957"/>
      <c r="M116" s="262">
        <v>114</v>
      </c>
      <c r="N116" s="263">
        <f t="shared" ca="1" si="13"/>
        <v>5813.1495352114471</v>
      </c>
      <c r="O116" s="256">
        <f ca="1">KTVTD20namMH!F117</f>
        <v>60</v>
      </c>
      <c r="P116" s="451">
        <f ca="1">IF('Tinh phi QL'!$H$9="Nam",VLOOKUP(KTVCOI!$I$12,KTVCOI!$D$3:$F$103,2,0)*N116/1000/12,IF('Tinh phi QL'!$H$9="Nữ",VLOOKUP(KTVCOI!$I$12,KTVCOI!$D$3:$F$103,3,0)*N116/1000/12,0))</f>
        <v>0.98339112970660303</v>
      </c>
      <c r="Q116" s="957"/>
      <c r="R116" s="452">
        <f ca="1">IF('Tinh phi QL'!$H$9="Nam",VLOOKUP(KTVCOI!$I$12,KTVCOI!$D$3:$F$103,2,0)*S116/1000/12,IF('Tinh phi QL'!$H$9="Nữ",VLOOKUP(KTVCOI!$I$12,KTVCOI!$D$3:$F$103,3,0)*S116/1000/12,0))</f>
        <v>1.1192943564354494</v>
      </c>
      <c r="S116" s="451">
        <f ca="1">KTVTD20namMH!E117-V115</f>
        <v>6616.5183631652189</v>
      </c>
      <c r="T116" s="420">
        <f ca="1">(T115-O116-P116)*(1+LS!$E$12)</f>
        <v>-5881.4255902139967</v>
      </c>
      <c r="U116" s="958"/>
      <c r="V116" s="418">
        <f ca="1">(V115-O116-R116)*(1+LS!$F$12)</f>
        <v>-6702.7109327393973</v>
      </c>
    </row>
    <row r="117" spans="5:22" ht="9.75" customHeight="1">
      <c r="E117" s="329"/>
      <c r="F117" s="329"/>
      <c r="L117" s="957"/>
      <c r="M117" s="262">
        <v>115</v>
      </c>
      <c r="N117" s="263">
        <f t="shared" ca="1" si="13"/>
        <v>5881.4255902139967</v>
      </c>
      <c r="O117" s="256">
        <f ca="1">KTVTD20namMH!F118</f>
        <v>60</v>
      </c>
      <c r="P117" s="451">
        <f ca="1">IF('Tinh phi QL'!$H$9="Nam",VLOOKUP(KTVCOI!$I$12,KTVCOI!$D$3:$F$103,2,0)*N117/1000/12,IF('Tinh phi QL'!$H$9="Nữ",VLOOKUP(KTVCOI!$I$12,KTVCOI!$D$3:$F$103,3,0)*N117/1000/12,0))</f>
        <v>0.99494116234453445</v>
      </c>
      <c r="Q117" s="957"/>
      <c r="R117" s="452">
        <f ca="1">IF('Tinh phi QL'!$H$9="Nam",VLOOKUP(KTVCOI!$I$12,KTVCOI!$D$3:$F$103,2,0)*S117/1000/12,IF('Tinh phi QL'!$H$9="Nữ",VLOOKUP(KTVCOI!$I$12,KTVCOI!$D$3:$F$103,3,0)*S117/1000/12,0))</f>
        <v>1.1338752661217479</v>
      </c>
      <c r="S117" s="451">
        <f ca="1">KTVTD20namMH!E118-V116</f>
        <v>6702.7109327393973</v>
      </c>
      <c r="T117" s="420">
        <f ca="1">(T116-O117-P117)*(1+LS!$E$12)</f>
        <v>-5949.7979734720211</v>
      </c>
      <c r="U117" s="958"/>
      <c r="V117" s="418">
        <f ca="1">(V116-O117-R117)*(1+LS!$F$12)</f>
        <v>-6789.2417748819998</v>
      </c>
    </row>
    <row r="118" spans="5:22" ht="9.75" customHeight="1">
      <c r="E118" s="329"/>
      <c r="F118" s="329"/>
      <c r="L118" s="957"/>
      <c r="M118" s="262">
        <v>116</v>
      </c>
      <c r="N118" s="263">
        <f t="shared" ca="1" si="13"/>
        <v>5949.7979734720211</v>
      </c>
      <c r="O118" s="256">
        <f ca="1">KTVTD20namMH!F119</f>
        <v>60</v>
      </c>
      <c r="P118" s="451">
        <f ca="1">IF('Tinh phi QL'!$H$9="Nam",VLOOKUP(KTVCOI!$I$12,KTVCOI!$D$3:$F$103,2,0)*N118/1000/12,IF('Tinh phi QL'!$H$9="Nữ",VLOOKUP(KTVCOI!$I$12,KTVCOI!$D$3:$F$103,3,0)*N118/1000/12,0))</f>
        <v>1.0065074905123501</v>
      </c>
      <c r="Q118" s="957"/>
      <c r="R118" s="452">
        <f ca="1">IF('Tinh phi QL'!$H$9="Nam",VLOOKUP(KTVCOI!$I$12,KTVCOI!$D$3:$F$103,2,0)*S118/1000/12,IF('Tinh phi QL'!$H$9="Nữ",VLOOKUP(KTVCOI!$I$12,KTVCOI!$D$3:$F$103,3,0)*S118/1000/12,0))</f>
        <v>1.1485134002508715</v>
      </c>
      <c r="S118" s="451">
        <f ca="1">KTVTD20namMH!E119-V117</f>
        <v>6789.2417748819998</v>
      </c>
      <c r="T118" s="420">
        <f ca="1">(T117-O118-P118)*(1+LS!$E$12)</f>
        <v>-6018.2668208916266</v>
      </c>
      <c r="U118" s="958"/>
      <c r="V118" s="418">
        <f ca="1">(V117-O118-R118)*(1+LS!$F$12)</f>
        <v>-6876.1122171822981</v>
      </c>
    </row>
    <row r="119" spans="5:22" ht="9.75" customHeight="1">
      <c r="E119" s="329"/>
      <c r="F119" s="329"/>
      <c r="L119" s="957"/>
      <c r="M119" s="262">
        <v>117</v>
      </c>
      <c r="N119" s="263">
        <f t="shared" ca="1" si="13"/>
        <v>6018.2668208916266</v>
      </c>
      <c r="O119" s="256">
        <f ca="1">KTVTD20namMH!F120</f>
        <v>60</v>
      </c>
      <c r="P119" s="451">
        <f ca="1">IF('Tinh phi QL'!$H$9="Nam",VLOOKUP(KTVCOI!$I$12,KTVCOI!$D$3:$F$103,2,0)*N119/1000/12,IF('Tinh phi QL'!$H$9="Nữ",VLOOKUP(KTVCOI!$I$12,KTVCOI!$D$3:$F$103,3,0)*N119/1000/12,0))</f>
        <v>1.0180901372008335</v>
      </c>
      <c r="Q119" s="957"/>
      <c r="R119" s="452">
        <f ca="1">IF('Tinh phi QL'!$H$9="Nam",VLOOKUP(KTVCOI!$I$12,KTVCOI!$D$3:$F$103,2,0)*S119/1000/12,IF('Tinh phi QL'!$H$9="Nữ",VLOOKUP(KTVCOI!$I$12,KTVCOI!$D$3:$F$103,3,0)*S119/1000/12,0))</f>
        <v>1.1632089834066719</v>
      </c>
      <c r="S119" s="451">
        <f ca="1">KTVTD20namMH!E120-V118</f>
        <v>6876.1122171822981</v>
      </c>
      <c r="T119" s="420">
        <f ca="1">(T118-O119-P119)*(1+LS!$E$12)</f>
        <v>-6086.8322685706644</v>
      </c>
      <c r="U119" s="958"/>
      <c r="V119" s="418">
        <f ca="1">(V118-O119-R119)*(1+LS!$F$12)</f>
        <v>-6963.3235924398377</v>
      </c>
    </row>
    <row r="120" spans="5:22" ht="9.75" customHeight="1">
      <c r="E120" s="329"/>
      <c r="F120" s="329"/>
      <c r="L120" s="957"/>
      <c r="M120" s="262">
        <v>118</v>
      </c>
      <c r="N120" s="263">
        <f t="shared" ca="1" si="13"/>
        <v>6086.8322685706644</v>
      </c>
      <c r="O120" s="256">
        <f ca="1">KTVTD20namMH!F121</f>
        <v>60</v>
      </c>
      <c r="P120" s="451">
        <f ca="1">IF('Tinh phi QL'!$H$9="Nam",VLOOKUP(KTVCOI!$I$12,KTVCOI!$D$3:$F$103,2,0)*N120/1000/12,IF('Tinh phi QL'!$H$9="Nữ",VLOOKUP(KTVCOI!$I$12,KTVCOI!$D$3:$F$103,3,0)*N120/1000/12,0))</f>
        <v>1.0296891254332039</v>
      </c>
      <c r="Q120" s="957"/>
      <c r="R120" s="452">
        <f ca="1">IF('Tinh phi QL'!$H$9="Nam",VLOOKUP(KTVCOI!$I$12,KTVCOI!$D$3:$F$103,2,0)*S120/1000/12,IF('Tinh phi QL'!$H$9="Nữ",VLOOKUP(KTVCOI!$I$12,KTVCOI!$D$3:$F$103,3,0)*S120/1000/12,0))</f>
        <v>1.1779622410544059</v>
      </c>
      <c r="S120" s="451">
        <f ca="1">KTVTD20namMH!E121-V119</f>
        <v>6963.3235924398377</v>
      </c>
      <c r="T120" s="420">
        <f ca="1">(T119-O120-P120)*(1+LS!$E$12)</f>
        <v>-6155.4944527990028</v>
      </c>
      <c r="U120" s="958"/>
      <c r="V120" s="418">
        <f ca="1">(V119-O120-R120)*(1+LS!$F$12)</f>
        <v>-7050.8772386848877</v>
      </c>
    </row>
    <row r="121" spans="5:22" ht="9.75" customHeight="1">
      <c r="E121" s="329"/>
      <c r="F121" s="329"/>
      <c r="L121" s="957"/>
      <c r="M121" s="262">
        <v>119</v>
      </c>
      <c r="N121" s="263">
        <f t="shared" ca="1" si="13"/>
        <v>6155.4944527990028</v>
      </c>
      <c r="O121" s="256">
        <f ca="1">KTVTD20namMH!F122</f>
        <v>60</v>
      </c>
      <c r="P121" s="451">
        <f ca="1">IF('Tinh phi QL'!$H$9="Nam",VLOOKUP(KTVCOI!$I$12,KTVCOI!$D$3:$F$103,2,0)*N121/1000/12,IF('Tinh phi QL'!$H$9="Nữ",VLOOKUP(KTVCOI!$I$12,KTVCOI!$D$3:$F$103,3,0)*N121/1000/12,0))</f>
        <v>1.0413044782651646</v>
      </c>
      <c r="Q121" s="957"/>
      <c r="R121" s="452">
        <f ca="1">IF('Tinh phi QL'!$H$9="Nam",VLOOKUP(KTVCOI!$I$12,KTVCOI!$D$3:$F$103,2,0)*S121/1000/12,IF('Tinh phi QL'!$H$9="Nữ",VLOOKUP(KTVCOI!$I$12,KTVCOI!$D$3:$F$103,3,0)*S121/1000/12,0))</f>
        <v>1.1927733995441934</v>
      </c>
      <c r="S121" s="451">
        <f ca="1">KTVTD20namMH!E122-V120</f>
        <v>7050.8772386848877</v>
      </c>
      <c r="T121" s="420">
        <f ca="1">(T120-O121-P121)*(1+LS!$E$12)</f>
        <v>-6224.2535100587957</v>
      </c>
      <c r="U121" s="958"/>
      <c r="V121" s="418">
        <f ca="1">(V120-O121-R121)*(1+LS!$F$12)</f>
        <v>-7138.7744991989712</v>
      </c>
    </row>
    <row r="122" spans="5:22" ht="9.75" customHeight="1">
      <c r="E122" s="329"/>
      <c r="F122" s="329"/>
      <c r="L122" s="957"/>
      <c r="M122" s="262">
        <v>120</v>
      </c>
      <c r="N122" s="263">
        <f t="shared" ca="1" si="13"/>
        <v>6224.2535100587957</v>
      </c>
      <c r="O122" s="256">
        <f ca="1">KTVTD20namMH!F123</f>
        <v>60</v>
      </c>
      <c r="P122" s="451">
        <f ca="1">IF('Tinh phi QL'!$H$9="Nam",VLOOKUP(KTVCOI!$I$12,KTVCOI!$D$3:$F$103,2,0)*N122/1000/12,IF('Tinh phi QL'!$H$9="Nữ",VLOOKUP(KTVCOI!$I$12,KTVCOI!$D$3:$F$103,3,0)*N122/1000/12,0))</f>
        <v>1.0529362187849463</v>
      </c>
      <c r="Q122" s="957"/>
      <c r="R122" s="452">
        <f ca="1">IF('Tinh phi QL'!$H$9="Nam",VLOOKUP(KTVCOI!$I$12,KTVCOI!$D$3:$F$103,2,0)*S122/1000/12,IF('Tinh phi QL'!$H$9="Nữ",VLOOKUP(KTVCOI!$I$12,KTVCOI!$D$3:$F$103,3,0)*S122/1000/12,0))</f>
        <v>1.2076426861144924</v>
      </c>
      <c r="S122" s="451">
        <f ca="1">KTVTD20namMH!E123-V121</f>
        <v>7138.7744991989712</v>
      </c>
      <c r="T122" s="421">
        <f ca="1">(T121-O122-P122)*(1+LS!$E$12)+Q111</f>
        <v>-6293.1095770247539</v>
      </c>
      <c r="U122" s="958"/>
      <c r="V122" s="419">
        <f ca="1">(V121-O122-R122)*(1+LS!$F$12)+U111</f>
        <v>-7227.0167225354708</v>
      </c>
    </row>
    <row r="123" spans="5:22" ht="9.75" customHeight="1">
      <c r="E123" s="329"/>
      <c r="F123" s="329"/>
      <c r="L123" s="959">
        <f>L111+1</f>
        <v>11</v>
      </c>
      <c r="M123" s="252">
        <v>121</v>
      </c>
      <c r="N123" s="256">
        <f ca="1">$J$13-T122-KTVTDGTTKcamket!F17</f>
        <v>6293.1095770247539</v>
      </c>
      <c r="O123" s="256">
        <f ca="1">KTVTD20namMH!F124</f>
        <v>60</v>
      </c>
      <c r="P123" s="452">
        <f ca="1">IF('Tinh phi QL'!$H$9="Nam",VLOOKUP(KTVCOI!$I$13,KTVCOI!$D$3:$F$103,2,0)*N123/1000/12,IF('Tinh phi QL'!$H$9="Nữ",VLOOKUP(KTVCOI!$I$13,KTVCOI!$D$3:$F$103,3,0)*N123/1000/12,0))</f>
        <v>1.1589810137687255</v>
      </c>
      <c r="Q123" s="957"/>
      <c r="R123" s="452">
        <f ca="1">IF('Tinh phi QL'!$H$9="Nam",VLOOKUP(KTVCOI!$I$13,KTVCOI!$D$3:$F$103,2,0)*S123/1000/12,IF('Tinh phi QL'!$H$9="Nữ",VLOOKUP(KTVCOI!$I$13,KTVCOI!$D$3:$F$103,3,0)*S123/1000/12,0))</f>
        <v>1.3309755797336158</v>
      </c>
      <c r="S123" s="452">
        <f ca="1">KTVTD20namMH!E124-V122-KTVTDGTTKMH!F17</f>
        <v>7227.0167225354708</v>
      </c>
      <c r="T123" s="418">
        <f ca="1">(T122+KTVTDGTTKcamket!F17-O123-P123)*(1+LS!$E$13)</f>
        <v>-6359.5396659962071</v>
      </c>
      <c r="U123" s="958">
        <f>Q123</f>
        <v>0</v>
      </c>
      <c r="V123" s="418">
        <f ca="1">(V122+KTVTDGTTKMH!F17-O123-R123)*(1+LS!$F$13)</f>
        <v>-7315.7140748325155</v>
      </c>
    </row>
    <row r="124" spans="5:22" ht="9.75" customHeight="1">
      <c r="E124" s="329"/>
      <c r="F124" s="329"/>
      <c r="L124" s="959"/>
      <c r="M124" s="252">
        <v>122</v>
      </c>
      <c r="N124" s="256">
        <f ca="1">$J$13-T123</f>
        <v>6359.5396659962071</v>
      </c>
      <c r="O124" s="256">
        <f ca="1">KTVTD20namMH!F125</f>
        <v>60</v>
      </c>
      <c r="P124" s="452">
        <f ca="1">IF('Tinh phi QL'!$H$9="Nam",VLOOKUP(KTVCOI!$I$13,KTVCOI!$D$3:$F$103,2,0)*N124/1000/12,IF('Tinh phi QL'!$H$9="Nữ",VLOOKUP(KTVCOI!$I$13,KTVCOI!$D$3:$F$103,3,0)*N124/1000/12,0))</f>
        <v>1.1712152218209682</v>
      </c>
      <c r="Q124" s="957"/>
      <c r="R124" s="452">
        <f ca="1">IF('Tinh phi QL'!$H$9="Nam",VLOOKUP(KTVCOI!$I$13,KTVCOI!$D$3:$F$103,2,0)*S124/1000/12,IF('Tinh phi QL'!$H$9="Nữ",VLOOKUP(KTVCOI!$I$13,KTVCOI!$D$3:$F$103,3,0)*S124/1000/12,0))</f>
        <v>1.3473106754483215</v>
      </c>
      <c r="S124" s="452">
        <f ca="1">KTVTD20namMH!E125-V123</f>
        <v>7315.7140748325155</v>
      </c>
      <c r="T124" s="418">
        <f ca="1">(T123-O124-P124)*(1+LS!$E$13)</f>
        <v>-6426.0371056151953</v>
      </c>
      <c r="U124" s="958"/>
      <c r="V124" s="418">
        <f ca="1">(V123-O124-R124)*(1+LS!$F$13)</f>
        <v>-7404.7608654593323</v>
      </c>
    </row>
    <row r="125" spans="5:22" ht="9.75" customHeight="1">
      <c r="E125" s="329"/>
      <c r="F125" s="329"/>
      <c r="L125" s="959"/>
      <c r="M125" s="252">
        <v>123</v>
      </c>
      <c r="N125" s="256">
        <f t="shared" ref="N125:N134" ca="1" si="14">$J$13-T124</f>
        <v>6426.0371056151953</v>
      </c>
      <c r="O125" s="256">
        <f ca="1">KTVTD20namMH!F126</f>
        <v>60</v>
      </c>
      <c r="P125" s="452">
        <f ca="1">IF('Tinh phi QL'!$H$9="Nam",VLOOKUP(KTVCOI!$I$13,KTVCOI!$D$3:$F$103,2,0)*N125/1000/12,IF('Tinh phi QL'!$H$9="Nữ",VLOOKUP(KTVCOI!$I$13,KTVCOI!$D$3:$F$103,3,0)*N125/1000/12,0))</f>
        <v>1.1834618336174649</v>
      </c>
      <c r="Q125" s="957"/>
      <c r="R125" s="452">
        <f ca="1">IF('Tinh phi QL'!$H$9="Nam",VLOOKUP(KTVCOI!$I$13,KTVCOI!$D$3:$F$103,2,0)*S125/1000/12,IF('Tinh phi QL'!$H$9="Nữ",VLOOKUP(KTVCOI!$I$13,KTVCOI!$D$3:$F$103,3,0)*S125/1000/12,0))</f>
        <v>1.363710126055427</v>
      </c>
      <c r="S125" s="452">
        <f ca="1">KTVTD20namMH!E126-V124</f>
        <v>7404.7608654593323</v>
      </c>
      <c r="T125" s="418">
        <f ca="1">(T124-O125-P125)*(1+LS!$E$13)</f>
        <v>-6492.6019641656821</v>
      </c>
      <c r="U125" s="958"/>
      <c r="V125" s="418">
        <f ca="1">(V124-O125-R125)*(1+LS!$F$13)</f>
        <v>-7494.1584710877505</v>
      </c>
    </row>
    <row r="126" spans="5:22" ht="9.75" customHeight="1">
      <c r="E126" s="329"/>
      <c r="F126" s="329"/>
      <c r="L126" s="959"/>
      <c r="M126" s="252">
        <v>124</v>
      </c>
      <c r="N126" s="256">
        <f t="shared" ca="1" si="14"/>
        <v>6492.6019641656821</v>
      </c>
      <c r="O126" s="256">
        <f ca="1">KTVTD20namMH!F127</f>
        <v>60</v>
      </c>
      <c r="P126" s="452">
        <f ca="1">IF('Tinh phi QL'!$H$9="Nam",VLOOKUP(KTVCOI!$I$13,KTVCOI!$D$3:$F$103,2,0)*N126/1000/12,IF('Tinh phi QL'!$H$9="Nữ",VLOOKUP(KTVCOI!$I$13,KTVCOI!$D$3:$F$103,3,0)*N126/1000/12,0))</f>
        <v>1.1957208617338464</v>
      </c>
      <c r="Q126" s="957"/>
      <c r="R126" s="452">
        <f ca="1">IF('Tinh phi QL'!$H$9="Nam",VLOOKUP(KTVCOI!$I$13,KTVCOI!$D$3:$F$103,2,0)*S126/1000/12,IF('Tinh phi QL'!$H$9="Nữ",VLOOKUP(KTVCOI!$I$13,KTVCOI!$D$3:$F$103,3,0)*S126/1000/12,0))</f>
        <v>1.3801741850919942</v>
      </c>
      <c r="S126" s="452">
        <f ca="1">KTVTD20namMH!E127-V125</f>
        <v>7494.1584710877505</v>
      </c>
      <c r="T126" s="418">
        <f ca="1">(T125-O126-P126)*(1+LS!$E$13)</f>
        <v>-6559.2343100008602</v>
      </c>
      <c r="U126" s="958"/>
      <c r="V126" s="418">
        <f ca="1">(V125-O126-R126)*(1+LS!$F$13)</f>
        <v>-7583.9082738132338</v>
      </c>
    </row>
    <row r="127" spans="5:22" ht="9.75" customHeight="1">
      <c r="E127" s="329"/>
      <c r="F127" s="329"/>
      <c r="L127" s="959"/>
      <c r="M127" s="252">
        <v>125</v>
      </c>
      <c r="N127" s="256">
        <f t="shared" ca="1" si="14"/>
        <v>6559.2343100008602</v>
      </c>
      <c r="O127" s="256">
        <f ca="1">KTVTD20namMH!F128</f>
        <v>60</v>
      </c>
      <c r="P127" s="452">
        <f ca="1">IF('Tinh phi QL'!$H$9="Nam",VLOOKUP(KTVCOI!$I$13,KTVCOI!$D$3:$F$103,2,0)*N127/1000/12,IF('Tinh phi QL'!$H$9="Nữ",VLOOKUP(KTVCOI!$I$13,KTVCOI!$D$3:$F$103,3,0)*N127/1000/12,0))</f>
        <v>1.2079923187584918</v>
      </c>
      <c r="Q127" s="957"/>
      <c r="R127" s="452">
        <f ca="1">IF('Tinh phi QL'!$H$9="Nam",VLOOKUP(KTVCOI!$I$13,KTVCOI!$D$3:$F$103,2,0)*S127/1000/12,IF('Tinh phi QL'!$H$9="Nữ",VLOOKUP(KTVCOI!$I$13,KTVCOI!$D$3:$F$103,3,0)*S127/1000/12,0))</f>
        <v>1.3967031070939371</v>
      </c>
      <c r="S127" s="452">
        <f ca="1">KTVTD20namMH!E128-V126</f>
        <v>7583.9082738132338</v>
      </c>
      <c r="T127" s="418">
        <f ca="1">(T126-O127-P127)*(1+LS!$E$13)</f>
        <v>-6625.9342115432228</v>
      </c>
      <c r="U127" s="958"/>
      <c r="V127" s="418">
        <f ca="1">(V126-O127-R127)*(1+LS!$F$13)</f>
        <v>-7674.011661176246</v>
      </c>
    </row>
    <row r="128" spans="5:22" ht="9.75" customHeight="1">
      <c r="E128" s="329"/>
      <c r="F128" s="329"/>
      <c r="L128" s="959"/>
      <c r="M128" s="252">
        <v>126</v>
      </c>
      <c r="N128" s="256">
        <f t="shared" ca="1" si="14"/>
        <v>6625.9342115432228</v>
      </c>
      <c r="O128" s="256">
        <f ca="1">KTVTD20namMH!F129</f>
        <v>60</v>
      </c>
      <c r="P128" s="452">
        <f ca="1">IF('Tinh phi QL'!$H$9="Nam",VLOOKUP(KTVCOI!$I$13,KTVCOI!$D$3:$F$103,2,0)*N128/1000/12,IF('Tinh phi QL'!$H$9="Nữ",VLOOKUP(KTVCOI!$I$13,KTVCOI!$D$3:$F$103,3,0)*N128/1000/12,0))</f>
        <v>1.2202762172925434</v>
      </c>
      <c r="Q128" s="957"/>
      <c r="R128" s="452">
        <f ca="1">IF('Tinh phi QL'!$H$9="Nam",VLOOKUP(KTVCOI!$I$13,KTVCOI!$D$3:$F$103,2,0)*S128/1000/12,IF('Tinh phi QL'!$H$9="Nữ",VLOOKUP(KTVCOI!$I$13,KTVCOI!$D$3:$F$103,3,0)*S128/1000/12,0))</f>
        <v>1.4132971475999587</v>
      </c>
      <c r="S128" s="452">
        <f ca="1">KTVTD20namMH!E129-V127</f>
        <v>7674.011661176246</v>
      </c>
      <c r="T128" s="418">
        <f ca="1">(T127-O128-P128)*(1+LS!$E$13)</f>
        <v>-6692.701737284634</v>
      </c>
      <c r="U128" s="958"/>
      <c r="V128" s="418">
        <f ca="1">(V127-O128-R128)*(1+LS!$F$13)</f>
        <v>-7764.4700261837024</v>
      </c>
    </row>
    <row r="129" spans="5:22" ht="9.75" customHeight="1">
      <c r="E129" s="329"/>
      <c r="F129" s="329"/>
      <c r="L129" s="959"/>
      <c r="M129" s="252">
        <v>127</v>
      </c>
      <c r="N129" s="256">
        <f t="shared" ca="1" si="14"/>
        <v>6692.701737284634</v>
      </c>
      <c r="O129" s="256">
        <f ca="1">KTVTD20namMH!F130</f>
        <v>60</v>
      </c>
      <c r="P129" s="452">
        <f ca="1">IF('Tinh phi QL'!$H$9="Nam",VLOOKUP(KTVCOI!$I$13,KTVCOI!$D$3:$F$103,2,0)*N129/1000/12,IF('Tinh phi QL'!$H$9="Nữ",VLOOKUP(KTVCOI!$I$13,KTVCOI!$D$3:$F$103,3,0)*N129/1000/12,0))</f>
        <v>1.2325725699499201</v>
      </c>
      <c r="Q129" s="957"/>
      <c r="R129" s="452">
        <f ca="1">IF('Tinh phi QL'!$H$9="Nam",VLOOKUP(KTVCOI!$I$13,KTVCOI!$D$3:$F$103,2,0)*S129/1000/12,IF('Tinh phi QL'!$H$9="Nữ",VLOOKUP(KTVCOI!$I$13,KTVCOI!$D$3:$F$103,3,0)*S129/1000/12,0))</f>
        <v>1.4299565631554987</v>
      </c>
      <c r="S129" s="452">
        <f ca="1">KTVTD20namMH!E130-V128</f>
        <v>7764.4700261837024</v>
      </c>
      <c r="T129" s="418">
        <f ca="1">(T128-O129-P129)*(1+LS!$E$13)</f>
        <v>-6759.5369557863987</v>
      </c>
      <c r="U129" s="958"/>
      <c r="V129" s="418">
        <f ca="1">(V128-O129-R129)*(1+LS!$F$13)</f>
        <v>-7855.2847673305068</v>
      </c>
    </row>
    <row r="130" spans="5:22" ht="9.75" customHeight="1">
      <c r="E130" s="329"/>
      <c r="F130" s="329"/>
      <c r="L130" s="959"/>
      <c r="M130" s="252">
        <v>128</v>
      </c>
      <c r="N130" s="256">
        <f t="shared" ca="1" si="14"/>
        <v>6759.5369557863987</v>
      </c>
      <c r="O130" s="256">
        <f ca="1">KTVTD20namMH!F131</f>
        <v>60</v>
      </c>
      <c r="P130" s="452">
        <f ca="1">IF('Tinh phi QL'!$H$9="Nam",VLOOKUP(KTVCOI!$I$13,KTVCOI!$D$3:$F$103,2,0)*N130/1000/12,IF('Tinh phi QL'!$H$9="Nữ",VLOOKUP(KTVCOI!$I$13,KTVCOI!$D$3:$F$103,3,0)*N130/1000/12,0))</f>
        <v>1.2448813893573285</v>
      </c>
      <c r="Q130" s="957"/>
      <c r="R130" s="452">
        <f ca="1">IF('Tinh phi QL'!$H$9="Nam",VLOOKUP(KTVCOI!$I$13,KTVCOI!$D$3:$F$103,2,0)*S130/1000/12,IF('Tinh phi QL'!$H$9="Nữ",VLOOKUP(KTVCOI!$I$13,KTVCOI!$D$3:$F$103,3,0)*S130/1000/12,0))</f>
        <v>1.4466816113167018</v>
      </c>
      <c r="S130" s="452">
        <f ca="1">KTVTD20namMH!E131-V129</f>
        <v>7855.2847673305068</v>
      </c>
      <c r="T130" s="418">
        <f ca="1">(T129-O130-P130)*(1+LS!$E$13)</f>
        <v>-6826.4399356793328</v>
      </c>
      <c r="U130" s="958"/>
      <c r="V130" s="418">
        <f ca="1">(V129-O130-R130)*(1+LS!$F$13)</f>
        <v>-7946.4572886211727</v>
      </c>
    </row>
    <row r="131" spans="5:22" ht="9.75" customHeight="1">
      <c r="E131" s="329"/>
      <c r="F131" s="329"/>
      <c r="L131" s="959"/>
      <c r="M131" s="252">
        <v>129</v>
      </c>
      <c r="N131" s="256">
        <f t="shared" ca="1" si="14"/>
        <v>6826.4399356793328</v>
      </c>
      <c r="O131" s="256">
        <f ca="1">KTVTD20namMH!F132</f>
        <v>60</v>
      </c>
      <c r="P131" s="452">
        <f ca="1">IF('Tinh phi QL'!$H$9="Nam",VLOOKUP(KTVCOI!$I$13,KTVCOI!$D$3:$F$103,2,0)*N131/1000/12,IF('Tinh phi QL'!$H$9="Nữ",VLOOKUP(KTVCOI!$I$13,KTVCOI!$D$3:$F$103,3,0)*N131/1000/12,0))</f>
        <v>1.2572026881542773</v>
      </c>
      <c r="Q131" s="957"/>
      <c r="R131" s="452">
        <f ca="1">IF('Tinh phi QL'!$H$9="Nam",VLOOKUP(KTVCOI!$I$13,KTVCOI!$D$3:$F$103,2,0)*S131/1000/12,IF('Tinh phi QL'!$H$9="Nữ",VLOOKUP(KTVCOI!$I$13,KTVCOI!$D$3:$F$103,3,0)*S131/1000/12,0))</f>
        <v>1.4634725506543991</v>
      </c>
      <c r="S131" s="452">
        <f ca="1">KTVTD20namMH!E132-V130</f>
        <v>7946.4572886211727</v>
      </c>
      <c r="T131" s="418">
        <f ca="1">(T130-O131-P131)*(1+LS!$E$13)</f>
        <v>-6893.4107456638358</v>
      </c>
      <c r="U131" s="958"/>
      <c r="V131" s="418">
        <f ca="1">(V130-O131-R131)*(1+LS!$F$13)</f>
        <v>-8037.9889995915282</v>
      </c>
    </row>
    <row r="132" spans="5:22" ht="9.75" customHeight="1">
      <c r="E132" s="329"/>
      <c r="F132" s="329"/>
      <c r="L132" s="959"/>
      <c r="M132" s="252">
        <v>130</v>
      </c>
      <c r="N132" s="256">
        <f t="shared" ca="1" si="14"/>
        <v>6893.4107456638358</v>
      </c>
      <c r="O132" s="256">
        <f ca="1">KTVTD20namMH!F133</f>
        <v>60</v>
      </c>
      <c r="P132" s="452">
        <f ca="1">IF('Tinh phi QL'!$H$9="Nam",VLOOKUP(KTVCOI!$I$13,KTVCOI!$D$3:$F$103,2,0)*N132/1000/12,IF('Tinh phi QL'!$H$9="Nữ",VLOOKUP(KTVCOI!$I$13,KTVCOI!$D$3:$F$103,3,0)*N132/1000/12,0))</f>
        <v>1.2695364789930896</v>
      </c>
      <c r="Q132" s="957"/>
      <c r="R132" s="452">
        <f ca="1">IF('Tinh phi QL'!$H$9="Nam",VLOOKUP(KTVCOI!$I$13,KTVCOI!$D$3:$F$103,2,0)*S132/1000/12,IF('Tinh phi QL'!$H$9="Nữ",VLOOKUP(KTVCOI!$I$13,KTVCOI!$D$3:$F$103,3,0)*S132/1000/12,0))</f>
        <v>1.4803296407581066</v>
      </c>
      <c r="S132" s="452">
        <f ca="1">KTVTD20namMH!E133-V131</f>
        <v>8037.9889995915282</v>
      </c>
      <c r="T132" s="418">
        <f ca="1">(T131-O132-P132)*(1+LS!$E$13)</f>
        <v>-6960.4494545099587</v>
      </c>
      <c r="U132" s="958"/>
      <c r="V132" s="418">
        <f ca="1">(V131-O132-R132)*(1+LS!$F$13)</f>
        <v>-8129.8813153305073</v>
      </c>
    </row>
    <row r="133" spans="5:22" ht="9.75" customHeight="1">
      <c r="E133" s="329"/>
      <c r="F133" s="329"/>
      <c r="L133" s="959"/>
      <c r="M133" s="252">
        <v>131</v>
      </c>
      <c r="N133" s="256">
        <f t="shared" ca="1" si="14"/>
        <v>6960.4494545099587</v>
      </c>
      <c r="O133" s="256">
        <f ca="1">KTVTD20namMH!F134</f>
        <v>60</v>
      </c>
      <c r="P133" s="452">
        <f ca="1">IF('Tinh phi QL'!$H$9="Nam",VLOOKUP(KTVCOI!$I$13,KTVCOI!$D$3:$F$103,2,0)*N133/1000/12,IF('Tinh phi QL'!$H$9="Nữ",VLOOKUP(KTVCOI!$I$13,KTVCOI!$D$3:$F$103,3,0)*N133/1000/12,0))</f>
        <v>1.2818827745389174</v>
      </c>
      <c r="Q133" s="957"/>
      <c r="R133" s="452">
        <f ca="1">IF('Tinh phi QL'!$H$9="Nam",VLOOKUP(KTVCOI!$I$13,KTVCOI!$D$3:$F$103,2,0)*S133/1000/12,IF('Tinh phi QL'!$H$9="Nữ",VLOOKUP(KTVCOI!$I$13,KTVCOI!$D$3:$F$103,3,0)*S133/1000/12,0))</f>
        <v>1.4972531422400348</v>
      </c>
      <c r="S133" s="452">
        <f ca="1">KTVTD20namMH!E134-V132</f>
        <v>8129.8813153305073</v>
      </c>
      <c r="T133" s="418">
        <f ca="1">(T132-O133-P133)*(1+LS!$E$13)</f>
        <v>-7027.556131057474</v>
      </c>
      <c r="U133" s="958"/>
      <c r="V133" s="418">
        <f ca="1">(V132-O133-R133)*(1+LS!$F$13)</f>
        <v>-8222.1356565020287</v>
      </c>
    </row>
    <row r="134" spans="5:22" ht="9.75" customHeight="1">
      <c r="E134" s="329"/>
      <c r="F134" s="329"/>
      <c r="L134" s="959"/>
      <c r="M134" s="252">
        <v>132</v>
      </c>
      <c r="N134" s="256">
        <f t="shared" ca="1" si="14"/>
        <v>7027.556131057474</v>
      </c>
      <c r="O134" s="256">
        <f ca="1">KTVTD20namMH!F135</f>
        <v>60</v>
      </c>
      <c r="P134" s="452">
        <f ca="1">IF('Tinh phi QL'!$H$9="Nam",VLOOKUP(KTVCOI!$I$13,KTVCOI!$D$3:$F$103,2,0)*N134/1000/12,IF('Tinh phi QL'!$H$9="Nữ",VLOOKUP(KTVCOI!$I$13,KTVCOI!$D$3:$F$103,3,0)*N134/1000/12,0))</f>
        <v>1.2942415874697515</v>
      </c>
      <c r="Q134" s="957"/>
      <c r="R134" s="452">
        <f ca="1">IF('Tinh phi QL'!$H$9="Nam",VLOOKUP(KTVCOI!$I$13,KTVCOI!$D$3:$F$103,2,0)*S134/1000/12,IF('Tinh phi QL'!$H$9="Nữ",VLOOKUP(KTVCOI!$I$13,KTVCOI!$D$3:$F$103,3,0)*S134/1000/12,0))</f>
        <v>1.5142433167391236</v>
      </c>
      <c r="S134" s="452">
        <f ca="1">KTVTD20namMH!E135-V133</f>
        <v>8222.1356565020287</v>
      </c>
      <c r="T134" s="419">
        <f ca="1">(T133-O134-P134)*(1+LS!$E$13)</f>
        <v>-7094.7308442159492</v>
      </c>
      <c r="U134" s="958"/>
      <c r="V134" s="419">
        <f ca="1">(V133-O134-R134)*(1+LS!$F$13)</f>
        <v>-8314.7534493669573</v>
      </c>
    </row>
    <row r="135" spans="5:22" ht="9.75" customHeight="1">
      <c r="E135" s="329"/>
      <c r="F135" s="329"/>
      <c r="L135" s="957">
        <f>L123+1</f>
        <v>12</v>
      </c>
      <c r="M135" s="262">
        <v>133</v>
      </c>
      <c r="N135" s="263">
        <f ca="1">$J$14-T134-KTVTDGTTKcamket!F18</f>
        <v>7094.7308442159492</v>
      </c>
      <c r="O135" s="256">
        <f ca="1">KTVTD20namMH!F136</f>
        <v>60</v>
      </c>
      <c r="P135" s="451">
        <f ca="1">IF('Tinh phi QL'!$H$9="Nam",VLOOKUP(KTVCOI!$I$14,KTVCOI!$D$3:$F$103,2,0)*N135/1000/12,IF('Tinh phi QL'!$H$9="Nữ",VLOOKUP(KTVCOI!$I$14,KTVCOI!$D$3:$F$103,3,0)*N135/1000/12,0))</f>
        <v>1.4130338931396766</v>
      </c>
      <c r="Q135" s="957"/>
      <c r="R135" s="452">
        <f ca="1">IF('Tinh phi QL'!$H$9="Nam",VLOOKUP(KTVCOI!$I$14,KTVCOI!$D$3:$F$103,2,0)*S135/1000/12,IF('Tinh phi QL'!$H$9="Nữ",VLOOKUP(KTVCOI!$I$14,KTVCOI!$D$3:$F$103,3,0)*S135/1000/12,0))</f>
        <v>1.6560217286655858</v>
      </c>
      <c r="S135" s="451">
        <f ca="1">KTVTD20namMH!E136-V134-KTVTDGTTKMH!F18</f>
        <v>8314.7534493669573</v>
      </c>
      <c r="T135" s="420">
        <f ca="1">(T134+KTVTDGTTKcamket!F18-O135-P135)*(1+LS!$E$14)</f>
        <v>-7162.0801722077258</v>
      </c>
      <c r="U135" s="958">
        <f>Q135</f>
        <v>0</v>
      </c>
      <c r="V135" s="418">
        <f ca="1">(V134+KTVTDGTTKMH!F18-O135-R135)*(1+LS!$F$14)</f>
        <v>-8407.8613154119612</v>
      </c>
    </row>
    <row r="136" spans="5:22" ht="9.75" customHeight="1">
      <c r="E136" s="329"/>
      <c r="F136" s="329"/>
      <c r="L136" s="957"/>
      <c r="M136" s="262">
        <v>134</v>
      </c>
      <c r="N136" s="263">
        <f ca="1">$J$14-T135</f>
        <v>7162.0801722077258</v>
      </c>
      <c r="O136" s="256">
        <f ca="1">KTVTD20namMH!F137</f>
        <v>60</v>
      </c>
      <c r="P136" s="451">
        <f ca="1">IF('Tinh phi QL'!$H$9="Nam",VLOOKUP(KTVCOI!$I$14,KTVCOI!$D$3:$F$103,2,0)*N136/1000/12,IF('Tinh phi QL'!$H$9="Nữ",VLOOKUP(KTVCOI!$I$14,KTVCOI!$D$3:$F$103,3,0)*N136/1000/12,0))</f>
        <v>1.4264476342980388</v>
      </c>
      <c r="Q136" s="957"/>
      <c r="R136" s="452">
        <f ca="1">IF('Tinh phi QL'!$H$9="Nam",VLOOKUP(KTVCOI!$I$14,KTVCOI!$D$3:$F$103,2,0)*S136/1000/12,IF('Tinh phi QL'!$H$9="Nữ",VLOOKUP(KTVCOI!$I$14,KTVCOI!$D$3:$F$103,3,0)*S136/1000/12,0))</f>
        <v>1.6745657119862158</v>
      </c>
      <c r="S136" s="451">
        <f ca="1">KTVTD20namMH!E137-V135</f>
        <v>8407.8613154119612</v>
      </c>
      <c r="T136" s="420">
        <f ca="1">(T135-O136-P136)*(1+LS!$E$14)</f>
        <v>-7229.498793902414</v>
      </c>
      <c r="U136" s="958"/>
      <c r="V136" s="418">
        <f ca="1">(V135-O136-R136)*(1+LS!$F$14)</f>
        <v>-8501.3373976190469</v>
      </c>
    </row>
    <row r="137" spans="5:22" ht="9.75" customHeight="1">
      <c r="E137" s="329"/>
      <c r="F137" s="329"/>
      <c r="L137" s="957"/>
      <c r="M137" s="262">
        <v>135</v>
      </c>
      <c r="N137" s="263">
        <f t="shared" ref="N137:N146" ca="1" si="15">$J$14-T136</f>
        <v>7229.498793902414</v>
      </c>
      <c r="O137" s="256">
        <f ca="1">KTVTD20namMH!F138</f>
        <v>60</v>
      </c>
      <c r="P137" s="451">
        <f ca="1">IF('Tinh phi QL'!$H$9="Nam",VLOOKUP(KTVCOI!$I$14,KTVCOI!$D$3:$F$103,2,0)*N137/1000/12,IF('Tinh phi QL'!$H$9="Nữ",VLOOKUP(KTVCOI!$I$14,KTVCOI!$D$3:$F$103,3,0)*N137/1000/12,0))</f>
        <v>1.4398751764522311</v>
      </c>
      <c r="Q137" s="957"/>
      <c r="R137" s="452">
        <f ca="1">IF('Tinh phi QL'!$H$9="Nam",VLOOKUP(KTVCOI!$I$14,KTVCOI!$D$3:$F$103,2,0)*S137/1000/12,IF('Tinh phi QL'!$H$9="Nữ",VLOOKUP(KTVCOI!$I$14,KTVCOI!$D$3:$F$103,3,0)*S137/1000/12,0))</f>
        <v>1.6931830316924603</v>
      </c>
      <c r="S137" s="451">
        <f ca="1">KTVTD20namMH!E138-V136</f>
        <v>8501.3373976190469</v>
      </c>
      <c r="T137" s="420">
        <f ca="1">(T136-O137-P137)*(1+LS!$E$14)</f>
        <v>-7296.9867805942276</v>
      </c>
      <c r="U137" s="958"/>
      <c r="V137" s="418">
        <f ca="1">(V136-O137-R137)*(1+LS!$F$14)</f>
        <v>-8595.1831521824934</v>
      </c>
    </row>
    <row r="138" spans="5:22" ht="9.75" customHeight="1">
      <c r="E138" s="329"/>
      <c r="F138" s="329"/>
      <c r="L138" s="957"/>
      <c r="M138" s="262">
        <v>136</v>
      </c>
      <c r="N138" s="263">
        <f t="shared" ca="1" si="15"/>
        <v>7296.9867805942276</v>
      </c>
      <c r="O138" s="256">
        <f ca="1">KTVTD20namMH!F139</f>
        <v>60</v>
      </c>
      <c r="P138" s="451">
        <f ca="1">IF('Tinh phi QL'!$H$9="Nam",VLOOKUP(KTVCOI!$I$14,KTVCOI!$D$3:$F$103,2,0)*N138/1000/12,IF('Tinh phi QL'!$H$9="Nữ",VLOOKUP(KTVCOI!$I$14,KTVCOI!$D$3:$F$103,3,0)*N138/1000/12,0))</f>
        <v>1.4533165338016838</v>
      </c>
      <c r="Q138" s="957"/>
      <c r="R138" s="452">
        <f ca="1">IF('Tinh phi QL'!$H$9="Nam",VLOOKUP(KTVCOI!$I$14,KTVCOI!$D$3:$F$103,2,0)*S138/1000/12,IF('Tinh phi QL'!$H$9="Nữ",VLOOKUP(KTVCOI!$I$14,KTVCOI!$D$3:$F$103,3,0)*S138/1000/12,0))</f>
        <v>1.7118739778096801</v>
      </c>
      <c r="S138" s="451">
        <f ca="1">KTVTD20namMH!E139-V137</f>
        <v>8595.1831521824934</v>
      </c>
      <c r="T138" s="420">
        <f ca="1">(T137-O138-P138)*(1+LS!$E$14)</f>
        <v>-7364.5442036507302</v>
      </c>
      <c r="U138" s="958"/>
      <c r="V138" s="418">
        <f ca="1">(V137-O138-R138)*(1+LS!$F$14)</f>
        <v>-8689.4000410554327</v>
      </c>
    </row>
    <row r="139" spans="5:22" ht="9.75" customHeight="1">
      <c r="E139" s="329"/>
      <c r="F139" s="329"/>
      <c r="L139" s="957"/>
      <c r="M139" s="262">
        <v>137</v>
      </c>
      <c r="N139" s="263">
        <f t="shared" ca="1" si="15"/>
        <v>7364.5442036507302</v>
      </c>
      <c r="O139" s="256">
        <f ca="1">KTVTD20namMH!F140</f>
        <v>60</v>
      </c>
      <c r="P139" s="451">
        <f ca="1">IF('Tinh phi QL'!$H$9="Nam",VLOOKUP(KTVCOI!$I$14,KTVCOI!$D$3:$F$103,2,0)*N139/1000/12,IF('Tinh phi QL'!$H$9="Nữ",VLOOKUP(KTVCOI!$I$14,KTVCOI!$D$3:$F$103,3,0)*N139/1000/12,0))</f>
        <v>1.4667717205604369</v>
      </c>
      <c r="Q139" s="957"/>
      <c r="R139" s="452">
        <f ca="1">IF('Tinh phi QL'!$H$9="Nam",VLOOKUP(KTVCOI!$I$14,KTVCOI!$D$3:$F$103,2,0)*S139/1000/12,IF('Tinh phi QL'!$H$9="Nữ",VLOOKUP(KTVCOI!$I$14,KTVCOI!$D$3:$F$103,3,0)*S139/1000/12,0))</f>
        <v>1.7306388415102072</v>
      </c>
      <c r="S139" s="451">
        <f ca="1">KTVTD20namMH!E140-V138</f>
        <v>8689.4000410554327</v>
      </c>
      <c r="T139" s="420">
        <f ca="1">(T138-O139-P139)*(1+LS!$E$14)</f>
        <v>-7432.1711345129143</v>
      </c>
      <c r="U139" s="958"/>
      <c r="V139" s="418">
        <f ca="1">(V138-O139-R139)*(1+LS!$F$14)</f>
        <v>-8783.989531972622</v>
      </c>
    </row>
    <row r="140" spans="5:22" ht="9.75" customHeight="1">
      <c r="E140" s="329"/>
      <c r="F140" s="329"/>
      <c r="L140" s="957"/>
      <c r="M140" s="262">
        <v>138</v>
      </c>
      <c r="N140" s="263">
        <f t="shared" ca="1" si="15"/>
        <v>7432.1711345129143</v>
      </c>
      <c r="O140" s="256">
        <f ca="1">KTVTD20namMH!F141</f>
        <v>60</v>
      </c>
      <c r="P140" s="451">
        <f ca="1">IF('Tinh phi QL'!$H$9="Nam",VLOOKUP(KTVCOI!$I$14,KTVCOI!$D$3:$F$103,2,0)*N140/1000/12,IF('Tinh phi QL'!$H$9="Nữ",VLOOKUP(KTVCOI!$I$14,KTVCOI!$D$3:$F$103,3,0)*N140/1000/12,0))</f>
        <v>1.4802407509571553</v>
      </c>
      <c r="Q140" s="957"/>
      <c r="R140" s="452">
        <f ca="1">IF('Tinh phi QL'!$H$9="Nam",VLOOKUP(KTVCOI!$I$14,KTVCOI!$D$3:$F$103,2,0)*S140/1000/12,IF('Tinh phi QL'!$H$9="Nữ",VLOOKUP(KTVCOI!$I$14,KTVCOI!$D$3:$F$103,3,0)*S140/1000/12,0))</f>
        <v>1.7494779151178808</v>
      </c>
      <c r="S140" s="451">
        <f ca="1">KTVTD20namMH!E141-V139</f>
        <v>8783.989531972622</v>
      </c>
      <c r="T140" s="420">
        <f ca="1">(T139-O140-P140)*(1+LS!$E$14)</f>
        <v>-7499.867644695275</v>
      </c>
      <c r="U140" s="958"/>
      <c r="V140" s="418">
        <f ca="1">(V139-O140-R140)*(1+LS!$F$14)</f>
        <v>-8878.9530984733065</v>
      </c>
    </row>
    <row r="141" spans="5:22" ht="9.75" customHeight="1">
      <c r="E141" s="329"/>
      <c r="F141" s="329"/>
      <c r="L141" s="957"/>
      <c r="M141" s="262">
        <v>139</v>
      </c>
      <c r="N141" s="263">
        <f t="shared" ca="1" si="15"/>
        <v>7499.867644695275</v>
      </c>
      <c r="O141" s="256">
        <f ca="1">KTVTD20namMH!F142</f>
        <v>60</v>
      </c>
      <c r="P141" s="451">
        <f ca="1">IF('Tinh phi QL'!$H$9="Nam",VLOOKUP(KTVCOI!$I$14,KTVCOI!$D$3:$F$103,2,0)*N141/1000/12,IF('Tinh phi QL'!$H$9="Nữ",VLOOKUP(KTVCOI!$I$14,KTVCOI!$D$3:$F$103,3,0)*N141/1000/12,0))</f>
        <v>1.4937236392351423</v>
      </c>
      <c r="Q141" s="957"/>
      <c r="R141" s="452">
        <f ca="1">IF('Tinh phi QL'!$H$9="Nam",VLOOKUP(KTVCOI!$I$14,KTVCOI!$D$3:$F$103,2,0)*S141/1000/12,IF('Tinh phi QL'!$H$9="Nữ",VLOOKUP(KTVCOI!$I$14,KTVCOI!$D$3:$F$103,3,0)*S141/1000/12,0))</f>
        <v>1.7683914921126005</v>
      </c>
      <c r="S141" s="451">
        <f ca="1">KTVTD20namMH!E142-V140</f>
        <v>8878.9530984733065</v>
      </c>
      <c r="T141" s="420">
        <f ca="1">(T140-O141-P141)*(1+LS!$E$14)</f>
        <v>-7567.6338057858884</v>
      </c>
      <c r="U141" s="958"/>
      <c r="V141" s="418">
        <f ca="1">(V140-O141-R141)*(1+LS!$F$14)</f>
        <v>-8974.2922199241766</v>
      </c>
    </row>
    <row r="142" spans="5:22" ht="9.75" customHeight="1">
      <c r="E142" s="329"/>
      <c r="F142" s="329"/>
      <c r="L142" s="957"/>
      <c r="M142" s="262">
        <v>140</v>
      </c>
      <c r="N142" s="263">
        <f t="shared" ca="1" si="15"/>
        <v>7567.6338057858884</v>
      </c>
      <c r="O142" s="256">
        <f ca="1">KTVTD20namMH!F143</f>
        <v>60</v>
      </c>
      <c r="P142" s="451">
        <f ca="1">IF('Tinh phi QL'!$H$9="Nam",VLOOKUP(KTVCOI!$I$14,KTVCOI!$D$3:$F$103,2,0)*N142/1000/12,IF('Tinh phi QL'!$H$9="Nữ",VLOOKUP(KTVCOI!$I$14,KTVCOI!$D$3:$F$103,3,0)*N142/1000/12,0))</f>
        <v>1.5072203996523561</v>
      </c>
      <c r="Q142" s="957"/>
      <c r="R142" s="452">
        <f ca="1">IF('Tinh phi QL'!$H$9="Nam",VLOOKUP(KTVCOI!$I$14,KTVCOI!$D$3:$F$103,2,0)*S142/1000/12,IF('Tinh phi QL'!$H$9="Nữ",VLOOKUP(KTVCOI!$I$14,KTVCOI!$D$3:$F$103,3,0)*S142/1000/12,0))</f>
        <v>1.7873798671348986</v>
      </c>
      <c r="S142" s="451">
        <f ca="1">KTVTD20namMH!E143-V141</f>
        <v>8974.2922199241766</v>
      </c>
      <c r="T142" s="420">
        <f ca="1">(T141-O142-P142)*(1+LS!$E$14)</f>
        <v>-7635.4696894464832</v>
      </c>
      <c r="U142" s="958"/>
      <c r="V142" s="418">
        <f ca="1">(V141-O142-R142)*(1+LS!$F$14)</f>
        <v>-9070.008381542415</v>
      </c>
    </row>
    <row r="143" spans="5:22" ht="9.75" customHeight="1">
      <c r="E143" s="329"/>
      <c r="F143" s="329"/>
      <c r="L143" s="957"/>
      <c r="M143" s="262">
        <v>141</v>
      </c>
      <c r="N143" s="263">
        <f t="shared" ca="1" si="15"/>
        <v>7635.4696894464832</v>
      </c>
      <c r="O143" s="256">
        <f ca="1">KTVTD20namMH!F144</f>
        <v>60</v>
      </c>
      <c r="P143" s="451">
        <f ca="1">IF('Tinh phi QL'!$H$9="Nam",VLOOKUP(KTVCOI!$I$14,KTVCOI!$D$3:$F$103,2,0)*N143/1000/12,IF('Tinh phi QL'!$H$9="Nữ",VLOOKUP(KTVCOI!$I$14,KTVCOI!$D$3:$F$103,3,0)*N143/1000/12,0))</f>
        <v>1.5207310464814245</v>
      </c>
      <c r="Q143" s="957"/>
      <c r="R143" s="452">
        <f ca="1">IF('Tinh phi QL'!$H$9="Nam",VLOOKUP(KTVCOI!$I$14,KTVCOI!$D$3:$F$103,2,0)*S143/1000/12,IF('Tinh phi QL'!$H$9="Nữ",VLOOKUP(KTVCOI!$I$14,KTVCOI!$D$3:$F$103,3,0)*S143/1000/12,0))</f>
        <v>1.8064433359905312</v>
      </c>
      <c r="S143" s="451">
        <f ca="1">KTVTD20namMH!E144-V142</f>
        <v>9070.008381542415</v>
      </c>
      <c r="T143" s="420">
        <f ca="1">(T142-O143-P143)*(1+LS!$E$14)</f>
        <v>-7703.375367412521</v>
      </c>
      <c r="U143" s="958"/>
      <c r="V143" s="418">
        <f ca="1">(V142-O143-R143)*(1+LS!$F$14)</f>
        <v>-9166.1030744188301</v>
      </c>
    </row>
    <row r="144" spans="5:22" ht="9.75" customHeight="1">
      <c r="E144" s="329"/>
      <c r="F144" s="329"/>
      <c r="L144" s="957"/>
      <c r="M144" s="262">
        <v>142</v>
      </c>
      <c r="N144" s="263">
        <f t="shared" ca="1" si="15"/>
        <v>7703.375367412521</v>
      </c>
      <c r="O144" s="256">
        <f ca="1">KTVTD20namMH!F145</f>
        <v>60</v>
      </c>
      <c r="P144" s="451">
        <f ca="1">IF('Tinh phi QL'!$H$9="Nam",VLOOKUP(KTVCOI!$I$14,KTVCOI!$D$3:$F$103,2,0)*N144/1000/12,IF('Tinh phi QL'!$H$9="Nữ",VLOOKUP(KTVCOI!$I$14,KTVCOI!$D$3:$F$103,3,0)*N144/1000/12,0))</f>
        <v>1.5342555940096607</v>
      </c>
      <c r="Q144" s="957"/>
      <c r="R144" s="452">
        <f ca="1">IF('Tinh phi QL'!$H$9="Nam",VLOOKUP(KTVCOI!$I$14,KTVCOI!$D$3:$F$103,2,0)*S144/1000/12,IF('Tinh phi QL'!$H$9="Nữ",VLOOKUP(KTVCOI!$I$14,KTVCOI!$D$3:$F$103,3,0)*S144/1000/12,0))</f>
        <v>1.825582195655084</v>
      </c>
      <c r="S144" s="451">
        <f ca="1">KTVTD20namMH!E145-V143</f>
        <v>9166.1030744188301</v>
      </c>
      <c r="T144" s="420">
        <f ca="1">(T143-O144-P144)*(1+LS!$E$14)</f>
        <v>-7771.3509114932676</v>
      </c>
      <c r="U144" s="958"/>
      <c r="V144" s="418">
        <f ca="1">(V143-O144-R144)*(1+LS!$F$14)</f>
        <v>-9262.5777955410886</v>
      </c>
    </row>
    <row r="145" spans="5:22" ht="9.75" customHeight="1">
      <c r="E145" s="329"/>
      <c r="F145" s="329"/>
      <c r="L145" s="957"/>
      <c r="M145" s="262">
        <v>143</v>
      </c>
      <c r="N145" s="263">
        <f t="shared" ca="1" si="15"/>
        <v>7771.3509114932676</v>
      </c>
      <c r="O145" s="256">
        <f ca="1">KTVTD20namMH!F146</f>
        <v>60</v>
      </c>
      <c r="P145" s="451">
        <f ca="1">IF('Tinh phi QL'!$H$9="Nam",VLOOKUP(KTVCOI!$I$14,KTVCOI!$D$3:$F$103,2,0)*N145/1000/12,IF('Tinh phi QL'!$H$9="Nữ",VLOOKUP(KTVCOI!$I$14,KTVCOI!$D$3:$F$103,3,0)*N145/1000/12,0))</f>
        <v>1.547794056539076</v>
      </c>
      <c r="Q145" s="957"/>
      <c r="R145" s="452">
        <f ca="1">IF('Tinh phi QL'!$H$9="Nam",VLOOKUP(KTVCOI!$I$14,KTVCOI!$D$3:$F$103,2,0)*S145/1000/12,IF('Tinh phi QL'!$H$9="Nữ",VLOOKUP(KTVCOI!$I$14,KTVCOI!$D$3:$F$103,3,0)*S145/1000/12,0))</f>
        <v>1.8447967442786002</v>
      </c>
      <c r="S145" s="451">
        <f ca="1">KTVTD20namMH!E146-V144</f>
        <v>9262.5777955410886</v>
      </c>
      <c r="T145" s="420">
        <f ca="1">(T144-O145-P145)*(1+LS!$E$14)</f>
        <v>-7839.396393571873</v>
      </c>
      <c r="U145" s="958"/>
      <c r="V145" s="418">
        <f ca="1">(V144-O145-R145)*(1+LS!$F$14)</f>
        <v>-9359.4340478170343</v>
      </c>
    </row>
    <row r="146" spans="5:22" ht="9.75" customHeight="1">
      <c r="E146" s="329"/>
      <c r="F146" s="329"/>
      <c r="L146" s="957"/>
      <c r="M146" s="262">
        <v>144</v>
      </c>
      <c r="N146" s="263">
        <f t="shared" ca="1" si="15"/>
        <v>7839.396393571873</v>
      </c>
      <c r="O146" s="256">
        <f ca="1">KTVTD20namMH!F147</f>
        <v>60</v>
      </c>
      <c r="P146" s="451">
        <f ca="1">IF('Tinh phi QL'!$H$9="Nam",VLOOKUP(KTVCOI!$I$14,KTVCOI!$D$3:$F$103,2,0)*N146/1000/12,IF('Tinh phi QL'!$H$9="Nữ",VLOOKUP(KTVCOI!$I$14,KTVCOI!$D$3:$F$103,3,0)*N146/1000/12,0))</f>
        <v>1.5613464483863984</v>
      </c>
      <c r="Q146" s="957"/>
      <c r="R146" s="452">
        <f ca="1">IF('Tinh phi QL'!$H$9="Nam",VLOOKUP(KTVCOI!$I$14,KTVCOI!$D$3:$F$103,2,0)*S146/1000/12,IF('Tinh phi QL'!$H$9="Nữ",VLOOKUP(KTVCOI!$I$14,KTVCOI!$D$3:$F$103,3,0)*S146/1000/12,0))</f>
        <v>1.864087281190226</v>
      </c>
      <c r="S146" s="451">
        <f ca="1">KTVTD20namMH!E147-V145</f>
        <v>9359.4340478170343</v>
      </c>
      <c r="T146" s="421">
        <f ca="1">(T145-O146-P146)*(1+LS!$E$14)</f>
        <v>-7907.5118856054451</v>
      </c>
      <c r="U146" s="958"/>
      <c r="V146" s="419">
        <f ca="1">(V145-O146-R146)*(1+LS!$F$14)</f>
        <v>-9456.6733400981011</v>
      </c>
    </row>
    <row r="147" spans="5:22" ht="9.75" customHeight="1">
      <c r="E147" s="329"/>
      <c r="F147" s="329"/>
      <c r="L147" s="959">
        <f>L135+1</f>
        <v>13</v>
      </c>
      <c r="M147" s="252">
        <v>145</v>
      </c>
      <c r="N147" s="256">
        <f ca="1">$J$15-T146-KTVTDGTTKcamket!F19</f>
        <v>7907.5118856054451</v>
      </c>
      <c r="O147" s="256">
        <f ca="1">KTVTD20namMH!F148</f>
        <v>60</v>
      </c>
      <c r="P147" s="452">
        <f ca="1">IF('Tinh phi QL'!$H$9="Nam",VLOOKUP(KTVCOI!$I$15,KTVCOI!$D$3:$F$103,2,0)*N147/1000/12,IF('Tinh phi QL'!$H$9="Nữ",VLOOKUP(KTVCOI!$I$15,KTVCOI!$D$3:$F$103,3,0)*N147/1000/12,0))</f>
        <v>1.7132942418811801</v>
      </c>
      <c r="Q147" s="957"/>
      <c r="R147" s="452">
        <f ca="1">IF('Tinh phi QL'!$H$9="Nam",VLOOKUP(KTVCOI!$I$15,KTVCOI!$D$3:$F$103,2,0)*S147/1000/12,IF('Tinh phi QL'!$H$9="Nữ",VLOOKUP(KTVCOI!$I$15,KTVCOI!$D$3:$F$103,3,0)*S147/1000/12,0))</f>
        <v>2.0489458903545885</v>
      </c>
      <c r="S147" s="452">
        <f ca="1">KTVTD20namMH!E148-V146-KTVTDGTTKMH!F19</f>
        <v>9456.6733400981011</v>
      </c>
      <c r="T147" s="418">
        <f ca="1">(T146+KTVTDGTTKcamket!F19-O147-P147)*(1+LS!$E$15)</f>
        <v>-7975.8359558758166</v>
      </c>
      <c r="U147" s="958">
        <f>Q147</f>
        <v>0</v>
      </c>
      <c r="V147" s="418">
        <f ca="1">(V146+KTVTDGTTKMH!F19-O147-R147)*(1+LS!$F$15)</f>
        <v>-9554.4633003768322</v>
      </c>
    </row>
    <row r="148" spans="5:22" ht="9.75" customHeight="1">
      <c r="E148" s="329"/>
      <c r="F148" s="329"/>
      <c r="L148" s="959"/>
      <c r="M148" s="252">
        <v>146</v>
      </c>
      <c r="N148" s="256">
        <f ca="1">$J$15-T147</f>
        <v>7975.8359558758166</v>
      </c>
      <c r="O148" s="256">
        <f ca="1">KTVTD20namMH!F149</f>
        <v>60</v>
      </c>
      <c r="P148" s="452">
        <f ca="1">IF('Tinh phi QL'!$H$9="Nam",VLOOKUP(KTVCOI!$I$15,KTVCOI!$D$3:$F$103,2,0)*N148/1000/12,IF('Tinh phi QL'!$H$9="Nữ",VLOOKUP(KTVCOI!$I$15,KTVCOI!$D$3:$F$103,3,0)*N148/1000/12,0))</f>
        <v>1.7280977904397601</v>
      </c>
      <c r="Q148" s="957"/>
      <c r="R148" s="452">
        <f ca="1">IF('Tinh phi QL'!$H$9="Nam",VLOOKUP(KTVCOI!$I$15,KTVCOI!$D$3:$F$103,2,0)*S148/1000/12,IF('Tinh phi QL'!$H$9="Nữ",VLOOKUP(KTVCOI!$I$15,KTVCOI!$D$3:$F$103,3,0)*S148/1000/12,0))</f>
        <v>2.070133715081647</v>
      </c>
      <c r="S148" s="452">
        <f ca="1">KTVTD20namMH!E149-V147</f>
        <v>9554.4633003768322</v>
      </c>
      <c r="T148" s="418">
        <f ca="1">(T147-O148-P148)*(1+LS!$E$15)</f>
        <v>-8044.2315193952718</v>
      </c>
      <c r="U148" s="958"/>
      <c r="V148" s="418">
        <f ca="1">(V147-O148-R148)*(1+LS!$F$15)</f>
        <v>-9652.6417109706417</v>
      </c>
    </row>
    <row r="149" spans="5:22" ht="9.75" customHeight="1">
      <c r="E149" s="329"/>
      <c r="F149" s="329"/>
      <c r="L149" s="959"/>
      <c r="M149" s="252">
        <v>147</v>
      </c>
      <c r="N149" s="256">
        <f t="shared" ref="N149:N158" ca="1" si="16">$J$15-T148</f>
        <v>8044.2315193952718</v>
      </c>
      <c r="O149" s="256">
        <f ca="1">KTVTD20namMH!F150</f>
        <v>60</v>
      </c>
      <c r="P149" s="452">
        <f ca="1">IF('Tinh phi QL'!$H$9="Nam",VLOOKUP(KTVCOI!$I$15,KTVCOI!$D$3:$F$103,2,0)*N149/1000/12,IF('Tinh phi QL'!$H$9="Nữ",VLOOKUP(KTVCOI!$I$15,KTVCOI!$D$3:$F$103,3,0)*N149/1000/12,0))</f>
        <v>1.7429168292023089</v>
      </c>
      <c r="Q149" s="957"/>
      <c r="R149" s="452">
        <f ca="1">IF('Tinh phi QL'!$H$9="Nam",VLOOKUP(KTVCOI!$I$15,KTVCOI!$D$3:$F$103,2,0)*S149/1000/12,IF('Tinh phi QL'!$H$9="Nữ",VLOOKUP(KTVCOI!$I$15,KTVCOI!$D$3:$F$103,3,0)*S149/1000/12,0))</f>
        <v>2.0914057040436389</v>
      </c>
      <c r="S149" s="452">
        <f ca="1">KTVTD20namMH!E150-V148</f>
        <v>9652.6417109706417</v>
      </c>
      <c r="T149" s="418">
        <f ca="1">(T148-O149-P149)*(1+LS!$E$15)</f>
        <v>-8112.6986509732378</v>
      </c>
      <c r="U149" s="958"/>
      <c r="V149" s="418">
        <f ca="1">(V148-O149-R149)*(1+LS!$F$15)</f>
        <v>-9751.2101149177597</v>
      </c>
    </row>
    <row r="150" spans="5:22" ht="9.75" customHeight="1">
      <c r="E150" s="329"/>
      <c r="F150" s="329"/>
      <c r="L150" s="959"/>
      <c r="M150" s="252">
        <v>148</v>
      </c>
      <c r="N150" s="256">
        <f t="shared" ca="1" si="16"/>
        <v>8112.6986509732378</v>
      </c>
      <c r="O150" s="256">
        <f ca="1">KTVTD20namMH!F151</f>
        <v>60</v>
      </c>
      <c r="P150" s="452">
        <f ca="1">IF('Tinh phi QL'!$H$9="Nam",VLOOKUP(KTVCOI!$I$15,KTVCOI!$D$3:$F$103,2,0)*N150/1000/12,IF('Tinh phi QL'!$H$9="Nữ",VLOOKUP(KTVCOI!$I$15,KTVCOI!$D$3:$F$103,3,0)*N150/1000/12,0))</f>
        <v>1.757751374377535</v>
      </c>
      <c r="Q150" s="957"/>
      <c r="R150" s="452">
        <f ca="1">IF('Tinh phi QL'!$H$9="Nam",VLOOKUP(KTVCOI!$I$15,KTVCOI!$D$3:$F$103,2,0)*S150/1000/12,IF('Tinh phi QL'!$H$9="Nữ",VLOOKUP(KTVCOI!$I$15,KTVCOI!$D$3:$F$103,3,0)*S150/1000/12,0))</f>
        <v>2.112762191565515</v>
      </c>
      <c r="S150" s="452">
        <f ca="1">KTVTD20namMH!E151-V149</f>
        <v>9751.2101149177597</v>
      </c>
      <c r="T150" s="418">
        <f ca="1">(T149-O150-P150)*(1+LS!$E$15)</f>
        <v>-8181.2374254974238</v>
      </c>
      <c r="U150" s="958"/>
      <c r="V150" s="418">
        <f ca="1">(V149-O150-R150)*(1+LS!$F$15)</f>
        <v>-9850.1700613858156</v>
      </c>
    </row>
    <row r="151" spans="5:22" ht="9.75" customHeight="1">
      <c r="E151" s="329"/>
      <c r="F151" s="329"/>
      <c r="L151" s="959"/>
      <c r="M151" s="252">
        <v>149</v>
      </c>
      <c r="N151" s="256">
        <f t="shared" ca="1" si="16"/>
        <v>8181.2374254974238</v>
      </c>
      <c r="O151" s="256">
        <f ca="1">KTVTD20namMH!F152</f>
        <v>60</v>
      </c>
      <c r="P151" s="452">
        <f ca="1">IF('Tinh phi QL'!$H$9="Nam",VLOOKUP(KTVCOI!$I$15,KTVCOI!$D$3:$F$103,2,0)*N151/1000/12,IF('Tinh phi QL'!$H$9="Nữ",VLOOKUP(KTVCOI!$I$15,KTVCOI!$D$3:$F$103,3,0)*N151/1000/12,0))</f>
        <v>1.7726014421911085</v>
      </c>
      <c r="Q151" s="957"/>
      <c r="R151" s="452">
        <f ca="1">IF('Tinh phi QL'!$H$9="Nam",VLOOKUP(KTVCOI!$I$15,KTVCOI!$D$3:$F$103,2,0)*S151/1000/12,IF('Tinh phi QL'!$H$9="Nữ",VLOOKUP(KTVCOI!$I$15,KTVCOI!$D$3:$F$103,3,0)*S151/1000/12,0))</f>
        <v>2.1342035133002599</v>
      </c>
      <c r="S151" s="452">
        <f ca="1">KTVTD20namMH!E152-V150</f>
        <v>9850.1700613858156</v>
      </c>
      <c r="T151" s="418">
        <f ca="1">(T150-O151-P151)*(1+LS!$E$15)</f>
        <v>-8249.8479179338992</v>
      </c>
      <c r="U151" s="958"/>
      <c r="V151" s="418">
        <f ca="1">(V150-O151-R151)*(1+LS!$F$15)</f>
        <v>-9949.5231056961857</v>
      </c>
    </row>
    <row r="152" spans="5:22" ht="9.75" customHeight="1">
      <c r="E152" s="329"/>
      <c r="F152" s="329"/>
      <c r="L152" s="959"/>
      <c r="M152" s="252">
        <v>150</v>
      </c>
      <c r="N152" s="256">
        <f t="shared" ca="1" si="16"/>
        <v>8249.8479179338992</v>
      </c>
      <c r="O152" s="256">
        <f ca="1">KTVTD20namMH!F153</f>
        <v>60</v>
      </c>
      <c r="P152" s="452">
        <f ca="1">IF('Tinh phi QL'!$H$9="Nam",VLOOKUP(KTVCOI!$I$15,KTVCOI!$D$3:$F$103,2,0)*N152/1000/12,IF('Tinh phi QL'!$H$9="Nữ",VLOOKUP(KTVCOI!$I$15,KTVCOI!$D$3:$F$103,3,0)*N152/1000/12,0))</f>
        <v>1.7874670488856781</v>
      </c>
      <c r="Q152" s="957"/>
      <c r="R152" s="452">
        <f ca="1">IF('Tinh phi QL'!$H$9="Nam",VLOOKUP(KTVCOI!$I$15,KTVCOI!$D$3:$F$103,2,0)*S152/1000/12,IF('Tinh phi QL'!$H$9="Nữ",VLOOKUP(KTVCOI!$I$15,KTVCOI!$D$3:$F$103,3,0)*S152/1000/12,0))</f>
        <v>2.1557300062341738</v>
      </c>
      <c r="S152" s="452">
        <f ca="1">KTVTD20namMH!E153-V151</f>
        <v>9949.5231056961857</v>
      </c>
      <c r="T152" s="418">
        <f ca="1">(T151-O152-P152)*(1+LS!$E$15)</f>
        <v>-8318.5302033271764</v>
      </c>
      <c r="U152" s="958"/>
      <c r="V152" s="418">
        <f ca="1">(V151-O152-R152)*(1+LS!$F$15)</f>
        <v>-10049.270809348438</v>
      </c>
    </row>
    <row r="153" spans="5:22" ht="9.75" customHeight="1">
      <c r="E153" s="329"/>
      <c r="F153" s="329"/>
      <c r="L153" s="959"/>
      <c r="M153" s="252">
        <v>151</v>
      </c>
      <c r="N153" s="256">
        <f t="shared" ca="1" si="16"/>
        <v>8318.5302033271764</v>
      </c>
      <c r="O153" s="256">
        <f ca="1">KTVTD20namMH!F154</f>
        <v>60</v>
      </c>
      <c r="P153" s="452">
        <f ca="1">IF('Tinh phi QL'!$H$9="Nam",VLOOKUP(KTVCOI!$I$15,KTVCOI!$D$3:$F$103,2,0)*N153/1000/12,IF('Tinh phi QL'!$H$9="Nữ",VLOOKUP(KTVCOI!$I$15,KTVCOI!$D$3:$F$103,3,0)*N153/1000/12,0))</f>
        <v>1.8023482107208884</v>
      </c>
      <c r="Q153" s="957"/>
      <c r="R153" s="452">
        <f ca="1">IF('Tinh phi QL'!$H$9="Nam",VLOOKUP(KTVCOI!$I$15,KTVCOI!$D$3:$F$103,2,0)*S153/1000/12,IF('Tinh phi QL'!$H$9="Nữ",VLOOKUP(KTVCOI!$I$15,KTVCOI!$D$3:$F$103,3,0)*S153/1000/12,0))</f>
        <v>2.1773420086921615</v>
      </c>
      <c r="S153" s="452">
        <f ca="1">KTVTD20namMH!E154-V152</f>
        <v>10049.270809348438</v>
      </c>
      <c r="T153" s="418">
        <f ca="1">(T152-O153-P153)*(1+LS!$E$15)</f>
        <v>-8387.2843568002936</v>
      </c>
      <c r="U153" s="958"/>
      <c r="V153" s="418">
        <f ca="1">(V152-O153-R153)*(1+LS!$F$15)</f>
        <v>-10149.414740044873</v>
      </c>
    </row>
    <row r="154" spans="5:22" ht="9.75" customHeight="1">
      <c r="E154" s="329"/>
      <c r="F154" s="329"/>
      <c r="L154" s="959"/>
      <c r="M154" s="252">
        <v>152</v>
      </c>
      <c r="N154" s="256">
        <f t="shared" ca="1" si="16"/>
        <v>8387.2843568002936</v>
      </c>
      <c r="O154" s="256">
        <f ca="1">KTVTD20namMH!F155</f>
        <v>60</v>
      </c>
      <c r="P154" s="452">
        <f ca="1">IF('Tinh phi QL'!$H$9="Nam",VLOOKUP(KTVCOI!$I$15,KTVCOI!$D$3:$F$103,2,0)*N154/1000/12,IF('Tinh phi QL'!$H$9="Nữ",VLOOKUP(KTVCOI!$I$15,KTVCOI!$D$3:$F$103,3,0)*N154/1000/12,0))</f>
        <v>1.8172449439733969</v>
      </c>
      <c r="Q154" s="957"/>
      <c r="R154" s="452">
        <f ca="1">IF('Tinh phi QL'!$H$9="Nam",VLOOKUP(KTVCOI!$I$15,KTVCOI!$D$3:$F$103,2,0)*S154/1000/12,IF('Tinh phi QL'!$H$9="Nữ",VLOOKUP(KTVCOI!$I$15,KTVCOI!$D$3:$F$103,3,0)*S154/1000/12,0))</f>
        <v>2.1990398603430559</v>
      </c>
      <c r="S154" s="452">
        <f ca="1">KTVTD20namMH!E155-V153</f>
        <v>10149.414740044873</v>
      </c>
      <c r="T154" s="418">
        <f ca="1">(T153-O154-P154)*(1+LS!$E$15)</f>
        <v>-8456.1104535548966</v>
      </c>
      <c r="U154" s="958"/>
      <c r="V154" s="418">
        <f ca="1">(V153-O154-R154)*(1+LS!$F$15)</f>
        <v>-10249.956471715164</v>
      </c>
    </row>
    <row r="155" spans="5:22" ht="9.75" customHeight="1">
      <c r="E155" s="329"/>
      <c r="F155" s="329"/>
      <c r="L155" s="959"/>
      <c r="M155" s="252">
        <v>153</v>
      </c>
      <c r="N155" s="256">
        <f t="shared" ca="1" si="16"/>
        <v>8456.1104535548966</v>
      </c>
      <c r="O155" s="256">
        <f ca="1">KTVTD20namMH!F156</f>
        <v>60</v>
      </c>
      <c r="P155" s="452">
        <f ca="1">IF('Tinh phi QL'!$H$9="Nam",VLOOKUP(KTVCOI!$I$15,KTVCOI!$D$3:$F$103,2,0)*N155/1000/12,IF('Tinh phi QL'!$H$9="Nữ",VLOOKUP(KTVCOI!$I$15,KTVCOI!$D$3:$F$103,3,0)*N155/1000/12,0))</f>
        <v>1.8321572649368942</v>
      </c>
      <c r="Q155" s="957"/>
      <c r="R155" s="452">
        <f ca="1">IF('Tinh phi QL'!$H$9="Nam",VLOOKUP(KTVCOI!$I$15,KTVCOI!$D$3:$F$103,2,0)*S155/1000/12,IF('Tinh phi QL'!$H$9="Nữ",VLOOKUP(KTVCOI!$I$15,KTVCOI!$D$3:$F$103,3,0)*S155/1000/12,0))</f>
        <v>2.2208239022049523</v>
      </c>
      <c r="S155" s="452">
        <f ca="1">KTVTD20namMH!E156-V154</f>
        <v>10249.956471715164</v>
      </c>
      <c r="T155" s="418">
        <f ca="1">(T154-O155-P155)*(1+LS!$E$15)</f>
        <v>-8525.0085688713207</v>
      </c>
      <c r="U155" s="958"/>
      <c r="V155" s="418">
        <f ca="1">(V154-O155-R155)*(1+LS!$F$15)</f>
        <v>-10350.897584541093</v>
      </c>
    </row>
    <row r="156" spans="5:22" ht="9.75" customHeight="1">
      <c r="E156" s="329"/>
      <c r="F156" s="329"/>
      <c r="L156" s="959"/>
      <c r="M156" s="252">
        <v>154</v>
      </c>
      <c r="N156" s="256">
        <f t="shared" ca="1" si="16"/>
        <v>8525.0085688713207</v>
      </c>
      <c r="O156" s="256">
        <f ca="1">KTVTD20namMH!F157</f>
        <v>60</v>
      </c>
      <c r="P156" s="452">
        <f ca="1">IF('Tinh phi QL'!$H$9="Nam",VLOOKUP(KTVCOI!$I$15,KTVCOI!$D$3:$F$103,2,0)*N156/1000/12,IF('Tinh phi QL'!$H$9="Nữ",VLOOKUP(KTVCOI!$I$15,KTVCOI!$D$3:$F$103,3,0)*N156/1000/12,0))</f>
        <v>1.8470851899221195</v>
      </c>
      <c r="Q156" s="957"/>
      <c r="R156" s="452">
        <f ca="1">IF('Tinh phi QL'!$H$9="Nam",VLOOKUP(KTVCOI!$I$15,KTVCOI!$D$3:$F$103,2,0)*S156/1000/12,IF('Tinh phi QL'!$H$9="Nữ",VLOOKUP(KTVCOI!$I$15,KTVCOI!$D$3:$F$103,3,0)*S156/1000/12,0))</f>
        <v>2.2426944766505703</v>
      </c>
      <c r="S156" s="452">
        <f ca="1">KTVTD20namMH!E157-V155</f>
        <v>10350.897584541093</v>
      </c>
      <c r="T156" s="418">
        <f ca="1">(T155-O156-P156)*(1+LS!$E$15)</f>
        <v>-8593.9787781086761</v>
      </c>
      <c r="U156" s="958"/>
      <c r="V156" s="418">
        <f ca="1">(V155-O156-R156)*(1+LS!$F$15)</f>
        <v>-10452.239664981384</v>
      </c>
    </row>
    <row r="157" spans="5:22" ht="9.75" customHeight="1">
      <c r="E157" s="329"/>
      <c r="F157" s="329"/>
      <c r="L157" s="959"/>
      <c r="M157" s="252">
        <v>155</v>
      </c>
      <c r="N157" s="256">
        <f t="shared" ca="1" si="16"/>
        <v>8593.9787781086761</v>
      </c>
      <c r="O157" s="256">
        <f ca="1">KTVTD20namMH!F158</f>
        <v>60</v>
      </c>
      <c r="P157" s="452">
        <f ca="1">IF('Tinh phi QL'!$H$9="Nam",VLOOKUP(KTVCOI!$I$15,KTVCOI!$D$3:$F$103,2,0)*N157/1000/12,IF('Tinh phi QL'!$H$9="Nữ",VLOOKUP(KTVCOI!$I$15,KTVCOI!$D$3:$F$103,3,0)*N157/1000/12,0))</f>
        <v>1.8620287352568798</v>
      </c>
      <c r="Q157" s="957"/>
      <c r="R157" s="452">
        <f ca="1">IF('Tinh phi QL'!$H$9="Nam",VLOOKUP(KTVCOI!$I$15,KTVCOI!$D$3:$F$103,2,0)*S157/1000/12,IF('Tinh phi QL'!$H$9="Nữ",VLOOKUP(KTVCOI!$I$15,KTVCOI!$D$3:$F$103,3,0)*S157/1000/12,0))</f>
        <v>2.2646519274126331</v>
      </c>
      <c r="S157" s="452">
        <f ca="1">KTVTD20namMH!E158-V156</f>
        <v>10452.239664981384</v>
      </c>
      <c r="T157" s="418">
        <f ca="1">(T156-O157-P157)*(1+LS!$E$15)</f>
        <v>-8663.0211567049228</v>
      </c>
      <c r="U157" s="958"/>
      <c r="V157" s="418">
        <f ca="1">(V156-O157-R157)*(1+LS!$F$15)</f>
        <v>-10553.984305796639</v>
      </c>
    </row>
    <row r="158" spans="5:22" ht="9.75" customHeight="1">
      <c r="E158" s="329"/>
      <c r="F158" s="329"/>
      <c r="L158" s="959"/>
      <c r="M158" s="252">
        <v>156</v>
      </c>
      <c r="N158" s="256">
        <f t="shared" ca="1" si="16"/>
        <v>8663.0211567049228</v>
      </c>
      <c r="O158" s="256">
        <f ca="1">KTVTD20namMH!F159</f>
        <v>60</v>
      </c>
      <c r="P158" s="452">
        <f ca="1">IF('Tinh phi QL'!$H$9="Nam",VLOOKUP(KTVCOI!$I$15,KTVCOI!$D$3:$F$103,2,0)*N158/1000/12,IF('Tinh phi QL'!$H$9="Nữ",VLOOKUP(KTVCOI!$I$15,KTVCOI!$D$3:$F$103,3,0)*N158/1000/12,0))</f>
        <v>1.8769879172860666</v>
      </c>
      <c r="Q158" s="957"/>
      <c r="R158" s="452">
        <f ca="1">IF('Tinh phi QL'!$H$9="Nam",VLOOKUP(KTVCOI!$I$15,KTVCOI!$D$3:$F$103,2,0)*S158/1000/12,IF('Tinh phi QL'!$H$9="Nữ",VLOOKUP(KTVCOI!$I$15,KTVCOI!$D$3:$F$103,3,0)*S158/1000/12,0))</f>
        <v>2.2866965995892721</v>
      </c>
      <c r="S158" s="452">
        <f ca="1">KTVTD20namMH!E159-V157</f>
        <v>10553.984305796639</v>
      </c>
      <c r="T158" s="419">
        <f ca="1">(T157-O158-P158)*(1+LS!$E$15)</f>
        <v>-8732.1357801769627</v>
      </c>
      <c r="U158" s="958"/>
      <c r="V158" s="419">
        <f ca="1">(V157-O158-R158)*(1+LS!$F$15)</f>
        <v>-10656.133106074374</v>
      </c>
    </row>
    <row r="159" spans="5:22" ht="9.75" customHeight="1">
      <c r="E159" s="329"/>
      <c r="F159" s="329"/>
      <c r="L159" s="957">
        <f>L147+1</f>
        <v>14</v>
      </c>
      <c r="M159" s="262">
        <v>157</v>
      </c>
      <c r="N159" s="263">
        <f ca="1">$J$16-T158-KTVTDGTTKcamket!F20</f>
        <v>8732.1357801769627</v>
      </c>
      <c r="O159" s="256">
        <f ca="1">KTVTD20namMH!F160</f>
        <v>60</v>
      </c>
      <c r="P159" s="451">
        <f ca="1">IF('Tinh phi QL'!$H$9="Nam",VLOOKUP(KTVCOI!$I$16,KTVCOI!$D$3:$F$103,2,0)*N159/1000/12,IF('Tinh phi QL'!$H$9="Nữ",VLOOKUP(KTVCOI!$I$16,KTVCOI!$D$3:$F$103,3,0)*N159/1000/12,0))</f>
        <v>2.052051908341586</v>
      </c>
      <c r="Q159" s="957"/>
      <c r="R159" s="452">
        <f ca="1">IF('Tinh phi QL'!$H$9="Nam",VLOOKUP(KTVCOI!$I$16,KTVCOI!$D$3:$F$103,2,0)*S159/1000/12,IF('Tinh phi QL'!$H$9="Nữ",VLOOKUP(KTVCOI!$I$16,KTVCOI!$D$3:$F$103,3,0)*S159/1000/12,0))</f>
        <v>2.5041912799274777</v>
      </c>
      <c r="S159" s="451">
        <f ca="1">KTVTD20namMH!E160-V158-KTVTDGTTKMH!F20</f>
        <v>10656.133106074374</v>
      </c>
      <c r="T159" s="420">
        <f ca="1">(T158+KTVTDGTTKcamket!F20-O159-P159)*(1+LS!$E$16)</f>
        <v>-8801.4829460767396</v>
      </c>
      <c r="U159" s="958">
        <f>Q159</f>
        <v>0</v>
      </c>
      <c r="V159" s="418">
        <f ca="1">(V158+KTVTDGTTKMH!F20-O159-R159)*(1+LS!$F$16)</f>
        <v>-10758.883767243695</v>
      </c>
    </row>
    <row r="160" spans="5:22" ht="9.75" customHeight="1">
      <c r="E160" s="329"/>
      <c r="F160" s="329"/>
      <c r="L160" s="957"/>
      <c r="M160" s="262">
        <v>158</v>
      </c>
      <c r="N160" s="263">
        <f ca="1">$J$16-T159</f>
        <v>8801.4829460767396</v>
      </c>
      <c r="O160" s="256">
        <f ca="1">KTVTD20namMH!F161</f>
        <v>60</v>
      </c>
      <c r="P160" s="451">
        <f ca="1">IF('Tinh phi QL'!$H$9="Nam",VLOOKUP(KTVCOI!$I$16,KTVCOI!$D$3:$F$103,2,0)*N160/1000/12,IF('Tinh phi QL'!$H$9="Nữ",VLOOKUP(KTVCOI!$I$16,KTVCOI!$D$3:$F$103,3,0)*N160/1000/12,0))</f>
        <v>2.0683484923280333</v>
      </c>
      <c r="Q160" s="957"/>
      <c r="R160" s="452">
        <f ca="1">IF('Tinh phi QL'!$H$9="Nam",VLOOKUP(KTVCOI!$I$16,KTVCOI!$D$3:$F$103,2,0)*S160/1000/12,IF('Tinh phi QL'!$H$9="Nữ",VLOOKUP(KTVCOI!$I$16,KTVCOI!$D$3:$F$103,3,0)*S160/1000/12,0))</f>
        <v>2.5283376853022683</v>
      </c>
      <c r="S160" s="451">
        <f ca="1">KTVTD20namMH!E161-V159</f>
        <v>10758.883767243695</v>
      </c>
      <c r="T160" s="420">
        <f ca="1">(T159-O160-P160)*(1+LS!$E$16)</f>
        <v>-8870.9039481963755</v>
      </c>
      <c r="U160" s="958"/>
      <c r="V160" s="418">
        <f ca="1">(V159-O160-R160)*(1+LS!$F$16)</f>
        <v>-10862.044474917786</v>
      </c>
    </row>
    <row r="161" spans="5:22" ht="9.75" customHeight="1">
      <c r="E161" s="329"/>
      <c r="F161" s="329"/>
      <c r="L161" s="957"/>
      <c r="M161" s="262">
        <v>159</v>
      </c>
      <c r="N161" s="263">
        <f t="shared" ref="N161:N170" ca="1" si="17">$J$16-T160</f>
        <v>8870.9039481963755</v>
      </c>
      <c r="O161" s="256">
        <f ca="1">KTVTD20namMH!F162</f>
        <v>60</v>
      </c>
      <c r="P161" s="451">
        <f ca="1">IF('Tinh phi QL'!$H$9="Nam",VLOOKUP(KTVCOI!$I$16,KTVCOI!$D$3:$F$103,2,0)*N161/1000/12,IF('Tinh phi QL'!$H$9="Nữ",VLOOKUP(KTVCOI!$I$16,KTVCOI!$D$3:$F$103,3,0)*N161/1000/12,0))</f>
        <v>2.0846624278261481</v>
      </c>
      <c r="Q161" s="957"/>
      <c r="R161" s="452">
        <f ca="1">IF('Tinh phi QL'!$H$9="Nam",VLOOKUP(KTVCOI!$I$16,KTVCOI!$D$3:$F$103,2,0)*S161/1000/12,IF('Tinh phi QL'!$H$9="Nữ",VLOOKUP(KTVCOI!$I$16,KTVCOI!$D$3:$F$103,3,0)*S161/1000/12,0))</f>
        <v>2.5525804516056794</v>
      </c>
      <c r="S161" s="451">
        <f ca="1">KTVTD20namMH!E162-V160</f>
        <v>10862.044474917786</v>
      </c>
      <c r="T161" s="420">
        <f ca="1">(T160-O161-P161)*(1+LS!$E$16)</f>
        <v>-8940.3988651517338</v>
      </c>
      <c r="U161" s="958"/>
      <c r="V161" s="418">
        <f ca="1">(V160-O161-R161)*(1+LS!$F$16)</f>
        <v>-10965.616865467005</v>
      </c>
    </row>
    <row r="162" spans="5:22" ht="9.75" customHeight="1">
      <c r="E162" s="329"/>
      <c r="F162" s="329"/>
      <c r="L162" s="957"/>
      <c r="M162" s="262">
        <v>160</v>
      </c>
      <c r="N162" s="263">
        <f t="shared" ca="1" si="17"/>
        <v>8940.3988651517338</v>
      </c>
      <c r="O162" s="256">
        <f ca="1">KTVTD20namMH!F163</f>
        <v>60</v>
      </c>
      <c r="P162" s="451">
        <f ca="1">IF('Tinh phi QL'!$H$9="Nam",VLOOKUP(KTVCOI!$I$16,KTVCOI!$D$3:$F$103,2,0)*N162/1000/12,IF('Tinh phi QL'!$H$9="Nữ",VLOOKUP(KTVCOI!$I$16,KTVCOI!$D$3:$F$103,3,0)*N162/1000/12,0))</f>
        <v>2.100993733310657</v>
      </c>
      <c r="Q162" s="957"/>
      <c r="R162" s="452">
        <f ca="1">IF('Tinh phi QL'!$H$9="Nam",VLOOKUP(KTVCOI!$I$16,KTVCOI!$D$3:$F$103,2,0)*S162/1000/12,IF('Tinh phi QL'!$H$9="Nữ",VLOOKUP(KTVCOI!$I$16,KTVCOI!$D$3:$F$103,3,0)*S162/1000/12,0))</f>
        <v>2.5769199633847464</v>
      </c>
      <c r="S162" s="451">
        <f ca="1">KTVTD20namMH!E163-V161</f>
        <v>10965.616865467005</v>
      </c>
      <c r="T162" s="420">
        <f ca="1">(T161-O162-P162)*(1+LS!$E$16)</f>
        <v>-9009.9677756423862</v>
      </c>
      <c r="U162" s="958"/>
      <c r="V162" s="418">
        <f ca="1">(V161-O162-R162)*(1+LS!$F$16)</f>
        <v>-11069.602581791965</v>
      </c>
    </row>
    <row r="163" spans="5:22" ht="9.75" customHeight="1">
      <c r="E163" s="329"/>
      <c r="F163" s="329"/>
      <c r="L163" s="957"/>
      <c r="M163" s="262">
        <v>161</v>
      </c>
      <c r="N163" s="263">
        <f t="shared" ca="1" si="17"/>
        <v>9009.9677756423862</v>
      </c>
      <c r="O163" s="256">
        <f ca="1">KTVTD20namMH!F164</f>
        <v>60</v>
      </c>
      <c r="P163" s="451">
        <f ca="1">IF('Tinh phi QL'!$H$9="Nam",VLOOKUP(KTVCOI!$I$16,KTVCOI!$D$3:$F$103,2,0)*N163/1000/12,IF('Tinh phi QL'!$H$9="Nữ",VLOOKUP(KTVCOI!$I$16,KTVCOI!$D$3:$F$103,3,0)*N163/1000/12,0))</f>
        <v>2.1173424272759607</v>
      </c>
      <c r="Q163" s="957"/>
      <c r="R163" s="452">
        <f ca="1">IF('Tinh phi QL'!$H$9="Nam",VLOOKUP(KTVCOI!$I$16,KTVCOI!$D$3:$F$103,2,0)*S163/1000/12,IF('Tinh phi QL'!$H$9="Nữ",VLOOKUP(KTVCOI!$I$16,KTVCOI!$D$3:$F$103,3,0)*S163/1000/12,0))</f>
        <v>2.6013566067211116</v>
      </c>
      <c r="S163" s="451">
        <f ca="1">KTVTD20namMH!E164-V162</f>
        <v>11069.602581791965</v>
      </c>
      <c r="T163" s="420">
        <f ca="1">(T162-O163-P163)*(1+LS!$E$16)</f>
        <v>-9079.610758451694</v>
      </c>
      <c r="U163" s="958"/>
      <c r="V163" s="418">
        <f ca="1">(V162-O163-R163)*(1+LS!$F$16)</f>
        <v>-11174.00327334959</v>
      </c>
    </row>
    <row r="164" spans="5:22" ht="9.75" customHeight="1">
      <c r="E164" s="329"/>
      <c r="F164" s="329"/>
      <c r="L164" s="957"/>
      <c r="M164" s="262">
        <v>162</v>
      </c>
      <c r="N164" s="263">
        <f t="shared" ca="1" si="17"/>
        <v>9079.610758451694</v>
      </c>
      <c r="O164" s="256">
        <f ca="1">KTVTD20namMH!F165</f>
        <v>60</v>
      </c>
      <c r="P164" s="451">
        <f ca="1">IF('Tinh phi QL'!$H$9="Nam",VLOOKUP(KTVCOI!$I$16,KTVCOI!$D$3:$F$103,2,0)*N164/1000/12,IF('Tinh phi QL'!$H$9="Nữ",VLOOKUP(KTVCOI!$I$16,KTVCOI!$D$3:$F$103,3,0)*N164/1000/12,0))</f>
        <v>2.1337085282361481</v>
      </c>
      <c r="Q164" s="957"/>
      <c r="R164" s="452">
        <f ca="1">IF('Tinh phi QL'!$H$9="Nam",VLOOKUP(KTVCOI!$I$16,KTVCOI!$D$3:$F$103,2,0)*S164/1000/12,IF('Tinh phi QL'!$H$9="Nữ",VLOOKUP(KTVCOI!$I$16,KTVCOI!$D$3:$F$103,3,0)*S164/1000/12,0))</f>
        <v>2.6258907692371536</v>
      </c>
      <c r="S164" s="451">
        <f ca="1">KTVTD20namMH!E165-V163</f>
        <v>11174.00327334959</v>
      </c>
      <c r="T164" s="420">
        <f ca="1">(T163-O164-P164)*(1+LS!$E$16)</f>
        <v>-9149.3278924469032</v>
      </c>
      <c r="U164" s="958"/>
      <c r="V164" s="418">
        <f ca="1">(V163-O164-R164)*(1+LS!$F$16)</f>
        <v>-11278.820596179283</v>
      </c>
    </row>
    <row r="165" spans="5:22" ht="9.75" customHeight="1">
      <c r="E165" s="329"/>
      <c r="F165" s="329"/>
      <c r="L165" s="957"/>
      <c r="M165" s="262">
        <v>163</v>
      </c>
      <c r="N165" s="263">
        <f t="shared" ca="1" si="17"/>
        <v>9149.3278924469032</v>
      </c>
      <c r="O165" s="256">
        <f ca="1">KTVTD20namMH!F166</f>
        <v>60</v>
      </c>
      <c r="P165" s="451">
        <f ca="1">IF('Tinh phi QL'!$H$9="Nam",VLOOKUP(KTVCOI!$I$16,KTVCOI!$D$3:$F$103,2,0)*N165/1000/12,IF('Tinh phi QL'!$H$9="Nữ",VLOOKUP(KTVCOI!$I$16,KTVCOI!$D$3:$F$103,3,0)*N165/1000/12,0))</f>
        <v>2.1500920547250222</v>
      </c>
      <c r="Q165" s="957"/>
      <c r="R165" s="452">
        <f ca="1">IF('Tinh phi QL'!$H$9="Nam",VLOOKUP(KTVCOI!$I$16,KTVCOI!$D$3:$F$103,2,0)*S165/1000/12,IF('Tinh phi QL'!$H$9="Nữ",VLOOKUP(KTVCOI!$I$16,KTVCOI!$D$3:$F$103,3,0)*S165/1000/12,0))</f>
        <v>2.6505228401021315</v>
      </c>
      <c r="S165" s="451">
        <f ca="1">KTVTD20namMH!E166-V164</f>
        <v>11278.820596179283</v>
      </c>
      <c r="T165" s="420">
        <f ca="1">(T164-O165-P165)*(1+LS!$E$16)</f>
        <v>-9219.1192565792317</v>
      </c>
      <c r="U165" s="958"/>
      <c r="V165" s="418">
        <f ca="1">(V164-O165-R165)*(1+LS!$F$16)</f>
        <v>-11384.056212929196</v>
      </c>
    </row>
    <row r="166" spans="5:22" ht="9.75" customHeight="1">
      <c r="E166" s="329"/>
      <c r="F166" s="329"/>
      <c r="L166" s="957"/>
      <c r="M166" s="262">
        <v>164</v>
      </c>
      <c r="N166" s="263">
        <f t="shared" ca="1" si="17"/>
        <v>9219.1192565792317</v>
      </c>
      <c r="O166" s="256">
        <f ca="1">KTVTD20namMH!F167</f>
        <v>60</v>
      </c>
      <c r="P166" s="451">
        <f ca="1">IF('Tinh phi QL'!$H$9="Nam",VLOOKUP(KTVCOI!$I$16,KTVCOI!$D$3:$F$103,2,0)*N166/1000/12,IF('Tinh phi QL'!$H$9="Nữ",VLOOKUP(KTVCOI!$I$16,KTVCOI!$D$3:$F$103,3,0)*N166/1000/12,0))</f>
        <v>2.1664930252961194</v>
      </c>
      <c r="Q166" s="957"/>
      <c r="R166" s="452">
        <f ca="1">IF('Tinh phi QL'!$H$9="Nam",VLOOKUP(KTVCOI!$I$16,KTVCOI!$D$3:$F$103,2,0)*S166/1000/12,IF('Tinh phi QL'!$H$9="Nữ",VLOOKUP(KTVCOI!$I$16,KTVCOI!$D$3:$F$103,3,0)*S166/1000/12,0))</f>
        <v>2.675253210038361</v>
      </c>
      <c r="S166" s="451">
        <f ca="1">KTVTD20namMH!E167-V165</f>
        <v>11384.056212929196</v>
      </c>
      <c r="T166" s="420">
        <f ca="1">(T165-O166-P166)*(1+LS!$E$16)</f>
        <v>-9288.9849298839617</v>
      </c>
      <c r="U166" s="958"/>
      <c r="V166" s="418">
        <f ca="1">(V165-O166-R166)*(1+LS!$F$16)</f>
        <v>-11489.711792882603</v>
      </c>
    </row>
    <row r="167" spans="5:22" ht="9.75" customHeight="1">
      <c r="E167" s="329"/>
      <c r="F167" s="329"/>
      <c r="L167" s="957"/>
      <c r="M167" s="262">
        <v>165</v>
      </c>
      <c r="N167" s="263">
        <f t="shared" ca="1" si="17"/>
        <v>9288.9849298839617</v>
      </c>
      <c r="O167" s="256">
        <f ca="1">KTVTD20namMH!F168</f>
        <v>60</v>
      </c>
      <c r="P167" s="451">
        <f ca="1">IF('Tinh phi QL'!$H$9="Nam",VLOOKUP(KTVCOI!$I$16,KTVCOI!$D$3:$F$103,2,0)*N167/1000/12,IF('Tinh phi QL'!$H$9="Nữ",VLOOKUP(KTVCOI!$I$16,KTVCOI!$D$3:$F$103,3,0)*N167/1000/12,0))</f>
        <v>2.1829114585227307</v>
      </c>
      <c r="Q167" s="957"/>
      <c r="R167" s="452">
        <f ca="1">IF('Tinh phi QL'!$H$9="Nam",VLOOKUP(KTVCOI!$I$16,KTVCOI!$D$3:$F$103,2,0)*S167/1000/12,IF('Tinh phi QL'!$H$9="Nữ",VLOOKUP(KTVCOI!$I$16,KTVCOI!$D$3:$F$103,3,0)*S167/1000/12,0))</f>
        <v>2.7000822713274117</v>
      </c>
      <c r="S167" s="451">
        <f ca="1">KTVTD20namMH!E168-V166</f>
        <v>11489.711792882603</v>
      </c>
      <c r="T167" s="420">
        <f ca="1">(T166-O167-P167)*(1+LS!$E$16)</f>
        <v>-9358.9249914805278</v>
      </c>
      <c r="U167" s="958"/>
      <c r="V167" s="418">
        <f ca="1">(V166-O167-R167)*(1+LS!$F$16)</f>
        <v>-11595.789011984376</v>
      </c>
    </row>
    <row r="168" spans="5:22" ht="9.75" customHeight="1">
      <c r="E168" s="329"/>
      <c r="F168" s="329"/>
      <c r="L168" s="957"/>
      <c r="M168" s="262">
        <v>166</v>
      </c>
      <c r="N168" s="263">
        <f t="shared" ca="1" si="17"/>
        <v>9358.9249914805278</v>
      </c>
      <c r="O168" s="256">
        <f ca="1">KTVTD20namMH!F169</f>
        <v>60</v>
      </c>
      <c r="P168" s="451">
        <f ca="1">IF('Tinh phi QL'!$H$9="Nam",VLOOKUP(KTVCOI!$I$16,KTVCOI!$D$3:$F$103,2,0)*N168/1000/12,IF('Tinh phi QL'!$H$9="Nữ",VLOOKUP(KTVCOI!$I$16,KTVCOI!$D$3:$F$103,3,0)*N168/1000/12,0))</f>
        <v>2.199347372997924</v>
      </c>
      <c r="Q168" s="957"/>
      <c r="R168" s="452">
        <f ca="1">IF('Tinh phi QL'!$H$9="Nam",VLOOKUP(KTVCOI!$I$16,KTVCOI!$D$3:$F$103,2,0)*S168/1000/12,IF('Tinh phi QL'!$H$9="Nữ",VLOOKUP(KTVCOI!$I$16,KTVCOI!$D$3:$F$103,3,0)*S168/1000/12,0))</f>
        <v>2.7250104178163284</v>
      </c>
      <c r="S168" s="451">
        <f ca="1">KTVTD20namMH!E169-V167</f>
        <v>11595.789011984376</v>
      </c>
      <c r="T168" s="420">
        <f ca="1">(T167-O168-P168)*(1+LS!$E$16)</f>
        <v>-9428.9395205725996</v>
      </c>
      <c r="U168" s="958"/>
      <c r="V168" s="418">
        <f ca="1">(V167-O168-R168)*(1+LS!$F$16)</f>
        <v>-11702.289552867571</v>
      </c>
    </row>
    <row r="169" spans="5:22" ht="9.75" customHeight="1">
      <c r="E169" s="329"/>
      <c r="F169" s="329"/>
      <c r="L169" s="957"/>
      <c r="M169" s="262">
        <v>167</v>
      </c>
      <c r="N169" s="263">
        <f t="shared" ca="1" si="17"/>
        <v>9428.9395205725996</v>
      </c>
      <c r="O169" s="256">
        <f ca="1">KTVTD20namMH!F170</f>
        <v>60</v>
      </c>
      <c r="P169" s="451">
        <f ca="1">IF('Tinh phi QL'!$H$9="Nam",VLOOKUP(KTVCOI!$I$16,KTVCOI!$D$3:$F$103,2,0)*N169/1000/12,IF('Tinh phi QL'!$H$9="Nữ",VLOOKUP(KTVCOI!$I$16,KTVCOI!$D$3:$F$103,3,0)*N169/1000/12,0))</f>
        <v>2.2158007873345609</v>
      </c>
      <c r="Q169" s="957"/>
      <c r="R169" s="452">
        <f ca="1">IF('Tinh phi QL'!$H$9="Nam",VLOOKUP(KTVCOI!$I$16,KTVCOI!$D$3:$F$103,2,0)*S169/1000/12,IF('Tinh phi QL'!$H$9="Nữ",VLOOKUP(KTVCOI!$I$16,KTVCOI!$D$3:$F$103,3,0)*S169/1000/12,0))</f>
        <v>2.7500380449238793</v>
      </c>
      <c r="S169" s="451">
        <f ca="1">KTVTD20namMH!E170-V168</f>
        <v>11702.289552867571</v>
      </c>
      <c r="T169" s="420">
        <f ca="1">(T168-O169-P169)*(1+LS!$E$16)</f>
        <v>-9499.0285964481827</v>
      </c>
      <c r="U169" s="958"/>
      <c r="V169" s="418">
        <f ca="1">(V168-O169-R169)*(1+LS!$F$16)</f>
        <v>-11809.215104880119</v>
      </c>
    </row>
    <row r="170" spans="5:22" ht="9.75" customHeight="1">
      <c r="E170" s="329"/>
      <c r="F170" s="329"/>
      <c r="L170" s="957"/>
      <c r="M170" s="262">
        <v>168</v>
      </c>
      <c r="N170" s="263">
        <f t="shared" ca="1" si="17"/>
        <v>9499.0285964481827</v>
      </c>
      <c r="O170" s="256">
        <f ca="1">KTVTD20namMH!F171</f>
        <v>60</v>
      </c>
      <c r="P170" s="451">
        <f ca="1">IF('Tinh phi QL'!$H$9="Nam",VLOOKUP(KTVCOI!$I$16,KTVCOI!$D$3:$F$103,2,0)*N170/1000/12,IF('Tinh phi QL'!$H$9="Nữ",VLOOKUP(KTVCOI!$I$16,KTVCOI!$D$3:$F$103,3,0)*N170/1000/12,0))</f>
        <v>2.2322717201653228</v>
      </c>
      <c r="Q170" s="957"/>
      <c r="R170" s="452">
        <f ca="1">IF('Tinh phi QL'!$H$9="Nam",VLOOKUP(KTVCOI!$I$16,KTVCOI!$D$3:$F$103,2,0)*S170/1000/12,IF('Tinh phi QL'!$H$9="Nữ",VLOOKUP(KTVCOI!$I$16,KTVCOI!$D$3:$F$103,3,0)*S170/1000/12,0))</f>
        <v>2.7751655496468275</v>
      </c>
      <c r="S170" s="451">
        <f ca="1">KTVTD20namMH!E171-V169</f>
        <v>11809.215104880119</v>
      </c>
      <c r="T170" s="421">
        <f ca="1">(T169-O170-P170)*(1+LS!$E$16)</f>
        <v>-9569.1922984797002</v>
      </c>
      <c r="U170" s="958"/>
      <c r="V170" s="419">
        <f ca="1">(V169-O170-R170)*(1+LS!$F$16)</f>
        <v>-11916.567364111625</v>
      </c>
    </row>
    <row r="171" spans="5:22" ht="9.75" customHeight="1">
      <c r="E171" s="329"/>
      <c r="F171" s="329"/>
      <c r="L171" s="959">
        <f>L159+1</f>
        <v>15</v>
      </c>
      <c r="M171" s="252">
        <v>169</v>
      </c>
      <c r="N171" s="256">
        <f ca="1">$J$17-T170-KTVTDGTTKcamket!F21</f>
        <v>9569.1922984797002</v>
      </c>
      <c r="O171" s="256">
        <f ca="1">KTVTD20namMH!F172</f>
        <v>60</v>
      </c>
      <c r="P171" s="452">
        <f ca="1">IF('Tinh phi QL'!$H$9="Nam",VLOOKUP(KTVCOI!$I$17,KTVCOI!$D$3:$F$103,2,0)*N171/1000/12,IF('Tinh phi QL'!$H$9="Nữ",VLOOKUP(KTVCOI!$I$17,KTVCOI!$D$3:$F$103,3,0)*N171/1000/12,0))</f>
        <v>2.4401440361123234</v>
      </c>
      <c r="Q171" s="957"/>
      <c r="R171" s="452">
        <f ca="1">IF('Tinh phi QL'!$H$9="Nam",VLOOKUP(KTVCOI!$I$17,KTVCOI!$D$3:$F$103,2,0)*S171/1000/12,IF('Tinh phi QL'!$H$9="Nữ",VLOOKUP(KTVCOI!$I$17,KTVCOI!$D$3:$F$103,3,0)*S171/1000/12,0))</f>
        <v>3.0387246778484642</v>
      </c>
      <c r="S171" s="452">
        <f ca="1">KTVTD20namMH!E172-V170-KTVTDGTTKMH!F21</f>
        <v>11916.567364111625</v>
      </c>
      <c r="T171" s="418">
        <f ca="1">(T170+KTVTDGTTKcamket!F21-O171-P171)*(1+LS!$E$17)</f>
        <v>-9639.622248730253</v>
      </c>
      <c r="U171" s="958">
        <f>Q171</f>
        <v>0</v>
      </c>
      <c r="V171" s="418">
        <f ca="1">(V170+KTVTDGTTKMH!F21-O171-R171)*(1+LS!$F$17)</f>
        <v>-12024.587259656992</v>
      </c>
    </row>
    <row r="172" spans="5:22" ht="9.75" customHeight="1">
      <c r="E172" s="329"/>
      <c r="F172" s="329"/>
      <c r="L172" s="959"/>
      <c r="M172" s="252">
        <v>170</v>
      </c>
      <c r="N172" s="256">
        <f ca="1">$J$17-T171</f>
        <v>9639.622248730253</v>
      </c>
      <c r="O172" s="256">
        <f ca="1">KTVTD20namMH!F173</f>
        <v>60</v>
      </c>
      <c r="P172" s="452">
        <f ca="1">IF('Tinh phi QL'!$H$9="Nam",VLOOKUP(KTVCOI!$I$17,KTVCOI!$D$3:$F$103,2,0)*N172/1000/12,IF('Tinh phi QL'!$H$9="Nữ",VLOOKUP(KTVCOI!$I$17,KTVCOI!$D$3:$F$103,3,0)*N172/1000/12,0))</f>
        <v>2.4581036734262147</v>
      </c>
      <c r="Q172" s="957"/>
      <c r="R172" s="452">
        <f ca="1">IF('Tinh phi QL'!$H$9="Nam",VLOOKUP(KTVCOI!$I$17,KTVCOI!$D$3:$F$103,2,0)*S172/1000/12,IF('Tinh phi QL'!$H$9="Nữ",VLOOKUP(KTVCOI!$I$17,KTVCOI!$D$3:$F$103,3,0)*S172/1000/12,0))</f>
        <v>3.0662697512125328</v>
      </c>
      <c r="S172" s="452">
        <f ca="1">KTVTD20namMH!E173-V171</f>
        <v>12024.587259656992</v>
      </c>
      <c r="T172" s="418">
        <f ca="1">(T171-O172-P172)*(1+LS!$E$17)</f>
        <v>-9710.1285978444484</v>
      </c>
      <c r="U172" s="958"/>
      <c r="V172" s="418">
        <f ca="1">(V171-O172-R172)*(1+LS!$F$17)</f>
        <v>-12133.040398121901</v>
      </c>
    </row>
    <row r="173" spans="5:22" ht="9.75" customHeight="1">
      <c r="E173" s="329"/>
      <c r="F173" s="329"/>
      <c r="L173" s="959"/>
      <c r="M173" s="252">
        <v>171</v>
      </c>
      <c r="N173" s="256">
        <f t="shared" ref="N173:N182" ca="1" si="18">$J$17-T172</f>
        <v>9710.1285978444484</v>
      </c>
      <c r="O173" s="256">
        <f ca="1">KTVTD20namMH!F174</f>
        <v>60</v>
      </c>
      <c r="P173" s="452">
        <f ca="1">IF('Tinh phi QL'!$H$9="Nam",VLOOKUP(KTVCOI!$I$17,KTVCOI!$D$3:$F$103,2,0)*N173/1000/12,IF('Tinh phi QL'!$H$9="Nữ",VLOOKUP(KTVCOI!$I$17,KTVCOI!$D$3:$F$103,3,0)*N173/1000/12,0))</f>
        <v>2.4760827924503341</v>
      </c>
      <c r="Q173" s="957"/>
      <c r="R173" s="452">
        <f ca="1">IF('Tinh phi QL'!$H$9="Nam",VLOOKUP(KTVCOI!$I$17,KTVCOI!$D$3:$F$103,2,0)*S173/1000/12,IF('Tinh phi QL'!$H$9="Nữ",VLOOKUP(KTVCOI!$I$17,KTVCOI!$D$3:$F$103,3,0)*S173/1000/12,0))</f>
        <v>3.0939253015210846</v>
      </c>
      <c r="S173" s="452">
        <f ca="1">KTVTD20namMH!E174-V172</f>
        <v>12133.040398121901</v>
      </c>
      <c r="T173" s="418">
        <f ca="1">(T172-O173-P173)*(1+LS!$E$17)</f>
        <v>-9780.7114286959259</v>
      </c>
      <c r="U173" s="958"/>
      <c r="V173" s="418">
        <f ca="1">(V172-O173-R173)*(1+LS!$F$17)</f>
        <v>-12241.928517143906</v>
      </c>
    </row>
    <row r="174" spans="5:22" ht="9.75" customHeight="1">
      <c r="E174" s="329"/>
      <c r="F174" s="329"/>
      <c r="L174" s="959"/>
      <c r="M174" s="252">
        <v>172</v>
      </c>
      <c r="N174" s="256">
        <f t="shared" ca="1" si="18"/>
        <v>9780.7114286959259</v>
      </c>
      <c r="O174" s="256">
        <f ca="1">KTVTD20namMH!F175</f>
        <v>60</v>
      </c>
      <c r="P174" s="452">
        <f ca="1">IF('Tinh phi QL'!$H$9="Nam",VLOOKUP(KTVCOI!$I$17,KTVCOI!$D$3:$F$103,2,0)*N174/1000/12,IF('Tinh phi QL'!$H$9="Nữ",VLOOKUP(KTVCOI!$I$17,KTVCOI!$D$3:$F$103,3,0)*N174/1000/12,0))</f>
        <v>2.4940814143174612</v>
      </c>
      <c r="Q174" s="957"/>
      <c r="R174" s="452">
        <f ca="1">IF('Tinh phi QL'!$H$9="Nam",VLOOKUP(KTVCOI!$I$17,KTVCOI!$D$3:$F$103,2,0)*S174/1000/12,IF('Tinh phi QL'!$H$9="Nữ",VLOOKUP(KTVCOI!$I$17,KTVCOI!$D$3:$F$103,3,0)*S174/1000/12,0))</f>
        <v>3.1216917718716957</v>
      </c>
      <c r="S174" s="452">
        <f ca="1">KTVTD20namMH!E175-V173</f>
        <v>12241.928517143906</v>
      </c>
      <c r="T174" s="418">
        <f ca="1">(T173-O174-P174)*(1+LS!$E$17)</f>
        <v>-9851.3708242482226</v>
      </c>
      <c r="U174" s="958"/>
      <c r="V174" s="418">
        <f ca="1">(V173-O174-R174)*(1+LS!$F$17)</f>
        <v>-12351.253361329829</v>
      </c>
    </row>
    <row r="175" spans="5:22" ht="9.75" customHeight="1">
      <c r="E175" s="329"/>
      <c r="F175" s="329"/>
      <c r="L175" s="959"/>
      <c r="M175" s="252">
        <v>173</v>
      </c>
      <c r="N175" s="256">
        <f t="shared" ca="1" si="18"/>
        <v>9851.3708242482226</v>
      </c>
      <c r="O175" s="256">
        <f ca="1">KTVTD20namMH!F176</f>
        <v>60</v>
      </c>
      <c r="P175" s="452">
        <f ca="1">IF('Tinh phi QL'!$H$9="Nam",VLOOKUP(KTVCOI!$I$17,KTVCOI!$D$3:$F$103,2,0)*N175/1000/12,IF('Tinh phi QL'!$H$9="Nữ",VLOOKUP(KTVCOI!$I$17,KTVCOI!$D$3:$F$103,3,0)*N175/1000/12,0))</f>
        <v>2.5120995601832967</v>
      </c>
      <c r="Q175" s="957"/>
      <c r="R175" s="452">
        <f ca="1">IF('Tinh phi QL'!$H$9="Nam",VLOOKUP(KTVCOI!$I$17,KTVCOI!$D$3:$F$103,2,0)*S175/1000/12,IF('Tinh phi QL'!$H$9="Nữ",VLOOKUP(KTVCOI!$I$17,KTVCOI!$D$3:$F$103,3,0)*S175/1000/12,0))</f>
        <v>3.1495696071391066</v>
      </c>
      <c r="S175" s="452">
        <f ca="1">KTVTD20namMH!E176-V174</f>
        <v>12351.253361329829</v>
      </c>
      <c r="T175" s="418">
        <f ca="1">(T174-O175-P175)*(1+LS!$E$17)</f>
        <v>-9922.1068675548704</v>
      </c>
      <c r="U175" s="958"/>
      <c r="V175" s="418">
        <f ca="1">(V174-O175-R175)*(1+LS!$F$17)</f>
        <v>-12461.016682283707</v>
      </c>
    </row>
    <row r="176" spans="5:22" ht="9.75" customHeight="1">
      <c r="E176" s="329"/>
      <c r="F176" s="329"/>
      <c r="L176" s="959"/>
      <c r="M176" s="252">
        <v>174</v>
      </c>
      <c r="N176" s="256">
        <f t="shared" ca="1" si="18"/>
        <v>9922.1068675548704</v>
      </c>
      <c r="O176" s="256">
        <f ca="1">KTVTD20namMH!F177</f>
        <v>60</v>
      </c>
      <c r="P176" s="452">
        <f ca="1">IF('Tinh phi QL'!$H$9="Nam",VLOOKUP(KTVCOI!$I$17,KTVCOI!$D$3:$F$103,2,0)*N176/1000/12,IF('Tinh phi QL'!$H$9="Nữ",VLOOKUP(KTVCOI!$I$17,KTVCOI!$D$3:$F$103,3,0)*N176/1000/12,0))</f>
        <v>2.5301372512264919</v>
      </c>
      <c r="Q176" s="957"/>
      <c r="R176" s="452">
        <f ca="1">IF('Tinh phi QL'!$H$9="Nam",VLOOKUP(KTVCOI!$I$17,KTVCOI!$D$3:$F$103,2,0)*S176/1000/12,IF('Tinh phi QL'!$H$9="Nữ",VLOOKUP(KTVCOI!$I$17,KTVCOI!$D$3:$F$103,3,0)*S176/1000/12,0))</f>
        <v>3.1775592539823454</v>
      </c>
      <c r="S176" s="452">
        <f ca="1">KTVTD20namMH!E177-V175</f>
        <v>12461.016682283707</v>
      </c>
      <c r="T176" s="418">
        <f ca="1">(T175-O176-P176)*(1+LS!$E$17)</f>
        <v>-9992.919641759494</v>
      </c>
      <c r="U176" s="958"/>
      <c r="V176" s="418">
        <f ca="1">(V175-O176-R176)*(1+LS!$F$17)</f>
        <v>-12571.220238634854</v>
      </c>
    </row>
    <row r="177" spans="5:22" ht="9.75" customHeight="1">
      <c r="E177" s="329"/>
      <c r="F177" s="329"/>
      <c r="L177" s="959"/>
      <c r="M177" s="252">
        <v>175</v>
      </c>
      <c r="N177" s="256">
        <f t="shared" ca="1" si="18"/>
        <v>9992.919641759494</v>
      </c>
      <c r="O177" s="256">
        <f ca="1">KTVTD20namMH!F178</f>
        <v>60</v>
      </c>
      <c r="P177" s="452">
        <f ca="1">IF('Tinh phi QL'!$H$9="Nam",VLOOKUP(KTVCOI!$I$17,KTVCOI!$D$3:$F$103,2,0)*N177/1000/12,IF('Tinh phi QL'!$H$9="Nữ",VLOOKUP(KTVCOI!$I$17,KTVCOI!$D$3:$F$103,3,0)*N177/1000/12,0))</f>
        <v>2.5481945086486708</v>
      </c>
      <c r="Q177" s="957"/>
      <c r="R177" s="452">
        <f ca="1">IF('Tinh phi QL'!$H$9="Nam",VLOOKUP(KTVCOI!$I$17,KTVCOI!$D$3:$F$103,2,0)*S177/1000/12,IF('Tinh phi QL'!$H$9="Nữ",VLOOKUP(KTVCOI!$I$17,KTVCOI!$D$3:$F$103,3,0)*S177/1000/12,0))</f>
        <v>3.2056611608518879</v>
      </c>
      <c r="S177" s="452">
        <f ca="1">KTVTD20namMH!E178-V176</f>
        <v>12571.220238634854</v>
      </c>
      <c r="T177" s="418">
        <f ca="1">(T176-O177-P177)*(1+LS!$E$17)</f>
        <v>-10063.809230095909</v>
      </c>
      <c r="U177" s="958"/>
      <c r="V177" s="418">
        <f ca="1">(V176-O177-R177)*(1+LS!$F$17)</f>
        <v>-12681.865796066048</v>
      </c>
    </row>
    <row r="178" spans="5:22" ht="9.75" customHeight="1">
      <c r="E178" s="329"/>
      <c r="F178" s="329"/>
      <c r="L178" s="959"/>
      <c r="M178" s="252">
        <v>176</v>
      </c>
      <c r="N178" s="256">
        <f t="shared" ca="1" si="18"/>
        <v>10063.809230095909</v>
      </c>
      <c r="O178" s="256">
        <f ca="1">KTVTD20namMH!F179</f>
        <v>60</v>
      </c>
      <c r="P178" s="452">
        <f ca="1">IF('Tinh phi QL'!$H$9="Nam",VLOOKUP(KTVCOI!$I$17,KTVCOI!$D$3:$F$103,2,0)*N178/1000/12,IF('Tinh phi QL'!$H$9="Nữ",VLOOKUP(KTVCOI!$I$17,KTVCOI!$D$3:$F$103,3,0)*N178/1000/12,0))</f>
        <v>2.5662713536744568</v>
      </c>
      <c r="Q178" s="957"/>
      <c r="R178" s="452">
        <f ca="1">IF('Tinh phi QL'!$H$9="Nam",VLOOKUP(KTVCOI!$I$17,KTVCOI!$D$3:$F$103,2,0)*S178/1000/12,IF('Tinh phi QL'!$H$9="Nữ",VLOOKUP(KTVCOI!$I$17,KTVCOI!$D$3:$F$103,3,0)*S178/1000/12,0))</f>
        <v>3.2338757779968428</v>
      </c>
      <c r="S178" s="452">
        <f ca="1">KTVTD20namMH!E179-V177</f>
        <v>12681.865796066048</v>
      </c>
      <c r="T178" s="418">
        <f ca="1">(T177-O178-P178)*(1+LS!$E$17)</f>
        <v>-10134.775715888218</v>
      </c>
      <c r="U178" s="958"/>
      <c r="V178" s="418">
        <f ca="1">(V177-O178-R178)*(1+LS!$F$17)</f>
        <v>-12792.955127341806</v>
      </c>
    </row>
    <row r="179" spans="5:22" ht="9.75" customHeight="1">
      <c r="E179" s="329"/>
      <c r="F179" s="329"/>
      <c r="L179" s="959"/>
      <c r="M179" s="252">
        <v>177</v>
      </c>
      <c r="N179" s="256">
        <f t="shared" ca="1" si="18"/>
        <v>10134.775715888218</v>
      </c>
      <c r="O179" s="256">
        <f ca="1">KTVTD20namMH!F180</f>
        <v>60</v>
      </c>
      <c r="P179" s="452">
        <f ca="1">IF('Tinh phi QL'!$H$9="Nam",VLOOKUP(KTVCOI!$I$17,KTVCOI!$D$3:$F$103,2,0)*N179/1000/12,IF('Tinh phi QL'!$H$9="Nữ",VLOOKUP(KTVCOI!$I$17,KTVCOI!$D$3:$F$103,3,0)*N179/1000/12,0))</f>
        <v>2.5843678075514958</v>
      </c>
      <c r="Q179" s="957"/>
      <c r="R179" s="452">
        <f ca="1">IF('Tinh phi QL'!$H$9="Nam",VLOOKUP(KTVCOI!$I$17,KTVCOI!$D$3:$F$103,2,0)*S179/1000/12,IF('Tinh phi QL'!$H$9="Nữ",VLOOKUP(KTVCOI!$I$17,KTVCOI!$D$3:$F$103,3,0)*S179/1000/12,0))</f>
        <v>3.2622035574721604</v>
      </c>
      <c r="S179" s="452">
        <f ca="1">KTVTD20namMH!E180-V178</f>
        <v>12792.955127341806</v>
      </c>
      <c r="T179" s="418">
        <f ca="1">(T178-O179-P179)*(1+LS!$E$17)</f>
        <v>-10205.819182550906</v>
      </c>
      <c r="U179" s="958"/>
      <c r="V179" s="418">
        <f ca="1">(V178-O179-R179)*(1+LS!$F$17)</f>
        <v>-12904.490012336801</v>
      </c>
    </row>
    <row r="180" spans="5:22" ht="9.75" customHeight="1">
      <c r="L180" s="959"/>
      <c r="M180" s="252">
        <v>178</v>
      </c>
      <c r="N180" s="256">
        <f t="shared" ca="1" si="18"/>
        <v>10205.819182550906</v>
      </c>
      <c r="O180" s="256">
        <f ca="1">KTVTD20namMH!F181</f>
        <v>60</v>
      </c>
      <c r="P180" s="452">
        <f ca="1">IF('Tinh phi QL'!$H$9="Nam",VLOOKUP(KTVCOI!$I$17,KTVCOI!$D$3:$F$103,2,0)*N180/1000/12,IF('Tinh phi QL'!$H$9="Nữ",VLOOKUP(KTVCOI!$I$17,KTVCOI!$D$3:$F$103,3,0)*N180/1000/12,0))</f>
        <v>2.6024838915504809</v>
      </c>
      <c r="Q180" s="957"/>
      <c r="R180" s="452">
        <f ca="1">IF('Tinh phi QL'!$H$9="Nam",VLOOKUP(KTVCOI!$I$17,KTVCOI!$D$3:$F$103,2,0)*S180/1000/12,IF('Tinh phi QL'!$H$9="Nữ",VLOOKUP(KTVCOI!$I$17,KTVCOI!$D$3:$F$103,3,0)*S180/1000/12,0))</f>
        <v>3.2906449531458843</v>
      </c>
      <c r="S180" s="452">
        <f ca="1">KTVTD20namMH!E181-V179</f>
        <v>12904.490012336801</v>
      </c>
      <c r="T180" s="418">
        <f ca="1">(T179-O180-P180)*(1+LS!$E$17)</f>
        <v>-10276.939713588949</v>
      </c>
      <c r="U180" s="958"/>
      <c r="V180" s="418">
        <f ca="1">(V179-O180-R180)*(1+LS!$F$17)</f>
        <v>-13016.472238064371</v>
      </c>
    </row>
    <row r="181" spans="5:22" ht="9.75" customHeight="1">
      <c r="L181" s="959"/>
      <c r="M181" s="252">
        <v>179</v>
      </c>
      <c r="N181" s="256">
        <f t="shared" ca="1" si="18"/>
        <v>10276.939713588949</v>
      </c>
      <c r="O181" s="256">
        <f ca="1">KTVTD20namMH!F182</f>
        <v>60</v>
      </c>
      <c r="P181" s="452">
        <f ca="1">IF('Tinh phi QL'!$H$9="Nam",VLOOKUP(KTVCOI!$I$17,KTVCOI!$D$3:$F$103,2,0)*N181/1000/12,IF('Tinh phi QL'!$H$9="Nữ",VLOOKUP(KTVCOI!$I$17,KTVCOI!$D$3:$F$103,3,0)*N181/1000/12,0))</f>
        <v>2.620619626965182</v>
      </c>
      <c r="Q181" s="957"/>
      <c r="R181" s="452">
        <f ca="1">IF('Tinh phi QL'!$H$9="Nam",VLOOKUP(KTVCOI!$I$17,KTVCOI!$D$3:$F$103,2,0)*S181/1000/12,IF('Tinh phi QL'!$H$9="Nữ",VLOOKUP(KTVCOI!$I$17,KTVCOI!$D$3:$F$103,3,0)*S181/1000/12,0))</f>
        <v>3.3192004207064145</v>
      </c>
      <c r="S181" s="452">
        <f ca="1">KTVTD20namMH!E182-V180</f>
        <v>13016.472238064371</v>
      </c>
      <c r="T181" s="418">
        <f ca="1">(T180-O181-P181)*(1+LS!$E$17)</f>
        <v>-10348.137392597897</v>
      </c>
      <c r="U181" s="958"/>
      <c r="V181" s="418">
        <f ca="1">(V180-O181-R181)*(1+LS!$F$17)</f>
        <v>-13128.903598705152</v>
      </c>
    </row>
    <row r="182" spans="5:22" ht="9.75" customHeight="1">
      <c r="L182" s="959"/>
      <c r="M182" s="252">
        <v>180</v>
      </c>
      <c r="N182" s="256">
        <f t="shared" ca="1" si="18"/>
        <v>10348.137392597897</v>
      </c>
      <c r="O182" s="256">
        <f ca="1">KTVTD20namMH!F183</f>
        <v>60</v>
      </c>
      <c r="P182" s="452">
        <f ca="1">IF('Tinh phi QL'!$H$9="Nam",VLOOKUP(KTVCOI!$I$17,KTVCOI!$D$3:$F$103,2,0)*N182/1000/12,IF('Tinh phi QL'!$H$9="Nữ",VLOOKUP(KTVCOI!$I$17,KTVCOI!$D$3:$F$103,3,0)*N182/1000/12,0))</f>
        <v>2.6387750351124639</v>
      </c>
      <c r="Q182" s="957"/>
      <c r="R182" s="452">
        <f ca="1">IF('Tinh phi QL'!$H$9="Nam",VLOOKUP(KTVCOI!$I$17,KTVCOI!$D$3:$F$103,2,0)*S182/1000/12,IF('Tinh phi QL'!$H$9="Nữ",VLOOKUP(KTVCOI!$I$17,KTVCOI!$D$3:$F$103,3,0)*S182/1000/12,0))</f>
        <v>3.3478704176698137</v>
      </c>
      <c r="S182" s="452">
        <f ca="1">KTVTD20namMH!E183-V181</f>
        <v>13128.903598705152</v>
      </c>
      <c r="T182" s="419">
        <f ca="1">(T181-O182-P182)*(1+LS!$E$17)</f>
        <v>-10419.412303263989</v>
      </c>
      <c r="U182" s="958"/>
      <c r="V182" s="419">
        <f ca="1">(V181-O182-R182)*(1+LS!$F$17)</f>
        <v>-13241.785895635829</v>
      </c>
    </row>
    <row r="183" spans="5:22" ht="9.75" customHeight="1">
      <c r="L183" s="957">
        <f>L171+1</f>
        <v>16</v>
      </c>
      <c r="M183" s="262">
        <v>181</v>
      </c>
      <c r="N183" s="263">
        <f ca="1">$J$18-T182-KTVTDGTTKcamket!F22</f>
        <v>10419.412303263989</v>
      </c>
      <c r="O183" s="256">
        <f ca="1">KTVTD20namMH!F184</f>
        <v>60</v>
      </c>
      <c r="P183" s="451">
        <f ca="1">IF('Tinh phi QL'!$H$9="Nam",VLOOKUP(KTVCOI!$I$18,KTVCOI!$D$3:$F$103,2,0)*N183/1000/12,IF('Tinh phi QL'!$H$9="Nữ",VLOOKUP(KTVCOI!$I$18,KTVCOI!$D$3:$F$103,3,0)*N183/1000/12,0))</f>
        <v>2.8740212269836505</v>
      </c>
      <c r="Q183" s="957"/>
      <c r="R183" s="452">
        <f ca="1">IF('Tinh phi QL'!$H$9="Nam",VLOOKUP(KTVCOI!$I$18,KTVCOI!$D$3:$F$103,2,0)*S183/1000/12,IF('Tinh phi QL'!$H$9="Nữ",VLOOKUP(KTVCOI!$I$18,KTVCOI!$D$3:$F$103,3,0)*S183/1000/12,0))</f>
        <v>3.6525259428795493</v>
      </c>
      <c r="S183" s="451">
        <f ca="1">KTVTD20namMH!E184-V182-KTVTDGTTKMH!F22</f>
        <v>13241.785895635829</v>
      </c>
      <c r="T183" s="420">
        <f ca="1">(T182+KTVTDGTTKcamket!F22-O183-P183)*(1+LS!$E$18)</f>
        <v>-10486.643966522764</v>
      </c>
      <c r="U183" s="958">
        <f>Q183</f>
        <v>0</v>
      </c>
      <c r="V183" s="418">
        <f ca="1">(V182+KTVTDGTTKMH!F22-O183-R183)*(1+LS!$F$18)</f>
        <v>-13355.397843839542</v>
      </c>
    </row>
    <row r="184" spans="5:22" ht="9.75" customHeight="1">
      <c r="L184" s="957"/>
      <c r="M184" s="262">
        <v>182</v>
      </c>
      <c r="N184" s="263">
        <f ca="1">$J$18-T183</f>
        <v>10486.643966522764</v>
      </c>
      <c r="O184" s="256">
        <f ca="1">KTVTD20namMH!F185</f>
        <v>60</v>
      </c>
      <c r="P184" s="451">
        <f ca="1">IF('Tinh phi QL'!$H$9="Nam",VLOOKUP(KTVCOI!$I$18,KTVCOI!$D$3:$F$103,2,0)*N184/1000/12,IF('Tinh phi QL'!$H$9="Nữ",VLOOKUP(KTVCOI!$I$18,KTVCOI!$D$3:$F$103,3,0)*N184/1000/12,0))</f>
        <v>2.8925659607658623</v>
      </c>
      <c r="Q184" s="957"/>
      <c r="R184" s="452">
        <f ca="1">IF('Tinh phi QL'!$H$9="Nam",VLOOKUP(KTVCOI!$I$18,KTVCOI!$D$3:$F$103,2,0)*S184/1000/12,IF('Tinh phi QL'!$H$9="Nữ",VLOOKUP(KTVCOI!$I$18,KTVCOI!$D$3:$F$103,3,0)*S184/1000/12,0))</f>
        <v>3.683863905259074</v>
      </c>
      <c r="S184" s="451">
        <f ca="1">KTVTD20namMH!E185-V183</f>
        <v>13355.397843839542</v>
      </c>
      <c r="T184" s="420">
        <f ca="1">(T183-O184-P184)*(1+LS!$E$18)</f>
        <v>-10553.922131425095</v>
      </c>
      <c r="U184" s="958"/>
      <c r="V184" s="418">
        <f ca="1">(V183-O184-R184)*(1+LS!$F$18)</f>
        <v>-13469.467839200837</v>
      </c>
    </row>
    <row r="185" spans="5:22" ht="9.75" customHeight="1">
      <c r="L185" s="957"/>
      <c r="M185" s="262">
        <v>183</v>
      </c>
      <c r="N185" s="263">
        <f t="shared" ref="N185:N194" ca="1" si="19">$J$18-T184</f>
        <v>10553.922131425095</v>
      </c>
      <c r="O185" s="256">
        <f ca="1">KTVTD20namMH!F186</f>
        <v>60</v>
      </c>
      <c r="P185" s="451">
        <f ca="1">IF('Tinh phi QL'!$H$9="Nam",VLOOKUP(KTVCOI!$I$18,KTVCOI!$D$3:$F$103,2,0)*N185/1000/12,IF('Tinh phi QL'!$H$9="Nữ",VLOOKUP(KTVCOI!$I$18,KTVCOI!$D$3:$F$103,3,0)*N185/1000/12,0))</f>
        <v>2.9111235212514219</v>
      </c>
      <c r="Q185" s="957"/>
      <c r="R185" s="452">
        <f ca="1">IF('Tinh phi QL'!$H$9="Nam",VLOOKUP(KTVCOI!$I$18,KTVCOI!$D$3:$F$103,2,0)*S185/1000/12,IF('Tinh phi QL'!$H$9="Nữ",VLOOKUP(KTVCOI!$I$18,KTVCOI!$D$3:$F$103,3,0)*S185/1000/12,0))</f>
        <v>3.7153282123128974</v>
      </c>
      <c r="S185" s="451">
        <f ca="1">KTVTD20namMH!E186-V184</f>
        <v>13469.467839200837</v>
      </c>
      <c r="T185" s="420">
        <f ca="1">(T184-O185-P185)*(1+LS!$E$18)</f>
        <v>-10621.24683013444</v>
      </c>
      <c r="U185" s="958"/>
      <c r="V185" s="418">
        <f ca="1">(V184-O185-R185)*(1+LS!$F$18)</f>
        <v>-13583.997728419836</v>
      </c>
    </row>
    <row r="186" spans="5:22" ht="9.75" customHeight="1">
      <c r="L186" s="957"/>
      <c r="M186" s="262">
        <v>184</v>
      </c>
      <c r="N186" s="263">
        <f t="shared" ca="1" si="19"/>
        <v>10621.24683013444</v>
      </c>
      <c r="O186" s="256">
        <f ca="1">KTVTD20namMH!F187</f>
        <v>60</v>
      </c>
      <c r="P186" s="451">
        <f ca="1">IF('Tinh phi QL'!$H$9="Nam",VLOOKUP(KTVCOI!$I$18,KTVCOI!$D$3:$F$103,2,0)*N186/1000/12,IF('Tinh phi QL'!$H$9="Nữ",VLOOKUP(KTVCOI!$I$18,KTVCOI!$D$3:$F$103,3,0)*N186/1000/12,0))</f>
        <v>2.9296939173120831</v>
      </c>
      <c r="Q186" s="957"/>
      <c r="R186" s="452">
        <f ca="1">IF('Tinh phi QL'!$H$9="Nam",VLOOKUP(KTVCOI!$I$18,KTVCOI!$D$3:$F$103,2,0)*S186/1000/12,IF('Tinh phi QL'!$H$9="Nữ",VLOOKUP(KTVCOI!$I$18,KTVCOI!$D$3:$F$103,3,0)*S186/1000/12,0))</f>
        <v>3.7469193734224713</v>
      </c>
      <c r="S186" s="451">
        <f ca="1">KTVTD20namMH!E187-V185</f>
        <v>13583.997728419836</v>
      </c>
      <c r="T186" s="420">
        <f ca="1">(T185-O186-P186)*(1+LS!$E$18)</f>
        <v>-10688.618094836505</v>
      </c>
      <c r="U186" s="958"/>
      <c r="V186" s="418">
        <f ca="1">(V185-O186-R186)*(1+LS!$F$18)</f>
        <v>-13698.989365641964</v>
      </c>
    </row>
    <row r="187" spans="5:22" ht="9.75" customHeight="1">
      <c r="L187" s="957"/>
      <c r="M187" s="262">
        <v>185</v>
      </c>
      <c r="N187" s="263">
        <f t="shared" ca="1" si="19"/>
        <v>10688.618094836505</v>
      </c>
      <c r="O187" s="256">
        <f ca="1">KTVTD20namMH!F188</f>
        <v>60</v>
      </c>
      <c r="P187" s="451">
        <f ca="1">IF('Tinh phi QL'!$H$9="Nam",VLOOKUP(KTVCOI!$I$18,KTVCOI!$D$3:$F$103,2,0)*N187/1000/12,IF('Tinh phi QL'!$H$9="Nữ",VLOOKUP(KTVCOI!$I$18,KTVCOI!$D$3:$F$103,3,0)*N187/1000/12,0))</f>
        <v>2.9482771578257361</v>
      </c>
      <c r="Q187" s="957"/>
      <c r="R187" s="452">
        <f ca="1">IF('Tinh phi QL'!$H$9="Nam",VLOOKUP(KTVCOI!$I$18,KTVCOI!$D$3:$F$103,2,0)*S187/1000/12,IF('Tinh phi QL'!$H$9="Nữ",VLOOKUP(KTVCOI!$I$18,KTVCOI!$D$3:$F$103,3,0)*S187/1000/12,0))</f>
        <v>3.7786379000229089</v>
      </c>
      <c r="S187" s="451">
        <f ca="1">KTVTD20namMH!E188-V186</f>
        <v>13698.989365641964</v>
      </c>
      <c r="T187" s="420">
        <f ca="1">(T186-O187-P187)*(1+LS!$E$18)</f>
        <v>-10756.035957739259</v>
      </c>
      <c r="U187" s="958"/>
      <c r="V187" s="418">
        <f ca="1">(V186-O187-R187)*(1+LS!$F$18)</f>
        <v>-13814.444612487974</v>
      </c>
    </row>
    <row r="188" spans="5:22" ht="9.75" customHeight="1">
      <c r="L188" s="957"/>
      <c r="M188" s="262">
        <v>186</v>
      </c>
      <c r="N188" s="263">
        <f t="shared" ca="1" si="19"/>
        <v>10756.035957739259</v>
      </c>
      <c r="O188" s="256">
        <f ca="1">KTVTD20namMH!F189</f>
        <v>60</v>
      </c>
      <c r="P188" s="451">
        <f ca="1">IF('Tinh phi QL'!$H$9="Nam",VLOOKUP(KTVCOI!$I$18,KTVCOI!$D$3:$F$103,2,0)*N188/1000/12,IF('Tinh phi QL'!$H$9="Nữ",VLOOKUP(KTVCOI!$I$18,KTVCOI!$D$3:$F$103,3,0)*N188/1000/12,0))</f>
        <v>2.9668732516764122</v>
      </c>
      <c r="Q188" s="957"/>
      <c r="R188" s="452">
        <f ca="1">IF('Tinh phi QL'!$H$9="Nam",VLOOKUP(KTVCOI!$I$18,KTVCOI!$D$3:$F$103,2,0)*S188/1000/12,IF('Tinh phi QL'!$H$9="Nữ",VLOOKUP(KTVCOI!$I$18,KTVCOI!$D$3:$F$103,3,0)*S188/1000/12,0))</f>
        <v>3.8104843056112667</v>
      </c>
      <c r="S188" s="451">
        <f ca="1">KTVTD20namMH!E189-V187</f>
        <v>13814.444612487974</v>
      </c>
      <c r="T188" s="420">
        <f ca="1">(T187-O188-P188)*(1+LS!$E$18)</f>
        <v>-10823.500451072943</v>
      </c>
      <c r="U188" s="958"/>
      <c r="V188" s="418">
        <f ca="1">(V187-O188-R188)*(1+LS!$F$18)</f>
        <v>-13930.365338084081</v>
      </c>
    </row>
    <row r="189" spans="5:22" ht="9.75" customHeight="1">
      <c r="L189" s="957"/>
      <c r="M189" s="262">
        <v>187</v>
      </c>
      <c r="N189" s="263">
        <f t="shared" ca="1" si="19"/>
        <v>10823.500451072943</v>
      </c>
      <c r="O189" s="256">
        <f ca="1">KTVTD20namMH!F190</f>
        <v>60</v>
      </c>
      <c r="P189" s="451">
        <f ca="1">IF('Tinh phi QL'!$H$9="Nam",VLOOKUP(KTVCOI!$I$18,KTVCOI!$D$3:$F$103,2,0)*N189/1000/12,IF('Tinh phi QL'!$H$9="Nữ",VLOOKUP(KTVCOI!$I$18,KTVCOI!$D$3:$F$103,3,0)*N189/1000/12,0))</f>
        <v>2.9854822077542864</v>
      </c>
      <c r="Q189" s="957"/>
      <c r="R189" s="452">
        <f ca="1">IF('Tinh phi QL'!$H$9="Nam",VLOOKUP(KTVCOI!$I$18,KTVCOI!$D$3:$F$103,2,0)*S189/1000/12,IF('Tinh phi QL'!$H$9="Nữ",VLOOKUP(KTVCOI!$I$18,KTVCOI!$D$3:$F$103,3,0)*S189/1000/12,0))</f>
        <v>3.8424591057548589</v>
      </c>
      <c r="S189" s="451">
        <f ca="1">KTVTD20namMH!E190-V188</f>
        <v>13930.365338084081</v>
      </c>
      <c r="T189" s="420">
        <f ca="1">(T188-O189-P189)*(1+LS!$E$18)</f>
        <v>-10891.011607090095</v>
      </c>
      <c r="U189" s="958"/>
      <c r="V189" s="418">
        <f ca="1">(V188-O189-R189)*(1+LS!$F$18)</f>
        <v>-14046.753419092214</v>
      </c>
    </row>
    <row r="190" spans="5:22" ht="9.75" customHeight="1">
      <c r="L190" s="957"/>
      <c r="M190" s="262">
        <v>188</v>
      </c>
      <c r="N190" s="263">
        <f t="shared" ca="1" si="19"/>
        <v>10891.011607090095</v>
      </c>
      <c r="O190" s="256">
        <f ca="1">KTVTD20namMH!F191</f>
        <v>60</v>
      </c>
      <c r="P190" s="451">
        <f ca="1">IF('Tinh phi QL'!$H$9="Nam",VLOOKUP(KTVCOI!$I$18,KTVCOI!$D$3:$F$103,2,0)*N190/1000/12,IF('Tinh phi QL'!$H$9="Nữ",VLOOKUP(KTVCOI!$I$18,KTVCOI!$D$3:$F$103,3,0)*N190/1000/12,0))</f>
        <v>3.0041040349556849</v>
      </c>
      <c r="Q190" s="957"/>
      <c r="R190" s="452">
        <f ca="1">IF('Tinh phi QL'!$H$9="Nam",VLOOKUP(KTVCOI!$I$18,KTVCOI!$D$3:$F$103,2,0)*S190/1000/12,IF('Tinh phi QL'!$H$9="Nữ",VLOOKUP(KTVCOI!$I$18,KTVCOI!$D$3:$F$103,3,0)*S190/1000/12,0))</f>
        <v>3.8745628180996028</v>
      </c>
      <c r="S190" s="451">
        <f ca="1">KTVTD20namMH!E191-V189</f>
        <v>14046.753419092214</v>
      </c>
      <c r="T190" s="420">
        <f ca="1">(T189-O190-P190)*(1+LS!$E$18)</f>
        <v>-10958.56945806556</v>
      </c>
      <c r="U190" s="958"/>
      <c r="V190" s="418">
        <f ca="1">(V189-O190-R190)*(1+LS!$F$18)</f>
        <v>-14163.610739740414</v>
      </c>
    </row>
    <row r="191" spans="5:22" ht="9.75" customHeight="1">
      <c r="L191" s="957"/>
      <c r="M191" s="262">
        <v>189</v>
      </c>
      <c r="N191" s="263">
        <f t="shared" ca="1" si="19"/>
        <v>10958.56945806556</v>
      </c>
      <c r="O191" s="256">
        <f ca="1">KTVTD20namMH!F192</f>
        <v>60</v>
      </c>
      <c r="P191" s="451">
        <f ca="1">IF('Tinh phi QL'!$H$9="Nam",VLOOKUP(KTVCOI!$I$18,KTVCOI!$D$3:$F$103,2,0)*N191/1000/12,IF('Tinh phi QL'!$H$9="Nữ",VLOOKUP(KTVCOI!$I$18,KTVCOI!$D$3:$F$103,3,0)*N191/1000/12,0))</f>
        <v>3.0227387421830838</v>
      </c>
      <c r="Q191" s="957"/>
      <c r="R191" s="452">
        <f ca="1">IF('Tinh phi QL'!$H$9="Nam",VLOOKUP(KTVCOI!$I$18,KTVCOI!$D$3:$F$103,2,0)*S191/1000/12,IF('Tinh phi QL'!$H$9="Nữ",VLOOKUP(KTVCOI!$I$18,KTVCOI!$D$3:$F$103,3,0)*S191/1000/12,0))</f>
        <v>3.9067959623783981</v>
      </c>
      <c r="S191" s="451">
        <f ca="1">KTVTD20namMH!E192-V190</f>
        <v>14163.610739740414</v>
      </c>
      <c r="T191" s="420">
        <f ca="1">(T190-O191-P191)*(1+LS!$E$18)</f>
        <v>-11026.174036296507</v>
      </c>
      <c r="U191" s="958"/>
      <c r="V191" s="418">
        <f ca="1">(V190-O191-R191)*(1+LS!$F$18)</f>
        <v>-14280.93919185332</v>
      </c>
    </row>
    <row r="192" spans="5:22" ht="9.75" customHeight="1">
      <c r="L192" s="957"/>
      <c r="M192" s="262">
        <v>190</v>
      </c>
      <c r="N192" s="263">
        <f t="shared" ca="1" si="19"/>
        <v>11026.174036296507</v>
      </c>
      <c r="O192" s="256">
        <f ca="1">KTVTD20namMH!F193</f>
        <v>60</v>
      </c>
      <c r="P192" s="451">
        <f ca="1">IF('Tinh phi QL'!$H$9="Nam",VLOOKUP(KTVCOI!$I$18,KTVCOI!$D$3:$F$103,2,0)*N192/1000/12,IF('Tinh phi QL'!$H$9="Nữ",VLOOKUP(KTVCOI!$I$18,KTVCOI!$D$3:$F$103,3,0)*N192/1000/12,0))</f>
        <v>3.0413863383451196</v>
      </c>
      <c r="Q192" s="957"/>
      <c r="R192" s="452">
        <f ca="1">IF('Tinh phi QL'!$H$9="Nam",VLOOKUP(KTVCOI!$I$18,KTVCOI!$D$3:$F$103,2,0)*S192/1000/12,IF('Tinh phi QL'!$H$9="Nữ",VLOOKUP(KTVCOI!$I$18,KTVCOI!$D$3:$F$103,3,0)*S192/1000/12,0))</f>
        <v>3.939159060419541</v>
      </c>
      <c r="S192" s="451">
        <f ca="1">KTVTD20namMH!E193-V191</f>
        <v>14280.93919185332</v>
      </c>
      <c r="T192" s="420">
        <f ca="1">(T191-O192-P192)*(1+LS!$E$18)</f>
        <v>-11093.82537410244</v>
      </c>
      <c r="U192" s="958"/>
      <c r="V192" s="418">
        <f ca="1">(V191-O192-R192)*(1+LS!$F$18)</f>
        <v>-14398.740674882811</v>
      </c>
    </row>
    <row r="193" spans="12:22" ht="9.75" customHeight="1">
      <c r="L193" s="957"/>
      <c r="M193" s="262">
        <v>191</v>
      </c>
      <c r="N193" s="263">
        <f t="shared" ca="1" si="19"/>
        <v>11093.82537410244</v>
      </c>
      <c r="O193" s="256">
        <f ca="1">KTVTD20namMH!F194</f>
        <v>60</v>
      </c>
      <c r="P193" s="451">
        <f ca="1">IF('Tinh phi QL'!$H$9="Nam",VLOOKUP(KTVCOI!$I$18,KTVCOI!$D$3:$F$103,2,0)*N193/1000/12,IF('Tinh phi QL'!$H$9="Nữ",VLOOKUP(KTVCOI!$I$18,KTVCOI!$D$3:$F$103,3,0)*N193/1000/12,0))</f>
        <v>3.0600468323565901</v>
      </c>
      <c r="Q193" s="957"/>
      <c r="R193" s="452">
        <f ca="1">IF('Tinh phi QL'!$H$9="Nam",VLOOKUP(KTVCOI!$I$18,KTVCOI!$D$3:$F$103,2,0)*S193/1000/12,IF('Tinh phi QL'!$H$9="Nữ",VLOOKUP(KTVCOI!$I$18,KTVCOI!$D$3:$F$103,3,0)*S193/1000/12,0))</f>
        <v>3.9716526361551749</v>
      </c>
      <c r="S193" s="451">
        <f ca="1">KTVTD20namMH!E194-V192</f>
        <v>14398.740674882811</v>
      </c>
      <c r="T193" s="420">
        <f ca="1">(T192-O193-P193)*(1+LS!$E$18)</f>
        <v>-11161.523503825221</v>
      </c>
      <c r="U193" s="958"/>
      <c r="V193" s="418">
        <f ca="1">(V192-O193-R193)*(1+LS!$F$18)</f>
        <v>-14517.017095938747</v>
      </c>
    </row>
    <row r="194" spans="12:22" ht="9.75" customHeight="1">
      <c r="L194" s="957"/>
      <c r="M194" s="262">
        <v>192</v>
      </c>
      <c r="N194" s="263">
        <f t="shared" ca="1" si="19"/>
        <v>11161.523503825221</v>
      </c>
      <c r="O194" s="256">
        <f ca="1">KTVTD20namMH!F195</f>
        <v>60</v>
      </c>
      <c r="P194" s="451">
        <f ca="1">IF('Tinh phi QL'!$H$9="Nam",VLOOKUP(KTVCOI!$I$18,KTVCOI!$D$3:$F$103,2,0)*N194/1000/12,IF('Tinh phi QL'!$H$9="Nữ",VLOOKUP(KTVCOI!$I$18,KTVCOI!$D$3:$F$103,3,0)*N194/1000/12,0))</f>
        <v>3.0787202331384567</v>
      </c>
      <c r="Q194" s="957"/>
      <c r="R194" s="452">
        <f ca="1">IF('Tinh phi QL'!$H$9="Nam",VLOOKUP(KTVCOI!$I$18,KTVCOI!$D$3:$F$103,2,0)*S194/1000/12,IF('Tinh phi QL'!$H$9="Nữ",VLOOKUP(KTVCOI!$I$18,KTVCOI!$D$3:$F$103,3,0)*S194/1000/12,0))</f>
        <v>4.004277215629771</v>
      </c>
      <c r="S194" s="451">
        <f ca="1">KTVTD20namMH!E195-V193</f>
        <v>14517.017095938747</v>
      </c>
      <c r="T194" s="421">
        <f ca="1">(T193-O194-P194)*(1+LS!$E$18)</f>
        <v>-11229.268457829079</v>
      </c>
      <c r="U194" s="958"/>
      <c r="V194" s="419">
        <f ca="1">(V193-O194-R194)*(1+LS!$F$18)</f>
        <v>-14635.770369819849</v>
      </c>
    </row>
    <row r="195" spans="12:22" ht="9.75" customHeight="1">
      <c r="L195" s="960">
        <f>L183+1</f>
        <v>17</v>
      </c>
      <c r="M195" s="265">
        <v>193</v>
      </c>
      <c r="N195" s="266">
        <f ca="1">$J$19-T194-KTVTDGTTKcamket!F23</f>
        <v>11229.268457829079</v>
      </c>
      <c r="O195" s="256">
        <f ca="1">KTVTD20namMH!F196</f>
        <v>60</v>
      </c>
      <c r="P195" s="453">
        <f ca="1">IF('Tinh phi QL'!$H$9="Nam",VLOOKUP(KTVCOI!$I$19,KTVCOI!$D$3:$F$103,2,0)*N195/1000/12,IF('Tinh phi QL'!$H$9="Nữ",VLOOKUP(KTVCOI!$I$19,KTVCOI!$D$3:$F$103,3,0)*N195/1000/12,0))</f>
        <v>3.3500650899190085</v>
      </c>
      <c r="Q195" s="957"/>
      <c r="R195" s="452">
        <f ca="1">IF('Tinh phi QL'!$H$9="Nam",VLOOKUP(KTVCOI!$I$19,KTVCOI!$D$3:$F$103,2,0)*S195/1000/12,IF('Tinh phi QL'!$H$9="Nữ",VLOOKUP(KTVCOI!$I$19,KTVCOI!$D$3:$F$103,3,0)*S195/1000/12,0))</f>
        <v>4.3663381603295885</v>
      </c>
      <c r="S195" s="453">
        <f ca="1">KTVTD20namMH!E196-V194-KTVTDGTTKMH!F23</f>
        <v>14635.770369819849</v>
      </c>
      <c r="T195" s="425">
        <f ca="1">(T194+KTVTDGTTKcamket!F23-O195-P195)*(1+LS!$E$19)</f>
        <v>-11297.313032074837</v>
      </c>
      <c r="U195" s="958">
        <f>Q195</f>
        <v>0</v>
      </c>
      <c r="V195" s="418">
        <f ca="1">(V194+KTVTDGTTKMH!F23-O195-R195)*(1+LS!$F$19)</f>
        <v>-14755.332960355816</v>
      </c>
    </row>
    <row r="196" spans="12:22" ht="9.75" customHeight="1">
      <c r="L196" s="960"/>
      <c r="M196" s="265">
        <v>194</v>
      </c>
      <c r="N196" s="266">
        <f ca="1">$J$19-T195</f>
        <v>11297.313032074837</v>
      </c>
      <c r="O196" s="256">
        <f ca="1">KTVTD20namMH!F197</f>
        <v>60</v>
      </c>
      <c r="P196" s="453">
        <f ca="1">IF('Tinh phi QL'!$H$9="Nam",VLOOKUP(KTVCOI!$I$19,KTVCOI!$D$3:$F$103,2,0)*N196/1000/12,IF('Tinh phi QL'!$H$9="Nữ",VLOOKUP(KTVCOI!$I$19,KTVCOI!$D$3:$F$103,3,0)*N196/1000/12,0))</f>
        <v>3.3703650545689929</v>
      </c>
      <c r="Q196" s="957"/>
      <c r="R196" s="452">
        <f ca="1">IF('Tinh phi QL'!$H$9="Nam",VLOOKUP(KTVCOI!$I$19,KTVCOI!$D$3:$F$103,2,0)*S196/1000/12,IF('Tinh phi QL'!$H$9="Nữ",VLOOKUP(KTVCOI!$I$19,KTVCOI!$D$3:$F$103,3,0)*S196/1000/12,0))</f>
        <v>4.4020076665061518</v>
      </c>
      <c r="S196" s="453">
        <f ca="1">KTVTD20namMH!E197-V195</f>
        <v>14755.332960355816</v>
      </c>
      <c r="T196" s="425">
        <f ca="1">(T195-O196-P196)*(1+LS!$E$19)</f>
        <v>-11365.406201863858</v>
      </c>
      <c r="U196" s="958"/>
      <c r="V196" s="418">
        <f ca="1">(V195-O196-R196)*(1+LS!$F$19)</f>
        <v>-14875.38028940161</v>
      </c>
    </row>
    <row r="197" spans="12:22" ht="9.75" customHeight="1">
      <c r="L197" s="960"/>
      <c r="M197" s="265">
        <v>195</v>
      </c>
      <c r="N197" s="266">
        <f t="shared" ref="N197:N206" ca="1" si="20">$J$19-T196</f>
        <v>11365.406201863858</v>
      </c>
      <c r="O197" s="256">
        <f ca="1">KTVTD20namMH!F198</f>
        <v>60</v>
      </c>
      <c r="P197" s="453">
        <f ca="1">IF('Tinh phi QL'!$H$9="Nam",VLOOKUP(KTVCOI!$I$19,KTVCOI!$D$3:$F$103,2,0)*N197/1000/12,IF('Tinh phi QL'!$H$9="Nữ",VLOOKUP(KTVCOI!$I$19,KTVCOI!$D$3:$F$103,3,0)*N197/1000/12,0))</f>
        <v>3.3906795168893837</v>
      </c>
      <c r="Q197" s="957"/>
      <c r="R197" s="452">
        <f ca="1">IF('Tinh phi QL'!$H$9="Nam",VLOOKUP(KTVCOI!$I$19,KTVCOI!$D$3:$F$103,2,0)*S197/1000/12,IF('Tinh phi QL'!$H$9="Nữ",VLOOKUP(KTVCOI!$I$19,KTVCOI!$D$3:$F$103,3,0)*S197/1000/12,0))</f>
        <v>4.4378217863381471</v>
      </c>
      <c r="S197" s="453">
        <f ca="1">KTVTD20namMH!E198-V196</f>
        <v>14875.38028940161</v>
      </c>
      <c r="T197" s="425">
        <f ca="1">(T196-O197-P197)*(1+LS!$E$19)</f>
        <v>-11433.54800190173</v>
      </c>
      <c r="U197" s="958"/>
      <c r="V197" s="418">
        <f ca="1">(V196-O197-R197)*(1+LS!$F$19)</f>
        <v>-14995.914322215944</v>
      </c>
    </row>
    <row r="198" spans="12:22" ht="9.75" customHeight="1">
      <c r="L198" s="960"/>
      <c r="M198" s="265">
        <v>196</v>
      </c>
      <c r="N198" s="266">
        <f t="shared" ca="1" si="20"/>
        <v>11433.54800190173</v>
      </c>
      <c r="O198" s="256">
        <f ca="1">KTVTD20namMH!F199</f>
        <v>60</v>
      </c>
      <c r="P198" s="453">
        <f ca="1">IF('Tinh phi QL'!$H$9="Nam",VLOOKUP(KTVCOI!$I$19,KTVCOI!$D$3:$F$103,2,0)*N198/1000/12,IF('Tinh phi QL'!$H$9="Nữ",VLOOKUP(KTVCOI!$I$19,KTVCOI!$D$3:$F$103,3,0)*N198/1000/12,0))</f>
        <v>3.4110084872340161</v>
      </c>
      <c r="Q198" s="957"/>
      <c r="R198" s="452">
        <f ca="1">IF('Tinh phi QL'!$H$9="Nam",VLOOKUP(KTVCOI!$I$19,KTVCOI!$D$3:$F$103,2,0)*S198/1000/12,IF('Tinh phi QL'!$H$9="Nữ",VLOOKUP(KTVCOI!$I$19,KTVCOI!$D$3:$F$103,3,0)*S198/1000/12,0))</f>
        <v>4.473781106127757</v>
      </c>
      <c r="S198" s="453">
        <f ca="1">KTVTD20namMH!E199-V197</f>
        <v>14995.914322215944</v>
      </c>
      <c r="T198" s="425">
        <f ca="1">(T197-O198-P198)*(1+LS!$E$19)</f>
        <v>-11501.738466918823</v>
      </c>
      <c r="U198" s="958"/>
      <c r="V198" s="418">
        <f ca="1">(V197-O198-R198)*(1+LS!$F$19)</f>
        <v>-15116.937032025213</v>
      </c>
    </row>
    <row r="199" spans="12:22" ht="9.75" customHeight="1">
      <c r="L199" s="960"/>
      <c r="M199" s="265">
        <v>197</v>
      </c>
      <c r="N199" s="266">
        <f t="shared" ca="1" si="20"/>
        <v>11501.738466918823</v>
      </c>
      <c r="O199" s="256">
        <f ca="1">KTVTD20namMH!F200</f>
        <v>60</v>
      </c>
      <c r="P199" s="453">
        <f ca="1">IF('Tinh phi QL'!$H$9="Nam",VLOOKUP(KTVCOI!$I$19,KTVCOI!$D$3:$F$103,2,0)*N199/1000/12,IF('Tinh phi QL'!$H$9="Nữ",VLOOKUP(KTVCOI!$I$19,KTVCOI!$D$3:$F$103,3,0)*N199/1000/12,0))</f>
        <v>3.4313519759641156</v>
      </c>
      <c r="Q199" s="957"/>
      <c r="R199" s="452">
        <f ca="1">IF('Tinh phi QL'!$H$9="Nam",VLOOKUP(KTVCOI!$I$19,KTVCOI!$D$3:$F$103,2,0)*S199/1000/12,IF('Tinh phi QL'!$H$9="Nữ",VLOOKUP(KTVCOI!$I$19,KTVCOI!$D$3:$F$103,3,0)*S199/1000/12,0))</f>
        <v>4.5098862145541885</v>
      </c>
      <c r="S199" s="453">
        <f ca="1">KTVTD20namMH!E200-V198</f>
        <v>15116.937032025213</v>
      </c>
      <c r="T199" s="425">
        <f ca="1">(T198-O199-P199)*(1+LS!$E$19)</f>
        <v>-11569.977631670314</v>
      </c>
      <c r="U199" s="958"/>
      <c r="V199" s="418">
        <f ca="1">(V198-O199-R199)*(1+LS!$F$19)</f>
        <v>-15238.450400055799</v>
      </c>
    </row>
    <row r="200" spans="12:22" ht="9.75" customHeight="1">
      <c r="L200" s="960"/>
      <c r="M200" s="265">
        <v>198</v>
      </c>
      <c r="N200" s="266">
        <f t="shared" ca="1" si="20"/>
        <v>11569.977631670314</v>
      </c>
      <c r="O200" s="256">
        <f ca="1">KTVTD20namMH!F201</f>
        <v>60</v>
      </c>
      <c r="P200" s="453">
        <f ca="1">IF('Tinh phi QL'!$H$9="Nam",VLOOKUP(KTVCOI!$I$19,KTVCOI!$D$3:$F$103,2,0)*N200/1000/12,IF('Tinh phi QL'!$H$9="Nữ",VLOOKUP(KTVCOI!$I$19,KTVCOI!$D$3:$F$103,3,0)*N200/1000/12,0))</f>
        <v>3.45170999344831</v>
      </c>
      <c r="Q200" s="957"/>
      <c r="R200" s="452">
        <f ca="1">IF('Tinh phi QL'!$H$9="Nam",VLOOKUP(KTVCOI!$I$19,KTVCOI!$D$3:$F$103,2,0)*S200/1000/12,IF('Tinh phi QL'!$H$9="Nữ",VLOOKUP(KTVCOI!$I$19,KTVCOI!$D$3:$F$103,3,0)*S200/1000/12,0))</f>
        <v>4.5461377026833132</v>
      </c>
      <c r="S200" s="453">
        <f ca="1">KTVTD20namMH!E201-V199</f>
        <v>15238.450400055799</v>
      </c>
      <c r="T200" s="425">
        <f ca="1">(T199-O200-P200)*(1+LS!$E$19)</f>
        <v>-11638.265530936198</v>
      </c>
      <c r="U200" s="958"/>
      <c r="V200" s="418">
        <f ca="1">(V199-O200-R200)*(1+LS!$F$19)</f>
        <v>-15360.456415566496</v>
      </c>
    </row>
    <row r="201" spans="12:22" ht="9.75" customHeight="1">
      <c r="L201" s="960"/>
      <c r="M201" s="265">
        <v>199</v>
      </c>
      <c r="N201" s="266">
        <f t="shared" ca="1" si="20"/>
        <v>11638.265530936198</v>
      </c>
      <c r="O201" s="256">
        <f ca="1">KTVTD20namMH!F202</f>
        <v>60</v>
      </c>
      <c r="P201" s="453">
        <f ca="1">IF('Tinh phi QL'!$H$9="Nam",VLOOKUP(KTVCOI!$I$19,KTVCOI!$D$3:$F$103,2,0)*N201/1000/12,IF('Tinh phi QL'!$H$9="Nữ",VLOOKUP(KTVCOI!$I$19,KTVCOI!$D$3:$F$103,3,0)*N201/1000/12,0))</f>
        <v>3.4720825500626322</v>
      </c>
      <c r="Q201" s="957"/>
      <c r="R201" s="452">
        <f ca="1">IF('Tinh phi QL'!$H$9="Nam",VLOOKUP(KTVCOI!$I$19,KTVCOI!$D$3:$F$103,2,0)*S201/1000/12,IF('Tinh phi QL'!$H$9="Nữ",VLOOKUP(KTVCOI!$I$19,KTVCOI!$D$3:$F$103,3,0)*S201/1000/12,0))</f>
        <v>4.5825361639773385</v>
      </c>
      <c r="S201" s="453">
        <f ca="1">KTVTD20namMH!E202-V200</f>
        <v>15360.456415566496</v>
      </c>
      <c r="T201" s="425">
        <f ca="1">(T200-O201-P201)*(1+LS!$E$19)</f>
        <v>-11706.60219952131</v>
      </c>
      <c r="U201" s="958"/>
      <c r="V201" s="418">
        <f ca="1">(V200-O201-R201)*(1+LS!$F$19)</f>
        <v>-15482.957075881086</v>
      </c>
    </row>
    <row r="202" spans="12:22" ht="9.75" customHeight="1">
      <c r="L202" s="960"/>
      <c r="M202" s="265">
        <v>200</v>
      </c>
      <c r="N202" s="266">
        <f t="shared" ca="1" si="20"/>
        <v>11706.60219952131</v>
      </c>
      <c r="O202" s="256">
        <f ca="1">KTVTD20namMH!F203</f>
        <v>60</v>
      </c>
      <c r="P202" s="453">
        <f ca="1">IF('Tinh phi QL'!$H$9="Nam",VLOOKUP(KTVCOI!$I$19,KTVCOI!$D$3:$F$103,2,0)*N202/1000/12,IF('Tinh phi QL'!$H$9="Nữ",VLOOKUP(KTVCOI!$I$19,KTVCOI!$D$3:$F$103,3,0)*N202/1000/12,0))</f>
        <v>3.4924696561905244</v>
      </c>
      <c r="Q202" s="957"/>
      <c r="R202" s="452">
        <f ca="1">IF('Tinh phi QL'!$H$9="Nam",VLOOKUP(KTVCOI!$I$19,KTVCOI!$D$3:$F$103,2,0)*S202/1000/12,IF('Tinh phi QL'!$H$9="Nữ",VLOOKUP(KTVCOI!$I$19,KTVCOI!$D$3:$F$103,3,0)*S202/1000/12,0))</f>
        <v>4.6190821943045242</v>
      </c>
      <c r="S202" s="453">
        <f ca="1">KTVTD20namMH!E203-V201</f>
        <v>15482.957075881086</v>
      </c>
      <c r="T202" s="425">
        <f ca="1">(T201-O202-P202)*(1+LS!$E$19)</f>
        <v>-11774.987672255344</v>
      </c>
      <c r="U202" s="958"/>
      <c r="V202" s="418">
        <f ca="1">(V201-O202-R202)*(1+LS!$F$19)</f>
        <v>-15605.954386421028</v>
      </c>
    </row>
    <row r="203" spans="12:22" ht="9.75" customHeight="1">
      <c r="L203" s="960"/>
      <c r="M203" s="265">
        <v>201</v>
      </c>
      <c r="N203" s="266">
        <f t="shared" ca="1" si="20"/>
        <v>11774.987672255344</v>
      </c>
      <c r="O203" s="256">
        <f ca="1">KTVTD20namMH!F204</f>
        <v>60</v>
      </c>
      <c r="P203" s="453">
        <f ca="1">IF('Tinh phi QL'!$H$9="Nam",VLOOKUP(KTVCOI!$I$19,KTVCOI!$D$3:$F$103,2,0)*N203/1000/12,IF('Tinh phi QL'!$H$9="Nữ",VLOOKUP(KTVCOI!$I$19,KTVCOI!$D$3:$F$103,3,0)*N203/1000/12,0))</f>
        <v>3.512871322222844</v>
      </c>
      <c r="Q203" s="957"/>
      <c r="R203" s="452">
        <f ca="1">IF('Tinh phi QL'!$H$9="Nam",VLOOKUP(KTVCOI!$I$19,KTVCOI!$D$3:$F$103,2,0)*S203/1000/12,IF('Tinh phi QL'!$H$9="Nữ",VLOOKUP(KTVCOI!$I$19,KTVCOI!$D$3:$F$103,3,0)*S203/1000/12,0))</f>
        <v>4.6557763919489403</v>
      </c>
      <c r="S203" s="453">
        <f ca="1">KTVTD20namMH!E204-V202</f>
        <v>15605.954386421028</v>
      </c>
      <c r="T203" s="425">
        <f ca="1">(T202-O203-P203)*(1+LS!$E$19)</f>
        <v>-11843.421983992863</v>
      </c>
      <c r="U203" s="958"/>
      <c r="V203" s="418">
        <f ca="1">(V202-O203-R203)*(1+LS!$F$19)</f>
        <v>-15729.450360738299</v>
      </c>
    </row>
    <row r="204" spans="12:22" ht="9.75" customHeight="1">
      <c r="L204" s="960"/>
      <c r="M204" s="265">
        <v>202</v>
      </c>
      <c r="N204" s="266">
        <f t="shared" ca="1" si="20"/>
        <v>11843.421983992863</v>
      </c>
      <c r="O204" s="256">
        <f ca="1">KTVTD20namMH!F205</f>
        <v>60</v>
      </c>
      <c r="P204" s="453">
        <f ca="1">IF('Tinh phi QL'!$H$9="Nam",VLOOKUP(KTVCOI!$I$19,KTVCOI!$D$3:$F$103,2,0)*N204/1000/12,IF('Tinh phi QL'!$H$9="Nữ",VLOOKUP(KTVCOI!$I$19,KTVCOI!$D$3:$F$103,3,0)*N204/1000/12,0))</f>
        <v>3.5332875585578711</v>
      </c>
      <c r="Q204" s="957"/>
      <c r="R204" s="452">
        <f ca="1">IF('Tinh phi QL'!$H$9="Nam",VLOOKUP(KTVCOI!$I$19,KTVCOI!$D$3:$F$103,2,0)*S204/1000/12,IF('Tinh phi QL'!$H$9="Nữ",VLOOKUP(KTVCOI!$I$19,KTVCOI!$D$3:$F$103,3,0)*S204/1000/12,0))</f>
        <v>4.6926193576202593</v>
      </c>
      <c r="S204" s="453">
        <f ca="1">KTVTD20namMH!E205-V203</f>
        <v>15729.450360738299</v>
      </c>
      <c r="T204" s="425">
        <f ca="1">(T203-O204-P204)*(1+LS!$E$19)</f>
        <v>-11911.905169613328</v>
      </c>
      <c r="U204" s="958"/>
      <c r="V204" s="418">
        <f ca="1">(V203-O204-R204)*(1+LS!$F$19)</f>
        <v>-15853.447020548347</v>
      </c>
    </row>
    <row r="205" spans="12:22" ht="9.75" customHeight="1">
      <c r="L205" s="960"/>
      <c r="M205" s="265">
        <v>203</v>
      </c>
      <c r="N205" s="266">
        <f t="shared" ca="1" si="20"/>
        <v>11911.905169613328</v>
      </c>
      <c r="O205" s="256">
        <f ca="1">KTVTD20namMH!F206</f>
        <v>60</v>
      </c>
      <c r="P205" s="453">
        <f ca="1">IF('Tinh phi QL'!$H$9="Nam",VLOOKUP(KTVCOI!$I$19,KTVCOI!$D$3:$F$103,2,0)*N205/1000/12,IF('Tinh phi QL'!$H$9="Nữ",VLOOKUP(KTVCOI!$I$19,KTVCOI!$D$3:$F$103,3,0)*N205/1000/12,0))</f>
        <v>3.55371837560131</v>
      </c>
      <c r="Q205" s="957"/>
      <c r="R205" s="452">
        <f ca="1">IF('Tinh phi QL'!$H$9="Nam",VLOOKUP(KTVCOI!$I$19,KTVCOI!$D$3:$F$103,2,0)*S205/1000/12,IF('Tinh phi QL'!$H$9="Nữ",VLOOKUP(KTVCOI!$I$19,KTVCOI!$D$3:$F$103,3,0)*S205/1000/12,0))</f>
        <v>4.72961169446359</v>
      </c>
      <c r="S205" s="453">
        <f ca="1">KTVTD20namMH!E206-V204</f>
        <v>15853.447020548347</v>
      </c>
      <c r="T205" s="425">
        <f ca="1">(T204-O205-P205)*(1+LS!$E$19)</f>
        <v>-11980.437264021108</v>
      </c>
      <c r="U205" s="958"/>
      <c r="V205" s="418">
        <f ca="1">(V204-O205-R205)*(1+LS!$F$19)</f>
        <v>-15977.946395763192</v>
      </c>
    </row>
    <row r="206" spans="12:22" ht="9.75" customHeight="1">
      <c r="L206" s="960"/>
      <c r="M206" s="265">
        <v>204</v>
      </c>
      <c r="N206" s="266">
        <f t="shared" ca="1" si="20"/>
        <v>11980.437264021108</v>
      </c>
      <c r="O206" s="256">
        <f ca="1">KTVTD20namMH!F207</f>
        <v>60</v>
      </c>
      <c r="P206" s="453">
        <f ca="1">IF('Tinh phi QL'!$H$9="Nam",VLOOKUP(KTVCOI!$I$19,KTVCOI!$D$3:$F$103,2,0)*N206/1000/12,IF('Tinh phi QL'!$H$9="Nữ",VLOOKUP(KTVCOI!$I$19,KTVCOI!$D$3:$F$103,3,0)*N206/1000/12,0))</f>
        <v>3.5741637837662972</v>
      </c>
      <c r="Q206" s="957"/>
      <c r="R206" s="452">
        <f ca="1">IF('Tinh phi QL'!$H$9="Nam",VLOOKUP(KTVCOI!$I$19,KTVCOI!$D$3:$F$103,2,0)*S206/1000/12,IF('Tinh phi QL'!$H$9="Nữ",VLOOKUP(KTVCOI!$I$19,KTVCOI!$D$3:$F$103,3,0)*S206/1000/12,0))</f>
        <v>4.7667540080693529</v>
      </c>
      <c r="S206" s="453">
        <f ca="1">KTVTD20namMH!E207-V205</f>
        <v>15977.946395763192</v>
      </c>
      <c r="T206" s="426">
        <f ca="1">(T205-O206-P206)*(1+LS!$E$19)</f>
        <v>-12049.018302145498</v>
      </c>
      <c r="U206" s="958"/>
      <c r="V206" s="419">
        <f ca="1">(V205-O206-R206)*(1+LS!$F$19)</f>
        <v>-16102.950524524656</v>
      </c>
    </row>
    <row r="207" spans="12:22" ht="9.75" customHeight="1">
      <c r="L207" s="957">
        <f>L195+1</f>
        <v>18</v>
      </c>
      <c r="M207" s="262">
        <v>205</v>
      </c>
      <c r="N207" s="263">
        <f ca="1">$J$20-T206-KTVTDGTTKcamket!F24</f>
        <v>12049.018302145498</v>
      </c>
      <c r="O207" s="256">
        <f ca="1">KTVTD20namMH!F208</f>
        <v>60</v>
      </c>
      <c r="P207" s="451">
        <f ca="1">IF('Tinh phi QL'!$H$9="Nam",VLOOKUP(KTVCOI!$I$20,KTVCOI!$D$3:$F$103,2,0)*N207/1000/12,IF('Tinh phi QL'!$H$9="Nữ",VLOOKUP(KTVCOI!$I$20,KTVCOI!$D$3:$F$103,3,0)*N207/1000/12,0))</f>
        <v>3.8858084024419228</v>
      </c>
      <c r="Q207" s="957"/>
      <c r="R207" s="452">
        <f ca="1">IF('Tinh phi QL'!$H$9="Nam",VLOOKUP(KTVCOI!$I$20,KTVCOI!$D$3:$F$103,2,0)*S207/1000/12,IF('Tinh phi QL'!$H$9="Nữ",VLOOKUP(KTVCOI!$I$20,KTVCOI!$D$3:$F$103,3,0)*S207/1000/12,0))</f>
        <v>5.1932015441592023</v>
      </c>
      <c r="S207" s="451">
        <f ca="1">KTVTD20namMH!E208-V206-KTVTDGTTKMH!F24</f>
        <v>16102.950524524656</v>
      </c>
      <c r="T207" s="425">
        <f ca="1">(T206+KTVTDGTTKcamket!F24-O207-P207)*(1+LS!$E$20)</f>
        <v>-12117.939624599474</v>
      </c>
      <c r="U207" s="958">
        <f>Q207</f>
        <v>0</v>
      </c>
      <c r="V207" s="418">
        <f ca="1">(V206+KTVTDGTTKMH!F24-O207-R207)*(1+LS!$F$20)</f>
        <v>-16228.852069077981</v>
      </c>
    </row>
    <row r="208" spans="12:22" ht="9.75" customHeight="1">
      <c r="L208" s="957"/>
      <c r="M208" s="262">
        <v>206</v>
      </c>
      <c r="N208" s="263">
        <f ca="1">$J$20-T207</f>
        <v>12117.939624599474</v>
      </c>
      <c r="O208" s="256">
        <f ca="1">KTVTD20namMH!F209</f>
        <v>60</v>
      </c>
      <c r="P208" s="451">
        <f ca="1">IF('Tinh phi QL'!$H$9="Nam",VLOOKUP(KTVCOI!$I$20,KTVCOI!$D$3:$F$103,2,0)*N208/1000/12,IF('Tinh phi QL'!$H$9="Nữ",VLOOKUP(KTVCOI!$I$20,KTVCOI!$D$3:$F$103,3,0)*N208/1000/12,0))</f>
        <v>3.9080355289333304</v>
      </c>
      <c r="Q208" s="957"/>
      <c r="R208" s="452">
        <f ca="1">IF('Tinh phi QL'!$H$9="Nam",VLOOKUP(KTVCOI!$I$20,KTVCOI!$D$3:$F$103,2,0)*S208/1000/12,IF('Tinh phi QL'!$H$9="Nữ",VLOOKUP(KTVCOI!$I$20,KTVCOI!$D$3:$F$103,3,0)*S208/1000/12,0))</f>
        <v>5.2338047922776489</v>
      </c>
      <c r="S208" s="451">
        <f ca="1">KTVTD20namMH!E209-V207</f>
        <v>16228.852069077981</v>
      </c>
      <c r="T208" s="425">
        <f ca="1">(T207-O208-P208)*(1+LS!$E$20)</f>
        <v>-12186.91183503695</v>
      </c>
      <c r="U208" s="958"/>
      <c r="V208" s="418">
        <f ca="1">(V207-O208-R208)*(1+LS!$F$20)</f>
        <v>-16355.267105990108</v>
      </c>
    </row>
    <row r="209" spans="12:22" ht="9.75" customHeight="1">
      <c r="L209" s="957"/>
      <c r="M209" s="262">
        <v>207</v>
      </c>
      <c r="N209" s="263">
        <f t="shared" ref="N209:N218" ca="1" si="21">$J$20-T208</f>
        <v>12186.91183503695</v>
      </c>
      <c r="O209" s="256">
        <f ca="1">KTVTD20namMH!F210</f>
        <v>60</v>
      </c>
      <c r="P209" s="451">
        <f ca="1">IF('Tinh phi QL'!$H$9="Nam",VLOOKUP(KTVCOI!$I$20,KTVCOI!$D$3:$F$103,2,0)*N209/1000/12,IF('Tinh phi QL'!$H$9="Nữ",VLOOKUP(KTVCOI!$I$20,KTVCOI!$D$3:$F$103,3,0)*N209/1000/12,0))</f>
        <v>3.9302790667994163</v>
      </c>
      <c r="Q209" s="957"/>
      <c r="R209" s="452">
        <f ca="1">IF('Tinh phi QL'!$H$9="Nam",VLOOKUP(KTVCOI!$I$20,KTVCOI!$D$3:$F$103,2,0)*S209/1000/12,IF('Tinh phi QL'!$H$9="Nữ",VLOOKUP(KTVCOI!$I$20,KTVCOI!$D$3:$F$103,3,0)*S209/1000/12,0))</f>
        <v>5.2745736416818092</v>
      </c>
      <c r="S209" s="451">
        <f ca="1">KTVTD20namMH!E210-V208</f>
        <v>16355.267105990108</v>
      </c>
      <c r="T209" s="425">
        <f ca="1">(T208-O209-P209)*(1+LS!$E$20)</f>
        <v>-12255.934971031013</v>
      </c>
      <c r="U209" s="958"/>
      <c r="V209" s="418">
        <f ca="1">(V208-O209-R209)*(1+LS!$F$20)</f>
        <v>-16482.197729551488</v>
      </c>
    </row>
    <row r="210" spans="12:22" ht="9.75" customHeight="1">
      <c r="L210" s="957"/>
      <c r="M210" s="262">
        <v>208</v>
      </c>
      <c r="N210" s="263">
        <f t="shared" ca="1" si="21"/>
        <v>12255.934971031013</v>
      </c>
      <c r="O210" s="256">
        <f ca="1">KTVTD20namMH!F211</f>
        <v>60</v>
      </c>
      <c r="P210" s="451">
        <f ca="1">IF('Tinh phi QL'!$H$9="Nam",VLOOKUP(KTVCOI!$I$20,KTVCOI!$D$3:$F$103,2,0)*N210/1000/12,IF('Tinh phi QL'!$H$9="Nữ",VLOOKUP(KTVCOI!$I$20,KTVCOI!$D$3:$F$103,3,0)*N210/1000/12,0))</f>
        <v>3.9525390281575015</v>
      </c>
      <c r="Q210" s="957"/>
      <c r="R210" s="452">
        <f ca="1">IF('Tinh phi QL'!$H$9="Nam",VLOOKUP(KTVCOI!$I$20,KTVCOI!$D$3:$F$103,2,0)*S210/1000/12,IF('Tinh phi QL'!$H$9="Nữ",VLOOKUP(KTVCOI!$I$20,KTVCOI!$D$3:$F$103,3,0)*S210/1000/12,0))</f>
        <v>5.3155087677803552</v>
      </c>
      <c r="S210" s="451">
        <f ca="1">KTVTD20namMH!E211-V209</f>
        <v>16482.197729551488</v>
      </c>
      <c r="T210" s="425">
        <f ca="1">(T209-O210-P210)*(1+LS!$E$20)</f>
        <v>-12325.009070182494</v>
      </c>
      <c r="U210" s="958"/>
      <c r="V210" s="418">
        <f ca="1">(V209-O210-R210)*(1+LS!$F$20)</f>
        <v>-16609.646042594188</v>
      </c>
    </row>
    <row r="211" spans="12:22" ht="9.75" customHeight="1">
      <c r="L211" s="957"/>
      <c r="M211" s="262">
        <v>209</v>
      </c>
      <c r="N211" s="263">
        <f t="shared" ca="1" si="21"/>
        <v>12325.009070182494</v>
      </c>
      <c r="O211" s="256">
        <f ca="1">KTVTD20namMH!F212</f>
        <v>60</v>
      </c>
      <c r="P211" s="451">
        <f ca="1">IF('Tinh phi QL'!$H$9="Nam",VLOOKUP(KTVCOI!$I$20,KTVCOI!$D$3:$F$103,2,0)*N211/1000/12,IF('Tinh phi QL'!$H$9="Nữ",VLOOKUP(KTVCOI!$I$20,KTVCOI!$D$3:$F$103,3,0)*N211/1000/12,0))</f>
        <v>3.9748154251338548</v>
      </c>
      <c r="Q211" s="957"/>
      <c r="R211" s="452">
        <f ca="1">IF('Tinh phi QL'!$H$9="Nam",VLOOKUP(KTVCOI!$I$20,KTVCOI!$D$3:$F$103,2,0)*S211/1000/12,IF('Tinh phi QL'!$H$9="Nữ",VLOOKUP(KTVCOI!$I$20,KTVCOI!$D$3:$F$103,3,0)*S211/1000/12,0))</f>
        <v>5.3566108487366257</v>
      </c>
      <c r="S211" s="451">
        <f ca="1">KTVTD20namMH!E212-V210</f>
        <v>16609.646042594188</v>
      </c>
      <c r="T211" s="425">
        <f ca="1">(T210-O211-P211)*(1+LS!$E$20)</f>
        <v>-12394.134170119984</v>
      </c>
      <c r="U211" s="958"/>
      <c r="V211" s="418">
        <f ca="1">(V210-O211-R211)*(1+LS!$F$20)</f>
        <v>-16737.614156526717</v>
      </c>
    </row>
    <row r="212" spans="12:22" ht="9.75" customHeight="1">
      <c r="L212" s="957"/>
      <c r="M212" s="262">
        <v>210</v>
      </c>
      <c r="N212" s="263">
        <f t="shared" ca="1" si="21"/>
        <v>12394.134170119984</v>
      </c>
      <c r="O212" s="256">
        <f ca="1">KTVTD20namMH!F213</f>
        <v>60</v>
      </c>
      <c r="P212" s="451">
        <f ca="1">IF('Tinh phi QL'!$H$9="Nam",VLOOKUP(KTVCOI!$I$20,KTVCOI!$D$3:$F$103,2,0)*N212/1000/12,IF('Tinh phi QL'!$H$9="Nữ",VLOOKUP(KTVCOI!$I$20,KTVCOI!$D$3:$F$103,3,0)*N212/1000/12,0))</f>
        <v>3.9971082698636948</v>
      </c>
      <c r="Q212" s="957"/>
      <c r="R212" s="452">
        <f ca="1">IF('Tinh phi QL'!$H$9="Nam",VLOOKUP(KTVCOI!$I$20,KTVCOI!$D$3:$F$103,2,0)*S212/1000/12,IF('Tinh phi QL'!$H$9="Nữ",VLOOKUP(KTVCOI!$I$20,KTVCOI!$D$3:$F$103,3,0)*S212/1000/12,0))</f>
        <v>5.3978805654798663</v>
      </c>
      <c r="S212" s="451">
        <f ca="1">KTVTD20namMH!E213-V211</f>
        <v>16737.614156526717</v>
      </c>
      <c r="T212" s="425">
        <f ca="1">(T211-O212-P212)*(1+LS!$E$20)</f>
        <v>-12463.310308499857</v>
      </c>
      <c r="U212" s="958"/>
      <c r="V212" s="418">
        <f ca="1">(V211-O212-R212)*(1+LS!$F$20)</f>
        <v>-16866.104191369017</v>
      </c>
    </row>
    <row r="213" spans="12:22" ht="9.75" customHeight="1">
      <c r="L213" s="957"/>
      <c r="M213" s="262">
        <v>211</v>
      </c>
      <c r="N213" s="263">
        <f t="shared" ca="1" si="21"/>
        <v>12463.310308499857</v>
      </c>
      <c r="O213" s="256">
        <f ca="1">KTVTD20namMH!F214</f>
        <v>60</v>
      </c>
      <c r="P213" s="451">
        <f ca="1">IF('Tinh phi QL'!$H$9="Nam",VLOOKUP(KTVCOI!$I$20,KTVCOI!$D$3:$F$103,2,0)*N213/1000/12,IF('Tinh phi QL'!$H$9="Nữ",VLOOKUP(KTVCOI!$I$20,KTVCOI!$D$3:$F$103,3,0)*N213/1000/12,0))</f>
        <v>4.0194175744912037</v>
      </c>
      <c r="Q213" s="957"/>
      <c r="R213" s="452">
        <f ca="1">IF('Tinh phi QL'!$H$9="Nam",VLOOKUP(KTVCOI!$I$20,KTVCOI!$D$3:$F$103,2,0)*S213/1000/12,IF('Tinh phi QL'!$H$9="Nữ",VLOOKUP(KTVCOI!$I$20,KTVCOI!$D$3:$F$103,3,0)*S213/1000/12,0))</f>
        <v>5.4393186017165078</v>
      </c>
      <c r="S213" s="451">
        <f ca="1">KTVTD20namMH!E214-V212</f>
        <v>16866.104191369017</v>
      </c>
      <c r="T213" s="425">
        <f ca="1">(T212-O213-P213)*(1+LS!$E$20)</f>
        <v>-12532.537523006291</v>
      </c>
      <c r="U213" s="958"/>
      <c r="V213" s="418">
        <f ca="1">(V212-O213-R213)*(1+LS!$F$20)</f>
        <v>-16995.118275787576</v>
      </c>
    </row>
    <row r="214" spans="12:22" ht="9.75" customHeight="1">
      <c r="L214" s="957"/>
      <c r="M214" s="262">
        <v>212</v>
      </c>
      <c r="N214" s="263">
        <f t="shared" ca="1" si="21"/>
        <v>12532.537523006291</v>
      </c>
      <c r="O214" s="256">
        <f ca="1">KTVTD20namMH!F215</f>
        <v>60</v>
      </c>
      <c r="P214" s="451">
        <f ca="1">IF('Tinh phi QL'!$H$9="Nam",VLOOKUP(KTVCOI!$I$20,KTVCOI!$D$3:$F$103,2,0)*N214/1000/12,IF('Tinh phi QL'!$H$9="Nữ",VLOOKUP(KTVCOI!$I$20,KTVCOI!$D$3:$F$103,3,0)*N214/1000/12,0))</f>
        <v>4.0417433511695284</v>
      </c>
      <c r="Q214" s="957"/>
      <c r="R214" s="452">
        <f ca="1">IF('Tinh phi QL'!$H$9="Nam",VLOOKUP(KTVCOI!$I$20,KTVCOI!$D$3:$F$103,2,0)*S214/1000/12,IF('Tinh phi QL'!$H$9="Nữ",VLOOKUP(KTVCOI!$I$20,KTVCOI!$D$3:$F$103,3,0)*S214/1000/12,0))</f>
        <v>5.4809256439414931</v>
      </c>
      <c r="S214" s="451">
        <f ca="1">KTVTD20namMH!E215-V213</f>
        <v>16995.118275787576</v>
      </c>
      <c r="T214" s="425">
        <f ca="1">(T213-O214-P214)*(1+LS!$E$20)</f>
        <v>-12601.815851351292</v>
      </c>
      <c r="U214" s="958"/>
      <c r="V214" s="418">
        <f ca="1">(V213-O214-R214)*(1+LS!$F$20)</f>
        <v>-17124.658547130704</v>
      </c>
    </row>
    <row r="215" spans="12:22" ht="9.75" customHeight="1">
      <c r="L215" s="957"/>
      <c r="M215" s="262">
        <v>213</v>
      </c>
      <c r="N215" s="263">
        <f t="shared" ca="1" si="21"/>
        <v>12601.815851351292</v>
      </c>
      <c r="O215" s="256">
        <f ca="1">KTVTD20namMH!F216</f>
        <v>60</v>
      </c>
      <c r="P215" s="451">
        <f ca="1">IF('Tinh phi QL'!$H$9="Nam",VLOOKUP(KTVCOI!$I$20,KTVCOI!$D$3:$F$103,2,0)*N215/1000/12,IF('Tinh phi QL'!$H$9="Nữ",VLOOKUP(KTVCOI!$I$20,KTVCOI!$D$3:$F$103,3,0)*N215/1000/12,0))</f>
        <v>4.0640856120607909</v>
      </c>
      <c r="Q215" s="957"/>
      <c r="R215" s="452">
        <f ca="1">IF('Tinh phi QL'!$H$9="Nam",VLOOKUP(KTVCOI!$I$20,KTVCOI!$D$3:$F$103,2,0)*S215/1000/12,IF('Tinh phi QL'!$H$9="Nữ",VLOOKUP(KTVCOI!$I$20,KTVCOI!$D$3:$F$103,3,0)*S215/1000/12,0))</f>
        <v>5.5227023814496521</v>
      </c>
      <c r="S215" s="451">
        <f ca="1">KTVTD20namMH!E216-V214</f>
        <v>17124.658547130704</v>
      </c>
      <c r="T215" s="425">
        <f ca="1">(T214-O215-P215)*(1+LS!$E$20)</f>
        <v>-12671.145331274703</v>
      </c>
      <c r="U215" s="958"/>
      <c r="V215" s="418">
        <f ca="1">(V214-O215-R215)*(1+LS!$F$20)</f>
        <v>-17254.727151463932</v>
      </c>
    </row>
    <row r="216" spans="12:22" ht="9.75" customHeight="1">
      <c r="L216" s="957"/>
      <c r="M216" s="262">
        <v>214</v>
      </c>
      <c r="N216" s="263">
        <f t="shared" ca="1" si="21"/>
        <v>12671.145331274703</v>
      </c>
      <c r="O216" s="256">
        <f ca="1">KTVTD20namMH!F217</f>
        <v>60</v>
      </c>
      <c r="P216" s="451">
        <f ca="1">IF('Tinh phi QL'!$H$9="Nam",VLOOKUP(KTVCOI!$I$20,KTVCOI!$D$3:$F$103,2,0)*N216/1000/12,IF('Tinh phi QL'!$H$9="Nữ",VLOOKUP(KTVCOI!$I$20,KTVCOI!$D$3:$F$103,3,0)*N216/1000/12,0))</f>
        <v>4.0864443693360917</v>
      </c>
      <c r="Q216" s="957"/>
      <c r="R216" s="452">
        <f ca="1">IF('Tinh phi QL'!$H$9="Nam",VLOOKUP(KTVCOI!$I$20,KTVCOI!$D$3:$F$103,2,0)*S216/1000/12,IF('Tinh phi QL'!$H$9="Nữ",VLOOKUP(KTVCOI!$I$20,KTVCOI!$D$3:$F$103,3,0)*S216/1000/12,0))</f>
        <v>5.5646495063471173</v>
      </c>
      <c r="S216" s="451">
        <f ca="1">KTVTD20namMH!E217-V215</f>
        <v>17254.727151463932</v>
      </c>
      <c r="T216" s="425">
        <f ca="1">(T215-O216-P216)*(1+LS!$E$20)</f>
        <v>-12740.52600054424</v>
      </c>
      <c r="U216" s="958"/>
      <c r="V216" s="418">
        <f ca="1">(V215-O216-R216)*(1+LS!$F$20)</f>
        <v>-17385.32624360557</v>
      </c>
    </row>
    <row r="217" spans="12:22" ht="9.75" customHeight="1">
      <c r="L217" s="957"/>
      <c r="M217" s="262">
        <v>215</v>
      </c>
      <c r="N217" s="263">
        <f t="shared" ca="1" si="21"/>
        <v>12740.52600054424</v>
      </c>
      <c r="O217" s="256">
        <f ca="1">KTVTD20namMH!F218</f>
        <v>60</v>
      </c>
      <c r="P217" s="451">
        <f ca="1">IF('Tinh phi QL'!$H$9="Nam",VLOOKUP(KTVCOI!$I$20,KTVCOI!$D$3:$F$103,2,0)*N217/1000/12,IF('Tinh phi QL'!$H$9="Nữ",VLOOKUP(KTVCOI!$I$20,KTVCOI!$D$3:$F$103,3,0)*N217/1000/12,0))</f>
        <v>4.1088196351755171</v>
      </c>
      <c r="Q217" s="957"/>
      <c r="R217" s="452">
        <f ca="1">IF('Tinh phi QL'!$H$9="Nam",VLOOKUP(KTVCOI!$I$20,KTVCOI!$D$3:$F$103,2,0)*S217/1000/12,IF('Tinh phi QL'!$H$9="Nữ",VLOOKUP(KTVCOI!$I$20,KTVCOI!$D$3:$F$103,3,0)*S217/1000/12,0))</f>
        <v>5.606767713562796</v>
      </c>
      <c r="S217" s="451">
        <f ca="1">KTVTD20namMH!E218-V216</f>
        <v>17385.32624360557</v>
      </c>
      <c r="T217" s="425">
        <f ca="1">(T216-O217-P217)*(1+LS!$E$20)</f>
        <v>-12809.957896955499</v>
      </c>
      <c r="U217" s="958"/>
      <c r="V217" s="418">
        <f ca="1">(V216-O217-R217)*(1+LS!$F$20)</f>
        <v>-17516.457987162397</v>
      </c>
    </row>
    <row r="218" spans="12:22" ht="9.75" customHeight="1">
      <c r="L218" s="957"/>
      <c r="M218" s="262">
        <v>216</v>
      </c>
      <c r="N218" s="263">
        <f t="shared" ca="1" si="21"/>
        <v>12809.957896955499</v>
      </c>
      <c r="O218" s="256">
        <f ca="1">KTVTD20namMH!F219</f>
        <v>60</v>
      </c>
      <c r="P218" s="451">
        <f ca="1">IF('Tinh phi QL'!$H$9="Nam",VLOOKUP(KTVCOI!$I$20,KTVCOI!$D$3:$F$103,2,0)*N218/1000/12,IF('Tinh phi QL'!$H$9="Nữ",VLOOKUP(KTVCOI!$I$20,KTVCOI!$D$3:$F$103,3,0)*N218/1000/12,0))</f>
        <v>4.1312114217681488</v>
      </c>
      <c r="Q218" s="957"/>
      <c r="R218" s="452">
        <f ca="1">IF('Tinh phi QL'!$H$9="Nam",VLOOKUP(KTVCOI!$I$20,KTVCOI!$D$3:$F$103,2,0)*S218/1000/12,IF('Tinh phi QL'!$H$9="Nữ",VLOOKUP(KTVCOI!$I$20,KTVCOI!$D$3:$F$103,3,0)*S218/1000/12,0))</f>
        <v>5.6490577008598741</v>
      </c>
      <c r="S218" s="451">
        <f ca="1">KTVTD20namMH!E219-V217</f>
        <v>17516.457987162397</v>
      </c>
      <c r="T218" s="426">
        <f ca="1">(T217-O218-P218)*(1+LS!$E$20)</f>
        <v>-12879.441058331984</v>
      </c>
      <c r="U218" s="958"/>
      <c r="V218" s="419">
        <f ca="1">(V217-O218-R218)*(1+LS!$F$20)</f>
        <v>-17648.124554565526</v>
      </c>
    </row>
    <row r="219" spans="12:22" ht="9.75" customHeight="1">
      <c r="L219" s="959">
        <f>L207+1</f>
        <v>19</v>
      </c>
      <c r="M219" s="252">
        <v>217</v>
      </c>
      <c r="N219" s="256">
        <f ca="1">$J$21-T218-KTVTDGTTKcamket!F25</f>
        <v>12879.441058331984</v>
      </c>
      <c r="O219" s="256">
        <f ca="1">KTVTD20namMH!F220</f>
        <v>60</v>
      </c>
      <c r="P219" s="452">
        <f ca="1">IF('Tinh phi QL'!$H$9="Nam",VLOOKUP(KTVCOI!$I$21,KTVCOI!$D$3:$F$103,2,0)*N219/1000/12,IF('Tinh phi QL'!$H$9="Nữ",VLOOKUP(KTVCOI!$I$21,KTVCOI!$D$3:$F$103,3,0)*N219/1000/12,0))</f>
        <v>4.4863386353189743</v>
      </c>
      <c r="Q219" s="957"/>
      <c r="R219" s="452">
        <f ca="1">IF('Tinh phi QL'!$H$9="Nam",VLOOKUP(KTVCOI!$I$21,KTVCOI!$D$3:$F$103,2,0)*S219/1000/12,IF('Tinh phi QL'!$H$9="Nữ",VLOOKUP(KTVCOI!$I$21,KTVCOI!$D$3:$F$103,3,0)*S219/1000/12,0))</f>
        <v>6.1474300531736574</v>
      </c>
      <c r="S219" s="452">
        <f ca="1">KTVTD20namMH!E220-V218-KTVTDGTTKMH!F25</f>
        <v>17648.124554565526</v>
      </c>
      <c r="T219" s="425">
        <f ca="1">(T218+KTVTDGTTKcamket!F25-O219-P219)*(1+LS!$E$21)</f>
        <v>-12949.308379735317</v>
      </c>
      <c r="U219" s="958">
        <f>Q219</f>
        <v>0</v>
      </c>
      <c r="V219" s="418">
        <f ca="1">(V218+KTVTDGTTKMH!F25-O219-R219)*(1+LS!$F$21)</f>
        <v>-17780.78574884668</v>
      </c>
    </row>
    <row r="220" spans="12:22" ht="9.75" customHeight="1">
      <c r="L220" s="959"/>
      <c r="M220" s="252">
        <v>218</v>
      </c>
      <c r="N220" s="256">
        <f ca="1">$J$21-T219</f>
        <v>12949.308379735317</v>
      </c>
      <c r="O220" s="256">
        <f ca="1">KTVTD20namMH!F221</f>
        <v>60</v>
      </c>
      <c r="P220" s="452">
        <f ca="1">IF('Tinh phi QL'!$H$9="Nam",VLOOKUP(KTVCOI!$I$21,KTVCOI!$D$3:$F$103,2,0)*N220/1000/12,IF('Tinh phi QL'!$H$9="Nữ",VLOOKUP(KTVCOI!$I$21,KTVCOI!$D$3:$F$103,3,0)*N220/1000/12,0))</f>
        <v>4.5106757522744685</v>
      </c>
      <c r="Q220" s="957"/>
      <c r="R220" s="452">
        <f ca="1">IF('Tinh phi QL'!$H$9="Nam",VLOOKUP(KTVCOI!$I$21,KTVCOI!$D$3:$F$103,2,0)*S220/1000/12,IF('Tinh phi QL'!$H$9="Nữ",VLOOKUP(KTVCOI!$I$21,KTVCOI!$D$3:$F$103,3,0)*S220/1000/12,0))</f>
        <v>6.1936403691815931</v>
      </c>
      <c r="S220" s="452">
        <f ca="1">KTVTD20namMH!E221-V219</f>
        <v>17780.78574884668</v>
      </c>
      <c r="T220" s="425">
        <f ca="1">(T219-O220-P220)*(1+LS!$E$21)</f>
        <v>-13019.229093255577</v>
      </c>
      <c r="U220" s="958"/>
      <c r="V220" s="418">
        <f ca="1">(V219-O220-R220)*(1+LS!$F$21)</f>
        <v>-17913.991444823154</v>
      </c>
    </row>
    <row r="221" spans="12:22" ht="9.75" customHeight="1">
      <c r="L221" s="959"/>
      <c r="M221" s="252">
        <v>219</v>
      </c>
      <c r="N221" s="256">
        <f t="shared" ref="N221:N230" ca="1" si="22">$J$21-T220</f>
        <v>13019.229093255577</v>
      </c>
      <c r="O221" s="256">
        <f ca="1">KTVTD20namMH!F222</f>
        <v>60</v>
      </c>
      <c r="P221" s="452">
        <f ca="1">IF('Tinh phi QL'!$H$9="Nam",VLOOKUP(KTVCOI!$I$21,KTVCOI!$D$3:$F$103,2,0)*N221/1000/12,IF('Tinh phi QL'!$H$9="Nữ",VLOOKUP(KTVCOI!$I$21,KTVCOI!$D$3:$F$103,3,0)*N221/1000/12,0))</f>
        <v>4.5350314674840257</v>
      </c>
      <c r="Q221" s="957"/>
      <c r="R221" s="452">
        <f ca="1">IF('Tinh phi QL'!$H$9="Nam",VLOOKUP(KTVCOI!$I$21,KTVCOI!$D$3:$F$103,2,0)*S221/1000/12,IF('Tinh phi QL'!$H$9="Nữ",VLOOKUP(KTVCOI!$I$21,KTVCOI!$D$3:$F$103,3,0)*S221/1000/12,0))</f>
        <v>6.2400403532800652</v>
      </c>
      <c r="S221" s="452">
        <f ca="1">KTVTD20namMH!E222-V220</f>
        <v>17913.991444823154</v>
      </c>
      <c r="T221" s="425">
        <f ca="1">(T220-O221-P221)*(1+LS!$E$21)</f>
        <v>-13089.203239694642</v>
      </c>
      <c r="U221" s="958"/>
      <c r="V221" s="418">
        <f ca="1">(V220-O221-R221)*(1+LS!$F$21)</f>
        <v>-18047.743877376804</v>
      </c>
    </row>
    <row r="222" spans="12:22" ht="9.75" customHeight="1">
      <c r="L222" s="959"/>
      <c r="M222" s="252">
        <v>220</v>
      </c>
      <c r="N222" s="256">
        <f t="shared" ca="1" si="22"/>
        <v>13089.203239694642</v>
      </c>
      <c r="O222" s="256">
        <f ca="1">KTVTD20namMH!F223</f>
        <v>60</v>
      </c>
      <c r="P222" s="452">
        <f ca="1">IF('Tinh phi QL'!$H$9="Nam",VLOOKUP(KTVCOI!$I$21,KTVCOI!$D$3:$F$103,2,0)*N222/1000/12,IF('Tinh phi QL'!$H$9="Nữ",VLOOKUP(KTVCOI!$I$21,KTVCOI!$D$3:$F$103,3,0)*N222/1000/12,0))</f>
        <v>4.5594057951602993</v>
      </c>
      <c r="Q222" s="957"/>
      <c r="R222" s="452">
        <f ca="1">IF('Tinh phi QL'!$H$9="Nam",VLOOKUP(KTVCOI!$I$21,KTVCOI!$D$3:$F$103,2,0)*S222/1000/12,IF('Tinh phi QL'!$H$9="Nữ",VLOOKUP(KTVCOI!$I$21,KTVCOI!$D$3:$F$103,3,0)*S222/1000/12,0))</f>
        <v>6.2866307839529192</v>
      </c>
      <c r="S222" s="452">
        <f ca="1">KTVTD20namMH!E223-V221</f>
        <v>18047.743877376804</v>
      </c>
      <c r="T222" s="425">
        <f ca="1">(T221-O222-P222)*(1+LS!$E$21)</f>
        <v>-13159.230859885574</v>
      </c>
      <c r="U222" s="958"/>
      <c r="V222" s="418">
        <f ca="1">(V221-O222-R222)*(1+LS!$F$21)</f>
        <v>-18182.045290562455</v>
      </c>
    </row>
    <row r="223" spans="12:22" ht="9.75" customHeight="1">
      <c r="L223" s="959"/>
      <c r="M223" s="252">
        <v>221</v>
      </c>
      <c r="N223" s="256">
        <f t="shared" ca="1" si="22"/>
        <v>13159.230859885574</v>
      </c>
      <c r="O223" s="256">
        <f ca="1">KTVTD20namMH!F224</f>
        <v>60</v>
      </c>
      <c r="P223" s="452">
        <f ca="1">IF('Tinh phi QL'!$H$9="Nam",VLOOKUP(KTVCOI!$I$21,KTVCOI!$D$3:$F$103,2,0)*N223/1000/12,IF('Tinh phi QL'!$H$9="Nữ",VLOOKUP(KTVCOI!$I$21,KTVCOI!$D$3:$F$103,3,0)*N223/1000/12,0))</f>
        <v>4.5837987495268075</v>
      </c>
      <c r="Q223" s="957"/>
      <c r="R223" s="452">
        <f ca="1">IF('Tinh phi QL'!$H$9="Nam",VLOOKUP(KTVCOI!$I$21,KTVCOI!$D$3:$F$103,2,0)*S223/1000/12,IF('Tinh phi QL'!$H$9="Nữ",VLOOKUP(KTVCOI!$I$21,KTVCOI!$D$3:$F$103,3,0)*S223/1000/12,0))</f>
        <v>6.3334124428792551</v>
      </c>
      <c r="S223" s="452">
        <f ca="1">KTVTD20namMH!E224-V222</f>
        <v>18182.045290562455</v>
      </c>
      <c r="T223" s="425">
        <f ca="1">(T222-O223-P223)*(1+LS!$E$21)</f>
        <v>-13229.311994692642</v>
      </c>
      <c r="U223" s="958"/>
      <c r="V223" s="418">
        <f ca="1">(V222-O223-R223)*(1+LS!$F$21)</f>
        <v>-18316.897937645546</v>
      </c>
    </row>
    <row r="224" spans="12:22" ht="9.75" customHeight="1">
      <c r="L224" s="959"/>
      <c r="M224" s="252">
        <v>222</v>
      </c>
      <c r="N224" s="256">
        <f t="shared" ca="1" si="22"/>
        <v>13229.311994692642</v>
      </c>
      <c r="O224" s="256">
        <f ca="1">KTVTD20namMH!F225</f>
        <v>60</v>
      </c>
      <c r="P224" s="452">
        <f ca="1">IF('Tinh phi QL'!$H$9="Nam",VLOOKUP(KTVCOI!$I$21,KTVCOI!$D$3:$F$103,2,0)*N224/1000/12,IF('Tinh phi QL'!$H$9="Nữ",VLOOKUP(KTVCOI!$I$21,KTVCOI!$D$3:$F$103,3,0)*N224/1000/12,0))</f>
        <v>4.6082103448179366</v>
      </c>
      <c r="Q224" s="957"/>
      <c r="R224" s="452">
        <f ca="1">IF('Tinh phi QL'!$H$9="Nam",VLOOKUP(KTVCOI!$I$21,KTVCOI!$D$3:$F$103,2,0)*S224/1000/12,IF('Tinh phi QL'!$H$9="Nữ",VLOOKUP(KTVCOI!$I$21,KTVCOI!$D$3:$F$103,3,0)*S224/1000/12,0))</f>
        <v>6.3803861149465311</v>
      </c>
      <c r="S224" s="452">
        <f ca="1">KTVTD20namMH!E225-V223</f>
        <v>18316.897937645546</v>
      </c>
      <c r="T224" s="425">
        <f ca="1">(T223-O224-P224)*(1+LS!$E$21)</f>
        <v>-13299.446685011337</v>
      </c>
      <c r="U224" s="958"/>
      <c r="V224" s="418">
        <f ca="1">(V223-O224-R224)*(1+LS!$F$21)</f>
        <v>-18452.304081139948</v>
      </c>
    </row>
    <row r="225" spans="12:22" ht="9.75" customHeight="1">
      <c r="L225" s="959"/>
      <c r="M225" s="252">
        <v>223</v>
      </c>
      <c r="N225" s="256">
        <f t="shared" ca="1" si="22"/>
        <v>13299.446685011337</v>
      </c>
      <c r="O225" s="256">
        <f ca="1">KTVTD20namMH!F226</f>
        <v>60</v>
      </c>
      <c r="P225" s="452">
        <f ca="1">IF('Tinh phi QL'!$H$9="Nam",VLOOKUP(KTVCOI!$I$21,KTVCOI!$D$3:$F$103,2,0)*N225/1000/12,IF('Tinh phi QL'!$H$9="Nữ",VLOOKUP(KTVCOI!$I$21,KTVCOI!$D$3:$F$103,3,0)*N225/1000/12,0))</f>
        <v>4.6326405952789491</v>
      </c>
      <c r="Q225" s="957"/>
      <c r="R225" s="452">
        <f ca="1">IF('Tinh phi QL'!$H$9="Nam",VLOOKUP(KTVCOI!$I$21,KTVCOI!$D$3:$F$103,2,0)*S225/1000/12,IF('Tinh phi QL'!$H$9="Nữ",VLOOKUP(KTVCOI!$I$21,KTVCOI!$D$3:$F$103,3,0)*S225/1000/12,0))</f>
        <v>6.4275525882637483</v>
      </c>
      <c r="S225" s="452">
        <f ca="1">KTVTD20namMH!E226-V224</f>
        <v>18452.304081139948</v>
      </c>
      <c r="T225" s="425">
        <f ca="1">(T224-O225-P225)*(1+LS!$E$21)</f>
        <v>-13369.634971768406</v>
      </c>
      <c r="U225" s="958"/>
      <c r="V225" s="418">
        <f ca="1">(V224-O225-R225)*(1+LS!$F$21)</f>
        <v>-18588.265992845911</v>
      </c>
    </row>
    <row r="226" spans="12:22" ht="9.75" customHeight="1">
      <c r="L226" s="959"/>
      <c r="M226" s="252">
        <v>224</v>
      </c>
      <c r="N226" s="256">
        <f t="shared" ca="1" si="22"/>
        <v>13369.634971768406</v>
      </c>
      <c r="O226" s="256">
        <f ca="1">KTVTD20namMH!F227</f>
        <v>60</v>
      </c>
      <c r="P226" s="452">
        <f ca="1">IF('Tinh phi QL'!$H$9="Nam",VLOOKUP(KTVCOI!$I$21,KTVCOI!$D$3:$F$103,2,0)*N226/1000/12,IF('Tinh phi QL'!$H$9="Nữ",VLOOKUP(KTVCOI!$I$21,KTVCOI!$D$3:$F$103,3,0)*N226/1000/12,0))</f>
        <v>4.6570895151659943</v>
      </c>
      <c r="Q226" s="957"/>
      <c r="R226" s="452">
        <f ca="1">IF('Tinh phi QL'!$H$9="Nam",VLOOKUP(KTVCOI!$I$21,KTVCOI!$D$3:$F$103,2,0)*S226/1000/12,IF('Tinh phi QL'!$H$9="Nữ",VLOOKUP(KTVCOI!$I$21,KTVCOI!$D$3:$F$103,3,0)*S226/1000/12,0))</f>
        <v>6.4749126541746582</v>
      </c>
      <c r="S226" s="452">
        <f ca="1">KTVTD20namMH!E227-V225</f>
        <v>18588.265992845911</v>
      </c>
      <c r="T226" s="425">
        <f ca="1">(T225-O226-P226)*(1+LS!$E$21)</f>
        <v>-13439.876895921872</v>
      </c>
      <c r="U226" s="958"/>
      <c r="V226" s="418">
        <f ca="1">(V225-O226-R226)*(1+LS!$F$21)</f>
        <v>-18724.785953888182</v>
      </c>
    </row>
    <row r="227" spans="12:22" ht="9.75" customHeight="1">
      <c r="L227" s="959"/>
      <c r="M227" s="252">
        <v>225</v>
      </c>
      <c r="N227" s="256">
        <f t="shared" ca="1" si="22"/>
        <v>13439.876895921872</v>
      </c>
      <c r="O227" s="256">
        <f ca="1">KTVTD20namMH!F228</f>
        <v>60</v>
      </c>
      <c r="P227" s="452">
        <f ca="1">IF('Tinh phi QL'!$H$9="Nam",VLOOKUP(KTVCOI!$I$21,KTVCOI!$D$3:$F$103,2,0)*N227/1000/12,IF('Tinh phi QL'!$H$9="Nữ",VLOOKUP(KTVCOI!$I$21,KTVCOI!$D$3:$F$103,3,0)*N227/1000/12,0))</f>
        <v>4.6815571187461185</v>
      </c>
      <c r="Q227" s="957"/>
      <c r="R227" s="452">
        <f ca="1">IF('Tinh phi QL'!$H$9="Nam",VLOOKUP(KTVCOI!$I$21,KTVCOI!$D$3:$F$103,2,0)*S227/1000/12,IF('Tinh phi QL'!$H$9="Nữ",VLOOKUP(KTVCOI!$I$21,KTVCOI!$D$3:$F$103,3,0)*S227/1000/12,0))</f>
        <v>6.5224671072710487</v>
      </c>
      <c r="S227" s="452">
        <f ca="1">KTVTD20namMH!E228-V226</f>
        <v>18724.785953888182</v>
      </c>
      <c r="T227" s="425">
        <f ca="1">(T226-O227-P227)*(1+LS!$E$21)</f>
        <v>-13510.172498461057</v>
      </c>
      <c r="U227" s="958"/>
      <c r="V227" s="418">
        <f ca="1">(V226-O227-R227)*(1+LS!$F$21)</f>
        <v>-18861.866254754281</v>
      </c>
    </row>
    <row r="228" spans="12:22" ht="9.75" customHeight="1">
      <c r="L228" s="959"/>
      <c r="M228" s="252">
        <v>226</v>
      </c>
      <c r="N228" s="256">
        <f t="shared" ca="1" si="22"/>
        <v>13510.172498461057</v>
      </c>
      <c r="O228" s="256">
        <f ca="1">KTVTD20namMH!F229</f>
        <v>60</v>
      </c>
      <c r="P228" s="452">
        <f ca="1">IF('Tinh phi QL'!$H$9="Nam",VLOOKUP(KTVCOI!$I$21,KTVCOI!$D$3:$F$103,2,0)*N228/1000/12,IF('Tinh phi QL'!$H$9="Nữ",VLOOKUP(KTVCOI!$I$21,KTVCOI!$D$3:$F$103,3,0)*N228/1000/12,0))</f>
        <v>4.7060434202972674</v>
      </c>
      <c r="Q228" s="957"/>
      <c r="R228" s="452">
        <f ca="1">IF('Tinh phi QL'!$H$9="Nam",VLOOKUP(KTVCOI!$I$21,KTVCOI!$D$3:$F$103,2,0)*S228/1000/12,IF('Tinh phi QL'!$H$9="Nữ",VLOOKUP(KTVCOI!$I$21,KTVCOI!$D$3:$F$103,3,0)*S228/1000/12,0))</f>
        <v>6.570216745406074</v>
      </c>
      <c r="S228" s="452">
        <f ca="1">KTVTD20namMH!E229-V227</f>
        <v>18861.866254754281</v>
      </c>
      <c r="T228" s="425">
        <f ca="1">(T227-O228-P228)*(1+LS!$E$21)</f>
        <v>-13580.521820406608</v>
      </c>
      <c r="U228" s="958"/>
      <c r="V228" s="418">
        <f ca="1">(V227-O228-R228)*(1+LS!$F$21)</f>
        <v>-18999.509195332925</v>
      </c>
    </row>
    <row r="229" spans="12:22" ht="9.75" customHeight="1">
      <c r="L229" s="959"/>
      <c r="M229" s="252">
        <v>227</v>
      </c>
      <c r="N229" s="256">
        <f t="shared" ca="1" si="22"/>
        <v>13580.521820406608</v>
      </c>
      <c r="O229" s="256">
        <f ca="1">KTVTD20namMH!F230</f>
        <v>60</v>
      </c>
      <c r="P229" s="452">
        <f ca="1">IF('Tinh phi QL'!$H$9="Nam",VLOOKUP(KTVCOI!$I$21,KTVCOI!$D$3:$F$103,2,0)*N229/1000/12,IF('Tinh phi QL'!$H$9="Nữ",VLOOKUP(KTVCOI!$I$21,KTVCOI!$D$3:$F$103,3,0)*N229/1000/12,0))</f>
        <v>4.7305484341083011</v>
      </c>
      <c r="Q229" s="957"/>
      <c r="R229" s="452">
        <f ca="1">IF('Tinh phi QL'!$H$9="Nam",VLOOKUP(KTVCOI!$I$21,KTVCOI!$D$3:$F$103,2,0)*S229/1000/12,IF('Tinh phi QL'!$H$9="Nữ",VLOOKUP(KTVCOI!$I$21,KTVCOI!$D$3:$F$103,3,0)*S229/1000/12,0))</f>
        <v>6.6181623697076342</v>
      </c>
      <c r="S229" s="452">
        <f ca="1">KTVTD20namMH!E230-V228</f>
        <v>18999.509195332925</v>
      </c>
      <c r="T229" s="425">
        <f ca="1">(T228-O229-P229)*(1+LS!$E$21)</f>
        <v>-13650.924902810517</v>
      </c>
      <c r="U229" s="958"/>
      <c r="V229" s="418">
        <f ca="1">(V228-O229-R229)*(1+LS!$F$21)</f>
        <v>-19137.717084952619</v>
      </c>
    </row>
    <row r="230" spans="12:22" ht="9.75" customHeight="1">
      <c r="L230" s="959"/>
      <c r="M230" s="252">
        <v>228</v>
      </c>
      <c r="N230" s="256">
        <f t="shared" ca="1" si="22"/>
        <v>13650.924902810517</v>
      </c>
      <c r="O230" s="256">
        <f ca="1">KTVTD20namMH!F231</f>
        <v>60</v>
      </c>
      <c r="P230" s="452">
        <f ca="1">IF('Tinh phi QL'!$H$9="Nam",VLOOKUP(KTVCOI!$I$21,KTVCOI!$D$3:$F$103,2,0)*N230/1000/12,IF('Tinh phi QL'!$H$9="Nữ",VLOOKUP(KTVCOI!$I$21,KTVCOI!$D$3:$F$103,3,0)*N230/1000/12,0))</f>
        <v>4.7550721744789968</v>
      </c>
      <c r="Q230" s="957"/>
      <c r="R230" s="452">
        <f ca="1">IF('Tinh phi QL'!$H$9="Nam",VLOOKUP(KTVCOI!$I$21,KTVCOI!$D$3:$F$103,2,0)*S230/1000/12,IF('Tinh phi QL'!$H$9="Nữ",VLOOKUP(KTVCOI!$I$21,KTVCOI!$D$3:$F$103,3,0)*S230/1000/12,0))</f>
        <v>6.6663047845918291</v>
      </c>
      <c r="S230" s="452">
        <f ca="1">KTVTD20namMH!E231-V229</f>
        <v>19137.717084952619</v>
      </c>
      <c r="T230" s="426">
        <f ca="1">(T229-O230-P230)*(1+LS!$E$21)</f>
        <v>-13721.38178675615</v>
      </c>
      <c r="U230" s="958"/>
      <c r="V230" s="419">
        <f ca="1">(V229-O230-R230)*(1+LS!$F$21)</f>
        <v>-19276.492242420394</v>
      </c>
    </row>
    <row r="231" spans="12:22" ht="9.75" customHeight="1">
      <c r="L231" s="957">
        <f>L219+1</f>
        <v>20</v>
      </c>
      <c r="M231" s="262">
        <v>229</v>
      </c>
      <c r="N231" s="263">
        <f ca="1">$J$22-T230-KTVTDGTTKcamket!F26</f>
        <v>13721.38178675615</v>
      </c>
      <c r="O231" s="256">
        <f ca="1">KTVTD20namMH!F232</f>
        <v>60</v>
      </c>
      <c r="P231" s="451">
        <f ca="1">IF('Tinh phi QL'!$H$9="Nam",VLOOKUP(KTVCOI!$I$22,KTVCOI!$D$3:$F$103,2,0)*N231/1000/12,IF('Tinh phi QL'!$H$9="Nữ",VLOOKUP(KTVCOI!$I$22,KTVCOI!$D$3:$F$103,3,0)*N231/1000/12,0))</f>
        <v>5.1683871396781491</v>
      </c>
      <c r="Q231" s="957">
        <f ca="1">KTVTD20namcamket!I232</f>
        <v>0</v>
      </c>
      <c r="R231" s="452">
        <f ca="1">IF('Tinh phi QL'!$H$9="Nam",VLOOKUP(KTVCOI!$I$22,KTVCOI!$D$3:$F$103,2,0)*S231/1000/12,IF('Tinh phi QL'!$H$9="Nữ",VLOOKUP(KTVCOI!$I$22,KTVCOI!$D$3:$F$103,3,0)*S231/1000/12,0))</f>
        <v>7.2608120779783478</v>
      </c>
      <c r="S231" s="451">
        <f ca="1">KTVTD20namMH!E232-V230-KTVTDGTTKMH!F26</f>
        <v>19276.492242420394</v>
      </c>
      <c r="T231" s="425">
        <f ca="1">(T230+KTVTDGTTKcamket!F26-O231-P231)*(1+LS!$E$22)</f>
        <v>-13792.281447460718</v>
      </c>
      <c r="U231" s="958">
        <f ca="1">Q231</f>
        <v>0</v>
      </c>
      <c r="V231" s="418">
        <f ca="1">(V230+KTVTDGTTKMH!F26-O231-R231)*(1+LS!$F$22)</f>
        <v>-19416.385214096485</v>
      </c>
    </row>
    <row r="232" spans="12:22" ht="9.75" customHeight="1">
      <c r="L232" s="957"/>
      <c r="M232" s="262">
        <v>230</v>
      </c>
      <c r="N232" s="263">
        <f ca="1">$J$22-T231</f>
        <v>13792.281447460718</v>
      </c>
      <c r="O232" s="256">
        <f ca="1">KTVTD20namMH!F233</f>
        <v>60</v>
      </c>
      <c r="P232" s="451">
        <f ca="1">IF('Tinh phi QL'!$H$9="Nam",VLOOKUP(KTVCOI!$I$22,KTVCOI!$D$3:$F$103,2,0)*N232/1000/12,IF('Tinh phi QL'!$H$9="Nữ",VLOOKUP(KTVCOI!$I$22,KTVCOI!$D$3:$F$103,3,0)*N232/1000/12,0))</f>
        <v>5.1950926785435367</v>
      </c>
      <c r="Q232" s="957"/>
      <c r="R232" s="452">
        <f ca="1">IF('Tinh phi QL'!$H$9="Nam",VLOOKUP(KTVCOI!$I$22,KTVCOI!$D$3:$F$103,2,0)*S232/1000/12,IF('Tinh phi QL'!$H$9="Nữ",VLOOKUP(KTVCOI!$I$22,KTVCOI!$D$3:$F$103,3,0)*S232/1000/12,0))</f>
        <v>7.313505097309676</v>
      </c>
      <c r="S232" s="451">
        <f ca="1">KTVTD20namMH!E233-V231</f>
        <v>19416.385214096485</v>
      </c>
      <c r="T232" s="425">
        <f ca="1">(T231-O232-P232)*(1+LS!$E$22)</f>
        <v>-13863.237298847482</v>
      </c>
      <c r="U232" s="958"/>
      <c r="V232" s="418">
        <f ca="1">(V231-O232-R232)*(1+LS!$F$22)</f>
        <v>-19556.856348478406</v>
      </c>
    </row>
    <row r="233" spans="12:22" ht="9.75" customHeight="1">
      <c r="L233" s="957"/>
      <c r="M233" s="262">
        <v>231</v>
      </c>
      <c r="N233" s="263">
        <f t="shared" ref="N233:N242" ca="1" si="23">$J$22-T232</f>
        <v>13863.237298847482</v>
      </c>
      <c r="O233" s="256">
        <f ca="1">KTVTD20namMH!F234</f>
        <v>60</v>
      </c>
      <c r="P233" s="451">
        <f ca="1">IF('Tinh phi QL'!$H$9="Nam",VLOOKUP(KTVCOI!$I$22,KTVCOI!$D$3:$F$103,2,0)*N233/1000/12,IF('Tinh phi QL'!$H$9="Nữ",VLOOKUP(KTVCOI!$I$22,KTVCOI!$D$3:$F$103,3,0)*N233/1000/12,0))</f>
        <v>5.2218193825658838</v>
      </c>
      <c r="Q233" s="957"/>
      <c r="R233" s="452">
        <f ca="1">IF('Tinh phi QL'!$H$9="Nam",VLOOKUP(KTVCOI!$I$22,KTVCOI!$D$3:$F$103,2,0)*S233/1000/12,IF('Tinh phi QL'!$H$9="Nữ",VLOOKUP(KTVCOI!$I$22,KTVCOI!$D$3:$F$103,3,0)*S233/1000/12,0))</f>
        <v>7.3664158912601989</v>
      </c>
      <c r="S233" s="451">
        <f ca="1">KTVTD20namMH!E234-V232</f>
        <v>19556.856348478406</v>
      </c>
      <c r="T233" s="425">
        <f ca="1">(T232-O233-P233)*(1+LS!$E$22)</f>
        <v>-13934.249385449697</v>
      </c>
      <c r="U233" s="958"/>
      <c r="V233" s="418">
        <f ca="1">(V232-O233-R233)*(1+LS!$F$22)</f>
        <v>-19697.908035050848</v>
      </c>
    </row>
    <row r="234" spans="12:22" ht="9.75" customHeight="1">
      <c r="L234" s="957"/>
      <c r="M234" s="262">
        <v>232</v>
      </c>
      <c r="N234" s="263">
        <f t="shared" ca="1" si="23"/>
        <v>13934.249385449697</v>
      </c>
      <c r="O234" s="256">
        <f ca="1">KTVTD20namMH!F235</f>
        <v>60</v>
      </c>
      <c r="P234" s="451">
        <f ca="1">IF('Tinh phi QL'!$H$9="Nam",VLOOKUP(KTVCOI!$I$22,KTVCOI!$D$3:$F$103,2,0)*N234/1000/12,IF('Tinh phi QL'!$H$9="Nữ",VLOOKUP(KTVCOI!$I$22,KTVCOI!$D$3:$F$103,3,0)*N234/1000/12,0))</f>
        <v>5.2485672685193849</v>
      </c>
      <c r="Q234" s="957"/>
      <c r="R234" s="452">
        <f ca="1">IF('Tinh phi QL'!$H$9="Nam",VLOOKUP(KTVCOI!$I$22,KTVCOI!$D$3:$F$103,2,0)*S234/1000/12,IF('Tinh phi QL'!$H$9="Nữ",VLOOKUP(KTVCOI!$I$22,KTVCOI!$D$3:$F$103,3,0)*S234/1000/12,0))</f>
        <v>7.4195453598691516</v>
      </c>
      <c r="S234" s="451">
        <f ca="1">KTVTD20namMH!E235-V233</f>
        <v>19697.908035050848</v>
      </c>
      <c r="T234" s="425">
        <f ca="1">(T233-O234-P234)*(1+LS!$E$22)</f>
        <v>-14005.317751835915</v>
      </c>
      <c r="U234" s="958"/>
      <c r="V234" s="418">
        <f ca="1">(V233-O234-R234)*(1+LS!$F$22)</f>
        <v>-19839.542673173986</v>
      </c>
    </row>
    <row r="235" spans="12:22" ht="9.75" customHeight="1">
      <c r="L235" s="957"/>
      <c r="M235" s="262">
        <v>233</v>
      </c>
      <c r="N235" s="263">
        <f t="shared" ca="1" si="23"/>
        <v>14005.317751835915</v>
      </c>
      <c r="O235" s="256">
        <f ca="1">KTVTD20namMH!F236</f>
        <v>60</v>
      </c>
      <c r="P235" s="451">
        <f ca="1">IF('Tinh phi QL'!$H$9="Nam",VLOOKUP(KTVCOI!$I$22,KTVCOI!$D$3:$F$103,2,0)*N235/1000/12,IF('Tinh phi QL'!$H$9="Nữ",VLOOKUP(KTVCOI!$I$22,KTVCOI!$D$3:$F$103,3,0)*N235/1000/12,0))</f>
        <v>5.2753363531915278</v>
      </c>
      <c r="Q235" s="957"/>
      <c r="R235" s="452">
        <f ca="1">IF('Tinh phi QL'!$H$9="Nam",VLOOKUP(KTVCOI!$I$22,KTVCOI!$D$3:$F$103,2,0)*S235/1000/12,IF('Tinh phi QL'!$H$9="Nữ",VLOOKUP(KTVCOI!$I$22,KTVCOI!$D$3:$F$103,3,0)*S235/1000/12,0))</f>
        <v>7.4728944068955343</v>
      </c>
      <c r="S235" s="451">
        <f ca="1">KTVTD20namMH!E236-V234</f>
        <v>19839.542673173986</v>
      </c>
      <c r="T235" s="425">
        <f ca="1">(T234-O235-P235)*(1+LS!$E$22)</f>
        <v>-14076.442442610009</v>
      </c>
      <c r="U235" s="958"/>
      <c r="V235" s="418">
        <f ca="1">(V234-O235-R235)*(1+LS!$F$22)</f>
        <v>-19981.7626721243</v>
      </c>
    </row>
    <row r="236" spans="12:22" ht="9.75" customHeight="1">
      <c r="L236" s="957"/>
      <c r="M236" s="262">
        <v>234</v>
      </c>
      <c r="N236" s="263">
        <f t="shared" ca="1" si="23"/>
        <v>14076.442442610009</v>
      </c>
      <c r="O236" s="256">
        <f ca="1">KTVTD20namMH!F237</f>
        <v>60</v>
      </c>
      <c r="P236" s="451">
        <f ca="1">IF('Tinh phi QL'!$H$9="Nam",VLOOKUP(KTVCOI!$I$22,KTVCOI!$D$3:$F$103,2,0)*N236/1000/12,IF('Tinh phi QL'!$H$9="Nữ",VLOOKUP(KTVCOI!$I$22,KTVCOI!$D$3:$F$103,3,0)*N236/1000/12,0))</f>
        <v>5.3021266533831026</v>
      </c>
      <c r="Q236" s="957"/>
      <c r="R236" s="452">
        <f ca="1">IF('Tinh phi QL'!$H$9="Nam",VLOOKUP(KTVCOI!$I$22,KTVCOI!$D$3:$F$103,2,0)*S236/1000/12,IF('Tinh phi QL'!$H$9="Nữ",VLOOKUP(KTVCOI!$I$22,KTVCOI!$D$3:$F$103,3,0)*S236/1000/12,0))</f>
        <v>7.5264639398334845</v>
      </c>
      <c r="S236" s="451">
        <f ca="1">KTVTD20namMH!E237-V235</f>
        <v>19981.7626721243</v>
      </c>
      <c r="T236" s="425">
        <f ca="1">(T235-O236-P236)*(1+LS!$E$22)</f>
        <v>-14147.623502411201</v>
      </c>
      <c r="U236" s="958"/>
      <c r="V236" s="418">
        <f ca="1">(V235-O236-R236)*(1+LS!$F$22)</f>
        <v>-20124.570451135547</v>
      </c>
    </row>
    <row r="237" spans="12:22" ht="9.75" customHeight="1">
      <c r="L237" s="957"/>
      <c r="M237" s="262">
        <v>235</v>
      </c>
      <c r="N237" s="263">
        <f t="shared" ca="1" si="23"/>
        <v>14147.623502411201</v>
      </c>
      <c r="O237" s="256">
        <f ca="1">KTVTD20namMH!F238</f>
        <v>60</v>
      </c>
      <c r="P237" s="451">
        <f ca="1">IF('Tinh phi QL'!$H$9="Nam",VLOOKUP(KTVCOI!$I$22,KTVCOI!$D$3:$F$103,2,0)*N237/1000/12,IF('Tinh phi QL'!$H$9="Nữ",VLOOKUP(KTVCOI!$I$22,KTVCOI!$D$3:$F$103,3,0)*N237/1000/12,0))</f>
        <v>5.3289381859082185</v>
      </c>
      <c r="Q237" s="957"/>
      <c r="R237" s="452">
        <f ca="1">IF('Tinh phi QL'!$H$9="Nam",VLOOKUP(KTVCOI!$I$22,KTVCOI!$D$3:$F$103,2,0)*S237/1000/12,IF('Tinh phi QL'!$H$9="Nữ",VLOOKUP(KTVCOI!$I$22,KTVCOI!$D$3:$F$103,3,0)*S237/1000/12,0))</f>
        <v>7.5802548699277219</v>
      </c>
      <c r="S237" s="451">
        <f ca="1">KTVTD20namMH!E238-V236</f>
        <v>20124.570451135547</v>
      </c>
      <c r="T237" s="425">
        <f ca="1">(T236-O237-P237)*(1+LS!$E$22)</f>
        <v>-14218.860975914093</v>
      </c>
      <c r="U237" s="958"/>
      <c r="V237" s="418">
        <f ca="1">(V236-O237-R237)*(1+LS!$F$22)</f>
        <v>-20267.968439439923</v>
      </c>
    </row>
    <row r="238" spans="12:22" ht="9.75" customHeight="1">
      <c r="L238" s="957"/>
      <c r="M238" s="262">
        <v>236</v>
      </c>
      <c r="N238" s="263">
        <f t="shared" ca="1" si="23"/>
        <v>14218.860975914093</v>
      </c>
      <c r="O238" s="256">
        <f ca="1">KTVTD20namMH!F239</f>
        <v>60</v>
      </c>
      <c r="P238" s="451">
        <f ca="1">IF('Tinh phi QL'!$H$9="Nam",VLOOKUP(KTVCOI!$I$22,KTVCOI!$D$3:$F$103,2,0)*N238/1000/12,IF('Tinh phi QL'!$H$9="Nữ",VLOOKUP(KTVCOI!$I$22,KTVCOI!$D$3:$F$103,3,0)*N238/1000/12,0))</f>
        <v>5.3557709675943075</v>
      </c>
      <c r="Q238" s="957"/>
      <c r="R238" s="452">
        <f ca="1">IF('Tinh phi QL'!$H$9="Nam",VLOOKUP(KTVCOI!$I$22,KTVCOI!$D$3:$F$103,2,0)*S238/1000/12,IF('Tinh phi QL'!$H$9="Nữ",VLOOKUP(KTVCOI!$I$22,KTVCOI!$D$3:$F$103,3,0)*S238/1000/12,0))</f>
        <v>7.6342681121890372</v>
      </c>
      <c r="S238" s="451">
        <f ca="1">KTVTD20namMH!E239-V237</f>
        <v>20267.968439439923</v>
      </c>
      <c r="T238" s="425">
        <f ca="1">(T237-O238-P238)*(1+LS!$E$22)</f>
        <v>-14290.154907828693</v>
      </c>
      <c r="U238" s="958"/>
      <c r="V238" s="418">
        <f ca="1">(V237-O238-R238)*(1+LS!$F$22)</f>
        <v>-20411.959076309377</v>
      </c>
    </row>
    <row r="239" spans="12:22" ht="9.75" customHeight="1">
      <c r="L239" s="957"/>
      <c r="M239" s="262">
        <v>237</v>
      </c>
      <c r="N239" s="263">
        <f t="shared" ca="1" si="23"/>
        <v>14290.154907828693</v>
      </c>
      <c r="O239" s="256">
        <f ca="1">KTVTD20namMH!F240</f>
        <v>60</v>
      </c>
      <c r="P239" s="451">
        <f ca="1">IF('Tinh phi QL'!$H$9="Nam",VLOOKUP(KTVCOI!$I$22,KTVCOI!$D$3:$F$103,2,0)*N239/1000/12,IF('Tinh phi QL'!$H$9="Nữ",VLOOKUP(KTVCOI!$I$22,KTVCOI!$D$3:$F$103,3,0)*N239/1000/12,0))</f>
        <v>5.3826250152821409</v>
      </c>
      <c r="Q239" s="957"/>
      <c r="R239" s="452">
        <f ca="1">IF('Tinh phi QL'!$H$9="Nam",VLOOKUP(KTVCOI!$I$22,KTVCOI!$D$3:$F$103,2,0)*S239/1000/12,IF('Tinh phi QL'!$H$9="Nữ",VLOOKUP(KTVCOI!$I$22,KTVCOI!$D$3:$F$103,3,0)*S239/1000/12,0))</f>
        <v>7.6885045854098637</v>
      </c>
      <c r="S239" s="451">
        <f ca="1">KTVTD20namMH!E240-V238</f>
        <v>20411.959076309377</v>
      </c>
      <c r="T239" s="425">
        <f ca="1">(T238-O239-P239)*(1+LS!$E$22)</f>
        <v>-14361.505342900442</v>
      </c>
      <c r="U239" s="958"/>
      <c r="V239" s="418">
        <f ca="1">(V238-O239-R239)*(1+LS!$F$22)</f>
        <v>-20556.544811097112</v>
      </c>
    </row>
    <row r="240" spans="12:22" ht="9.75" customHeight="1">
      <c r="L240" s="957"/>
      <c r="M240" s="262">
        <v>238</v>
      </c>
      <c r="N240" s="263">
        <f t="shared" ca="1" si="23"/>
        <v>14361.505342900442</v>
      </c>
      <c r="O240" s="256">
        <f ca="1">KTVTD20namMH!F241</f>
        <v>60</v>
      </c>
      <c r="P240" s="451">
        <f ca="1">IF('Tinh phi QL'!$H$9="Nam",VLOOKUP(KTVCOI!$I$22,KTVCOI!$D$3:$F$103,2,0)*N240/1000/12,IF('Tinh phi QL'!$H$9="Nữ",VLOOKUP(KTVCOI!$I$22,KTVCOI!$D$3:$F$103,3,0)*N240/1000/12,0))</f>
        <v>5.4095003458258324</v>
      </c>
      <c r="Q240" s="957"/>
      <c r="R240" s="452">
        <f ca="1">IF('Tinh phi QL'!$H$9="Nam",VLOOKUP(KTVCOI!$I$22,KTVCOI!$D$3:$F$103,2,0)*S240/1000/12,IF('Tinh phi QL'!$H$9="Nữ",VLOOKUP(KTVCOI!$I$22,KTVCOI!$D$3:$F$103,3,0)*S240/1000/12,0))</f>
        <v>7.7429652121799117</v>
      </c>
      <c r="S240" s="451">
        <f ca="1">KTVTD20namMH!E241-V239</f>
        <v>20556.544811097112</v>
      </c>
      <c r="T240" s="425">
        <f ca="1">(T239-O240-P240)*(1+LS!$E$22)</f>
        <v>-14432.912325910247</v>
      </c>
      <c r="U240" s="958"/>
      <c r="V240" s="418">
        <f ca="1">(V239-O240-R240)*(1+LS!$F$22)</f>
        <v>-20701.728103279242</v>
      </c>
    </row>
    <row r="241" spans="12:22" ht="9.75" customHeight="1">
      <c r="L241" s="957"/>
      <c r="M241" s="262">
        <v>239</v>
      </c>
      <c r="N241" s="263">
        <f t="shared" ca="1" si="23"/>
        <v>14432.912325910247</v>
      </c>
      <c r="O241" s="256">
        <f ca="1">KTVTD20namMH!F242</f>
        <v>60</v>
      </c>
      <c r="P241" s="451">
        <f ca="1">IF('Tinh phi QL'!$H$9="Nam",VLOOKUP(KTVCOI!$I$22,KTVCOI!$D$3:$F$103,2,0)*N241/1000/12,IF('Tinh phi QL'!$H$9="Nữ",VLOOKUP(KTVCOI!$I$22,KTVCOI!$D$3:$F$103,3,0)*N241/1000/12,0))</f>
        <v>5.4363969760928592</v>
      </c>
      <c r="Q241" s="957"/>
      <c r="R241" s="452">
        <f ca="1">IF('Tinh phi QL'!$H$9="Nam",VLOOKUP(KTVCOI!$I$22,KTVCOI!$D$3:$F$103,2,0)*S241/1000/12,IF('Tinh phi QL'!$H$9="Nữ",VLOOKUP(KTVCOI!$I$22,KTVCOI!$D$3:$F$103,3,0)*S241/1000/12,0))</f>
        <v>7.797650918901847</v>
      </c>
      <c r="S241" s="451">
        <f ca="1">KTVTD20namMH!E242-V240</f>
        <v>20701.728103279242</v>
      </c>
      <c r="T241" s="425">
        <f ca="1">(T240-O241-P241)*(1+LS!$E$22)</f>
        <v>-14504.375901674501</v>
      </c>
      <c r="U241" s="958"/>
      <c r="V241" s="418">
        <f ca="1">(V240-O241-R241)*(1+LS!$F$22)</f>
        <v>-20847.511422496635</v>
      </c>
    </row>
    <row r="242" spans="12:22" ht="9.75" customHeight="1">
      <c r="L242" s="957"/>
      <c r="M242" s="262">
        <v>240</v>
      </c>
      <c r="N242" s="263">
        <f t="shared" ca="1" si="23"/>
        <v>14504.375901674501</v>
      </c>
      <c r="O242" s="256">
        <f ca="1">KTVTD20namMH!F243</f>
        <v>60</v>
      </c>
      <c r="P242" s="451">
        <f ca="1">IF('Tinh phi QL'!$H$9="Nam",VLOOKUP(KTVCOI!$I$22,KTVCOI!$D$3:$F$103,2,0)*N242/1000/12,IF('Tinh phi QL'!$H$9="Nữ",VLOOKUP(KTVCOI!$I$22,KTVCOI!$D$3:$F$103,3,0)*N242/1000/12,0))</f>
        <v>5.4633149229640603</v>
      </c>
      <c r="Q242" s="957"/>
      <c r="R242" s="452">
        <f ca="1">IF('Tinh phi QL'!$H$9="Nam",VLOOKUP(KTVCOI!$I$22,KTVCOI!$D$3:$F$103,2,0)*S242/1000/12,IF('Tinh phi QL'!$H$9="Nữ",VLOOKUP(KTVCOI!$I$22,KTVCOI!$D$3:$F$103,3,0)*S242/1000/12,0))</f>
        <v>7.8525626358070646</v>
      </c>
      <c r="S242" s="451">
        <f ca="1">KTVTD20namMH!E243-V241</f>
        <v>20847.511422496635</v>
      </c>
      <c r="T242" s="426">
        <f ca="1">(T241-O242-P242)*(1+LS!$E$22)+Q231</f>
        <v>-14575.89611504512</v>
      </c>
      <c r="U242" s="958"/>
      <c r="V242" s="419">
        <f ca="1">(V241-O242-R242)*(1+LS!$F$22)+U231</f>
        <v>-20993.897248596921</v>
      </c>
    </row>
  </sheetData>
  <mergeCells count="53">
    <mergeCell ref="L3:L14"/>
    <mergeCell ref="L15:L26"/>
    <mergeCell ref="L27:L38"/>
    <mergeCell ref="L39:L50"/>
    <mergeCell ref="Q39:Q50"/>
    <mergeCell ref="U51:U62"/>
    <mergeCell ref="L63:L74"/>
    <mergeCell ref="Q63:Q74"/>
    <mergeCell ref="U63:U74"/>
    <mergeCell ref="L75:L86"/>
    <mergeCell ref="Q75:Q86"/>
    <mergeCell ref="U75:U86"/>
    <mergeCell ref="L51:L62"/>
    <mergeCell ref="Q51:Q62"/>
    <mergeCell ref="L87:L98"/>
    <mergeCell ref="Q87:Q98"/>
    <mergeCell ref="U87:U98"/>
    <mergeCell ref="L99:L110"/>
    <mergeCell ref="Q99:Q110"/>
    <mergeCell ref="U99:U110"/>
    <mergeCell ref="L111:L122"/>
    <mergeCell ref="Q111:Q122"/>
    <mergeCell ref="U111:U122"/>
    <mergeCell ref="L123:L134"/>
    <mergeCell ref="Q123:Q134"/>
    <mergeCell ref="U123:U134"/>
    <mergeCell ref="L135:L146"/>
    <mergeCell ref="Q135:Q146"/>
    <mergeCell ref="U135:U146"/>
    <mergeCell ref="L147:L158"/>
    <mergeCell ref="Q147:Q158"/>
    <mergeCell ref="U147:U158"/>
    <mergeCell ref="L159:L170"/>
    <mergeCell ref="Q159:Q170"/>
    <mergeCell ref="U159:U170"/>
    <mergeCell ref="L171:L182"/>
    <mergeCell ref="Q171:Q182"/>
    <mergeCell ref="U171:U182"/>
    <mergeCell ref="L183:L194"/>
    <mergeCell ref="Q183:Q194"/>
    <mergeCell ref="U183:U194"/>
    <mergeCell ref="L195:L206"/>
    <mergeCell ref="Q195:Q206"/>
    <mergeCell ref="U195:U206"/>
    <mergeCell ref="L231:L242"/>
    <mergeCell ref="Q231:Q242"/>
    <mergeCell ref="U231:U242"/>
    <mergeCell ref="L207:L218"/>
    <mergeCell ref="Q207:Q218"/>
    <mergeCell ref="U207:U218"/>
    <mergeCell ref="L219:L230"/>
    <mergeCell ref="Q219:Q230"/>
    <mergeCell ref="U219:U230"/>
  </mergeCell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7F359B-4F31-444C-A03B-377BFE0159D7}">
  <dimension ref="B1:P23"/>
  <sheetViews>
    <sheetView showGridLines="0" zoomScale="70" zoomScaleNormal="70" workbookViewId="0"/>
  </sheetViews>
  <sheetFormatPr defaultColWidth="9.296875" defaultRowHeight="15.5"/>
  <cols>
    <col min="1" max="1" width="1.796875" style="354" customWidth="1"/>
    <col min="2" max="3" width="6" style="354" customWidth="1"/>
    <col min="4" max="4" width="12.5" style="354" customWidth="1"/>
    <col min="5" max="5" width="13.5" style="354" customWidth="1"/>
    <col min="6" max="6" width="15.19921875" style="354" customWidth="1"/>
    <col min="7" max="7" width="14.5" style="354" customWidth="1"/>
    <col min="8" max="8" width="11.5" style="354" customWidth="1"/>
    <col min="9" max="9" width="12.69921875" style="354" customWidth="1"/>
    <col min="10" max="10" width="11.69921875" style="354" customWidth="1"/>
    <col min="11" max="11" width="20.5" style="354" customWidth="1"/>
    <col min="12" max="12" width="18.796875" style="354" customWidth="1"/>
    <col min="13" max="13" width="15" style="354" customWidth="1"/>
    <col min="14" max="14" width="10.796875" style="354" customWidth="1"/>
    <col min="15" max="16" width="17.69921875" style="354" customWidth="1"/>
    <col min="17" max="16384" width="9.296875" style="354"/>
  </cols>
  <sheetData>
    <row r="1" spans="2:16" ht="15.75" customHeight="1">
      <c r="B1" s="1016" t="s">
        <v>811</v>
      </c>
      <c r="C1" s="1016"/>
      <c r="D1" s="1016"/>
      <c r="E1" s="1016"/>
      <c r="F1" s="1016"/>
      <c r="G1" s="1016"/>
      <c r="H1" s="1016"/>
      <c r="I1" s="1016"/>
      <c r="J1" s="1016"/>
      <c r="K1" s="1016"/>
      <c r="L1" s="1016"/>
      <c r="M1" s="1016"/>
      <c r="N1" s="1016"/>
      <c r="O1" s="1016"/>
      <c r="P1" s="353" t="s">
        <v>712</v>
      </c>
    </row>
    <row r="2" spans="2:16" ht="20.25" customHeight="1">
      <c r="B2" s="969" t="s">
        <v>670</v>
      </c>
      <c r="C2" s="969" t="s">
        <v>842</v>
      </c>
      <c r="D2" s="970" t="s">
        <v>735</v>
      </c>
      <c r="E2" s="971"/>
      <c r="F2" s="972"/>
      <c r="G2" s="973" t="s">
        <v>736</v>
      </c>
      <c r="H2" s="969" t="s">
        <v>725</v>
      </c>
      <c r="I2" s="969"/>
      <c r="J2" s="969"/>
      <c r="K2" s="969" t="s">
        <v>737</v>
      </c>
      <c r="L2" s="969"/>
      <c r="M2" s="969"/>
      <c r="N2" s="973" t="s">
        <v>726</v>
      </c>
      <c r="O2" s="970" t="s">
        <v>738</v>
      </c>
      <c r="P2" s="972"/>
    </row>
    <row r="3" spans="2:16" ht="33.75" customHeight="1">
      <c r="B3" s="969"/>
      <c r="C3" s="969"/>
      <c r="D3" s="355" t="s">
        <v>727</v>
      </c>
      <c r="E3" s="355" t="s">
        <v>728</v>
      </c>
      <c r="F3" s="355" t="s">
        <v>729</v>
      </c>
      <c r="G3" s="974"/>
      <c r="H3" s="355" t="s">
        <v>727</v>
      </c>
      <c r="I3" s="355" t="s">
        <v>728</v>
      </c>
      <c r="J3" s="355" t="s">
        <v>730</v>
      </c>
      <c r="K3" s="355" t="s">
        <v>731</v>
      </c>
      <c r="L3" s="355" t="s">
        <v>732</v>
      </c>
      <c r="M3" s="355" t="s">
        <v>733</v>
      </c>
      <c r="N3" s="974"/>
      <c r="O3" s="355" t="s">
        <v>739</v>
      </c>
      <c r="P3" s="355" t="s">
        <v>813</v>
      </c>
    </row>
    <row r="4" spans="2:16" ht="12.75" customHeight="1">
      <c r="B4" s="356">
        <v>1</v>
      </c>
      <c r="C4" s="356">
        <f>IF(ROW(A1)&gt;'Tinh phi QL'!$D$12,"",ROW(A1))</f>
        <v>1</v>
      </c>
      <c r="D4" s="357">
        <f ca="1">IF(IFERROR(--TRIM(C4),0)=0,0,'Tinh phi QL'!$H$12/1000)</f>
        <v>0</v>
      </c>
      <c r="E4" s="358">
        <v>0</v>
      </c>
      <c r="F4" s="358">
        <f ca="1">D4+E4</f>
        <v>0</v>
      </c>
      <c r="G4" s="358">
        <f ca="1">KBAPhi!G4</f>
        <v>6571</v>
      </c>
      <c r="H4" s="358">
        <f ca="1">D4*50%</f>
        <v>0</v>
      </c>
      <c r="I4" s="358">
        <f>E4*1.5%</f>
        <v>0</v>
      </c>
      <c r="J4" s="358">
        <f ca="1">H4+I4</f>
        <v>0</v>
      </c>
      <c r="K4" s="358">
        <f t="shared" ref="K4:L23" ca="1" si="0">D4-H4</f>
        <v>0</v>
      </c>
      <c r="L4" s="358">
        <f t="shared" si="0"/>
        <v>0</v>
      </c>
      <c r="M4" s="358">
        <f ca="1">K4+L4</f>
        <v>0</v>
      </c>
      <c r="N4" s="358">
        <f ca="1">VLOOKUP(B4,KTVTD20namcamket!$B$4:$Y$243,23,0)</f>
        <v>480</v>
      </c>
      <c r="O4" s="358">
        <f ca="1">VLOOKUP(B4,KTVTD20namcamket!$B$4:$Y$243,24,0)</f>
        <v>0.2740849208134159</v>
      </c>
      <c r="P4" s="358">
        <f ca="1">VLOOKUP(B4,KTVTD20namMH!$B$4:$Y$243,24,0)</f>
        <v>0.27513926435729708</v>
      </c>
    </row>
    <row r="5" spans="2:16" ht="12.75" customHeight="1">
      <c r="B5" s="356">
        <v>2</v>
      </c>
      <c r="C5" s="356">
        <f>IF(ROW(A2)&gt;'Tinh phi QL'!$D$12,"",ROW(A2))</f>
        <v>2</v>
      </c>
      <c r="D5" s="357">
        <f ca="1">IF(IFERROR(--TRIM(C5),0)=0,0,'Tinh phi QL'!$H$12/1000)</f>
        <v>0</v>
      </c>
      <c r="E5" s="358">
        <f>E4</f>
        <v>0</v>
      </c>
      <c r="F5" s="358">
        <f t="shared" ref="F5:F23" ca="1" si="1">D5+E5</f>
        <v>0</v>
      </c>
      <c r="G5" s="358">
        <f ca="1">KBAPhi!G5</f>
        <v>6571</v>
      </c>
      <c r="H5" s="358">
        <f ca="1">D5*30%</f>
        <v>0</v>
      </c>
      <c r="I5" s="358">
        <f t="shared" ref="I5:I8" si="2">E5*1.5%</f>
        <v>0</v>
      </c>
      <c r="J5" s="358">
        <f t="shared" ref="J5:J23" ca="1" si="3">H5+I5</f>
        <v>0</v>
      </c>
      <c r="K5" s="358">
        <f t="shared" ca="1" si="0"/>
        <v>0</v>
      </c>
      <c r="L5" s="358">
        <f t="shared" si="0"/>
        <v>0</v>
      </c>
      <c r="M5" s="358">
        <f t="shared" ref="M5:M23" ca="1" si="4">K5+L5</f>
        <v>0</v>
      </c>
      <c r="N5" s="358">
        <f ca="1">VLOOKUP(B5,KTVTD20namcamket!$B$4:$Y$243,23,0)</f>
        <v>480</v>
      </c>
      <c r="O5" s="358">
        <f ca="1">VLOOKUP(B5,KTVTD20namcamket!$B$4:$Y$243,24,0)</f>
        <v>0.90563021965211399</v>
      </c>
      <c r="P5" s="358">
        <f ca="1">VLOOKUP(B5,KTVTD20namMH!$B$4:$Y$243,24,0)</f>
        <v>0.91530746640379246</v>
      </c>
    </row>
    <row r="6" spans="2:16" ht="12.75" customHeight="1">
      <c r="B6" s="356">
        <v>3</v>
      </c>
      <c r="C6" s="356">
        <f>IF(ROW(A3)&gt;'Tinh phi QL'!$D$12,"",ROW(A3))</f>
        <v>3</v>
      </c>
      <c r="D6" s="357">
        <f ca="1">IF(IFERROR(--TRIM(C6),0)=0,0,'Tinh phi QL'!$H$12/1000)</f>
        <v>0</v>
      </c>
      <c r="E6" s="358">
        <f t="shared" ref="E6:E21" si="5">E5</f>
        <v>0</v>
      </c>
      <c r="F6" s="358">
        <f t="shared" ca="1" si="1"/>
        <v>0</v>
      </c>
      <c r="G6" s="358">
        <f ca="1">KBAPhi!G6</f>
        <v>6571</v>
      </c>
      <c r="H6" s="358">
        <f ca="1">D6*20%</f>
        <v>0</v>
      </c>
      <c r="I6" s="358">
        <f t="shared" si="2"/>
        <v>0</v>
      </c>
      <c r="J6" s="358">
        <f t="shared" ca="1" si="3"/>
        <v>0</v>
      </c>
      <c r="K6" s="358">
        <f t="shared" ca="1" si="0"/>
        <v>0</v>
      </c>
      <c r="L6" s="358">
        <f t="shared" si="0"/>
        <v>0</v>
      </c>
      <c r="M6" s="358">
        <f t="shared" ca="1" si="4"/>
        <v>0</v>
      </c>
      <c r="N6" s="358">
        <f ca="1">VLOOKUP(B6,KTVTD20namcamket!$B$4:$Y$243,23,0)</f>
        <v>480</v>
      </c>
      <c r="O6" s="358">
        <f ca="1">VLOOKUP(B6,KTVTD20namcamket!$B$4:$Y$243,24,0)</f>
        <v>1.6104150615685178</v>
      </c>
      <c r="P6" s="358">
        <f ca="1">VLOOKUP(B6,KTVTD20namMH!$B$4:$Y$243,24,0)</f>
        <v>1.6414295503766305</v>
      </c>
    </row>
    <row r="7" spans="2:16" ht="12.75" customHeight="1">
      <c r="B7" s="356">
        <v>4</v>
      </c>
      <c r="C7" s="356">
        <f>IF(ROW(A4)&gt;'Tinh phi QL'!$D$12,"",ROW(A4))</f>
        <v>4</v>
      </c>
      <c r="D7" s="357">
        <f ca="1">IF(IFERROR(--TRIM(C7),0)=0,0,'Tinh phi QL'!$H$12/1000)</f>
        <v>0</v>
      </c>
      <c r="E7" s="358">
        <f t="shared" si="5"/>
        <v>0</v>
      </c>
      <c r="F7" s="358">
        <f t="shared" ca="1" si="1"/>
        <v>0</v>
      </c>
      <c r="G7" s="358">
        <f ca="1">KBAPhi!G7</f>
        <v>6571</v>
      </c>
      <c r="H7" s="358">
        <f ca="1">D7*20%</f>
        <v>0</v>
      </c>
      <c r="I7" s="358">
        <f t="shared" si="2"/>
        <v>0</v>
      </c>
      <c r="J7" s="358">
        <f t="shared" ca="1" si="3"/>
        <v>0</v>
      </c>
      <c r="K7" s="358">
        <f t="shared" ca="1" si="0"/>
        <v>0</v>
      </c>
      <c r="L7" s="358">
        <f t="shared" si="0"/>
        <v>0</v>
      </c>
      <c r="M7" s="358">
        <f t="shared" ca="1" si="4"/>
        <v>0</v>
      </c>
      <c r="N7" s="358">
        <f ca="1">VLOOKUP(B7,KTVTD20namcamket!$B$4:$Y$243,23,0)</f>
        <v>540</v>
      </c>
      <c r="O7" s="358">
        <f ca="1">VLOOKUP(B7,KTVTD20namcamket!$B$4:$Y$243,24,0)</f>
        <v>2.4123786441312647</v>
      </c>
      <c r="P7" s="358">
        <f ca="1">VLOOKUP(B7,KTVTD20namMH!$B$4:$Y$243,24,0)</f>
        <v>2.489551285641721</v>
      </c>
    </row>
    <row r="8" spans="2:16" ht="12.75" customHeight="1">
      <c r="B8" s="356">
        <v>5</v>
      </c>
      <c r="C8" s="356">
        <f>IF(ROW(A5)&gt;'Tinh phi QL'!$D$12,"",ROW(A5))</f>
        <v>5</v>
      </c>
      <c r="D8" s="357">
        <f ca="1">IF(IFERROR(--TRIM(C8),0)=0,0,'Tinh phi QL'!$H$12/1000)</f>
        <v>0</v>
      </c>
      <c r="E8" s="358">
        <f t="shared" si="5"/>
        <v>0</v>
      </c>
      <c r="F8" s="358">
        <f t="shared" ca="1" si="1"/>
        <v>0</v>
      </c>
      <c r="G8" s="358">
        <f ca="1">KBAPhi!G8</f>
        <v>6571</v>
      </c>
      <c r="H8" s="358">
        <f ca="1">D8*20%</f>
        <v>0</v>
      </c>
      <c r="I8" s="358">
        <f t="shared" si="2"/>
        <v>0</v>
      </c>
      <c r="J8" s="358">
        <f t="shared" ca="1" si="3"/>
        <v>0</v>
      </c>
      <c r="K8" s="358">
        <f t="shared" ca="1" si="0"/>
        <v>0</v>
      </c>
      <c r="L8" s="358">
        <f t="shared" si="0"/>
        <v>0</v>
      </c>
      <c r="M8" s="358">
        <f t="shared" ca="1" si="4"/>
        <v>0</v>
      </c>
      <c r="N8" s="358">
        <f ca="1">VLOOKUP(B8,KTVTD20namcamket!$B$4:$Y$243,23,0)</f>
        <v>600</v>
      </c>
      <c r="O8" s="358">
        <f ca="1">VLOOKUP(B8,KTVTD20namcamket!$B$4:$Y$243,24,0)</f>
        <v>3.4382242426968466</v>
      </c>
      <c r="P8" s="358">
        <f ca="1">VLOOKUP(B8,KTVTD20namMH!$B$4:$Y$243,24,0)</f>
        <v>3.6007062456627557</v>
      </c>
    </row>
    <row r="9" spans="2:16" ht="12.75" customHeight="1">
      <c r="B9" s="356">
        <v>6</v>
      </c>
      <c r="C9" s="356">
        <f>IF(ROW(A6)&gt;'Tinh phi QL'!$D$12,"",ROW(A6))</f>
        <v>6</v>
      </c>
      <c r="D9" s="357">
        <f ca="1">IF(IFERROR(--TRIM(C9),0)=0,0,'Tinh phi QL'!$H$12/1000)</f>
        <v>0</v>
      </c>
      <c r="E9" s="358">
        <f t="shared" si="5"/>
        <v>0</v>
      </c>
      <c r="F9" s="358">
        <f t="shared" ca="1" si="1"/>
        <v>0</v>
      </c>
      <c r="G9" s="358">
        <f ca="1">KBAPhi!G9</f>
        <v>7495</v>
      </c>
      <c r="H9" s="358">
        <f ca="1">D9*2%</f>
        <v>0</v>
      </c>
      <c r="I9" s="358">
        <f>E9*1%</f>
        <v>0</v>
      </c>
      <c r="J9" s="358">
        <f t="shared" ca="1" si="3"/>
        <v>0</v>
      </c>
      <c r="K9" s="358">
        <f t="shared" ca="1" si="0"/>
        <v>0</v>
      </c>
      <c r="L9" s="358">
        <f t="shared" si="0"/>
        <v>0</v>
      </c>
      <c r="M9" s="358">
        <f t="shared" ca="1" si="4"/>
        <v>0</v>
      </c>
      <c r="N9" s="358">
        <f ca="1">VLOOKUP(B9,KTVTD20namcamket!$B$4:$Y$243,23,0)</f>
        <v>600</v>
      </c>
      <c r="O9" s="358">
        <f ca="1">VLOOKUP(B9,KTVTD20namcamket!$B$4:$Y$243,24,0)</f>
        <v>4.6195317307817962</v>
      </c>
      <c r="P9" s="358">
        <f ca="1">VLOOKUP(B9,KTVTD20namMH!$B$4:$Y$243,24,0)</f>
        <v>4.9166739062154639</v>
      </c>
    </row>
    <row r="10" spans="2:16" ht="12.75" customHeight="1">
      <c r="B10" s="356">
        <v>7</v>
      </c>
      <c r="C10" s="356">
        <f>IF(ROW(A7)&gt;'Tinh phi QL'!$D$12,"",ROW(A7))</f>
        <v>7</v>
      </c>
      <c r="D10" s="357">
        <f ca="1">IF(IFERROR(--TRIM(C10),0)=0,0,'Tinh phi QL'!$H$12/1000)</f>
        <v>0</v>
      </c>
      <c r="E10" s="358">
        <f t="shared" si="5"/>
        <v>0</v>
      </c>
      <c r="F10" s="358">
        <f t="shared" ca="1" si="1"/>
        <v>0</v>
      </c>
      <c r="G10" s="358">
        <f ca="1">KBAPhi!G10</f>
        <v>7495</v>
      </c>
      <c r="H10" s="358">
        <f ca="1">D10*2%</f>
        <v>0</v>
      </c>
      <c r="I10" s="358">
        <f t="shared" ref="I10:I13" si="6">E10*1%</f>
        <v>0</v>
      </c>
      <c r="J10" s="358">
        <f t="shared" ca="1" si="3"/>
        <v>0</v>
      </c>
      <c r="K10" s="358">
        <f t="shared" ca="1" si="0"/>
        <v>0</v>
      </c>
      <c r="L10" s="358">
        <f t="shared" si="0"/>
        <v>0</v>
      </c>
      <c r="M10" s="358">
        <f t="shared" ca="1" si="4"/>
        <v>0</v>
      </c>
      <c r="N10" s="358">
        <f ca="1">VLOOKUP(B10,KTVTD20namcamket!$B$4:$Y$243,23,0)</f>
        <v>600</v>
      </c>
      <c r="O10" s="358">
        <f ca="1">VLOOKUP(B10,KTVTD20namcamket!$B$4:$Y$243,24,0)</f>
        <v>5.9857325220498145</v>
      </c>
      <c r="P10" s="358">
        <f ca="1">VLOOKUP(B10,KTVTD20namMH!$B$4:$Y$243,24,0)</f>
        <v>6.4865668642277958</v>
      </c>
    </row>
    <row r="11" spans="2:16" ht="12.75" customHeight="1">
      <c r="B11" s="356">
        <v>8</v>
      </c>
      <c r="C11" s="356">
        <f>IF(ROW(A8)&gt;'Tinh phi QL'!$D$12,"",ROW(A8))</f>
        <v>8</v>
      </c>
      <c r="D11" s="357">
        <f ca="1">IF(IFERROR(--TRIM(C11),0)=0,0,'Tinh phi QL'!$H$12/1000)</f>
        <v>0</v>
      </c>
      <c r="E11" s="358">
        <f t="shared" si="5"/>
        <v>0</v>
      </c>
      <c r="F11" s="358">
        <f t="shared" ca="1" si="1"/>
        <v>0</v>
      </c>
      <c r="G11" s="358">
        <f ca="1">KBAPhi!G11</f>
        <v>7495</v>
      </c>
      <c r="H11" s="358">
        <f ca="1">D11*2%</f>
        <v>0</v>
      </c>
      <c r="I11" s="358">
        <f t="shared" si="6"/>
        <v>0</v>
      </c>
      <c r="J11" s="358">
        <f t="shared" ca="1" si="3"/>
        <v>0</v>
      </c>
      <c r="K11" s="358">
        <f t="shared" ca="1" si="0"/>
        <v>0</v>
      </c>
      <c r="L11" s="358">
        <f t="shared" si="0"/>
        <v>0</v>
      </c>
      <c r="M11" s="358">
        <f t="shared" ca="1" si="4"/>
        <v>0</v>
      </c>
      <c r="N11" s="358">
        <f ca="1">VLOOKUP(B11,KTVTD20namcamket!$B$4:$Y$243,23,0)</f>
        <v>600</v>
      </c>
      <c r="O11" s="358">
        <f ca="1">VLOOKUP(B11,KTVTD20namcamket!$B$4:$Y$243,24,0)</f>
        <v>7.5897914456429341</v>
      </c>
      <c r="P11" s="358">
        <f ca="1">VLOOKUP(B11,KTVTD20namMH!$B$4:$Y$243,24,0)</f>
        <v>8.3704413126438393</v>
      </c>
    </row>
    <row r="12" spans="2:16" ht="12.75" customHeight="1">
      <c r="B12" s="356">
        <v>9</v>
      </c>
      <c r="C12" s="356">
        <f>IF(ROW(A9)&gt;'Tinh phi QL'!$D$12,"",ROW(A9))</f>
        <v>9</v>
      </c>
      <c r="D12" s="357">
        <f ca="1">IF(IFERROR(--TRIM(C12),0)=0,0,'Tinh phi QL'!$H$12/1000)</f>
        <v>0</v>
      </c>
      <c r="E12" s="358">
        <f t="shared" si="5"/>
        <v>0</v>
      </c>
      <c r="F12" s="358">
        <f t="shared" ca="1" si="1"/>
        <v>0</v>
      </c>
      <c r="G12" s="358">
        <f ca="1">KBAPhi!G12</f>
        <v>7495</v>
      </c>
      <c r="H12" s="358">
        <f ca="1">D12*2%</f>
        <v>0</v>
      </c>
      <c r="I12" s="358">
        <f t="shared" si="6"/>
        <v>0</v>
      </c>
      <c r="J12" s="358">
        <f t="shared" ca="1" si="3"/>
        <v>0</v>
      </c>
      <c r="K12" s="358">
        <f t="shared" ca="1" si="0"/>
        <v>0</v>
      </c>
      <c r="L12" s="358">
        <f t="shared" si="0"/>
        <v>0</v>
      </c>
      <c r="M12" s="358">
        <f t="shared" ca="1" si="4"/>
        <v>0</v>
      </c>
      <c r="N12" s="358">
        <f ca="1">VLOOKUP(B12,KTVTD20namcamket!$B$4:$Y$243,23,0)</f>
        <v>660</v>
      </c>
      <c r="O12" s="358">
        <f ca="1">VLOOKUP(B12,KTVTD20namcamket!$B$4:$Y$243,24,0)</f>
        <v>9.5001892965913441</v>
      </c>
      <c r="P12" s="358">
        <f ca="1">VLOOKUP(B12,KTVTD20namMH!$B$4:$Y$243,24,0)</f>
        <v>10.657647979326496</v>
      </c>
    </row>
    <row r="13" spans="2:16" ht="12.75" customHeight="1">
      <c r="B13" s="356">
        <v>10</v>
      </c>
      <c r="C13" s="356">
        <f>IF(ROW(A10)&gt;'Tinh phi QL'!$D$12,"",ROW(A10))</f>
        <v>10</v>
      </c>
      <c r="D13" s="357">
        <f ca="1">IF(IFERROR(--TRIM(C13),0)=0,0,'Tinh phi QL'!$H$12/1000)</f>
        <v>0</v>
      </c>
      <c r="E13" s="358">
        <f t="shared" si="5"/>
        <v>0</v>
      </c>
      <c r="F13" s="358">
        <f t="shared" ca="1" si="1"/>
        <v>0</v>
      </c>
      <c r="G13" s="358">
        <f ca="1">KBAPhi!G13</f>
        <v>7495</v>
      </c>
      <c r="H13" s="358">
        <f ca="1">D13*2%</f>
        <v>0</v>
      </c>
      <c r="I13" s="358">
        <f t="shared" si="6"/>
        <v>0</v>
      </c>
      <c r="J13" s="358">
        <f t="shared" ca="1" si="3"/>
        <v>0</v>
      </c>
      <c r="K13" s="358">
        <f t="shared" ca="1" si="0"/>
        <v>0</v>
      </c>
      <c r="L13" s="358">
        <f t="shared" si="0"/>
        <v>0</v>
      </c>
      <c r="M13" s="358">
        <f t="shared" ca="1" si="4"/>
        <v>0</v>
      </c>
      <c r="N13" s="358">
        <f ca="1">VLOOKUP(B13,KTVTD20namcamket!$B$4:$Y$243,23,0)</f>
        <v>720</v>
      </c>
      <c r="O13" s="358">
        <f ca="1">VLOOKUP(B13,KTVTD20namcamket!$B$4:$Y$243,24,0)</f>
        <v>11.871133639480286</v>
      </c>
      <c r="P13" s="358">
        <f ca="1">VLOOKUP(B13,KTVTD20namMH!$B$4:$Y$243,24,0)</f>
        <v>13.523015714774928</v>
      </c>
    </row>
    <row r="14" spans="2:16" ht="12.75" customHeight="1">
      <c r="B14" s="356">
        <v>11</v>
      </c>
      <c r="C14" s="356">
        <f>IF(ROW(A11)&gt;'Tinh phi QL'!$D$12,"",ROW(A11))</f>
        <v>11</v>
      </c>
      <c r="D14" s="357">
        <f ca="1">IF(IFERROR(--TRIM(C14),0)=0,0,'Tinh phi QL'!$H$12/1000)</f>
        <v>0</v>
      </c>
      <c r="E14" s="358">
        <f t="shared" si="5"/>
        <v>0</v>
      </c>
      <c r="F14" s="358">
        <f t="shared" ca="1" si="1"/>
        <v>0</v>
      </c>
      <c r="G14" s="358">
        <f ca="1">KBAPhi!G14</f>
        <v>8533</v>
      </c>
      <c r="H14" s="358">
        <f ca="1">D14*0%</f>
        <v>0</v>
      </c>
      <c r="I14" s="358">
        <f>E14*0%</f>
        <v>0</v>
      </c>
      <c r="J14" s="358">
        <f t="shared" ca="1" si="3"/>
        <v>0</v>
      </c>
      <c r="K14" s="358">
        <f t="shared" ca="1" si="0"/>
        <v>0</v>
      </c>
      <c r="L14" s="358">
        <f t="shared" si="0"/>
        <v>0</v>
      </c>
      <c r="M14" s="358">
        <f t="shared" ca="1" si="4"/>
        <v>0</v>
      </c>
      <c r="N14" s="358">
        <f ca="1">VLOOKUP(B14,KTVTD20namcamket!$B$4:$Y$243,23,0)</f>
        <v>720</v>
      </c>
      <c r="O14" s="358">
        <f ca="1">VLOOKUP(B14,KTVTD20namcamket!$B$4:$Y$243,24,0)</f>
        <v>14.717964955455326</v>
      </c>
      <c r="P14" s="358">
        <f ca="1">VLOOKUP(B14,KTVTD20namMH!$B$4:$Y$243,24,0)</f>
        <v>17.06410764588712</v>
      </c>
    </row>
    <row r="15" spans="2:16" ht="12.75" customHeight="1">
      <c r="B15" s="356">
        <v>12</v>
      </c>
      <c r="C15" s="356">
        <f>IF(ROW(A12)&gt;'Tinh phi QL'!$D$12,"",ROW(A12))</f>
        <v>12</v>
      </c>
      <c r="D15" s="357">
        <f ca="1">IF(IFERROR(--TRIM(C15),0)=0,0,'Tinh phi QL'!$H$12/1000)</f>
        <v>0</v>
      </c>
      <c r="E15" s="358">
        <f t="shared" si="5"/>
        <v>0</v>
      </c>
      <c r="F15" s="358">
        <f t="shared" ca="1" si="1"/>
        <v>0</v>
      </c>
      <c r="G15" s="358">
        <f ca="1">KBAPhi!G15</f>
        <v>8533</v>
      </c>
      <c r="H15" s="358">
        <f t="shared" ref="H15:H23" ca="1" si="7">D15*0%</f>
        <v>0</v>
      </c>
      <c r="I15" s="358">
        <f t="shared" ref="I15:I23" si="8">E15*0%</f>
        <v>0</v>
      </c>
      <c r="J15" s="358">
        <f t="shared" ca="1" si="3"/>
        <v>0</v>
      </c>
      <c r="K15" s="358">
        <f t="shared" ca="1" si="0"/>
        <v>0</v>
      </c>
      <c r="L15" s="358">
        <f t="shared" si="0"/>
        <v>0</v>
      </c>
      <c r="M15" s="358">
        <f t="shared" ca="1" si="4"/>
        <v>0</v>
      </c>
      <c r="N15" s="358">
        <f ca="1">VLOOKUP(B15,KTVTD20namcamket!$B$4:$Y$243,23,0)</f>
        <v>720</v>
      </c>
      <c r="O15" s="358">
        <f ca="1">VLOOKUP(B15,KTVTD20namcamket!$B$4:$Y$243,24,0)</f>
        <v>17.844756893513281</v>
      </c>
      <c r="P15" s="358">
        <f ca="1">VLOOKUP(B15,KTVTD20namMH!$B$4:$Y$243,24,0)</f>
        <v>21.112442123143971</v>
      </c>
    </row>
    <row r="16" spans="2:16" ht="12.75" customHeight="1">
      <c r="B16" s="356">
        <v>13</v>
      </c>
      <c r="C16" s="356">
        <f>IF(ROW(A13)&gt;'Tinh phi QL'!$D$12,"",ROW(A13))</f>
        <v>13</v>
      </c>
      <c r="D16" s="357">
        <f ca="1">IF(IFERROR(--TRIM(C16),0)=0,0,'Tinh phi QL'!$H$12/1000)</f>
        <v>0</v>
      </c>
      <c r="E16" s="358">
        <f t="shared" si="5"/>
        <v>0</v>
      </c>
      <c r="F16" s="358">
        <f t="shared" ca="1" si="1"/>
        <v>0</v>
      </c>
      <c r="G16" s="358">
        <f ca="1">KBAPhi!G16</f>
        <v>8533</v>
      </c>
      <c r="H16" s="358">
        <f t="shared" ca="1" si="7"/>
        <v>0</v>
      </c>
      <c r="I16" s="358">
        <f t="shared" si="8"/>
        <v>0</v>
      </c>
      <c r="J16" s="358">
        <f t="shared" ca="1" si="3"/>
        <v>0</v>
      </c>
      <c r="K16" s="358">
        <f t="shared" ca="1" si="0"/>
        <v>0</v>
      </c>
      <c r="L16" s="358">
        <f t="shared" si="0"/>
        <v>0</v>
      </c>
      <c r="M16" s="358">
        <f t="shared" ca="1" si="4"/>
        <v>0</v>
      </c>
      <c r="N16" s="358">
        <f ca="1">VLOOKUP(B16,KTVTD20namcamket!$B$4:$Y$243,23,0)</f>
        <v>720</v>
      </c>
      <c r="O16" s="358">
        <f ca="1">VLOOKUP(B16,KTVTD20namcamket!$B$4:$Y$243,24,0)</f>
        <v>21.539980989073818</v>
      </c>
      <c r="P16" s="358">
        <f ca="1">VLOOKUP(B16,KTVTD20namMH!$B$4:$Y$243,24,0)</f>
        <v>26.004429795472468</v>
      </c>
    </row>
    <row r="17" spans="2:16" ht="12.75" customHeight="1">
      <c r="B17" s="356">
        <v>14</v>
      </c>
      <c r="C17" s="356">
        <f>IF(ROW(A14)&gt;'Tinh phi QL'!$D$12,"",ROW(A14))</f>
        <v>14</v>
      </c>
      <c r="D17" s="357">
        <f ca="1">IF(IFERROR(--TRIM(C17),0)=0,0,'Tinh phi QL'!$H$12/1000)</f>
        <v>0</v>
      </c>
      <c r="E17" s="358">
        <f t="shared" si="5"/>
        <v>0</v>
      </c>
      <c r="F17" s="358">
        <f t="shared" ca="1" si="1"/>
        <v>0</v>
      </c>
      <c r="G17" s="358">
        <f ca="1">KBAPhi!G17</f>
        <v>8533</v>
      </c>
      <c r="H17" s="358">
        <f t="shared" ca="1" si="7"/>
        <v>0</v>
      </c>
      <c r="I17" s="358">
        <f t="shared" si="8"/>
        <v>0</v>
      </c>
      <c r="J17" s="358">
        <f t="shared" ca="1" si="3"/>
        <v>0</v>
      </c>
      <c r="K17" s="358">
        <f t="shared" ca="1" si="0"/>
        <v>0</v>
      </c>
      <c r="L17" s="358">
        <f t="shared" si="0"/>
        <v>0</v>
      </c>
      <c r="M17" s="358">
        <f t="shared" ca="1" si="4"/>
        <v>0</v>
      </c>
      <c r="N17" s="358">
        <f ca="1">VLOOKUP(B17,KTVTD20namcamket!$B$4:$Y$243,23,0)</f>
        <v>720</v>
      </c>
      <c r="O17" s="358">
        <f ca="1">VLOOKUP(B17,KTVTD20namcamket!$B$4:$Y$243,24,0)</f>
        <v>25.704023936360215</v>
      </c>
      <c r="P17" s="358">
        <f ca="1">VLOOKUP(B17,KTVTD20namMH!$B$4:$Y$243,24,0)</f>
        <v>31.665349090033377</v>
      </c>
    </row>
    <row r="18" spans="2:16" ht="12.75" customHeight="1">
      <c r="B18" s="356">
        <v>15</v>
      </c>
      <c r="C18" s="356">
        <f>IF(ROW(A15)&gt;'Tinh phi QL'!$D$12,"",ROW(A15))</f>
        <v>15</v>
      </c>
      <c r="D18" s="357">
        <f ca="1">IF(IFERROR(--TRIM(C18),0)=0,0,'Tinh phi QL'!$H$12/1000)</f>
        <v>0</v>
      </c>
      <c r="E18" s="358">
        <f t="shared" si="5"/>
        <v>0</v>
      </c>
      <c r="F18" s="358">
        <f t="shared" ca="1" si="1"/>
        <v>0</v>
      </c>
      <c r="G18" s="358">
        <f ca="1">KBAPhi!G18</f>
        <v>8533</v>
      </c>
      <c r="H18" s="358">
        <f t="shared" ca="1" si="7"/>
        <v>0</v>
      </c>
      <c r="I18" s="358">
        <f t="shared" si="8"/>
        <v>0</v>
      </c>
      <c r="J18" s="358">
        <f t="shared" ca="1" si="3"/>
        <v>0</v>
      </c>
      <c r="K18" s="358">
        <f t="shared" ca="1" si="0"/>
        <v>0</v>
      </c>
      <c r="L18" s="358">
        <f t="shared" si="0"/>
        <v>0</v>
      </c>
      <c r="M18" s="358">
        <f t="shared" ca="1" si="4"/>
        <v>0</v>
      </c>
      <c r="N18" s="358">
        <f ca="1">VLOOKUP(B18,KTVTD20namcamket!$B$4:$Y$243,23,0)</f>
        <v>720</v>
      </c>
      <c r="O18" s="358">
        <f ca="1">VLOOKUP(B18,KTVTD20namcamket!$B$4:$Y$243,24,0)</f>
        <v>30.47136095121887</v>
      </c>
      <c r="P18" s="358">
        <f ca="1">VLOOKUP(B18,KTVTD20namMH!$B$4:$Y$243,24,0)</f>
        <v>38.307196651418238</v>
      </c>
    </row>
    <row r="19" spans="2:16" ht="12.75" customHeight="1">
      <c r="B19" s="356">
        <v>16</v>
      </c>
      <c r="C19" s="356" t="str">
        <f>IF(ROW(A16)&gt;'Tinh phi QL'!$D$12,"",ROW(A16))</f>
        <v/>
      </c>
      <c r="D19" s="357">
        <f>IF(IFERROR(--TRIM(C19),0)=0,0,'Tinh phi QL'!$H$12/1000)</f>
        <v>0</v>
      </c>
      <c r="E19" s="358">
        <f t="shared" si="5"/>
        <v>0</v>
      </c>
      <c r="F19" s="358">
        <f t="shared" si="1"/>
        <v>0</v>
      </c>
      <c r="G19" s="358">
        <f ca="1">KBAPhi!G19</f>
        <v>10469</v>
      </c>
      <c r="H19" s="358">
        <f t="shared" si="7"/>
        <v>0</v>
      </c>
      <c r="I19" s="358">
        <f t="shared" si="8"/>
        <v>0</v>
      </c>
      <c r="J19" s="358">
        <f t="shared" si="3"/>
        <v>0</v>
      </c>
      <c r="K19" s="358">
        <f t="shared" si="0"/>
        <v>0</v>
      </c>
      <c r="L19" s="358">
        <f t="shared" si="0"/>
        <v>0</v>
      </c>
      <c r="M19" s="358">
        <f t="shared" si="4"/>
        <v>0</v>
      </c>
      <c r="N19" s="358">
        <f ca="1">VLOOKUP(B19,KTVTD20namcamket!$B$4:$Y$243,23,0)</f>
        <v>720</v>
      </c>
      <c r="O19" s="358">
        <f ca="1">VLOOKUP(B19,KTVTD20namcamket!$B$4:$Y$243,24,0)</f>
        <v>35.715033424548388</v>
      </c>
      <c r="P19" s="358">
        <f ca="1">VLOOKUP(B19,KTVTD20namMH!$B$4:$Y$243,24,0)</f>
        <v>45.926666437945514</v>
      </c>
    </row>
    <row r="20" spans="2:16" ht="12.75" customHeight="1">
      <c r="B20" s="356">
        <v>17</v>
      </c>
      <c r="C20" s="356" t="str">
        <f>IF(ROW(A17)&gt;'Tinh phi QL'!$D$12,"",ROW(A17))</f>
        <v/>
      </c>
      <c r="D20" s="357">
        <f>IF(IFERROR(--TRIM(C20),0)=0,0,'Tinh phi QL'!$H$12/1000)</f>
        <v>0</v>
      </c>
      <c r="E20" s="358">
        <f t="shared" si="5"/>
        <v>0</v>
      </c>
      <c r="F20" s="358">
        <f t="shared" si="1"/>
        <v>0</v>
      </c>
      <c r="G20" s="358">
        <f ca="1">KBAPhi!G20</f>
        <v>10469</v>
      </c>
      <c r="H20" s="358">
        <f t="shared" si="7"/>
        <v>0</v>
      </c>
      <c r="I20" s="358">
        <f t="shared" si="8"/>
        <v>0</v>
      </c>
      <c r="J20" s="358">
        <f t="shared" si="3"/>
        <v>0</v>
      </c>
      <c r="K20" s="358">
        <f t="shared" si="0"/>
        <v>0</v>
      </c>
      <c r="L20" s="358">
        <f t="shared" si="0"/>
        <v>0</v>
      </c>
      <c r="M20" s="358">
        <f t="shared" si="4"/>
        <v>0</v>
      </c>
      <c r="N20" s="358">
        <f ca="1">VLOOKUP(B20,KTVTD20namcamket!$B$4:$Y$243,23,0)</f>
        <v>720</v>
      </c>
      <c r="O20" s="358">
        <f ca="1">VLOOKUP(B20,KTVTD20namcamket!$B$4:$Y$243,24,0)</f>
        <v>41.543773364425306</v>
      </c>
      <c r="P20" s="358">
        <f ca="1">VLOOKUP(B20,KTVTD20namMH!$B$4:$Y$243,24,0)</f>
        <v>54.782352446923156</v>
      </c>
    </row>
    <row r="21" spans="2:16" ht="12.75" customHeight="1">
      <c r="B21" s="356">
        <v>18</v>
      </c>
      <c r="C21" s="356" t="str">
        <f>IF(ROW(A18)&gt;'Tinh phi QL'!$D$12,"",ROW(A18))</f>
        <v/>
      </c>
      <c r="D21" s="357">
        <f>IF(IFERROR(--TRIM(C21),0)=0,0,'Tinh phi QL'!$H$12/1000)</f>
        <v>0</v>
      </c>
      <c r="E21" s="358">
        <f t="shared" si="5"/>
        <v>0</v>
      </c>
      <c r="F21" s="358">
        <f t="shared" si="1"/>
        <v>0</v>
      </c>
      <c r="G21" s="358">
        <f ca="1">KBAPhi!G21</f>
        <v>10469</v>
      </c>
      <c r="H21" s="358">
        <f t="shared" si="7"/>
        <v>0</v>
      </c>
      <c r="I21" s="358">
        <f t="shared" si="8"/>
        <v>0</v>
      </c>
      <c r="J21" s="358">
        <f t="shared" si="3"/>
        <v>0</v>
      </c>
      <c r="K21" s="358">
        <f t="shared" si="0"/>
        <v>0</v>
      </c>
      <c r="L21" s="358">
        <f t="shared" si="0"/>
        <v>0</v>
      </c>
      <c r="M21" s="358">
        <f t="shared" si="4"/>
        <v>0</v>
      </c>
      <c r="N21" s="358">
        <f ca="1">VLOOKUP(B21,KTVTD20namcamket!$B$4:$Y$243,23,0)</f>
        <v>720</v>
      </c>
      <c r="O21" s="358">
        <f ca="1">VLOOKUP(B21,KTVTD20namcamket!$B$4:$Y$243,24,0)</f>
        <v>48.100307685331003</v>
      </c>
      <c r="P21" s="358">
        <f ca="1">VLOOKUP(B21,KTVTD20namMH!$B$4:$Y$243,24,0)</f>
        <v>65.035001707992947</v>
      </c>
    </row>
    <row r="22" spans="2:16" ht="12.75" customHeight="1">
      <c r="B22" s="356">
        <v>19</v>
      </c>
      <c r="C22" s="356" t="str">
        <f>IF(ROW(A19)&gt;'Tinh phi QL'!$D$12,"",ROW(A19))</f>
        <v/>
      </c>
      <c r="D22" s="357">
        <f>IF(IFERROR(--TRIM(C22),0)=0,0,'Tinh phi QL'!$H$12/1000)</f>
        <v>0</v>
      </c>
      <c r="E22" s="358">
        <f t="shared" ref="E22:E23" si="9">E21</f>
        <v>0</v>
      </c>
      <c r="F22" s="358">
        <f t="shared" si="1"/>
        <v>0</v>
      </c>
      <c r="G22" s="358">
        <f ca="1">KBAPhi!G22</f>
        <v>10469</v>
      </c>
      <c r="H22" s="358">
        <f t="shared" si="7"/>
        <v>0</v>
      </c>
      <c r="I22" s="358">
        <f t="shared" si="8"/>
        <v>0</v>
      </c>
      <c r="J22" s="358">
        <f t="shared" si="3"/>
        <v>0</v>
      </c>
      <c r="K22" s="358">
        <f t="shared" si="0"/>
        <v>0</v>
      </c>
      <c r="L22" s="358">
        <f t="shared" si="0"/>
        <v>0</v>
      </c>
      <c r="M22" s="358">
        <f t="shared" si="4"/>
        <v>0</v>
      </c>
      <c r="N22" s="358">
        <f ca="1">VLOOKUP(B22,KTVTD20namcamket!$B$4:$Y$243,23,0)</f>
        <v>720</v>
      </c>
      <c r="O22" s="358">
        <f ca="1">VLOOKUP(B22,KTVTD20namcamket!$B$4:$Y$243,24,0)</f>
        <v>55.446412002658143</v>
      </c>
      <c r="P22" s="358">
        <f ca="1">VLOOKUP(B22,KTVTD20namMH!$B$4:$Y$243,24,0)</f>
        <v>76.861156366829022</v>
      </c>
    </row>
    <row r="23" spans="2:16" ht="12.75" customHeight="1">
      <c r="B23" s="356">
        <v>20</v>
      </c>
      <c r="C23" s="356" t="str">
        <f>IF(ROW(A20)&gt;'Tinh phi QL'!$D$12,"",ROW(A20))</f>
        <v/>
      </c>
      <c r="D23" s="357">
        <f>IF(IFERROR(--TRIM(C23),0)=0,0,'Tinh phi QL'!$H$12/1000)</f>
        <v>0</v>
      </c>
      <c r="E23" s="358">
        <f t="shared" si="9"/>
        <v>0</v>
      </c>
      <c r="F23" s="358">
        <f t="shared" si="1"/>
        <v>0</v>
      </c>
      <c r="G23" s="358">
        <f ca="1">KBAPhi!G23</f>
        <v>10469</v>
      </c>
      <c r="H23" s="358">
        <f t="shared" si="7"/>
        <v>0</v>
      </c>
      <c r="I23" s="358">
        <f t="shared" si="8"/>
        <v>0</v>
      </c>
      <c r="J23" s="358">
        <f t="shared" si="3"/>
        <v>0</v>
      </c>
      <c r="K23" s="358">
        <f t="shared" si="0"/>
        <v>0</v>
      </c>
      <c r="L23" s="358">
        <f t="shared" si="0"/>
        <v>0</v>
      </c>
      <c r="M23" s="358">
        <f t="shared" si="4"/>
        <v>0</v>
      </c>
      <c r="N23" s="358">
        <f ca="1">VLOOKUP(B23,KTVTD20namcamket!$B$4:$Y$243,23,0)</f>
        <v>720</v>
      </c>
      <c r="O23" s="358">
        <f ca="1">VLOOKUP(B23,KTVTD20namcamket!$B$4:$Y$243,24,0)</f>
        <v>63.787875889549007</v>
      </c>
      <c r="P23" s="358">
        <f ca="1">VLOOKUP(B23,KTVTD20namMH!$B$4:$Y$243,24,0)</f>
        <v>90.655843107561836</v>
      </c>
    </row>
  </sheetData>
  <mergeCells count="9">
    <mergeCell ref="B1:O1"/>
    <mergeCell ref="B2:B3"/>
    <mergeCell ref="D2:F2"/>
    <mergeCell ref="G2:G3"/>
    <mergeCell ref="H2:J2"/>
    <mergeCell ref="K2:M2"/>
    <mergeCell ref="N2:N3"/>
    <mergeCell ref="O2:P2"/>
    <mergeCell ref="C2:C3"/>
  </mergeCells>
  <conditionalFormatting sqref="B4:P23">
    <cfRule type="expression" dxfId="185" priority="1">
      <formula>MOD(ROW(),2)&gt;0</formula>
    </cfRule>
    <cfRule type="expression" dxfId="184" priority="2">
      <formula>"mod(row(),2).0"</formula>
    </cfRule>
  </conditionalFormatting>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B9F04-80BD-459D-B54E-BED9AC04B0A7}">
  <dimension ref="B1:Y255"/>
  <sheetViews>
    <sheetView showGridLines="0" zoomScaleNormal="100" workbookViewId="0">
      <pane ySplit="3" topLeftCell="A221" activePane="bottomLeft" state="frozen"/>
      <selection pane="bottomLeft" activeCell="I244" sqref="I244"/>
    </sheetView>
  </sheetViews>
  <sheetFormatPr defaultColWidth="7.796875" defaultRowHeight="9.75" customHeight="1"/>
  <cols>
    <col min="1" max="1" width="2.19921875" style="277" customWidth="1"/>
    <col min="2" max="2" width="5.796875" style="270" customWidth="1"/>
    <col min="3" max="3" width="6.796875" style="270" customWidth="1"/>
    <col min="4" max="4" width="9.19921875" style="270" customWidth="1"/>
    <col min="5" max="5" width="14.296875" style="271" customWidth="1"/>
    <col min="6" max="6" width="11.5" style="299" customWidth="1"/>
    <col min="7" max="7" width="13.796875" style="272" customWidth="1"/>
    <col min="8" max="8" width="14.796875" style="271" customWidth="1"/>
    <col min="9" max="9" width="17.296875" style="273" customWidth="1"/>
    <col min="10" max="10" width="15.796875" style="300" customWidth="1"/>
    <col min="11" max="11" width="2.19921875" style="318" hidden="1" customWidth="1"/>
    <col min="12" max="12" width="2.69921875" style="318" hidden="1" customWidth="1"/>
    <col min="13" max="13" width="8.19921875" style="319" hidden="1" customWidth="1"/>
    <col min="14" max="15" width="0" style="298" hidden="1" customWidth="1"/>
    <col min="16" max="23" width="8.19921875" style="277" hidden="1" customWidth="1"/>
    <col min="24" max="16384" width="7.796875" style="277"/>
  </cols>
  <sheetData>
    <row r="1" spans="2:25" ht="9.75" customHeight="1">
      <c r="F1" s="271"/>
      <c r="J1" s="274" t="s">
        <v>681</v>
      </c>
      <c r="N1" s="275" t="s">
        <v>682</v>
      </c>
      <c r="O1" s="275" t="s">
        <v>683</v>
      </c>
      <c r="P1" s="276">
        <v>1</v>
      </c>
      <c r="Q1" s="276">
        <v>2</v>
      </c>
      <c r="R1" s="314">
        <v>3</v>
      </c>
      <c r="S1" s="314">
        <v>4</v>
      </c>
      <c r="T1" s="314">
        <v>5</v>
      </c>
      <c r="U1" s="322" t="s">
        <v>682</v>
      </c>
      <c r="V1" s="322" t="s">
        <v>702</v>
      </c>
      <c r="W1" s="314" t="s">
        <v>703</v>
      </c>
    </row>
    <row r="2" spans="2:25" ht="12" customHeight="1">
      <c r="B2" s="956" t="s">
        <v>810</v>
      </c>
      <c r="C2" s="956"/>
      <c r="D2" s="956"/>
      <c r="E2" s="956"/>
      <c r="F2" s="956"/>
      <c r="G2" s="956"/>
      <c r="H2" s="956"/>
      <c r="I2" s="956"/>
      <c r="J2" s="463">
        <f>KTVBVGTTKMH!M2</f>
        <v>4.5999999999999999E-2</v>
      </c>
      <c r="N2" s="278">
        <v>0.02</v>
      </c>
      <c r="O2" s="279">
        <v>0.01</v>
      </c>
      <c r="P2" s="315">
        <v>3.5000000000000003E-2</v>
      </c>
      <c r="Q2" s="315">
        <v>0.03</v>
      </c>
      <c r="R2" s="315">
        <v>0.03</v>
      </c>
      <c r="S2" s="315">
        <v>0.02</v>
      </c>
      <c r="T2" s="315">
        <v>0.02</v>
      </c>
      <c r="U2" s="315">
        <v>1.4999999999999999E-2</v>
      </c>
      <c r="V2" s="315">
        <v>0.01</v>
      </c>
      <c r="W2" s="323">
        <v>5.0000000000000001E-3</v>
      </c>
    </row>
    <row r="3" spans="2:25" s="286" customFormat="1" ht="39" customHeight="1">
      <c r="B3" s="280" t="s">
        <v>670</v>
      </c>
      <c r="C3" s="280" t="s">
        <v>1</v>
      </c>
      <c r="D3" s="280" t="s">
        <v>671</v>
      </c>
      <c r="E3" s="281" t="s">
        <v>678</v>
      </c>
      <c r="F3" s="281" t="s">
        <v>684</v>
      </c>
      <c r="G3" s="282" t="s">
        <v>685</v>
      </c>
      <c r="H3" s="281" t="s">
        <v>686</v>
      </c>
      <c r="I3" s="283" t="s">
        <v>804</v>
      </c>
      <c r="J3" s="284" t="s">
        <v>688</v>
      </c>
      <c r="K3" s="320"/>
      <c r="L3" s="320"/>
      <c r="M3" s="321"/>
      <c r="N3" s="285">
        <f t="shared" ref="N3:W3" si="0">(1+N2)^(1/12)-1</f>
        <v>1.6515813019202241E-3</v>
      </c>
      <c r="O3" s="285">
        <f t="shared" si="0"/>
        <v>8.295381143461622E-4</v>
      </c>
      <c r="P3" s="316">
        <f t="shared" si="0"/>
        <v>2.8708987190766422E-3</v>
      </c>
      <c r="Q3" s="316">
        <f t="shared" si="0"/>
        <v>2.4662697723036864E-3</v>
      </c>
      <c r="R3" s="316">
        <f t="shared" si="0"/>
        <v>2.4662697723036864E-3</v>
      </c>
      <c r="S3" s="316">
        <f t="shared" si="0"/>
        <v>1.6515813019202241E-3</v>
      </c>
      <c r="T3" s="316">
        <f t="shared" si="0"/>
        <v>1.6515813019202241E-3</v>
      </c>
      <c r="U3" s="316">
        <f t="shared" si="0"/>
        <v>1.2414877164492744E-3</v>
      </c>
      <c r="V3" s="316">
        <f t="shared" si="0"/>
        <v>8.295381143461622E-4</v>
      </c>
      <c r="W3" s="316">
        <f t="shared" si="0"/>
        <v>4.1571484472902043E-4</v>
      </c>
    </row>
    <row r="4" spans="2:25" ht="9.75" customHeight="1">
      <c r="B4" s="954">
        <v>1</v>
      </c>
      <c r="C4" s="952">
        <f ca="1">'Tinh phi QL'!I8</f>
        <v>30</v>
      </c>
      <c r="D4" s="287">
        <f ca="1">'Hoach dinh tai chinh'!J3</f>
        <v>46229</v>
      </c>
      <c r="E4" s="288">
        <f>'Tinh phi QL'!E12/1000</f>
        <v>0</v>
      </c>
      <c r="F4" s="289">
        <f ca="1">IF(YEAR(D4)=2025,40000,IF(YEAR(D4)=2026,40000,IF(YEAR(D4)=2027,40000,IF(YEAR(D4)=2028,40000,IF(YEAR(D4)=2029,40000,IF(YEAR(D4)=2030,50000,IF(YEAR(D4)=2031,50000,IF(YEAR(D4)=2032,50000,IF(YEAR(D4)=2033,50000,IF(YEAR(D4)=2034,50000,IF(YEAR(D4)&gt;=2035,60000,0)))))))))))/1000</f>
        <v>40</v>
      </c>
      <c r="G4" s="290">
        <f ca="1">KTVCOI!R3</f>
        <v>0</v>
      </c>
      <c r="H4" s="290">
        <f ca="1">(KTVBVGTTKcamket!F7-KTVBV20namMH!F4-G4)*(1+LS!F3)</f>
        <v>-40.150192487245846</v>
      </c>
      <c r="I4" s="291"/>
      <c r="J4" s="292">
        <f ca="1">H4</f>
        <v>-40.150192487245846</v>
      </c>
      <c r="K4" s="949">
        <f ca="1">J15</f>
        <v>-492.15747012288949</v>
      </c>
      <c r="L4" s="949"/>
      <c r="M4" s="949"/>
      <c r="N4" s="950">
        <f ca="1">SUM(G4:G15)</f>
        <v>0.27513926435729708</v>
      </c>
      <c r="O4" s="950"/>
      <c r="X4" s="945">
        <f ca="1">SUM(F4:F15)</f>
        <v>480</v>
      </c>
      <c r="Y4" s="945">
        <f ca="1">SUM(G4:G15)</f>
        <v>0.27513926435729708</v>
      </c>
    </row>
    <row r="5" spans="2:25" ht="9.75" customHeight="1">
      <c r="B5" s="954"/>
      <c r="C5" s="952"/>
      <c r="D5" s="287">
        <f t="shared" ref="D5:D68" ca="1" si="1">EDATE(D4,1)</f>
        <v>46260</v>
      </c>
      <c r="E5" s="288">
        <f>E4</f>
        <v>0</v>
      </c>
      <c r="F5" s="289">
        <f t="shared" ref="F5:F68" ca="1" si="2">IF(YEAR(D5)=2025,40000,IF(YEAR(D5)=2026,40000,IF(YEAR(D5)=2027,40000,IF(YEAR(D5)=2028,40000,IF(YEAR(D5)=2029,40000,IF(YEAR(D5)=2030,50000,IF(YEAR(D5)=2031,50000,IF(YEAR(D5)=2032,50000,IF(YEAR(D5)=2033,50000,IF(YEAR(D5)=2034,50000,IF(YEAR(D5)&gt;=2035,60000,0)))))))))))/1000</f>
        <v>40</v>
      </c>
      <c r="G5" s="290">
        <f ca="1">KTVCOI!R4</f>
        <v>4.1153947299426988E-3</v>
      </c>
      <c r="H5" s="290">
        <f ca="1">(H4-F5-G5)*(1+LS!$F$3)</f>
        <v>-80.455272253582365</v>
      </c>
      <c r="I5" s="291"/>
      <c r="J5" s="292">
        <f t="shared" ref="J5:J68" ca="1" si="3">H5</f>
        <v>-80.455272253582365</v>
      </c>
      <c r="K5" s="949"/>
      <c r="L5" s="949"/>
      <c r="M5" s="949"/>
      <c r="N5" s="950"/>
      <c r="O5" s="950"/>
      <c r="X5" s="1004"/>
      <c r="Y5" s="1004"/>
    </row>
    <row r="6" spans="2:25" ht="9.75" customHeight="1">
      <c r="B6" s="954"/>
      <c r="C6" s="952"/>
      <c r="D6" s="287">
        <f t="shared" ca="1" si="1"/>
        <v>46291</v>
      </c>
      <c r="E6" s="288">
        <f t="shared" ref="E6:E69" si="4">E5</f>
        <v>0</v>
      </c>
      <c r="F6" s="289">
        <f t="shared" ca="1" si="2"/>
        <v>40</v>
      </c>
      <c r="G6" s="290">
        <f ca="1">KTVCOI!R5</f>
        <v>8.2466654059921915E-3</v>
      </c>
      <c r="H6" s="290">
        <f ca="1">(H5-F6-G6)*(1+LS!$F$3)</f>
        <v>-120.9158368072091</v>
      </c>
      <c r="I6" s="291"/>
      <c r="J6" s="292">
        <f t="shared" ca="1" si="3"/>
        <v>-120.9158368072091</v>
      </c>
      <c r="K6" s="949"/>
      <c r="L6" s="949"/>
      <c r="M6" s="949"/>
      <c r="N6" s="950"/>
      <c r="O6" s="950"/>
      <c r="X6" s="1004"/>
      <c r="Y6" s="1004"/>
    </row>
    <row r="7" spans="2:25" ht="9.75" customHeight="1">
      <c r="B7" s="954"/>
      <c r="C7" s="952"/>
      <c r="D7" s="287">
        <f t="shared" ca="1" si="1"/>
        <v>46321</v>
      </c>
      <c r="E7" s="288">
        <f t="shared" si="4"/>
        <v>0</v>
      </c>
      <c r="F7" s="289">
        <f t="shared" ca="1" si="2"/>
        <v>40</v>
      </c>
      <c r="G7" s="290">
        <f ca="1">KTVCOI!R6</f>
        <v>1.2393873272738934E-2</v>
      </c>
      <c r="H7" s="290">
        <f ca="1">(H6-F7-G7)*(1+LS!$F$3)</f>
        <v>-161.53248596133122</v>
      </c>
      <c r="I7" s="291"/>
      <c r="J7" s="292">
        <f t="shared" ca="1" si="3"/>
        <v>-161.53248596133122</v>
      </c>
      <c r="K7" s="949"/>
      <c r="L7" s="949"/>
      <c r="M7" s="949"/>
      <c r="N7" s="950"/>
      <c r="O7" s="950"/>
      <c r="X7" s="1004"/>
      <c r="Y7" s="1004"/>
    </row>
    <row r="8" spans="2:25" ht="9.75" customHeight="1">
      <c r="B8" s="954"/>
      <c r="C8" s="952"/>
      <c r="D8" s="287">
        <f t="shared" ca="1" si="1"/>
        <v>46352</v>
      </c>
      <c r="E8" s="288">
        <f t="shared" si="4"/>
        <v>0</v>
      </c>
      <c r="F8" s="289">
        <f t="shared" ca="1" si="2"/>
        <v>40</v>
      </c>
      <c r="G8" s="290">
        <f ca="1">KTVCOI!R7</f>
        <v>1.6557079811036449E-2</v>
      </c>
      <c r="H8" s="290">
        <f ca="1">(H7-F8-G8)*(1+LS!$F$3)</f>
        <v>-202.30582184305149</v>
      </c>
      <c r="I8" s="291"/>
      <c r="J8" s="292">
        <f t="shared" ca="1" si="3"/>
        <v>-202.30582184305149</v>
      </c>
      <c r="K8" s="949"/>
      <c r="L8" s="949"/>
      <c r="M8" s="949"/>
      <c r="N8" s="950"/>
      <c r="O8" s="950"/>
      <c r="X8" s="1004"/>
      <c r="Y8" s="1004"/>
    </row>
    <row r="9" spans="2:25" ht="9.75" customHeight="1">
      <c r="B9" s="954"/>
      <c r="C9" s="952"/>
      <c r="D9" s="287">
        <f t="shared" ca="1" si="1"/>
        <v>46382</v>
      </c>
      <c r="E9" s="288">
        <f t="shared" si="4"/>
        <v>0</v>
      </c>
      <c r="F9" s="289">
        <f t="shared" ca="1" si="2"/>
        <v>40</v>
      </c>
      <c r="G9" s="290">
        <f ca="1">KTVCOI!R8</f>
        <v>2.0736346738912777E-2</v>
      </c>
      <c r="H9" s="290">
        <f ca="1">(H8-F9-G9)*(1+LS!$F$3)</f>
        <v>-243.23644890229664</v>
      </c>
      <c r="I9" s="291"/>
      <c r="J9" s="292">
        <f t="shared" ca="1" si="3"/>
        <v>-243.23644890229664</v>
      </c>
      <c r="K9" s="949"/>
      <c r="L9" s="949"/>
      <c r="M9" s="949"/>
      <c r="N9" s="950"/>
      <c r="O9" s="950"/>
      <c r="X9" s="1004"/>
      <c r="Y9" s="1004"/>
    </row>
    <row r="10" spans="2:25" ht="9.75" customHeight="1">
      <c r="B10" s="954"/>
      <c r="C10" s="952"/>
      <c r="D10" s="287">
        <f t="shared" ca="1" si="1"/>
        <v>46413</v>
      </c>
      <c r="E10" s="288">
        <f t="shared" si="4"/>
        <v>0</v>
      </c>
      <c r="F10" s="289">
        <f t="shared" ca="1" si="2"/>
        <v>40</v>
      </c>
      <c r="G10" s="290">
        <f ca="1">KTVCOI!R9</f>
        <v>2.4931736012485408E-2</v>
      </c>
      <c r="H10" s="290">
        <f ca="1">(H9-F10-G10)*(1+LS!$F$3)</f>
        <v>-284.32497392077812</v>
      </c>
      <c r="I10" s="291"/>
      <c r="J10" s="292">
        <f t="shared" ca="1" si="3"/>
        <v>-284.32497392077812</v>
      </c>
      <c r="K10" s="949"/>
      <c r="L10" s="949"/>
      <c r="M10" s="949"/>
      <c r="N10" s="950"/>
      <c r="O10" s="950"/>
      <c r="X10" s="1004"/>
      <c r="Y10" s="1004"/>
    </row>
    <row r="11" spans="2:25" ht="9.75" customHeight="1">
      <c r="B11" s="954"/>
      <c r="C11" s="952"/>
      <c r="D11" s="287">
        <f t="shared" ca="1" si="1"/>
        <v>46444</v>
      </c>
      <c r="E11" s="288">
        <f t="shared" si="4"/>
        <v>0</v>
      </c>
      <c r="F11" s="289">
        <f t="shared" ca="1" si="2"/>
        <v>40</v>
      </c>
      <c r="G11" s="290">
        <f ca="1">KTVCOI!R10</f>
        <v>2.9143309826879755E-2</v>
      </c>
      <c r="H11" s="290">
        <f ca="1">(H10-F11-G11)*(1+LS!$F$3)</f>
        <v>-325.57200602098743</v>
      </c>
      <c r="I11" s="291"/>
      <c r="J11" s="292">
        <f t="shared" ca="1" si="3"/>
        <v>-325.57200602098743</v>
      </c>
      <c r="K11" s="949"/>
      <c r="L11" s="949"/>
      <c r="M11" s="949"/>
      <c r="N11" s="950"/>
      <c r="O11" s="950"/>
      <c r="X11" s="1004"/>
      <c r="Y11" s="1004"/>
    </row>
    <row r="12" spans="2:25" ht="9.75" customHeight="1">
      <c r="B12" s="954"/>
      <c r="C12" s="952"/>
      <c r="D12" s="287">
        <f t="shared" ca="1" si="1"/>
        <v>46472</v>
      </c>
      <c r="E12" s="288">
        <f t="shared" si="4"/>
        <v>0</v>
      </c>
      <c r="F12" s="289">
        <f t="shared" ca="1" si="2"/>
        <v>40</v>
      </c>
      <c r="G12" s="290">
        <f ca="1">KTVCOI!R11</f>
        <v>3.3371130617151211E-2</v>
      </c>
      <c r="H12" s="290">
        <f ca="1">(H11-F12-G12)*(1+LS!$F$3)</f>
        <v>-366.97815667522593</v>
      </c>
      <c r="I12" s="291"/>
      <c r="J12" s="292">
        <f t="shared" ca="1" si="3"/>
        <v>-366.97815667522593</v>
      </c>
      <c r="K12" s="949"/>
      <c r="L12" s="949"/>
      <c r="M12" s="949"/>
      <c r="N12" s="950"/>
      <c r="O12" s="950"/>
      <c r="X12" s="1004"/>
      <c r="Y12" s="1004"/>
    </row>
    <row r="13" spans="2:25" ht="9.75" customHeight="1">
      <c r="B13" s="954"/>
      <c r="C13" s="952"/>
      <c r="D13" s="287">
        <f t="shared" ca="1" si="1"/>
        <v>46503</v>
      </c>
      <c r="E13" s="288">
        <f t="shared" si="4"/>
        <v>0</v>
      </c>
      <c r="F13" s="289">
        <f t="shared" ca="1" si="2"/>
        <v>40</v>
      </c>
      <c r="G13" s="290">
        <f ca="1">KTVCOI!R12</f>
        <v>3.7615261059210654E-2</v>
      </c>
      <c r="H13" s="290">
        <f ca="1">(H12-F13-G13)*(1+LS!$F$3)</f>
        <v>-408.54403971467013</v>
      </c>
      <c r="I13" s="291"/>
      <c r="J13" s="292">
        <f t="shared" ca="1" si="3"/>
        <v>-408.54403971467013</v>
      </c>
      <c r="K13" s="949"/>
      <c r="L13" s="949"/>
      <c r="M13" s="949"/>
      <c r="N13" s="950"/>
      <c r="O13" s="950"/>
      <c r="X13" s="1004"/>
      <c r="Y13" s="1004"/>
    </row>
    <row r="14" spans="2:25" ht="9.75" customHeight="1">
      <c r="B14" s="954"/>
      <c r="C14" s="952"/>
      <c r="D14" s="287">
        <f t="shared" ca="1" si="1"/>
        <v>46533</v>
      </c>
      <c r="E14" s="288">
        <f t="shared" si="4"/>
        <v>0</v>
      </c>
      <c r="F14" s="289">
        <f t="shared" ca="1" si="2"/>
        <v>40</v>
      </c>
      <c r="G14" s="290">
        <f ca="1">KTVCOI!R13</f>
        <v>4.187576407075369E-2</v>
      </c>
      <c r="H14" s="290">
        <f ca="1">(H13-F14-G14)*(1+LS!$F$3)</f>
        <v>-450.27027133847105</v>
      </c>
      <c r="I14" s="291"/>
      <c r="J14" s="292">
        <f t="shared" ca="1" si="3"/>
        <v>-450.27027133847105</v>
      </c>
      <c r="K14" s="949"/>
      <c r="L14" s="949"/>
      <c r="M14" s="949"/>
      <c r="N14" s="950"/>
      <c r="O14" s="950"/>
      <c r="X14" s="1004"/>
      <c r="Y14" s="1004"/>
    </row>
    <row r="15" spans="2:25" ht="9.75" customHeight="1">
      <c r="B15" s="954"/>
      <c r="C15" s="952"/>
      <c r="D15" s="287">
        <f t="shared" ca="1" si="1"/>
        <v>46564</v>
      </c>
      <c r="E15" s="288">
        <f t="shared" si="4"/>
        <v>0</v>
      </c>
      <c r="F15" s="289">
        <f t="shared" ca="1" si="2"/>
        <v>40</v>
      </c>
      <c r="G15" s="290">
        <f ca="1">KTVCOI!R14</f>
        <v>4.6152702812193275E-2</v>
      </c>
      <c r="H15" s="290">
        <f ca="1">(H14-F15-G15)*(1+LS!$F$3)</f>
        <v>-492.15747012288949</v>
      </c>
      <c r="I15" s="291"/>
      <c r="J15" s="293">
        <f t="shared" ca="1" si="3"/>
        <v>-492.15747012288949</v>
      </c>
      <c r="K15" s="949"/>
      <c r="L15" s="949"/>
      <c r="M15" s="949"/>
      <c r="N15" s="950"/>
      <c r="O15" s="950"/>
      <c r="X15" s="1004"/>
      <c r="Y15" s="1004"/>
    </row>
    <row r="16" spans="2:25" ht="9.75" customHeight="1">
      <c r="B16" s="955">
        <v>2</v>
      </c>
      <c r="C16" s="947">
        <f ca="1">C4+1</f>
        <v>31</v>
      </c>
      <c r="D16" s="294">
        <f t="shared" ca="1" si="1"/>
        <v>46594</v>
      </c>
      <c r="E16" s="359">
        <f>E15</f>
        <v>0</v>
      </c>
      <c r="F16" s="360">
        <f t="shared" ca="1" si="2"/>
        <v>40</v>
      </c>
      <c r="G16" s="290">
        <f ca="1">KTVCOI!R15</f>
        <v>5.1676534362903398E-2</v>
      </c>
      <c r="H16" s="290">
        <f ca="1">(H15+KTVBVGTTKMH!F8-F16-G16)*(1+LS!$F$3)</f>
        <v>-534.2074920440383</v>
      </c>
      <c r="I16" s="324"/>
      <c r="J16" s="296">
        <f t="shared" ca="1" si="3"/>
        <v>-534.2074920440383</v>
      </c>
      <c r="K16" s="949">
        <f ca="1">J27</f>
        <v>-1007.6100254281246</v>
      </c>
      <c r="L16" s="949"/>
      <c r="M16" s="949"/>
      <c r="N16" s="950">
        <f ca="1">SUM(G16:G27)</f>
        <v>0.91530746640379246</v>
      </c>
      <c r="O16" s="950"/>
      <c r="X16" s="945">
        <f t="shared" ref="X16:Y16" ca="1" si="5">SUM(F16:F27)</f>
        <v>480</v>
      </c>
      <c r="Y16" s="945">
        <f t="shared" ca="1" si="5"/>
        <v>0.91530746640379246</v>
      </c>
    </row>
    <row r="17" spans="2:25" ht="9.75" customHeight="1">
      <c r="B17" s="955"/>
      <c r="C17" s="947"/>
      <c r="D17" s="294">
        <f t="shared" ca="1" si="1"/>
        <v>46625</v>
      </c>
      <c r="E17" s="359">
        <f t="shared" si="4"/>
        <v>0</v>
      </c>
      <c r="F17" s="360">
        <f t="shared" ca="1" si="2"/>
        <v>40</v>
      </c>
      <c r="G17" s="290">
        <f ca="1">KTVCOI!R16</f>
        <v>5.609178666462402E-2</v>
      </c>
      <c r="H17" s="290">
        <f ca="1">(H16-F17-G17)*(1+LS!$F$3)</f>
        <v>-576.41983573045911</v>
      </c>
      <c r="I17" s="324"/>
      <c r="J17" s="296">
        <f t="shared" ca="1" si="3"/>
        <v>-576.41983573045911</v>
      </c>
      <c r="K17" s="949"/>
      <c r="L17" s="949"/>
      <c r="M17" s="949"/>
      <c r="N17" s="950"/>
      <c r="O17" s="950"/>
      <c r="X17" s="1004"/>
      <c r="Y17" s="1004"/>
    </row>
    <row r="18" spans="2:25" ht="9.75" customHeight="1">
      <c r="B18" s="955"/>
      <c r="C18" s="947"/>
      <c r="D18" s="294">
        <f t="shared" ca="1" si="1"/>
        <v>46656</v>
      </c>
      <c r="E18" s="359">
        <f t="shared" si="4"/>
        <v>0</v>
      </c>
      <c r="F18" s="360">
        <f t="shared" ca="1" si="2"/>
        <v>40</v>
      </c>
      <c r="G18" s="290">
        <f ca="1">KTVCOI!R17</f>
        <v>6.0524082751698211E-2</v>
      </c>
      <c r="H18" s="290">
        <f ca="1">(H17-F18-G18)*(1+LS!$F$3)</f>
        <v>-618.79512777767479</v>
      </c>
      <c r="I18" s="324"/>
      <c r="J18" s="296">
        <f t="shared" ca="1" si="3"/>
        <v>-618.79512777767479</v>
      </c>
      <c r="K18" s="949"/>
      <c r="L18" s="949"/>
      <c r="M18" s="949"/>
      <c r="N18" s="950"/>
      <c r="O18" s="950"/>
      <c r="X18" s="1004"/>
      <c r="Y18" s="1004"/>
    </row>
    <row r="19" spans="2:25" ht="9.75" customHeight="1">
      <c r="B19" s="955"/>
      <c r="C19" s="947"/>
      <c r="D19" s="294">
        <f t="shared" ca="1" si="1"/>
        <v>46686</v>
      </c>
      <c r="E19" s="359">
        <f t="shared" si="4"/>
        <v>0</v>
      </c>
      <c r="F19" s="360">
        <f t="shared" ca="1" si="2"/>
        <v>40</v>
      </c>
      <c r="G19" s="290">
        <f ca="1">KTVCOI!R18</f>
        <v>6.4973488416655859E-2</v>
      </c>
      <c r="H19" s="290">
        <f ca="1">(H18-F19-G19)*(1+LS!$F$3)</f>
        <v>-661.33399719999647</v>
      </c>
      <c r="I19" s="324"/>
      <c r="J19" s="296">
        <f t="shared" ca="1" si="3"/>
        <v>-661.33399719999647</v>
      </c>
      <c r="K19" s="949"/>
      <c r="L19" s="949"/>
      <c r="M19" s="949"/>
      <c r="N19" s="950"/>
      <c r="O19" s="950"/>
      <c r="X19" s="1004"/>
      <c r="Y19" s="1004"/>
    </row>
    <row r="20" spans="2:25" ht="9.75" customHeight="1">
      <c r="B20" s="955"/>
      <c r="C20" s="947"/>
      <c r="D20" s="294">
        <f t="shared" ca="1" si="1"/>
        <v>46717</v>
      </c>
      <c r="E20" s="359">
        <f t="shared" si="4"/>
        <v>0</v>
      </c>
      <c r="F20" s="360">
        <f t="shared" ca="1" si="2"/>
        <v>40</v>
      </c>
      <c r="G20" s="290">
        <f ca="1">KTVCOI!R19</f>
        <v>6.9440069705999627E-2</v>
      </c>
      <c r="H20" s="290">
        <f ca="1">(H19-F20-G20)*(1+LS!$F$3)</f>
        <v>-704.03707543986059</v>
      </c>
      <c r="I20" s="324"/>
      <c r="J20" s="296">
        <f t="shared" ca="1" si="3"/>
        <v>-704.03707543986059</v>
      </c>
      <c r="K20" s="949"/>
      <c r="L20" s="949"/>
      <c r="M20" s="949"/>
      <c r="N20" s="950"/>
      <c r="O20" s="950"/>
      <c r="X20" s="1004"/>
      <c r="Y20" s="1004"/>
    </row>
    <row r="21" spans="2:25" ht="9.75" customHeight="1">
      <c r="B21" s="955"/>
      <c r="C21" s="947"/>
      <c r="D21" s="294">
        <f t="shared" ca="1" si="1"/>
        <v>46747</v>
      </c>
      <c r="E21" s="359">
        <f t="shared" si="4"/>
        <v>0</v>
      </c>
      <c r="F21" s="360">
        <f t="shared" ca="1" si="2"/>
        <v>40</v>
      </c>
      <c r="G21" s="290">
        <f ca="1">KTVCOI!R20</f>
        <v>7.3923892921185355E-2</v>
      </c>
      <c r="H21" s="290">
        <f ca="1">(H20-F21-G21)*(1+LS!$F$3)</f>
        <v>-746.90499637720131</v>
      </c>
      <c r="I21" s="324"/>
      <c r="J21" s="296">
        <f t="shared" ca="1" si="3"/>
        <v>-746.90499637720131</v>
      </c>
      <c r="K21" s="949"/>
      <c r="L21" s="949"/>
      <c r="M21" s="949"/>
      <c r="N21" s="950"/>
      <c r="O21" s="950"/>
      <c r="X21" s="1004"/>
      <c r="Y21" s="1004"/>
    </row>
    <row r="22" spans="2:25" ht="9.75" customHeight="1">
      <c r="B22" s="955"/>
      <c r="C22" s="947"/>
      <c r="D22" s="294">
        <f t="shared" ca="1" si="1"/>
        <v>46778</v>
      </c>
      <c r="E22" s="359">
        <f t="shared" si="4"/>
        <v>0</v>
      </c>
      <c r="F22" s="360">
        <f t="shared" ca="1" si="2"/>
        <v>40</v>
      </c>
      <c r="G22" s="290">
        <f ca="1">KTVCOI!R21</f>
        <v>7.842502461960614E-2</v>
      </c>
      <c r="H22" s="290">
        <f ca="1">(H21-F22-G22)*(1+LS!$F$3)</f>
        <v>-789.93839633886057</v>
      </c>
      <c r="I22" s="324"/>
      <c r="J22" s="296">
        <f t="shared" ca="1" si="3"/>
        <v>-789.93839633886057</v>
      </c>
      <c r="K22" s="949"/>
      <c r="L22" s="949"/>
      <c r="M22" s="949"/>
      <c r="N22" s="950"/>
      <c r="O22" s="950"/>
      <c r="X22" s="1004"/>
      <c r="Y22" s="1004"/>
    </row>
    <row r="23" spans="2:25" ht="9.75" customHeight="1">
      <c r="B23" s="955"/>
      <c r="C23" s="947"/>
      <c r="D23" s="294">
        <f t="shared" ca="1" si="1"/>
        <v>46809</v>
      </c>
      <c r="E23" s="359">
        <f t="shared" si="4"/>
        <v>0</v>
      </c>
      <c r="F23" s="360">
        <f t="shared" ca="1" si="2"/>
        <v>40</v>
      </c>
      <c r="G23" s="290">
        <f ca="1">KTVCOI!R22</f>
        <v>8.2943531615580365E-2</v>
      </c>
      <c r="H23" s="290">
        <f ca="1">(H22-F23-G23)*(1+LS!$F$3)</f>
        <v>-833.1379141080331</v>
      </c>
      <c r="I23" s="324"/>
      <c r="J23" s="296">
        <f t="shared" ca="1" si="3"/>
        <v>-833.1379141080331</v>
      </c>
      <c r="K23" s="949"/>
      <c r="L23" s="949"/>
      <c r="M23" s="949"/>
      <c r="N23" s="950"/>
      <c r="O23" s="950"/>
      <c r="X23" s="1004"/>
      <c r="Y23" s="1004"/>
    </row>
    <row r="24" spans="2:25" ht="9.75" customHeight="1">
      <c r="B24" s="955"/>
      <c r="C24" s="947"/>
      <c r="D24" s="294">
        <f t="shared" ca="1" si="1"/>
        <v>46838</v>
      </c>
      <c r="E24" s="359">
        <f t="shared" si="4"/>
        <v>0</v>
      </c>
      <c r="F24" s="360">
        <f t="shared" ca="1" si="2"/>
        <v>40</v>
      </c>
      <c r="G24" s="290">
        <f ca="1">KTVCOI!R23</f>
        <v>8.7479480981343491E-2</v>
      </c>
      <c r="H24" s="290">
        <f ca="1">(H23-F24-G24)*(1+LS!$F$3)</f>
        <v>-876.50419093374853</v>
      </c>
      <c r="I24" s="324"/>
      <c r="J24" s="296">
        <f t="shared" ca="1" si="3"/>
        <v>-876.50419093374853</v>
      </c>
      <c r="K24" s="949"/>
      <c r="L24" s="949"/>
      <c r="M24" s="949"/>
      <c r="N24" s="950"/>
      <c r="O24" s="950"/>
      <c r="X24" s="1004"/>
      <c r="Y24" s="1004"/>
    </row>
    <row r="25" spans="2:25" ht="9.75" customHeight="1">
      <c r="B25" s="955"/>
      <c r="C25" s="947"/>
      <c r="D25" s="294">
        <f t="shared" ca="1" si="1"/>
        <v>46869</v>
      </c>
      <c r="E25" s="359">
        <f t="shared" si="4"/>
        <v>0</v>
      </c>
      <c r="F25" s="360">
        <f t="shared" ca="1" si="2"/>
        <v>40</v>
      </c>
      <c r="G25" s="290">
        <f ca="1">KTVCOI!R24</f>
        <v>9.2032940048043591E-2</v>
      </c>
      <c r="H25" s="290">
        <f ca="1">(H24-F25-G25)*(1+LS!$F$3)</f>
        <v>-920.03787054039049</v>
      </c>
      <c r="I25" s="324"/>
      <c r="J25" s="296">
        <f t="shared" ca="1" si="3"/>
        <v>-920.03787054039049</v>
      </c>
      <c r="K25" s="949"/>
      <c r="L25" s="949"/>
      <c r="M25" s="949"/>
      <c r="N25" s="950"/>
      <c r="O25" s="950"/>
      <c r="X25" s="1004"/>
      <c r="Y25" s="1004"/>
    </row>
    <row r="26" spans="2:25" ht="9.75" customHeight="1">
      <c r="B26" s="955"/>
      <c r="C26" s="947"/>
      <c r="D26" s="294">
        <f t="shared" ca="1" si="1"/>
        <v>46899</v>
      </c>
      <c r="E26" s="359">
        <f t="shared" si="4"/>
        <v>0</v>
      </c>
      <c r="F26" s="360">
        <f t="shared" ca="1" si="2"/>
        <v>40</v>
      </c>
      <c r="G26" s="290">
        <f ca="1">KTVCOI!R25</f>
        <v>9.660397640674101E-2</v>
      </c>
      <c r="H26" s="290">
        <f ca="1">(H25-F26-G26)*(1+LS!$F$3)</f>
        <v>-963.73959913725128</v>
      </c>
      <c r="I26" s="324"/>
      <c r="J26" s="296">
        <f t="shared" ca="1" si="3"/>
        <v>-963.73959913725128</v>
      </c>
      <c r="K26" s="949"/>
      <c r="L26" s="949"/>
      <c r="M26" s="949"/>
      <c r="N26" s="950"/>
      <c r="O26" s="950"/>
      <c r="X26" s="1004"/>
      <c r="Y26" s="1004"/>
    </row>
    <row r="27" spans="2:25" ht="9.75" customHeight="1">
      <c r="B27" s="955"/>
      <c r="C27" s="947"/>
      <c r="D27" s="294">
        <f t="shared" ca="1" si="1"/>
        <v>46930</v>
      </c>
      <c r="E27" s="359">
        <f t="shared" si="4"/>
        <v>0</v>
      </c>
      <c r="F27" s="360">
        <f t="shared" ca="1" si="2"/>
        <v>40</v>
      </c>
      <c r="G27" s="290">
        <f ca="1">KTVCOI!R26</f>
        <v>0.10119265790941138</v>
      </c>
      <c r="H27" s="290">
        <f ca="1">(H26-F27-G27)*(1+LS!$F$3)</f>
        <v>-1007.6100254281246</v>
      </c>
      <c r="I27" s="324"/>
      <c r="J27" s="297">
        <f t="shared" ca="1" si="3"/>
        <v>-1007.6100254281246</v>
      </c>
      <c r="K27" s="949"/>
      <c r="L27" s="949"/>
      <c r="M27" s="949"/>
      <c r="N27" s="950"/>
      <c r="O27" s="950"/>
      <c r="X27" s="1004"/>
      <c r="Y27" s="1004"/>
    </row>
    <row r="28" spans="2:25" ht="9.75" customHeight="1">
      <c r="B28" s="954">
        <v>3</v>
      </c>
      <c r="C28" s="952">
        <f ca="1">C16+1</f>
        <v>32</v>
      </c>
      <c r="D28" s="287">
        <f t="shared" ca="1" si="1"/>
        <v>46960</v>
      </c>
      <c r="E28" s="359">
        <f t="shared" si="4"/>
        <v>0</v>
      </c>
      <c r="F28" s="289">
        <f t="shared" ca="1" si="2"/>
        <v>40</v>
      </c>
      <c r="G28" s="290">
        <f ca="1">KTVCOI!R27</f>
        <v>0.1099974277759036</v>
      </c>
      <c r="H28" s="290">
        <f ca="1">(H27+KTVBVGTTKMH!F9-F28-G28)*(1+LS!$F$3)</f>
        <v>-1051.6540147601504</v>
      </c>
      <c r="I28" s="291"/>
      <c r="J28" s="292">
        <f t="shared" ca="1" si="3"/>
        <v>-1051.6540147601504</v>
      </c>
      <c r="K28" s="949">
        <f ca="1">J39</f>
        <v>-1547.5172685759376</v>
      </c>
      <c r="L28" s="949"/>
      <c r="M28" s="949"/>
      <c r="N28" s="950">
        <f t="shared" ref="N28" ca="1" si="6">SUM(G28:G39)</f>
        <v>1.6414295503766305</v>
      </c>
      <c r="O28" s="950"/>
      <c r="X28" s="945">
        <f t="shared" ref="X28:Y28" ca="1" si="7">SUM(F28:F39)</f>
        <v>480</v>
      </c>
      <c r="Y28" s="945">
        <f t="shared" ca="1" si="7"/>
        <v>1.6414295503766305</v>
      </c>
    </row>
    <row r="29" spans="2:25" ht="9.75" customHeight="1">
      <c r="B29" s="954"/>
      <c r="C29" s="952"/>
      <c r="D29" s="287">
        <f t="shared" ca="1" si="1"/>
        <v>46991</v>
      </c>
      <c r="E29" s="359">
        <f t="shared" si="4"/>
        <v>0</v>
      </c>
      <c r="F29" s="289">
        <f t="shared" ca="1" si="2"/>
        <v>40</v>
      </c>
      <c r="G29" s="290">
        <f ca="1">KTVCOI!R28</f>
        <v>0.11480556327798308</v>
      </c>
      <c r="H29" s="290">
        <f ca="1">(H28-F29-G29)*(1+LS!$F$3)</f>
        <v>-1095.8682071889743</v>
      </c>
      <c r="I29" s="291"/>
      <c r="J29" s="292">
        <f t="shared" ca="1" si="3"/>
        <v>-1095.8682071889743</v>
      </c>
      <c r="K29" s="949"/>
      <c r="L29" s="949"/>
      <c r="M29" s="949"/>
      <c r="N29" s="950"/>
      <c r="O29" s="950"/>
      <c r="X29" s="1004"/>
      <c r="Y29" s="1004"/>
    </row>
    <row r="30" spans="2:25" ht="9.75" customHeight="1">
      <c r="B30" s="954"/>
      <c r="C30" s="952"/>
      <c r="D30" s="287">
        <f t="shared" ca="1" si="1"/>
        <v>47022</v>
      </c>
      <c r="E30" s="359">
        <f t="shared" si="4"/>
        <v>0</v>
      </c>
      <c r="F30" s="289">
        <f t="shared" ca="1" si="2"/>
        <v>40</v>
      </c>
      <c r="G30" s="290">
        <f ca="1">KTVCOI!R29</f>
        <v>0.11963227928479636</v>
      </c>
      <c r="H30" s="290">
        <f ca="1">(H29-F30-G30)*(1+LS!$F$3)</f>
        <v>-1140.2532604455284</v>
      </c>
      <c r="I30" s="291"/>
      <c r="J30" s="292">
        <f t="shared" ca="1" si="3"/>
        <v>-1140.2532604455284</v>
      </c>
      <c r="K30" s="949"/>
      <c r="L30" s="949"/>
      <c r="M30" s="949"/>
      <c r="N30" s="950"/>
      <c r="O30" s="950"/>
      <c r="X30" s="1004"/>
      <c r="Y30" s="1004"/>
    </row>
    <row r="31" spans="2:25" ht="9.75" customHeight="1">
      <c r="B31" s="954"/>
      <c r="C31" s="952"/>
      <c r="D31" s="287">
        <f t="shared" ca="1" si="1"/>
        <v>47052</v>
      </c>
      <c r="E31" s="359">
        <f t="shared" si="4"/>
        <v>0</v>
      </c>
      <c r="F31" s="289">
        <f t="shared" ca="1" si="2"/>
        <v>40</v>
      </c>
      <c r="G31" s="290">
        <f ca="1">KTVCOI!R30</f>
        <v>0.12447764759863687</v>
      </c>
      <c r="H31" s="290">
        <f ca="1">(H30-F31-G31)*(1+LS!$F$3)</f>
        <v>-1184.809834802473</v>
      </c>
      <c r="I31" s="291"/>
      <c r="J31" s="292">
        <f t="shared" ca="1" si="3"/>
        <v>-1184.809834802473</v>
      </c>
      <c r="K31" s="949"/>
      <c r="L31" s="949"/>
      <c r="M31" s="949"/>
      <c r="N31" s="950"/>
      <c r="O31" s="950"/>
      <c r="X31" s="1004"/>
      <c r="Y31" s="1004"/>
    </row>
    <row r="32" spans="2:25" ht="9.75" customHeight="1">
      <c r="B32" s="954"/>
      <c r="C32" s="952"/>
      <c r="D32" s="287">
        <f t="shared" ca="1" si="1"/>
        <v>47083</v>
      </c>
      <c r="E32" s="359">
        <f t="shared" si="4"/>
        <v>0</v>
      </c>
      <c r="F32" s="289">
        <f t="shared" ca="1" si="2"/>
        <v>40</v>
      </c>
      <c r="G32" s="290">
        <f ca="1">KTVCOI!R31</f>
        <v>0.12934174029926995</v>
      </c>
      <c r="H32" s="290">
        <f ca="1">(H31-F32-G32)*(1+LS!$F$3)</f>
        <v>-1229.5385930840182</v>
      </c>
      <c r="I32" s="291"/>
      <c r="J32" s="292">
        <f t="shared" ca="1" si="3"/>
        <v>-1229.5385930840182</v>
      </c>
      <c r="K32" s="949"/>
      <c r="L32" s="949"/>
      <c r="M32" s="949"/>
      <c r="N32" s="950"/>
      <c r="O32" s="950"/>
      <c r="X32" s="1004"/>
      <c r="Y32" s="1004"/>
    </row>
    <row r="33" spans="2:25" ht="9.75" customHeight="1">
      <c r="B33" s="954"/>
      <c r="C33" s="952"/>
      <c r="D33" s="287">
        <f t="shared" ca="1" si="1"/>
        <v>47113</v>
      </c>
      <c r="E33" s="359">
        <f t="shared" si="4"/>
        <v>0</v>
      </c>
      <c r="F33" s="289">
        <f t="shared" ca="1" si="2"/>
        <v>40</v>
      </c>
      <c r="G33" s="290">
        <f ca="1">KTVCOI!R32</f>
        <v>0.13422462974500532</v>
      </c>
      <c r="H33" s="290">
        <f ca="1">(H32-F33-G33)*(1+LS!$F$3)</f>
        <v>-1274.440200675785</v>
      </c>
      <c r="I33" s="291"/>
      <c r="J33" s="292">
        <f t="shared" ca="1" si="3"/>
        <v>-1274.440200675785</v>
      </c>
      <c r="K33" s="949"/>
      <c r="L33" s="949"/>
      <c r="M33" s="949"/>
      <c r="N33" s="950"/>
      <c r="O33" s="950"/>
      <c r="X33" s="1004"/>
      <c r="Y33" s="1004"/>
    </row>
    <row r="34" spans="2:25" ht="9.75" customHeight="1">
      <c r="B34" s="954"/>
      <c r="C34" s="952"/>
      <c r="D34" s="287">
        <f t="shared" ca="1" si="1"/>
        <v>47144</v>
      </c>
      <c r="E34" s="359">
        <f t="shared" si="4"/>
        <v>0</v>
      </c>
      <c r="F34" s="289">
        <f t="shared" ca="1" si="2"/>
        <v>40</v>
      </c>
      <c r="G34" s="290">
        <f ca="1">KTVCOI!R33</f>
        <v>0.13912638857377321</v>
      </c>
      <c r="H34" s="290">
        <f ca="1">(H33-F34-G34)*(1+LS!$F$3)</f>
        <v>-1319.5153255347029</v>
      </c>
      <c r="I34" s="291"/>
      <c r="J34" s="292">
        <f t="shared" ca="1" si="3"/>
        <v>-1319.5153255347029</v>
      </c>
      <c r="K34" s="949"/>
      <c r="L34" s="949"/>
      <c r="M34" s="949"/>
      <c r="N34" s="950"/>
      <c r="O34" s="950"/>
      <c r="X34" s="1004"/>
      <c r="Y34" s="1004"/>
    </row>
    <row r="35" spans="2:25" ht="9.75" customHeight="1">
      <c r="B35" s="954"/>
      <c r="C35" s="952"/>
      <c r="D35" s="287">
        <f t="shared" ca="1" si="1"/>
        <v>47175</v>
      </c>
      <c r="E35" s="359">
        <f t="shared" si="4"/>
        <v>0</v>
      </c>
      <c r="F35" s="289">
        <f t="shared" ca="1" si="2"/>
        <v>40</v>
      </c>
      <c r="G35" s="290">
        <f ca="1">KTVCOI!R34</f>
        <v>0.14404708970420507</v>
      </c>
      <c r="H35" s="290">
        <f ca="1">(H34-F35-G35)*(1+LS!$F$3)</f>
        <v>-1364.7646381989466</v>
      </c>
      <c r="I35" s="291"/>
      <c r="J35" s="292">
        <f t="shared" ca="1" si="3"/>
        <v>-1364.7646381989466</v>
      </c>
      <c r="K35" s="949"/>
      <c r="L35" s="949"/>
      <c r="M35" s="949"/>
      <c r="N35" s="950"/>
      <c r="O35" s="950"/>
      <c r="X35" s="1004"/>
      <c r="Y35" s="1004"/>
    </row>
    <row r="36" spans="2:25" ht="9.75" customHeight="1">
      <c r="B36" s="954"/>
      <c r="C36" s="952"/>
      <c r="D36" s="287">
        <f t="shared" ca="1" si="1"/>
        <v>47203</v>
      </c>
      <c r="E36" s="359">
        <f t="shared" si="4"/>
        <v>0</v>
      </c>
      <c r="F36" s="289">
        <f t="shared" ca="1" si="2"/>
        <v>40</v>
      </c>
      <c r="G36" s="290">
        <f ca="1">KTVCOI!R35</f>
        <v>0.14898680633671835</v>
      </c>
      <c r="H36" s="290">
        <f ca="1">(H35-F36-G36)*(1+LS!$F$3)</f>
        <v>-1410.1888117979115</v>
      </c>
      <c r="I36" s="291"/>
      <c r="J36" s="292">
        <f t="shared" ca="1" si="3"/>
        <v>-1410.1888117979115</v>
      </c>
      <c r="K36" s="949"/>
      <c r="L36" s="949"/>
      <c r="M36" s="949"/>
      <c r="N36" s="950"/>
      <c r="O36" s="950"/>
      <c r="X36" s="1004"/>
      <c r="Y36" s="1004"/>
    </row>
    <row r="37" spans="2:25" ht="9.75" customHeight="1">
      <c r="B37" s="954"/>
      <c r="C37" s="952"/>
      <c r="D37" s="287">
        <f t="shared" ca="1" si="1"/>
        <v>47234</v>
      </c>
      <c r="E37" s="359">
        <f t="shared" si="4"/>
        <v>0</v>
      </c>
      <c r="F37" s="289">
        <f t="shared" ca="1" si="2"/>
        <v>40</v>
      </c>
      <c r="G37" s="290">
        <f ca="1">KTVCOI!R36</f>
        <v>0.15394561195460535</v>
      </c>
      <c r="H37" s="290">
        <f ca="1">(H36-F37-G37)*(1+LS!$F$3)</f>
        <v>-1455.7885220622259</v>
      </c>
      <c r="I37" s="291"/>
      <c r="J37" s="292">
        <f t="shared" ca="1" si="3"/>
        <v>-1455.7885220622259</v>
      </c>
      <c r="K37" s="949"/>
      <c r="L37" s="949"/>
      <c r="M37" s="949"/>
      <c r="N37" s="950"/>
      <c r="O37" s="950"/>
      <c r="X37" s="1004"/>
      <c r="Y37" s="1004"/>
    </row>
    <row r="38" spans="2:25" ht="9.75" customHeight="1">
      <c r="B38" s="954"/>
      <c r="C38" s="952"/>
      <c r="D38" s="287">
        <f t="shared" ca="1" si="1"/>
        <v>47264</v>
      </c>
      <c r="E38" s="359">
        <f t="shared" si="4"/>
        <v>0</v>
      </c>
      <c r="F38" s="289">
        <f t="shared" ca="1" si="2"/>
        <v>40</v>
      </c>
      <c r="G38" s="290">
        <f ca="1">KTVCOI!R37</f>
        <v>0.15892358032512635</v>
      </c>
      <c r="H38" s="290">
        <f ca="1">(H37-F38-G38)*(1+LS!$F$3)</f>
        <v>-1501.5644473338041</v>
      </c>
      <c r="I38" s="291"/>
      <c r="J38" s="292">
        <f t="shared" ca="1" si="3"/>
        <v>-1501.5644473338041</v>
      </c>
      <c r="K38" s="949"/>
      <c r="L38" s="949"/>
      <c r="M38" s="949"/>
      <c r="N38" s="950"/>
      <c r="O38" s="950"/>
      <c r="X38" s="1004"/>
      <c r="Y38" s="1004"/>
    </row>
    <row r="39" spans="2:25" ht="9.75" customHeight="1">
      <c r="B39" s="954"/>
      <c r="C39" s="952"/>
      <c r="D39" s="287">
        <f t="shared" ca="1" si="1"/>
        <v>47295</v>
      </c>
      <c r="E39" s="359">
        <f t="shared" si="4"/>
        <v>0</v>
      </c>
      <c r="F39" s="289">
        <f t="shared" ca="1" si="2"/>
        <v>40</v>
      </c>
      <c r="G39" s="290">
        <f ca="1">KTVCOI!R38</f>
        <v>0.16392078550060696</v>
      </c>
      <c r="H39" s="290">
        <f ca="1">(H38-F39-G39)*(1+LS!$F$3)</f>
        <v>-1547.5172685759376</v>
      </c>
      <c r="I39" s="291"/>
      <c r="J39" s="293">
        <f t="shared" ca="1" si="3"/>
        <v>-1547.5172685759376</v>
      </c>
      <c r="K39" s="949"/>
      <c r="L39" s="949"/>
      <c r="M39" s="949"/>
      <c r="N39" s="950"/>
      <c r="O39" s="950"/>
      <c r="X39" s="1004"/>
      <c r="Y39" s="1004"/>
    </row>
    <row r="40" spans="2:25" ht="9.75" customHeight="1">
      <c r="B40" s="955">
        <v>4</v>
      </c>
      <c r="C40" s="947">
        <f ca="1">C28+1</f>
        <v>33</v>
      </c>
      <c r="D40" s="294">
        <f t="shared" ca="1" si="1"/>
        <v>47325</v>
      </c>
      <c r="E40" s="359">
        <f t="shared" si="4"/>
        <v>0</v>
      </c>
      <c r="F40" s="360">
        <f t="shared" ca="1" si="2"/>
        <v>40</v>
      </c>
      <c r="G40" s="290">
        <f ca="1">KTVCOI!R39</f>
        <v>0.17667488816241952</v>
      </c>
      <c r="H40" s="290">
        <f ca="1">(H39+KTVBVGTTKMH!F10-F40-G40)*(1+LS!$F$3)</f>
        <v>-1593.6554360229509</v>
      </c>
      <c r="I40" s="948"/>
      <c r="J40" s="296">
        <f t="shared" ca="1" si="3"/>
        <v>-1593.6554360229509</v>
      </c>
      <c r="K40" s="949">
        <f ca="1">J51</f>
        <v>-2173.9222844230135</v>
      </c>
      <c r="L40" s="949"/>
      <c r="M40" s="949"/>
      <c r="N40" s="950">
        <f t="shared" ref="N40" ca="1" si="8">SUM(G40:G51)</f>
        <v>2.489551285641721</v>
      </c>
      <c r="O40" s="950"/>
      <c r="X40" s="945">
        <f t="shared" ref="X40:Y40" ca="1" si="9">SUM(F40:F51)</f>
        <v>540</v>
      </c>
      <c r="Y40" s="945">
        <f t="shared" ca="1" si="9"/>
        <v>2.489551285641721</v>
      </c>
    </row>
    <row r="41" spans="2:25" ht="9.75" customHeight="1">
      <c r="B41" s="955"/>
      <c r="C41" s="946"/>
      <c r="D41" s="294">
        <f t="shared" ca="1" si="1"/>
        <v>47356</v>
      </c>
      <c r="E41" s="359">
        <f t="shared" si="4"/>
        <v>0</v>
      </c>
      <c r="F41" s="360">
        <f t="shared" ca="1" si="2"/>
        <v>40</v>
      </c>
      <c r="G41" s="290">
        <f ca="1">KTVCOI!R40</f>
        <v>0.18194232894595361</v>
      </c>
      <c r="H41" s="290">
        <f ca="1">(H40-F41-G41)*(1+LS!$F$3)</f>
        <v>-1639.9721308421445</v>
      </c>
      <c r="I41" s="948"/>
      <c r="J41" s="296">
        <f t="shared" ca="1" si="3"/>
        <v>-1639.9721308421445</v>
      </c>
      <c r="K41" s="949"/>
      <c r="L41" s="949"/>
      <c r="M41" s="949"/>
      <c r="N41" s="950"/>
      <c r="O41" s="950"/>
      <c r="X41" s="1004"/>
      <c r="Y41" s="1004"/>
    </row>
    <row r="42" spans="2:25" ht="9.75" customHeight="1">
      <c r="B42" s="955"/>
      <c r="C42" s="946"/>
      <c r="D42" s="294">
        <f t="shared" ca="1" si="1"/>
        <v>47387</v>
      </c>
      <c r="E42" s="359">
        <f t="shared" si="4"/>
        <v>0</v>
      </c>
      <c r="F42" s="360">
        <f t="shared" ca="1" si="2"/>
        <v>40</v>
      </c>
      <c r="G42" s="290">
        <f ca="1">KTVCOI!R41</f>
        <v>0.18723015160447817</v>
      </c>
      <c r="H42" s="290">
        <f ca="1">(H41-F42-G42)*(1+LS!$F$3)</f>
        <v>-1686.468043828675</v>
      </c>
      <c r="I42" s="948"/>
      <c r="J42" s="296">
        <f t="shared" ca="1" si="3"/>
        <v>-1686.468043828675</v>
      </c>
      <c r="K42" s="949"/>
      <c r="L42" s="949"/>
      <c r="M42" s="949"/>
      <c r="N42" s="950"/>
      <c r="O42" s="950"/>
      <c r="X42" s="1004"/>
      <c r="Y42" s="1004"/>
    </row>
    <row r="43" spans="2:25" ht="9.75" customHeight="1">
      <c r="B43" s="955"/>
      <c r="C43" s="946"/>
      <c r="D43" s="294">
        <f t="shared" ca="1" si="1"/>
        <v>47417</v>
      </c>
      <c r="E43" s="359">
        <f t="shared" si="4"/>
        <v>0</v>
      </c>
      <c r="F43" s="360">
        <f t="shared" ca="1" si="2"/>
        <v>40</v>
      </c>
      <c r="G43" s="290">
        <f ca="1">KTVCOI!R42</f>
        <v>0.19253843500377374</v>
      </c>
      <c r="H43" s="290">
        <f ca="1">(H42-F43-G43)*(1+LS!$F$3)</f>
        <v>-1733.1438684506675</v>
      </c>
      <c r="I43" s="948"/>
      <c r="J43" s="296">
        <f t="shared" ca="1" si="3"/>
        <v>-1733.1438684506675</v>
      </c>
      <c r="K43" s="949"/>
      <c r="L43" s="949"/>
      <c r="M43" s="949"/>
      <c r="N43" s="950"/>
      <c r="O43" s="950"/>
      <c r="X43" s="1004"/>
      <c r="Y43" s="1004"/>
    </row>
    <row r="44" spans="2:25" ht="9.75" customHeight="1">
      <c r="B44" s="955"/>
      <c r="C44" s="946"/>
      <c r="D44" s="294">
        <f t="shared" ca="1" si="1"/>
        <v>47448</v>
      </c>
      <c r="E44" s="359">
        <f t="shared" si="4"/>
        <v>0</v>
      </c>
      <c r="F44" s="360">
        <f t="shared" ca="1" si="2"/>
        <v>40</v>
      </c>
      <c r="G44" s="290">
        <f ca="1">KTVCOI!R43</f>
        <v>0.19786725831478458</v>
      </c>
      <c r="H44" s="290">
        <f ca="1">(H43-F44-G44)*(1+LS!$F$3)</f>
        <v>-1780.0003008595572</v>
      </c>
      <c r="I44" s="948"/>
      <c r="J44" s="296">
        <f t="shared" ca="1" si="3"/>
        <v>-1780.0003008595572</v>
      </c>
      <c r="K44" s="949"/>
      <c r="L44" s="949"/>
      <c r="M44" s="949"/>
      <c r="N44" s="950"/>
      <c r="O44" s="950"/>
      <c r="X44" s="1004"/>
      <c r="Y44" s="1004"/>
    </row>
    <row r="45" spans="2:25" ht="9.75" customHeight="1">
      <c r="B45" s="955"/>
      <c r="C45" s="946"/>
      <c r="D45" s="294">
        <f t="shared" ca="1" si="1"/>
        <v>47478</v>
      </c>
      <c r="E45" s="359">
        <f t="shared" si="4"/>
        <v>0</v>
      </c>
      <c r="F45" s="360">
        <f t="shared" ca="1" si="2"/>
        <v>40</v>
      </c>
      <c r="G45" s="290">
        <f ca="1">KTVCOI!R44</f>
        <v>0.20321670101479947</v>
      </c>
      <c r="H45" s="290">
        <f ca="1">(H44-F45-G45)*(1+LS!$F$3)</f>
        <v>-1827.0380399004734</v>
      </c>
      <c r="I45" s="948"/>
      <c r="J45" s="296">
        <f t="shared" ca="1" si="3"/>
        <v>-1827.0380399004734</v>
      </c>
      <c r="K45" s="949"/>
      <c r="L45" s="949"/>
      <c r="M45" s="949"/>
      <c r="N45" s="950"/>
      <c r="O45" s="950"/>
      <c r="X45" s="1004"/>
      <c r="Y45" s="1004"/>
    </row>
    <row r="46" spans="2:25" ht="9.75" customHeight="1">
      <c r="B46" s="955"/>
      <c r="C46" s="946"/>
      <c r="D46" s="294">
        <f t="shared" ca="1" si="1"/>
        <v>47509</v>
      </c>
      <c r="E46" s="359">
        <f t="shared" si="4"/>
        <v>0</v>
      </c>
      <c r="F46" s="360">
        <f t="shared" ca="1" si="2"/>
        <v>50</v>
      </c>
      <c r="G46" s="290">
        <f ca="1">KTVCOI!R45</f>
        <v>0.20858684288863741</v>
      </c>
      <c r="H46" s="290">
        <f ca="1">(H45-F46-G46)*(1+LS!$F$3)</f>
        <v>-1884.2953352444738</v>
      </c>
      <c r="I46" s="948"/>
      <c r="J46" s="296">
        <f t="shared" ca="1" si="3"/>
        <v>-1884.2953352444738</v>
      </c>
      <c r="K46" s="949"/>
      <c r="L46" s="949"/>
      <c r="M46" s="949"/>
      <c r="N46" s="950"/>
      <c r="O46" s="950"/>
      <c r="X46" s="1004"/>
      <c r="Y46" s="1004"/>
    </row>
    <row r="47" spans="2:25" ht="9.75" customHeight="1">
      <c r="B47" s="955"/>
      <c r="C47" s="946"/>
      <c r="D47" s="294">
        <f t="shared" ca="1" si="1"/>
        <v>47540</v>
      </c>
      <c r="E47" s="359">
        <f t="shared" si="4"/>
        <v>0</v>
      </c>
      <c r="F47" s="360">
        <f t="shared" ca="1" si="2"/>
        <v>50</v>
      </c>
      <c r="G47" s="290">
        <f ca="1">KTVCOI!R46</f>
        <v>0.21512371744041078</v>
      </c>
      <c r="H47" s="290">
        <f ca="1">(H46-F47-G47)*(1+LS!$F$3)</f>
        <v>-1941.7741823977792</v>
      </c>
      <c r="I47" s="948"/>
      <c r="J47" s="296">
        <f t="shared" ca="1" si="3"/>
        <v>-1941.7741823977792</v>
      </c>
      <c r="K47" s="949"/>
      <c r="L47" s="949"/>
      <c r="M47" s="949"/>
      <c r="N47" s="950"/>
      <c r="O47" s="950"/>
      <c r="X47" s="1004"/>
      <c r="Y47" s="1004"/>
    </row>
    <row r="48" spans="2:25" ht="9.75" customHeight="1">
      <c r="B48" s="955"/>
      <c r="C48" s="946"/>
      <c r="D48" s="294">
        <f t="shared" ca="1" si="1"/>
        <v>47568</v>
      </c>
      <c r="E48" s="359">
        <f t="shared" si="4"/>
        <v>0</v>
      </c>
      <c r="F48" s="360">
        <f t="shared" ca="1" si="2"/>
        <v>50</v>
      </c>
      <c r="G48" s="290">
        <f ca="1">KTVCOI!R47</f>
        <v>0.22168588582374646</v>
      </c>
      <c r="H48" s="290">
        <f ca="1">(H47-F48-G48)*(1+LS!$F$3)</f>
        <v>-1999.4754386346269</v>
      </c>
      <c r="I48" s="948"/>
      <c r="J48" s="296">
        <f t="shared" ca="1" si="3"/>
        <v>-1999.4754386346269</v>
      </c>
      <c r="K48" s="949"/>
      <c r="L48" s="949"/>
      <c r="M48" s="949"/>
      <c r="N48" s="950"/>
      <c r="O48" s="950"/>
      <c r="X48" s="1004"/>
      <c r="Y48" s="1004"/>
    </row>
    <row r="49" spans="2:25" ht="9.75" customHeight="1">
      <c r="B49" s="955"/>
      <c r="C49" s="946"/>
      <c r="D49" s="294">
        <f t="shared" ca="1" si="1"/>
        <v>47599</v>
      </c>
      <c r="E49" s="359">
        <f t="shared" si="4"/>
        <v>0</v>
      </c>
      <c r="F49" s="360">
        <f t="shared" ca="1" si="2"/>
        <v>50</v>
      </c>
      <c r="G49" s="290">
        <f ca="1">KTVCOI!R48</f>
        <v>0.2282734459107866</v>
      </c>
      <c r="H49" s="290">
        <f ca="1">(H48-F49-G49)*(1+LS!$F$3)</f>
        <v>-2057.3999645463982</v>
      </c>
      <c r="I49" s="948"/>
      <c r="J49" s="296">
        <f t="shared" ca="1" si="3"/>
        <v>-2057.3999645463982</v>
      </c>
      <c r="K49" s="949"/>
      <c r="L49" s="949"/>
      <c r="M49" s="949"/>
      <c r="N49" s="950"/>
      <c r="O49" s="950"/>
      <c r="X49" s="1004"/>
      <c r="Y49" s="1004"/>
    </row>
    <row r="50" spans="2:25" ht="9.75" customHeight="1">
      <c r="B50" s="955"/>
      <c r="C50" s="946"/>
      <c r="D50" s="294">
        <f t="shared" ca="1" si="1"/>
        <v>47629</v>
      </c>
      <c r="E50" s="359">
        <f t="shared" si="4"/>
        <v>0</v>
      </c>
      <c r="F50" s="360">
        <f t="shared" ca="1" si="2"/>
        <v>50</v>
      </c>
      <c r="G50" s="290">
        <f ca="1">KTVCOI!R49</f>
        <v>0.23488649595238051</v>
      </c>
      <c r="H50" s="290">
        <f ca="1">(H49-F50-G50)*(1+LS!$F$3)</f>
        <v>-2115.5486240544524</v>
      </c>
      <c r="I50" s="948"/>
      <c r="J50" s="296">
        <f t="shared" ca="1" si="3"/>
        <v>-2115.5486240544524</v>
      </c>
      <c r="K50" s="949"/>
      <c r="L50" s="949"/>
      <c r="M50" s="949"/>
      <c r="N50" s="950"/>
      <c r="O50" s="950"/>
      <c r="X50" s="1004"/>
      <c r="Y50" s="1004"/>
    </row>
    <row r="51" spans="2:25" ht="9.75" customHeight="1">
      <c r="B51" s="955"/>
      <c r="C51" s="946"/>
      <c r="D51" s="294">
        <f t="shared" ca="1" si="1"/>
        <v>47660</v>
      </c>
      <c r="E51" s="359">
        <f t="shared" si="4"/>
        <v>0</v>
      </c>
      <c r="F51" s="360">
        <f t="shared" ca="1" si="2"/>
        <v>50</v>
      </c>
      <c r="G51" s="290">
        <f ca="1">KTVCOI!R50</f>
        <v>0.24152513457955002</v>
      </c>
      <c r="H51" s="290">
        <f ca="1">(H50-F51-G51)*(1+LS!$F$3)</f>
        <v>-2173.9222844230135</v>
      </c>
      <c r="I51" s="948"/>
      <c r="J51" s="297">
        <f ca="1">H51+I40</f>
        <v>-2173.9222844230135</v>
      </c>
      <c r="K51" s="949"/>
      <c r="L51" s="949"/>
      <c r="M51" s="949"/>
      <c r="N51" s="950"/>
      <c r="O51" s="950"/>
      <c r="X51" s="1004"/>
      <c r="Y51" s="1004"/>
    </row>
    <row r="52" spans="2:25" ht="9.75" customHeight="1">
      <c r="B52" s="954">
        <v>5</v>
      </c>
      <c r="C52" s="952">
        <f ca="1">C40+1</f>
        <v>34</v>
      </c>
      <c r="D52" s="287">
        <f t="shared" ca="1" si="1"/>
        <v>47690</v>
      </c>
      <c r="E52" s="359">
        <f t="shared" si="4"/>
        <v>0</v>
      </c>
      <c r="F52" s="289">
        <f t="shared" ca="1" si="2"/>
        <v>50</v>
      </c>
      <c r="G52" s="290">
        <f ca="1">KTVCOI!R51</f>
        <v>0.26087067413076165</v>
      </c>
      <c r="H52" s="290">
        <f ca="1">(H51+KTVBVGTTKMH!F11-F52-G52)*(1+LS!$F$3)</f>
        <v>-2232.534545101003</v>
      </c>
      <c r="I52" s="953"/>
      <c r="J52" s="292">
        <f t="shared" ca="1" si="3"/>
        <v>-2232.534545101003</v>
      </c>
      <c r="K52" s="949">
        <f ca="1">J63</f>
        <v>-2892.4558618858987</v>
      </c>
      <c r="L52" s="949"/>
      <c r="M52" s="949"/>
      <c r="N52" s="950">
        <f t="shared" ref="N52" ca="1" si="10">SUM(G52:G63)</f>
        <v>3.6007062456627557</v>
      </c>
      <c r="O52" s="950"/>
      <c r="X52" s="945">
        <f t="shared" ref="X52:Y52" ca="1" si="11">SUM(F52:F63)</f>
        <v>600</v>
      </c>
      <c r="Y52" s="945">
        <f t="shared" ca="1" si="11"/>
        <v>3.6007062456627557</v>
      </c>
    </row>
    <row r="53" spans="2:25" ht="9.75" customHeight="1">
      <c r="B53" s="954"/>
      <c r="C53" s="951"/>
      <c r="D53" s="287">
        <f t="shared" ca="1" si="1"/>
        <v>47721</v>
      </c>
      <c r="E53" s="359">
        <f t="shared" si="4"/>
        <v>0</v>
      </c>
      <c r="F53" s="289">
        <f t="shared" ca="1" si="2"/>
        <v>50</v>
      </c>
      <c r="G53" s="290">
        <f ca="1">KTVCOI!R52</f>
        <v>0.26790414541212038</v>
      </c>
      <c r="H53" s="290">
        <f ca="1">(H52-F53-G53)*(1+LS!$F$3)</f>
        <v>-2291.3739436899959</v>
      </c>
      <c r="I53" s="953"/>
      <c r="J53" s="292">
        <f t="shared" ca="1" si="3"/>
        <v>-2291.3739436899959</v>
      </c>
      <c r="K53" s="949"/>
      <c r="L53" s="949"/>
      <c r="M53" s="949"/>
      <c r="N53" s="950"/>
      <c r="O53" s="950"/>
      <c r="X53" s="1004"/>
      <c r="Y53" s="1004"/>
    </row>
    <row r="54" spans="2:25" ht="9.75" customHeight="1">
      <c r="B54" s="954"/>
      <c r="C54" s="951"/>
      <c r="D54" s="287">
        <f t="shared" ca="1" si="1"/>
        <v>47752</v>
      </c>
      <c r="E54" s="359">
        <f t="shared" si="4"/>
        <v>0</v>
      </c>
      <c r="F54" s="289">
        <f t="shared" ca="1" si="2"/>
        <v>50</v>
      </c>
      <c r="G54" s="290">
        <f ca="1">KTVCOI!R53</f>
        <v>0.2749648732427995</v>
      </c>
      <c r="H54" s="290">
        <f ca="1">(H53-F54-G54)*(1+LS!$F$3)</f>
        <v>-2350.4413604090796</v>
      </c>
      <c r="I54" s="953"/>
      <c r="J54" s="292">
        <f t="shared" ca="1" si="3"/>
        <v>-2350.4413604090796</v>
      </c>
      <c r="K54" s="949"/>
      <c r="L54" s="949"/>
      <c r="M54" s="949"/>
      <c r="N54" s="950"/>
      <c r="O54" s="950"/>
      <c r="X54" s="1004"/>
      <c r="Y54" s="1004"/>
    </row>
    <row r="55" spans="2:25" ht="9.75" customHeight="1">
      <c r="B55" s="954"/>
      <c r="C55" s="951"/>
      <c r="D55" s="287">
        <f t="shared" ca="1" si="1"/>
        <v>47782</v>
      </c>
      <c r="E55" s="359">
        <f t="shared" si="4"/>
        <v>0</v>
      </c>
      <c r="F55" s="289">
        <f t="shared" ca="1" si="2"/>
        <v>50</v>
      </c>
      <c r="G55" s="290">
        <f ca="1">KTVCOI!R54</f>
        <v>0.28205296324908952</v>
      </c>
      <c r="H55" s="290">
        <f ca="1">(H54-F55-G55)*(1+LS!$F$3)</f>
        <v>-2409.7376788884217</v>
      </c>
      <c r="I55" s="953"/>
      <c r="J55" s="292">
        <f t="shared" ca="1" si="3"/>
        <v>-2409.7376788884217</v>
      </c>
      <c r="K55" s="949"/>
      <c r="L55" s="949"/>
      <c r="M55" s="949"/>
      <c r="N55" s="950"/>
      <c r="O55" s="950"/>
      <c r="X55" s="1004"/>
      <c r="Y55" s="1004"/>
    </row>
    <row r="56" spans="2:25" ht="9.75" customHeight="1">
      <c r="B56" s="954"/>
      <c r="C56" s="951"/>
      <c r="D56" s="287">
        <f t="shared" ca="1" si="1"/>
        <v>47813</v>
      </c>
      <c r="E56" s="359">
        <f t="shared" si="4"/>
        <v>0</v>
      </c>
      <c r="F56" s="289">
        <f t="shared" ca="1" si="2"/>
        <v>50</v>
      </c>
      <c r="G56" s="290">
        <f ca="1">KTVCOI!R55</f>
        <v>0.2891685214666106</v>
      </c>
      <c r="H56" s="290">
        <f ca="1">(H55-F56-G56)*(1+LS!$F$3)</f>
        <v>-2469.2637861824896</v>
      </c>
      <c r="I56" s="953"/>
      <c r="J56" s="292">
        <f t="shared" ca="1" si="3"/>
        <v>-2469.2637861824896</v>
      </c>
      <c r="K56" s="949"/>
      <c r="L56" s="949"/>
      <c r="M56" s="949"/>
      <c r="N56" s="950"/>
      <c r="O56" s="950"/>
      <c r="X56" s="1004"/>
      <c r="Y56" s="1004"/>
    </row>
    <row r="57" spans="2:25" ht="9.75" customHeight="1">
      <c r="B57" s="954"/>
      <c r="C57" s="951"/>
      <c r="D57" s="287">
        <f t="shared" ca="1" si="1"/>
        <v>47843</v>
      </c>
      <c r="E57" s="359">
        <f t="shared" si="4"/>
        <v>0</v>
      </c>
      <c r="F57" s="289">
        <f t="shared" ca="1" si="2"/>
        <v>50</v>
      </c>
      <c r="G57" s="290">
        <f ca="1">KTVCOI!R56</f>
        <v>0.29631165434189871</v>
      </c>
      <c r="H57" s="290">
        <f ca="1">(H56-F57-G57)*(1+LS!$F$3)</f>
        <v>-2529.020572783319</v>
      </c>
      <c r="I57" s="953"/>
      <c r="J57" s="292">
        <f t="shared" ca="1" si="3"/>
        <v>-2529.020572783319</v>
      </c>
      <c r="K57" s="949"/>
      <c r="L57" s="949"/>
      <c r="M57" s="949"/>
      <c r="N57" s="950"/>
      <c r="O57" s="950"/>
      <c r="X57" s="1004"/>
      <c r="Y57" s="1004"/>
    </row>
    <row r="58" spans="2:25" ht="9.75" customHeight="1">
      <c r="B58" s="954"/>
      <c r="C58" s="951"/>
      <c r="D58" s="287">
        <f t="shared" ca="1" si="1"/>
        <v>47874</v>
      </c>
      <c r="E58" s="359">
        <f t="shared" si="4"/>
        <v>0</v>
      </c>
      <c r="F58" s="289">
        <f t="shared" ca="1" si="2"/>
        <v>50</v>
      </c>
      <c r="G58" s="290">
        <f ca="1">KTVCOI!R57</f>
        <v>0.30348246873399826</v>
      </c>
      <c r="H58" s="290">
        <f ca="1">(H57-F58-G58)*(1+LS!$F$3)</f>
        <v>-2589.0089326338366</v>
      </c>
      <c r="I58" s="953"/>
      <c r="J58" s="292">
        <f t="shared" ca="1" si="3"/>
        <v>-2589.0089326338366</v>
      </c>
      <c r="K58" s="949"/>
      <c r="L58" s="949"/>
      <c r="M58" s="949"/>
      <c r="N58" s="950"/>
      <c r="O58" s="950"/>
      <c r="X58" s="1004"/>
      <c r="Y58" s="1004"/>
    </row>
    <row r="59" spans="2:25" ht="9.75" customHeight="1">
      <c r="B59" s="954"/>
      <c r="C59" s="951"/>
      <c r="D59" s="287">
        <f t="shared" ca="1" si="1"/>
        <v>47905</v>
      </c>
      <c r="E59" s="359">
        <f t="shared" si="4"/>
        <v>0</v>
      </c>
      <c r="F59" s="289">
        <f t="shared" ca="1" si="2"/>
        <v>50</v>
      </c>
      <c r="G59" s="290">
        <f ca="1">KTVCOI!R58</f>
        <v>0.31068107191606037</v>
      </c>
      <c r="H59" s="290">
        <f ca="1">(H58-F59-G59)*(1+LS!$F$3)</f>
        <v>-2649.229763141233</v>
      </c>
      <c r="I59" s="953"/>
      <c r="J59" s="292">
        <f t="shared" ca="1" si="3"/>
        <v>-2649.229763141233</v>
      </c>
      <c r="K59" s="949"/>
      <c r="L59" s="949"/>
      <c r="M59" s="949"/>
      <c r="N59" s="950"/>
      <c r="O59" s="950"/>
      <c r="X59" s="1004"/>
      <c r="Y59" s="1004"/>
    </row>
    <row r="60" spans="2:25" ht="9.75" customHeight="1">
      <c r="B60" s="954"/>
      <c r="C60" s="951"/>
      <c r="D60" s="287">
        <f t="shared" ca="1" si="1"/>
        <v>47933</v>
      </c>
      <c r="E60" s="359">
        <f t="shared" si="4"/>
        <v>0</v>
      </c>
      <c r="F60" s="289">
        <f t="shared" ca="1" si="2"/>
        <v>50</v>
      </c>
      <c r="G60" s="290">
        <f ca="1">KTVCOI!R59</f>
        <v>0.31790757157694793</v>
      </c>
      <c r="H60" s="290">
        <f ca="1">(H59-F60-G60)*(1+LS!$F$3)</f>
        <v>-2709.6839651903874</v>
      </c>
      <c r="I60" s="953"/>
      <c r="J60" s="292">
        <f t="shared" ca="1" si="3"/>
        <v>-2709.6839651903874</v>
      </c>
      <c r="K60" s="949"/>
      <c r="L60" s="949"/>
      <c r="M60" s="949"/>
      <c r="N60" s="950"/>
      <c r="O60" s="950"/>
      <c r="X60" s="1004"/>
      <c r="Y60" s="1004"/>
    </row>
    <row r="61" spans="2:25" ht="9.75" customHeight="1">
      <c r="B61" s="954"/>
      <c r="C61" s="951"/>
      <c r="D61" s="287">
        <f t="shared" ca="1" si="1"/>
        <v>47964</v>
      </c>
      <c r="E61" s="359">
        <f t="shared" si="4"/>
        <v>0</v>
      </c>
      <c r="F61" s="289">
        <f t="shared" ca="1" si="2"/>
        <v>50</v>
      </c>
      <c r="G61" s="290">
        <f ca="1">KTVCOI!R60</f>
        <v>0.32516207582284651</v>
      </c>
      <c r="H61" s="290">
        <f ca="1">(H60-F61-G61)*(1+LS!$F$3)</f>
        <v>-2770.3724431573442</v>
      </c>
      <c r="I61" s="953"/>
      <c r="J61" s="292">
        <f t="shared" ca="1" si="3"/>
        <v>-2770.3724431573442</v>
      </c>
      <c r="K61" s="949"/>
      <c r="L61" s="949"/>
      <c r="M61" s="949"/>
      <c r="N61" s="950"/>
      <c r="O61" s="950"/>
      <c r="X61" s="1004"/>
      <c r="Y61" s="1004"/>
    </row>
    <row r="62" spans="2:25" ht="9.75" customHeight="1">
      <c r="B62" s="954"/>
      <c r="C62" s="951"/>
      <c r="D62" s="287">
        <f t="shared" ca="1" si="1"/>
        <v>47994</v>
      </c>
      <c r="E62" s="359">
        <f t="shared" si="4"/>
        <v>0</v>
      </c>
      <c r="F62" s="289">
        <f t="shared" ca="1" si="2"/>
        <v>50</v>
      </c>
      <c r="G62" s="290">
        <f ca="1">KTVCOI!R61</f>
        <v>0.33244469317888131</v>
      </c>
      <c r="H62" s="290">
        <f ca="1">(H61-F62-G62)*(1+LS!$F$3)</f>
        <v>-2831.2961049228425</v>
      </c>
      <c r="I62" s="953"/>
      <c r="J62" s="292">
        <f t="shared" ca="1" si="3"/>
        <v>-2831.2961049228425</v>
      </c>
      <c r="K62" s="949"/>
      <c r="L62" s="949"/>
      <c r="M62" s="949"/>
      <c r="N62" s="950"/>
      <c r="O62" s="950"/>
      <c r="X62" s="1004"/>
      <c r="Y62" s="1004"/>
    </row>
    <row r="63" spans="2:25" ht="9.75" customHeight="1">
      <c r="B63" s="954"/>
      <c r="C63" s="951"/>
      <c r="D63" s="287">
        <f t="shared" ca="1" si="1"/>
        <v>48025</v>
      </c>
      <c r="E63" s="359">
        <f t="shared" si="4"/>
        <v>0</v>
      </c>
      <c r="F63" s="289">
        <f t="shared" ca="1" si="2"/>
        <v>50</v>
      </c>
      <c r="G63" s="290">
        <f ca="1">KTVCOI!R62</f>
        <v>0.33975553259074109</v>
      </c>
      <c r="H63" s="290">
        <f ca="1">(H62-F63-G63)*(1+LS!$F$3)</f>
        <v>-2892.4558618858987</v>
      </c>
      <c r="I63" s="953"/>
      <c r="J63" s="293">
        <f ca="1">H63+I52</f>
        <v>-2892.4558618858987</v>
      </c>
      <c r="K63" s="949"/>
      <c r="L63" s="949"/>
      <c r="M63" s="949"/>
      <c r="N63" s="950"/>
      <c r="O63" s="950"/>
      <c r="X63" s="1004"/>
      <c r="Y63" s="1004"/>
    </row>
    <row r="64" spans="2:25" ht="9.75" customHeight="1">
      <c r="B64" s="946">
        <f>B52+1</f>
        <v>6</v>
      </c>
      <c r="C64" s="947">
        <f ca="1">C52+1</f>
        <v>35</v>
      </c>
      <c r="D64" s="294">
        <f t="shared" ca="1" si="1"/>
        <v>48055</v>
      </c>
      <c r="E64" s="359">
        <f t="shared" si="4"/>
        <v>0</v>
      </c>
      <c r="F64" s="360">
        <f t="shared" ca="1" si="2"/>
        <v>50</v>
      </c>
      <c r="G64" s="290">
        <f ca="1">KTVCOI!R63</f>
        <v>0.36637774250554717</v>
      </c>
      <c r="H64" s="290">
        <f ca="1">(H63+KTVBVGTTKMH!F12-F64-G64)*(1+LS!$F$3)</f>
        <v>-2953.8719844207085</v>
      </c>
      <c r="I64" s="948"/>
      <c r="J64" s="296">
        <f t="shared" ca="1" si="3"/>
        <v>-2953.8719844207085</v>
      </c>
      <c r="K64" s="949">
        <f ca="1">J75</f>
        <v>-3645.3900980282538</v>
      </c>
      <c r="L64" s="949"/>
      <c r="M64" s="949"/>
      <c r="N64" s="950">
        <f t="shared" ref="N64" ca="1" si="12">SUM(G64:G75)</f>
        <v>4.9166739062154639</v>
      </c>
      <c r="O64" s="950"/>
      <c r="X64" s="945">
        <f t="shared" ref="X64:Y64" ca="1" si="13">SUM(F64:F75)</f>
        <v>600</v>
      </c>
      <c r="Y64" s="945">
        <f t="shared" ca="1" si="13"/>
        <v>4.9166739062154639</v>
      </c>
    </row>
    <row r="65" spans="2:25" ht="9.75" customHeight="1">
      <c r="B65" s="946"/>
      <c r="C65" s="946"/>
      <c r="D65" s="294">
        <f t="shared" ca="1" si="1"/>
        <v>48086</v>
      </c>
      <c r="E65" s="359">
        <f t="shared" si="4"/>
        <v>0</v>
      </c>
      <c r="F65" s="360">
        <f t="shared" ca="1" si="2"/>
        <v>50</v>
      </c>
      <c r="G65" s="290">
        <f ca="1">KTVCOI!R64</f>
        <v>0.37415711802662316</v>
      </c>
      <c r="H65" s="290">
        <f ca="1">(H64-F65-G65)*(1+LS!$F$3)</f>
        <v>-3015.5265215461463</v>
      </c>
      <c r="I65" s="948"/>
      <c r="J65" s="296">
        <f t="shared" ca="1" si="3"/>
        <v>-3015.5265215461463</v>
      </c>
      <c r="K65" s="949"/>
      <c r="L65" s="949"/>
      <c r="M65" s="949"/>
      <c r="N65" s="950"/>
      <c r="O65" s="950"/>
      <c r="X65" s="1004"/>
      <c r="Y65" s="1004"/>
    </row>
    <row r="66" spans="2:25" ht="9.75" customHeight="1">
      <c r="B66" s="946"/>
      <c r="C66" s="946"/>
      <c r="D66" s="294">
        <f t="shared" ca="1" si="1"/>
        <v>48117</v>
      </c>
      <c r="E66" s="359">
        <f t="shared" si="4"/>
        <v>0</v>
      </c>
      <c r="F66" s="360">
        <f t="shared" ca="1" si="2"/>
        <v>50</v>
      </c>
      <c r="G66" s="290">
        <f ca="1">KTVCOI!R65</f>
        <v>0.38196669272917855</v>
      </c>
      <c r="H66" s="290">
        <f ca="1">(H65-F66-G66)*(1+LS!$F$3)</f>
        <v>-3077.4203987767942</v>
      </c>
      <c r="I66" s="948"/>
      <c r="J66" s="296">
        <f t="shared" ca="1" si="3"/>
        <v>-3077.4203987767942</v>
      </c>
      <c r="K66" s="949"/>
      <c r="L66" s="949"/>
      <c r="M66" s="949"/>
      <c r="N66" s="950"/>
      <c r="O66" s="950"/>
      <c r="X66" s="1004"/>
      <c r="Y66" s="1004"/>
    </row>
    <row r="67" spans="2:25" ht="9.75" customHeight="1">
      <c r="B67" s="946"/>
      <c r="C67" s="946"/>
      <c r="D67" s="294">
        <f t="shared" ca="1" si="1"/>
        <v>48147</v>
      </c>
      <c r="E67" s="359">
        <f t="shared" si="4"/>
        <v>0</v>
      </c>
      <c r="F67" s="360">
        <f t="shared" ca="1" si="2"/>
        <v>50</v>
      </c>
      <c r="G67" s="290">
        <f ca="1">KTVCOI!R66</f>
        <v>0.38980658384506062</v>
      </c>
      <c r="H67" s="290">
        <f ca="1">(H66-F67-G67)*(1+LS!$F$3)</f>
        <v>-3139.5545452200408</v>
      </c>
      <c r="I67" s="948"/>
      <c r="J67" s="296">
        <f t="shared" ca="1" si="3"/>
        <v>-3139.5545452200408</v>
      </c>
      <c r="K67" s="949"/>
      <c r="L67" s="949"/>
      <c r="M67" s="949"/>
      <c r="N67" s="950"/>
      <c r="O67" s="950"/>
      <c r="X67" s="1004"/>
      <c r="Y67" s="1004"/>
    </row>
    <row r="68" spans="2:25" ht="9.75" customHeight="1">
      <c r="B68" s="946"/>
      <c r="C68" s="946"/>
      <c r="D68" s="294">
        <f t="shared" ca="1" si="1"/>
        <v>48178</v>
      </c>
      <c r="E68" s="359">
        <f t="shared" si="4"/>
        <v>0</v>
      </c>
      <c r="F68" s="360">
        <f t="shared" ca="1" si="2"/>
        <v>50</v>
      </c>
      <c r="G68" s="290">
        <f ca="1">KTVCOI!R67</f>
        <v>0.39767690906120512</v>
      </c>
      <c r="H68" s="290">
        <f ca="1">(H67-F68-G68)*(1+LS!$F$3)</f>
        <v>-3201.9298935900269</v>
      </c>
      <c r="I68" s="948"/>
      <c r="J68" s="296">
        <f t="shared" ca="1" si="3"/>
        <v>-3201.9298935900269</v>
      </c>
      <c r="K68" s="949"/>
      <c r="L68" s="949"/>
      <c r="M68" s="949"/>
      <c r="N68" s="950"/>
      <c r="O68" s="950"/>
      <c r="X68" s="1004"/>
      <c r="Y68" s="1004"/>
    </row>
    <row r="69" spans="2:25" ht="9.75" customHeight="1">
      <c r="B69" s="946"/>
      <c r="C69" s="946"/>
      <c r="D69" s="294">
        <f t="shared" ref="D69:D132" ca="1" si="14">EDATE(D68,1)</f>
        <v>48208</v>
      </c>
      <c r="E69" s="359">
        <f t="shared" si="4"/>
        <v>0</v>
      </c>
      <c r="F69" s="360">
        <f t="shared" ref="F69:F132" ca="1" si="15">IF(YEAR(D69)=2025,40000,IF(YEAR(D69)=2026,40000,IF(YEAR(D69)=2027,40000,IF(YEAR(D69)=2028,40000,IF(YEAR(D69)=2029,40000,IF(YEAR(D69)=2030,50000,IF(YEAR(D69)=2031,50000,IF(YEAR(D69)=2032,50000,IF(YEAR(D69)=2033,50000,IF(YEAR(D69)=2034,50000,IF(YEAR(D69)&gt;=2035,60000,0)))))))))))/1000</f>
        <v>50</v>
      </c>
      <c r="G69" s="290">
        <f ca="1">KTVCOI!R68</f>
        <v>0.40557778652140342</v>
      </c>
      <c r="H69" s="290">
        <f ca="1">(H68-F69-G69)*(1+LS!$F$3)</f>
        <v>-3264.5473802216466</v>
      </c>
      <c r="I69" s="948"/>
      <c r="J69" s="296">
        <f t="shared" ref="J69:J132" ca="1" si="16">H69</f>
        <v>-3264.5473802216466</v>
      </c>
      <c r="K69" s="949"/>
      <c r="L69" s="949"/>
      <c r="M69" s="949"/>
      <c r="N69" s="950"/>
      <c r="O69" s="950"/>
      <c r="X69" s="1004"/>
      <c r="Y69" s="1004"/>
    </row>
    <row r="70" spans="2:25" ht="9.75" customHeight="1">
      <c r="B70" s="946"/>
      <c r="C70" s="946"/>
      <c r="D70" s="294">
        <f t="shared" ca="1" si="14"/>
        <v>48239</v>
      </c>
      <c r="E70" s="359">
        <f t="shared" ref="E70:E133" si="17">E69</f>
        <v>0</v>
      </c>
      <c r="F70" s="360">
        <f t="shared" ca="1" si="15"/>
        <v>50</v>
      </c>
      <c r="G70" s="290">
        <f ca="1">KTVCOI!R69</f>
        <v>0.41350933482807523</v>
      </c>
      <c r="H70" s="290">
        <f ca="1">(H69-F70-G70)*(1+LS!$F$3)</f>
        <v>-3327.4079450846043</v>
      </c>
      <c r="I70" s="948"/>
      <c r="J70" s="296">
        <f t="shared" ca="1" si="16"/>
        <v>-3327.4079450846043</v>
      </c>
      <c r="K70" s="949"/>
      <c r="L70" s="949"/>
      <c r="M70" s="949"/>
      <c r="N70" s="950"/>
      <c r="O70" s="950"/>
      <c r="X70" s="1004"/>
      <c r="Y70" s="1004"/>
    </row>
    <row r="71" spans="2:25" ht="9.75" customHeight="1">
      <c r="B71" s="946"/>
      <c r="C71" s="946"/>
      <c r="D71" s="294">
        <f t="shared" ca="1" si="14"/>
        <v>48270</v>
      </c>
      <c r="E71" s="359">
        <f t="shared" si="17"/>
        <v>0</v>
      </c>
      <c r="F71" s="360">
        <f t="shared" ca="1" si="15"/>
        <v>50</v>
      </c>
      <c r="G71" s="290">
        <f ca="1">KTVCOI!R70</f>
        <v>0.42147167304404992</v>
      </c>
      <c r="H71" s="290">
        <f ca="1">(H70-F71-G71)*(1+LS!$F$3)</f>
        <v>-3390.5125317975235</v>
      </c>
      <c r="I71" s="948"/>
      <c r="J71" s="296">
        <f t="shared" ca="1" si="16"/>
        <v>-3390.5125317975235</v>
      </c>
      <c r="K71" s="949"/>
      <c r="L71" s="949"/>
      <c r="M71" s="949"/>
      <c r="N71" s="950"/>
      <c r="O71" s="950"/>
      <c r="X71" s="1004"/>
      <c r="Y71" s="1004"/>
    </row>
    <row r="72" spans="2:25" ht="9.75" customHeight="1">
      <c r="B72" s="946"/>
      <c r="C72" s="946"/>
      <c r="D72" s="294">
        <f t="shared" ca="1" si="14"/>
        <v>48299</v>
      </c>
      <c r="E72" s="359">
        <f t="shared" si="17"/>
        <v>0</v>
      </c>
      <c r="F72" s="360">
        <f t="shared" ca="1" si="15"/>
        <v>50</v>
      </c>
      <c r="G72" s="290">
        <f ca="1">KTVCOI!R71</f>
        <v>0.42946492069435305</v>
      </c>
      <c r="H72" s="290">
        <f ca="1">(H71-F72-G72)*(1+LS!$F$3)</f>
        <v>-3453.8620876421128</v>
      </c>
      <c r="I72" s="948"/>
      <c r="J72" s="296">
        <f t="shared" ca="1" si="16"/>
        <v>-3453.8620876421128</v>
      </c>
      <c r="K72" s="949"/>
      <c r="L72" s="949"/>
      <c r="M72" s="949"/>
      <c r="N72" s="950"/>
      <c r="O72" s="950"/>
      <c r="X72" s="1004"/>
      <c r="Y72" s="1004"/>
    </row>
    <row r="73" spans="2:25" ht="9.75" customHeight="1">
      <c r="B73" s="946"/>
      <c r="C73" s="946"/>
      <c r="D73" s="294">
        <f t="shared" ca="1" si="14"/>
        <v>48330</v>
      </c>
      <c r="E73" s="359">
        <f t="shared" si="17"/>
        <v>0</v>
      </c>
      <c r="F73" s="360">
        <f t="shared" ca="1" si="15"/>
        <v>50</v>
      </c>
      <c r="G73" s="290">
        <f ca="1">KTVCOI!R72</f>
        <v>0.43748919776800094</v>
      </c>
      <c r="H73" s="290">
        <f ca="1">(H72-F73-G73)*(1+LS!$F$3)</f>
        <v>-3517.4575635773845</v>
      </c>
      <c r="I73" s="948"/>
      <c r="J73" s="296">
        <f t="shared" ca="1" si="16"/>
        <v>-3517.4575635773845</v>
      </c>
      <c r="K73" s="949"/>
      <c r="L73" s="949"/>
      <c r="M73" s="949"/>
      <c r="N73" s="950"/>
      <c r="O73" s="950"/>
      <c r="X73" s="1004"/>
      <c r="Y73" s="1004"/>
    </row>
    <row r="74" spans="2:25" ht="9.75" customHeight="1">
      <c r="B74" s="946"/>
      <c r="C74" s="946"/>
      <c r="D74" s="294">
        <f t="shared" ca="1" si="14"/>
        <v>48360</v>
      </c>
      <c r="E74" s="359">
        <f t="shared" si="17"/>
        <v>0</v>
      </c>
      <c r="F74" s="360">
        <f t="shared" ca="1" si="15"/>
        <v>50</v>
      </c>
      <c r="G74" s="290">
        <f ca="1">KTVCOI!R73</f>
        <v>0.44554462471980205</v>
      </c>
      <c r="H74" s="290">
        <f ca="1">(H73-F74-G74)*(1+LS!$F$3)</f>
        <v>-3581.2999142539306</v>
      </c>
      <c r="I74" s="948"/>
      <c r="J74" s="296">
        <f t="shared" ca="1" si="16"/>
        <v>-3581.2999142539306</v>
      </c>
      <c r="K74" s="949"/>
      <c r="L74" s="949"/>
      <c r="M74" s="949"/>
      <c r="N74" s="950"/>
      <c r="O74" s="950"/>
      <c r="X74" s="1004"/>
      <c r="Y74" s="1004"/>
    </row>
    <row r="75" spans="2:25" ht="9.75" customHeight="1">
      <c r="B75" s="946"/>
      <c r="C75" s="946"/>
      <c r="D75" s="294">
        <f t="shared" ca="1" si="14"/>
        <v>48391</v>
      </c>
      <c r="E75" s="359">
        <f t="shared" si="17"/>
        <v>0</v>
      </c>
      <c r="F75" s="360">
        <f t="shared" ca="1" si="15"/>
        <v>50</v>
      </c>
      <c r="G75" s="290">
        <f ca="1">KTVCOI!R74</f>
        <v>0.45363132247216459</v>
      </c>
      <c r="H75" s="290">
        <f ca="1">(H74-F75-G75)*(1+LS!$F$3)</f>
        <v>-3645.3900980282538</v>
      </c>
      <c r="I75" s="948"/>
      <c r="J75" s="297">
        <f ca="1">H75+I64</f>
        <v>-3645.3900980282538</v>
      </c>
      <c r="K75" s="949"/>
      <c r="L75" s="949"/>
      <c r="M75" s="949"/>
      <c r="N75" s="950"/>
      <c r="O75" s="950"/>
      <c r="X75" s="1004"/>
      <c r="Y75" s="1004"/>
    </row>
    <row r="76" spans="2:25" ht="9.75" customHeight="1">
      <c r="B76" s="951">
        <f>B64+1</f>
        <v>7</v>
      </c>
      <c r="C76" s="952">
        <f ca="1">C64+1</f>
        <v>36</v>
      </c>
      <c r="D76" s="287">
        <f t="shared" ca="1" si="14"/>
        <v>48421</v>
      </c>
      <c r="E76" s="359">
        <f t="shared" si="17"/>
        <v>0</v>
      </c>
      <c r="F76" s="289">
        <f t="shared" ca="1" si="15"/>
        <v>50</v>
      </c>
      <c r="G76" s="290">
        <f ca="1">KTVCOI!R75</f>
        <v>0.49212766323381429</v>
      </c>
      <c r="H76" s="290">
        <f ca="1">(H75+KTVBVGTTKMH!F13-F76-G76)*(1+LS!$F$3)</f>
        <v>-3709.7595692925956</v>
      </c>
      <c r="I76" s="953"/>
      <c r="J76" s="292">
        <f t="shared" ca="1" si="16"/>
        <v>-3709.7595692925956</v>
      </c>
      <c r="K76" s="949">
        <f ca="1">J87</f>
        <v>-4434.5675397127143</v>
      </c>
      <c r="L76" s="949"/>
      <c r="M76" s="949"/>
      <c r="N76" s="950">
        <f t="shared" ref="N76" ca="1" si="18">SUM(G76:G87)</f>
        <v>6.4865668642277958</v>
      </c>
      <c r="O76" s="950"/>
      <c r="X76" s="945">
        <f t="shared" ref="X76:Y76" ca="1" si="19">SUM(F76:F87)</f>
        <v>600</v>
      </c>
      <c r="Y76" s="945">
        <f t="shared" ca="1" si="19"/>
        <v>6.4865668642277958</v>
      </c>
    </row>
    <row r="77" spans="2:25" ht="9.75" customHeight="1">
      <c r="B77" s="951"/>
      <c r="C77" s="951"/>
      <c r="D77" s="287">
        <f t="shared" ca="1" si="14"/>
        <v>48452</v>
      </c>
      <c r="E77" s="359">
        <f t="shared" si="17"/>
        <v>0</v>
      </c>
      <c r="F77" s="289">
        <f t="shared" ca="1" si="15"/>
        <v>50</v>
      </c>
      <c r="G77" s="290">
        <f ca="1">KTVCOI!R76</f>
        <v>0.50081754185450045</v>
      </c>
      <c r="H77" s="290">
        <f ca="1">(H76-F77-G77)*(1+LS!$F$3)</f>
        <v>-3774.3794583392173</v>
      </c>
      <c r="I77" s="953"/>
      <c r="J77" s="292">
        <f t="shared" ca="1" si="16"/>
        <v>-3774.3794583392173</v>
      </c>
      <c r="K77" s="949"/>
      <c r="L77" s="949"/>
      <c r="M77" s="949"/>
      <c r="N77" s="950"/>
      <c r="O77" s="950"/>
      <c r="X77" s="1004"/>
      <c r="Y77" s="1004"/>
    </row>
    <row r="78" spans="2:25" ht="9.75" customHeight="1">
      <c r="B78" s="951"/>
      <c r="C78" s="951"/>
      <c r="D78" s="287">
        <f t="shared" ca="1" si="14"/>
        <v>48483</v>
      </c>
      <c r="E78" s="359">
        <f t="shared" si="17"/>
        <v>0</v>
      </c>
      <c r="F78" s="289">
        <f t="shared" ca="1" si="15"/>
        <v>50</v>
      </c>
      <c r="G78" s="290">
        <f ca="1">KTVCOI!R77</f>
        <v>0.50954122687579428</v>
      </c>
      <c r="H78" s="290">
        <f ca="1">(H77-F78-G78)*(1+LS!$F$3)</f>
        <v>-3839.2507393731958</v>
      </c>
      <c r="I78" s="953"/>
      <c r="J78" s="292">
        <f t="shared" ca="1" si="16"/>
        <v>-3839.2507393731958</v>
      </c>
      <c r="K78" s="949"/>
      <c r="L78" s="949"/>
      <c r="M78" s="949"/>
      <c r="N78" s="950"/>
      <c r="O78" s="950"/>
      <c r="X78" s="1004"/>
      <c r="Y78" s="1004"/>
    </row>
    <row r="79" spans="2:25" ht="9.75" customHeight="1">
      <c r="B79" s="951"/>
      <c r="C79" s="951"/>
      <c r="D79" s="287">
        <f t="shared" ca="1" si="14"/>
        <v>48513</v>
      </c>
      <c r="E79" s="359">
        <f t="shared" si="17"/>
        <v>0</v>
      </c>
      <c r="F79" s="289">
        <f t="shared" ca="1" si="15"/>
        <v>50</v>
      </c>
      <c r="G79" s="290">
        <f ca="1">KTVCOI!R78</f>
        <v>0.51829884981538143</v>
      </c>
      <c r="H79" s="290">
        <f ca="1">(H78-F79-G79)*(1+LS!$F$3)</f>
        <v>-3904.3743903895761</v>
      </c>
      <c r="I79" s="953"/>
      <c r="J79" s="292">
        <f t="shared" ca="1" si="16"/>
        <v>-3904.3743903895761</v>
      </c>
      <c r="K79" s="949"/>
      <c r="L79" s="949"/>
      <c r="M79" s="949"/>
      <c r="N79" s="950"/>
      <c r="O79" s="950"/>
      <c r="X79" s="1004"/>
      <c r="Y79" s="1004"/>
    </row>
    <row r="80" spans="2:25" ht="9.75" customHeight="1">
      <c r="B80" s="951"/>
      <c r="C80" s="951"/>
      <c r="D80" s="287">
        <f t="shared" ca="1" si="14"/>
        <v>48544</v>
      </c>
      <c r="E80" s="359">
        <f t="shared" si="17"/>
        <v>0</v>
      </c>
      <c r="F80" s="289">
        <f t="shared" ca="1" si="15"/>
        <v>50</v>
      </c>
      <c r="G80" s="290">
        <f ca="1">KTVCOI!R79</f>
        <v>0.52709054270259281</v>
      </c>
      <c r="H80" s="290">
        <f ca="1">(H79-F80-G80)*(1+LS!$F$3)</f>
        <v>-3969.7513931881163</v>
      </c>
      <c r="I80" s="953"/>
      <c r="J80" s="292">
        <f t="shared" ca="1" si="16"/>
        <v>-3969.7513931881163</v>
      </c>
      <c r="K80" s="949"/>
      <c r="L80" s="949"/>
      <c r="M80" s="949"/>
      <c r="N80" s="950"/>
      <c r="O80" s="950"/>
      <c r="X80" s="1004"/>
      <c r="Y80" s="1004"/>
    </row>
    <row r="81" spans="2:25" ht="9.75" customHeight="1">
      <c r="B81" s="951"/>
      <c r="C81" s="951"/>
      <c r="D81" s="287">
        <f t="shared" ca="1" si="14"/>
        <v>48574</v>
      </c>
      <c r="E81" s="359">
        <f t="shared" si="17"/>
        <v>0</v>
      </c>
      <c r="F81" s="289">
        <f t="shared" ca="1" si="15"/>
        <v>50</v>
      </c>
      <c r="G81" s="290">
        <f ca="1">KTVCOI!R80</f>
        <v>0.53591643808039569</v>
      </c>
      <c r="H81" s="290">
        <f ca="1">(H80-F81-G81)*(1+LS!$F$3)</f>
        <v>-4035.3827333880881</v>
      </c>
      <c r="I81" s="953"/>
      <c r="J81" s="292">
        <f t="shared" ca="1" si="16"/>
        <v>-4035.3827333880881</v>
      </c>
      <c r="K81" s="949"/>
      <c r="L81" s="949"/>
      <c r="M81" s="949"/>
      <c r="N81" s="950"/>
      <c r="O81" s="950"/>
      <c r="X81" s="1004"/>
      <c r="Y81" s="1004"/>
    </row>
    <row r="82" spans="2:25" ht="9.75" customHeight="1">
      <c r="B82" s="951"/>
      <c r="C82" s="951"/>
      <c r="D82" s="287">
        <f t="shared" ca="1" si="14"/>
        <v>48605</v>
      </c>
      <c r="E82" s="359">
        <f t="shared" si="17"/>
        <v>0</v>
      </c>
      <c r="F82" s="289">
        <f t="shared" ca="1" si="15"/>
        <v>50</v>
      </c>
      <c r="G82" s="290">
        <f ca="1">KTVCOI!R81</f>
        <v>0.54477666900739197</v>
      </c>
      <c r="H82" s="290">
        <f ca="1">(H81-F82-G82)*(1+LS!$F$3)</f>
        <v>-4101.2694004431378</v>
      </c>
      <c r="I82" s="953"/>
      <c r="J82" s="292">
        <f t="shared" ca="1" si="16"/>
        <v>-4101.2694004431378</v>
      </c>
      <c r="K82" s="949"/>
      <c r="L82" s="949"/>
      <c r="M82" s="949"/>
      <c r="N82" s="950"/>
      <c r="O82" s="950"/>
      <c r="X82" s="1004"/>
      <c r="Y82" s="1004"/>
    </row>
    <row r="83" spans="2:25" ht="9.75" customHeight="1">
      <c r="B83" s="951"/>
      <c r="C83" s="951"/>
      <c r="D83" s="287">
        <f t="shared" ca="1" si="14"/>
        <v>48636</v>
      </c>
      <c r="E83" s="359">
        <f t="shared" si="17"/>
        <v>0</v>
      </c>
      <c r="F83" s="289">
        <f t="shared" ca="1" si="15"/>
        <v>50</v>
      </c>
      <c r="G83" s="290">
        <f ca="1">KTVCOI!R82</f>
        <v>0.55367136905982373</v>
      </c>
      <c r="H83" s="290">
        <f ca="1">(H82-F83-G83)*(1+LS!$F$3)</f>
        <v>-4167.4123876562016</v>
      </c>
      <c r="I83" s="953"/>
      <c r="J83" s="292">
        <f t="shared" ca="1" si="16"/>
        <v>-4167.4123876562016</v>
      </c>
      <c r="K83" s="949"/>
      <c r="L83" s="949"/>
      <c r="M83" s="949"/>
      <c r="N83" s="950"/>
      <c r="O83" s="950"/>
      <c r="X83" s="1004"/>
      <c r="Y83" s="1004"/>
    </row>
    <row r="84" spans="2:25" ht="9.75" customHeight="1">
      <c r="B84" s="951"/>
      <c r="C84" s="951"/>
      <c r="D84" s="287">
        <f t="shared" ca="1" si="14"/>
        <v>48664</v>
      </c>
      <c r="E84" s="359">
        <f t="shared" si="17"/>
        <v>0</v>
      </c>
      <c r="F84" s="289">
        <f t="shared" ca="1" si="15"/>
        <v>50</v>
      </c>
      <c r="G84" s="290">
        <f ca="1">KTVCOI!R83</f>
        <v>0.56260067233358724</v>
      </c>
      <c r="H84" s="290">
        <f ca="1">(H83-F84-G84)*(1+LS!$F$3)</f>
        <v>-4233.8126921944804</v>
      </c>
      <c r="I84" s="953"/>
      <c r="J84" s="292">
        <f t="shared" ca="1" si="16"/>
        <v>-4233.8126921944804</v>
      </c>
      <c r="K84" s="949"/>
      <c r="L84" s="949"/>
      <c r="M84" s="949"/>
      <c r="N84" s="950"/>
      <c r="O84" s="950"/>
      <c r="X84" s="1004"/>
      <c r="Y84" s="1004"/>
    </row>
    <row r="85" spans="2:25" ht="9.75" customHeight="1">
      <c r="B85" s="951"/>
      <c r="C85" s="951"/>
      <c r="D85" s="287">
        <f t="shared" ca="1" si="14"/>
        <v>48695</v>
      </c>
      <c r="E85" s="359">
        <f t="shared" si="17"/>
        <v>0</v>
      </c>
      <c r="F85" s="289">
        <f t="shared" ca="1" si="15"/>
        <v>50</v>
      </c>
      <c r="G85" s="290">
        <f ca="1">KTVCOI!R84</f>
        <v>0.57156471344625492</v>
      </c>
      <c r="H85" s="290">
        <f ca="1">(H84-F85-G85)*(1+LS!$F$3)</f>
        <v>-4300.4713151044753</v>
      </c>
      <c r="I85" s="953"/>
      <c r="J85" s="292">
        <f t="shared" ca="1" si="16"/>
        <v>-4300.4713151044753</v>
      </c>
      <c r="K85" s="949"/>
      <c r="L85" s="949"/>
      <c r="M85" s="949"/>
      <c r="N85" s="950"/>
      <c r="O85" s="950"/>
      <c r="X85" s="1004"/>
      <c r="Y85" s="1004"/>
    </row>
    <row r="86" spans="2:25" ht="9.75" customHeight="1">
      <c r="B86" s="951"/>
      <c r="C86" s="951"/>
      <c r="D86" s="287">
        <f t="shared" ca="1" si="14"/>
        <v>48725</v>
      </c>
      <c r="E86" s="359">
        <f t="shared" si="17"/>
        <v>0</v>
      </c>
      <c r="F86" s="289">
        <f t="shared" ca="1" si="15"/>
        <v>50</v>
      </c>
      <c r="G86" s="290">
        <f ca="1">KTVCOI!R85</f>
        <v>0.58056362753910418</v>
      </c>
      <c r="H86" s="290">
        <f ca="1">(H85-F86-G86)*(1+LS!$F$3)</f>
        <v>-4367.3892613270764</v>
      </c>
      <c r="I86" s="953"/>
      <c r="J86" s="292">
        <f t="shared" ca="1" si="16"/>
        <v>-4367.3892613270764</v>
      </c>
      <c r="K86" s="949"/>
      <c r="L86" s="949"/>
      <c r="M86" s="949"/>
      <c r="N86" s="950"/>
      <c r="O86" s="950"/>
      <c r="X86" s="1004"/>
      <c r="Y86" s="1004"/>
    </row>
    <row r="87" spans="2:25" ht="9.75" customHeight="1">
      <c r="B87" s="951"/>
      <c r="C87" s="951"/>
      <c r="D87" s="287">
        <f t="shared" ca="1" si="14"/>
        <v>48756</v>
      </c>
      <c r="E87" s="359">
        <f t="shared" si="17"/>
        <v>0</v>
      </c>
      <c r="F87" s="289">
        <f t="shared" ca="1" si="15"/>
        <v>50</v>
      </c>
      <c r="G87" s="290">
        <f ca="1">KTVCOI!R86</f>
        <v>0.58959755027915539</v>
      </c>
      <c r="H87" s="290">
        <f ca="1">(H86-F87-G87)*(1+LS!$F$3)</f>
        <v>-4434.5675397127143</v>
      </c>
      <c r="I87" s="953"/>
      <c r="J87" s="293">
        <f ca="1">H87+I76</f>
        <v>-4434.5675397127143</v>
      </c>
      <c r="K87" s="949"/>
      <c r="L87" s="949"/>
      <c r="M87" s="949"/>
      <c r="N87" s="950"/>
      <c r="O87" s="950"/>
      <c r="X87" s="1004"/>
      <c r="Y87" s="1004"/>
    </row>
    <row r="88" spans="2:25" ht="9.75" customHeight="1">
      <c r="B88" s="946">
        <f>B76+1</f>
        <v>8</v>
      </c>
      <c r="C88" s="947">
        <f ca="1">C76+1</f>
        <v>37</v>
      </c>
      <c r="D88" s="294">
        <f t="shared" ca="1" si="14"/>
        <v>48786</v>
      </c>
      <c r="E88" s="359">
        <f t="shared" si="17"/>
        <v>0</v>
      </c>
      <c r="F88" s="360">
        <f t="shared" ca="1" si="15"/>
        <v>50</v>
      </c>
      <c r="G88" s="290">
        <f ca="1">KTVCOI!R87</f>
        <v>0.64301229325834353</v>
      </c>
      <c r="H88" s="290">
        <f ca="1">(H87+KTVBVGTTKMH!F14-F88-G88)*(1+LS!$F$3)</f>
        <v>-4502.0516752216499</v>
      </c>
      <c r="I88" s="948"/>
      <c r="J88" s="296">
        <f t="shared" ca="1" si="16"/>
        <v>-4502.0516752216499</v>
      </c>
      <c r="K88" s="949">
        <f ca="1">J99</f>
        <v>-5261.9770219227312</v>
      </c>
      <c r="L88" s="949"/>
      <c r="M88" s="949"/>
      <c r="N88" s="950">
        <f t="shared" ref="N88" ca="1" si="20">SUM(G88:G99)</f>
        <v>8.3704413126438393</v>
      </c>
      <c r="O88" s="950"/>
      <c r="X88" s="945">
        <f t="shared" ref="X88:Y88" ca="1" si="21">SUM(F88:F99)</f>
        <v>600</v>
      </c>
      <c r="Y88" s="945">
        <f t="shared" ca="1" si="21"/>
        <v>8.3704413126438393</v>
      </c>
    </row>
    <row r="89" spans="2:25" ht="9.75" customHeight="1">
      <c r="B89" s="946"/>
      <c r="C89" s="946"/>
      <c r="D89" s="294">
        <f t="shared" ca="1" si="14"/>
        <v>48817</v>
      </c>
      <c r="E89" s="359">
        <f t="shared" si="17"/>
        <v>0</v>
      </c>
      <c r="F89" s="360">
        <f t="shared" ca="1" si="15"/>
        <v>50</v>
      </c>
      <c r="G89" s="290">
        <f ca="1">KTVCOI!R88</f>
        <v>0.65279749290713929</v>
      </c>
      <c r="H89" s="290">
        <f ca="1">(H88-F89-G89)*(1+LS!$F$3)</f>
        <v>-4569.7990229258639</v>
      </c>
      <c r="I89" s="948"/>
      <c r="J89" s="296">
        <f t="shared" ca="1" si="16"/>
        <v>-4569.7990229258639</v>
      </c>
      <c r="K89" s="949"/>
      <c r="L89" s="949"/>
      <c r="M89" s="949"/>
      <c r="N89" s="950"/>
      <c r="O89" s="950"/>
      <c r="X89" s="1004"/>
      <c r="Y89" s="1004"/>
    </row>
    <row r="90" spans="2:25" ht="9.75" customHeight="1">
      <c r="B90" s="946"/>
      <c r="C90" s="946"/>
      <c r="D90" s="294">
        <f t="shared" ca="1" si="14"/>
        <v>48848</v>
      </c>
      <c r="E90" s="359">
        <f t="shared" si="17"/>
        <v>0</v>
      </c>
      <c r="F90" s="360">
        <f t="shared" ca="1" si="15"/>
        <v>50</v>
      </c>
      <c r="G90" s="290">
        <f ca="1">KTVCOI!R89</f>
        <v>0.66262085832425022</v>
      </c>
      <c r="H90" s="290">
        <f ca="1">(H89-F90-G90)*(1+LS!$F$3)</f>
        <v>-4637.8106094467876</v>
      </c>
      <c r="I90" s="948"/>
      <c r="J90" s="296">
        <f t="shared" ca="1" si="16"/>
        <v>-4637.8106094467876</v>
      </c>
      <c r="K90" s="949"/>
      <c r="L90" s="949"/>
      <c r="M90" s="949"/>
      <c r="N90" s="950"/>
      <c r="O90" s="950"/>
      <c r="X90" s="1004"/>
      <c r="Y90" s="1004"/>
    </row>
    <row r="91" spans="2:25" ht="9.75" customHeight="1">
      <c r="B91" s="946"/>
      <c r="C91" s="946"/>
      <c r="D91" s="294">
        <f t="shared" ca="1" si="14"/>
        <v>48878</v>
      </c>
      <c r="E91" s="359">
        <f t="shared" si="17"/>
        <v>0</v>
      </c>
      <c r="F91" s="360">
        <f t="shared" ca="1" si="15"/>
        <v>50</v>
      </c>
      <c r="G91" s="290">
        <f ca="1">KTVCOI!R90</f>
        <v>0.67248253836978422</v>
      </c>
      <c r="H91" s="290">
        <f ca="1">(H90-F91-G91)*(1+LS!$F$3)</f>
        <v>-4706.0874654100407</v>
      </c>
      <c r="I91" s="948"/>
      <c r="J91" s="296">
        <f t="shared" ca="1" si="16"/>
        <v>-4706.0874654100407</v>
      </c>
      <c r="K91" s="949"/>
      <c r="L91" s="949"/>
      <c r="M91" s="949"/>
      <c r="N91" s="950"/>
      <c r="O91" s="950"/>
      <c r="X91" s="1004"/>
      <c r="Y91" s="1004"/>
    </row>
    <row r="92" spans="2:25" ht="9.75" customHeight="1">
      <c r="B92" s="946"/>
      <c r="C92" s="946"/>
      <c r="D92" s="294">
        <f t="shared" ca="1" si="14"/>
        <v>48909</v>
      </c>
      <c r="E92" s="359">
        <f t="shared" si="17"/>
        <v>0</v>
      </c>
      <c r="F92" s="360">
        <f t="shared" ca="1" si="15"/>
        <v>50</v>
      </c>
      <c r="G92" s="290">
        <f ca="1">KTVCOI!R91</f>
        <v>0.68238268248445599</v>
      </c>
      <c r="H92" s="290">
        <f ca="1">(H91-F92-G92)*(1+LS!$F$3)</f>
        <v>-4774.6306254610517</v>
      </c>
      <c r="I92" s="948"/>
      <c r="J92" s="296">
        <f t="shared" ca="1" si="16"/>
        <v>-4774.6306254610517</v>
      </c>
      <c r="K92" s="949"/>
      <c r="L92" s="949"/>
      <c r="M92" s="949"/>
      <c r="N92" s="950"/>
      <c r="O92" s="950"/>
      <c r="X92" s="1004"/>
      <c r="Y92" s="1004"/>
    </row>
    <row r="93" spans="2:25" ht="9.75" customHeight="1">
      <c r="B93" s="946"/>
      <c r="C93" s="946"/>
      <c r="D93" s="294">
        <f t="shared" ca="1" si="14"/>
        <v>48939</v>
      </c>
      <c r="E93" s="359">
        <f t="shared" si="17"/>
        <v>0</v>
      </c>
      <c r="F93" s="360">
        <f t="shared" ca="1" si="15"/>
        <v>50</v>
      </c>
      <c r="G93" s="290">
        <f ca="1">KTVCOI!R92</f>
        <v>0.69232144069185253</v>
      </c>
      <c r="H93" s="290">
        <f ca="1">(H92-F93-G93)*(1+LS!$F$3)</f>
        <v>-4843.4411282807341</v>
      </c>
      <c r="I93" s="948"/>
      <c r="J93" s="296">
        <f t="shared" ca="1" si="16"/>
        <v>-4843.4411282807341</v>
      </c>
      <c r="K93" s="949"/>
      <c r="L93" s="949"/>
      <c r="M93" s="949"/>
      <c r="N93" s="950"/>
      <c r="O93" s="950"/>
      <c r="X93" s="1004"/>
      <c r="Y93" s="1004"/>
    </row>
    <row r="94" spans="2:25" ht="9.75" customHeight="1">
      <c r="B94" s="946"/>
      <c r="C94" s="946"/>
      <c r="D94" s="294">
        <f t="shared" ca="1" si="14"/>
        <v>48970</v>
      </c>
      <c r="E94" s="359">
        <f t="shared" si="17"/>
        <v>0</v>
      </c>
      <c r="F94" s="360">
        <f t="shared" ca="1" si="15"/>
        <v>50</v>
      </c>
      <c r="G94" s="290">
        <f ca="1">KTVCOI!R93</f>
        <v>0.70229896360070654</v>
      </c>
      <c r="H94" s="290">
        <f ca="1">(H93-F94-G94)*(1+LS!$F$3)</f>
        <v>-4912.5200166012282</v>
      </c>
      <c r="I94" s="948"/>
      <c r="J94" s="296">
        <f t="shared" ca="1" si="16"/>
        <v>-4912.5200166012282</v>
      </c>
      <c r="K94" s="949"/>
      <c r="L94" s="949"/>
      <c r="M94" s="949"/>
      <c r="N94" s="950"/>
      <c r="O94" s="950"/>
      <c r="X94" s="1004"/>
      <c r="Y94" s="1004"/>
    </row>
    <row r="95" spans="2:25" ht="9.75" customHeight="1">
      <c r="B95" s="946"/>
      <c r="C95" s="946"/>
      <c r="D95" s="294">
        <f t="shared" ca="1" si="14"/>
        <v>49001</v>
      </c>
      <c r="E95" s="359">
        <f t="shared" si="17"/>
        <v>0</v>
      </c>
      <c r="F95" s="360">
        <f t="shared" ca="1" si="15"/>
        <v>50</v>
      </c>
      <c r="G95" s="290">
        <f ca="1">KTVCOI!R94</f>
        <v>0.71231540240717806</v>
      </c>
      <c r="H95" s="290">
        <f ca="1">(H94-F95-G95)*(1+LS!$F$3)</f>
        <v>-4981.868337221701</v>
      </c>
      <c r="I95" s="948"/>
      <c r="J95" s="296">
        <f t="shared" ca="1" si="16"/>
        <v>-4981.868337221701</v>
      </c>
      <c r="K95" s="949"/>
      <c r="L95" s="949"/>
      <c r="M95" s="949"/>
      <c r="N95" s="950"/>
      <c r="O95" s="950"/>
      <c r="X95" s="1004"/>
      <c r="Y95" s="1004"/>
    </row>
    <row r="96" spans="2:25" ht="9.75" customHeight="1">
      <c r="B96" s="946"/>
      <c r="C96" s="946"/>
      <c r="D96" s="294">
        <f t="shared" ca="1" si="14"/>
        <v>49029</v>
      </c>
      <c r="E96" s="359">
        <f t="shared" si="17"/>
        <v>0</v>
      </c>
      <c r="F96" s="360">
        <f t="shared" ca="1" si="15"/>
        <v>50</v>
      </c>
      <c r="G96" s="290">
        <f ca="1">KTVCOI!R95</f>
        <v>0.72237090889714661</v>
      </c>
      <c r="H96" s="290">
        <f ca="1">(H95-F96-G96)*(1+LS!$F$3)</f>
        <v>-5051.4871410242104</v>
      </c>
      <c r="I96" s="948"/>
      <c r="J96" s="296">
        <f t="shared" ca="1" si="16"/>
        <v>-5051.4871410242104</v>
      </c>
      <c r="K96" s="949"/>
      <c r="L96" s="949"/>
      <c r="M96" s="949"/>
      <c r="N96" s="950"/>
      <c r="O96" s="950"/>
      <c r="X96" s="1004"/>
      <c r="Y96" s="1004"/>
    </row>
    <row r="97" spans="2:25" ht="9.75" customHeight="1">
      <c r="B97" s="946"/>
      <c r="C97" s="946"/>
      <c r="D97" s="294">
        <f t="shared" ca="1" si="14"/>
        <v>49060</v>
      </c>
      <c r="E97" s="359">
        <f t="shared" si="17"/>
        <v>0</v>
      </c>
      <c r="F97" s="360">
        <f t="shared" ca="1" si="15"/>
        <v>50</v>
      </c>
      <c r="G97" s="290">
        <f ca="1">KTVCOI!R96</f>
        <v>0.73246563544851051</v>
      </c>
      <c r="H97" s="290">
        <f ca="1">(H96-F97-G97)*(1+LS!$F$3)</f>
        <v>-5121.3774829896274</v>
      </c>
      <c r="I97" s="948"/>
      <c r="J97" s="296">
        <f t="shared" ca="1" si="16"/>
        <v>-5121.3774829896274</v>
      </c>
      <c r="K97" s="949"/>
      <c r="L97" s="949"/>
      <c r="M97" s="949"/>
      <c r="N97" s="950"/>
      <c r="O97" s="950"/>
      <c r="X97" s="1004"/>
      <c r="Y97" s="1004"/>
    </row>
    <row r="98" spans="2:25" ht="9.75" customHeight="1">
      <c r="B98" s="946"/>
      <c r="C98" s="946"/>
      <c r="D98" s="294">
        <f t="shared" ca="1" si="14"/>
        <v>49090</v>
      </c>
      <c r="E98" s="359">
        <f t="shared" si="17"/>
        <v>0</v>
      </c>
      <c r="F98" s="360">
        <f t="shared" ca="1" si="15"/>
        <v>50</v>
      </c>
      <c r="G98" s="290">
        <f ca="1">KTVCOI!R97</f>
        <v>0.74259973503349608</v>
      </c>
      <c r="H98" s="290">
        <f ca="1">(H97-F98-G98)*(1+LS!$F$3)</f>
        <v>-5191.5404222136267</v>
      </c>
      <c r="I98" s="948"/>
      <c r="J98" s="296">
        <f t="shared" ca="1" si="16"/>
        <v>-5191.5404222136267</v>
      </c>
      <c r="K98" s="949"/>
      <c r="L98" s="949"/>
      <c r="M98" s="949"/>
      <c r="N98" s="950"/>
      <c r="O98" s="950"/>
      <c r="X98" s="1004"/>
      <c r="Y98" s="1004"/>
    </row>
    <row r="99" spans="2:25" ht="9.75" customHeight="1">
      <c r="B99" s="946"/>
      <c r="C99" s="946"/>
      <c r="D99" s="294">
        <f t="shared" ca="1" si="14"/>
        <v>49121</v>
      </c>
      <c r="E99" s="359">
        <f t="shared" si="17"/>
        <v>0</v>
      </c>
      <c r="F99" s="360">
        <f t="shared" ca="1" si="15"/>
        <v>50</v>
      </c>
      <c r="G99" s="290">
        <f ca="1">KTVCOI!R98</f>
        <v>0.75277336122097582</v>
      </c>
      <c r="H99" s="290">
        <f ca="1">(H98-F99-G99)*(1+LS!$F$3)</f>
        <v>-5261.9770219227312</v>
      </c>
      <c r="I99" s="948"/>
      <c r="J99" s="297">
        <f ca="1">H99+I88</f>
        <v>-5261.9770219227312</v>
      </c>
      <c r="K99" s="949"/>
      <c r="L99" s="949"/>
      <c r="M99" s="949"/>
      <c r="N99" s="950"/>
      <c r="O99" s="950"/>
      <c r="X99" s="1004"/>
      <c r="Y99" s="1004"/>
    </row>
    <row r="100" spans="2:25" ht="9.75" customHeight="1">
      <c r="B100" s="951">
        <f>B88+1</f>
        <v>9</v>
      </c>
      <c r="C100" s="952">
        <f ca="1">C88+1</f>
        <v>38</v>
      </c>
      <c r="D100" s="287">
        <f t="shared" ca="1" si="14"/>
        <v>49151</v>
      </c>
      <c r="E100" s="359">
        <f t="shared" si="17"/>
        <v>0</v>
      </c>
      <c r="F100" s="289">
        <f t="shared" ca="1" si="15"/>
        <v>50</v>
      </c>
      <c r="G100" s="290">
        <f ca="1">KTVCOI!R99</f>
        <v>0.8243764001012277</v>
      </c>
      <c r="H100" s="290">
        <f ca="1">(H99+KTVBVGTTKMH!F15-F100-G100)*(1+LS!$F$3)</f>
        <v>-5332.7499697292651</v>
      </c>
      <c r="I100" s="953"/>
      <c r="J100" s="292">
        <f t="shared" ca="1" si="16"/>
        <v>-5332.7499697292651</v>
      </c>
      <c r="K100" s="949">
        <f ca="1">J111</f>
        <v>-6190.5835003557886</v>
      </c>
      <c r="L100" s="949"/>
      <c r="M100" s="949"/>
      <c r="N100" s="950">
        <f t="shared" ref="N100" ca="1" si="22">SUM(G100:G111)</f>
        <v>10.657647979326496</v>
      </c>
      <c r="O100" s="950"/>
      <c r="X100" s="945">
        <f t="shared" ref="X100:Y100" ca="1" si="23">SUM(F100:F111)</f>
        <v>660</v>
      </c>
      <c r="Y100" s="945">
        <f t="shared" ca="1" si="23"/>
        <v>10.657647979326496</v>
      </c>
    </row>
    <row r="101" spans="2:25" ht="9.75" customHeight="1">
      <c r="B101" s="951"/>
      <c r="C101" s="951"/>
      <c r="D101" s="287">
        <f t="shared" ca="1" si="14"/>
        <v>49182</v>
      </c>
      <c r="E101" s="359">
        <f t="shared" si="17"/>
        <v>0</v>
      </c>
      <c r="F101" s="289">
        <f t="shared" ca="1" si="15"/>
        <v>50</v>
      </c>
      <c r="G101" s="290">
        <f ca="1">KTVCOI!R100</f>
        <v>0.83546416192425144</v>
      </c>
      <c r="H101" s="290">
        <f ca="1">(H100-F101-G101)*(1+LS!$F$3)</f>
        <v>-5403.7997860566047</v>
      </c>
      <c r="I101" s="953"/>
      <c r="J101" s="292">
        <f t="shared" ca="1" si="16"/>
        <v>-5403.7997860566047</v>
      </c>
      <c r="K101" s="949"/>
      <c r="L101" s="949"/>
      <c r="M101" s="949"/>
      <c r="N101" s="950"/>
      <c r="O101" s="950"/>
      <c r="X101" s="1004"/>
      <c r="Y101" s="1004"/>
    </row>
    <row r="102" spans="2:25" ht="9.75" customHeight="1">
      <c r="B102" s="951"/>
      <c r="C102" s="951"/>
      <c r="D102" s="287">
        <f t="shared" ca="1" si="14"/>
        <v>49213</v>
      </c>
      <c r="E102" s="359">
        <f t="shared" si="17"/>
        <v>0</v>
      </c>
      <c r="F102" s="289">
        <f t="shared" ca="1" si="15"/>
        <v>50</v>
      </c>
      <c r="G102" s="290">
        <f ca="1">KTVCOI!R101</f>
        <v>0.84659529981553472</v>
      </c>
      <c r="H102" s="290">
        <f ca="1">(H101-F102-G102)*(1+LS!$F$3)</f>
        <v>-5475.1275540329825</v>
      </c>
      <c r="I102" s="953"/>
      <c r="J102" s="292">
        <f t="shared" ca="1" si="16"/>
        <v>-5475.1275540329825</v>
      </c>
      <c r="K102" s="949"/>
      <c r="L102" s="949"/>
      <c r="M102" s="949"/>
      <c r="N102" s="950"/>
      <c r="O102" s="950"/>
      <c r="X102" s="1004"/>
      <c r="Y102" s="1004"/>
    </row>
    <row r="103" spans="2:25" ht="9.75" customHeight="1">
      <c r="B103" s="951"/>
      <c r="C103" s="951"/>
      <c r="D103" s="287">
        <f t="shared" ca="1" si="14"/>
        <v>49243</v>
      </c>
      <c r="E103" s="359">
        <f t="shared" si="17"/>
        <v>0</v>
      </c>
      <c r="F103" s="289">
        <f t="shared" ca="1" si="15"/>
        <v>50</v>
      </c>
      <c r="G103" s="290">
        <f ca="1">KTVCOI!R102</f>
        <v>0.85776998346516731</v>
      </c>
      <c r="H103" s="290">
        <f ca="1">(H102-F103-G103)*(1+LS!$F$3)</f>
        <v>-5546.7343610238995</v>
      </c>
      <c r="I103" s="953"/>
      <c r="J103" s="292">
        <f t="shared" ca="1" si="16"/>
        <v>-5546.7343610238995</v>
      </c>
      <c r="K103" s="949"/>
      <c r="L103" s="949"/>
      <c r="M103" s="949"/>
      <c r="N103" s="950"/>
      <c r="O103" s="950"/>
      <c r="X103" s="1004"/>
      <c r="Y103" s="1004"/>
    </row>
    <row r="104" spans="2:25" ht="9.75" customHeight="1">
      <c r="B104" s="951"/>
      <c r="C104" s="951"/>
      <c r="D104" s="287">
        <f t="shared" ca="1" si="14"/>
        <v>49274</v>
      </c>
      <c r="E104" s="359">
        <f t="shared" si="17"/>
        <v>0</v>
      </c>
      <c r="F104" s="289">
        <f t="shared" ca="1" si="15"/>
        <v>50</v>
      </c>
      <c r="G104" s="290">
        <f ca="1">KTVCOI!R103</f>
        <v>0.8689883832270775</v>
      </c>
      <c r="H104" s="290">
        <f ca="1">(H103-F104-G104)*(1+LS!$F$3)</f>
        <v>-5618.6212986487044</v>
      </c>
      <c r="I104" s="953"/>
      <c r="J104" s="292">
        <f t="shared" ca="1" si="16"/>
        <v>-5618.6212986487044</v>
      </c>
      <c r="K104" s="949"/>
      <c r="L104" s="949"/>
      <c r="M104" s="949"/>
      <c r="N104" s="950"/>
      <c r="O104" s="950"/>
      <c r="X104" s="1004"/>
      <c r="Y104" s="1004"/>
    </row>
    <row r="105" spans="2:25" ht="9.75" customHeight="1">
      <c r="B105" s="951"/>
      <c r="C105" s="951"/>
      <c r="D105" s="287">
        <f t="shared" ca="1" si="14"/>
        <v>49304</v>
      </c>
      <c r="E105" s="359">
        <f t="shared" si="17"/>
        <v>0</v>
      </c>
      <c r="F105" s="289">
        <f t="shared" ca="1" si="15"/>
        <v>50</v>
      </c>
      <c r="G105" s="290">
        <f ca="1">KTVCOI!R104</f>
        <v>0.88025067012163027</v>
      </c>
      <c r="H105" s="290">
        <f ca="1">(H104-F105-G105)*(1+LS!$F$3)</f>
        <v>-5690.7894627972346</v>
      </c>
      <c r="I105" s="953"/>
      <c r="J105" s="292">
        <f t="shared" ca="1" si="16"/>
        <v>-5690.7894627972346</v>
      </c>
      <c r="K105" s="949"/>
      <c r="L105" s="949"/>
      <c r="M105" s="949"/>
      <c r="N105" s="950"/>
      <c r="O105" s="950"/>
      <c r="X105" s="1004"/>
      <c r="Y105" s="1004"/>
    </row>
    <row r="106" spans="2:25" ht="9.75" customHeight="1">
      <c r="B106" s="951"/>
      <c r="C106" s="951"/>
      <c r="D106" s="287">
        <f t="shared" ca="1" si="14"/>
        <v>49335</v>
      </c>
      <c r="E106" s="359">
        <f t="shared" si="17"/>
        <v>0</v>
      </c>
      <c r="F106" s="289">
        <f t="shared" ca="1" si="15"/>
        <v>60</v>
      </c>
      <c r="G106" s="290">
        <f ca="1">KTVCOI!R105</f>
        <v>0.89155701583823344</v>
      </c>
      <c r="H106" s="290">
        <f ca="1">(H105-F106-G106)*(1+LS!$F$3)</f>
        <v>-5773.2775017683334</v>
      </c>
      <c r="I106" s="953"/>
      <c r="J106" s="292">
        <f t="shared" ca="1" si="16"/>
        <v>-5773.2775017683334</v>
      </c>
      <c r="K106" s="949"/>
      <c r="L106" s="949"/>
      <c r="M106" s="949"/>
      <c r="N106" s="950"/>
      <c r="O106" s="950"/>
      <c r="X106" s="1004"/>
      <c r="Y106" s="1004"/>
    </row>
    <row r="107" spans="2:25" ht="9.75" customHeight="1">
      <c r="B107" s="951"/>
      <c r="C107" s="951"/>
      <c r="D107" s="287">
        <f t="shared" ca="1" si="14"/>
        <v>49366</v>
      </c>
      <c r="E107" s="359">
        <f t="shared" si="17"/>
        <v>0</v>
      </c>
      <c r="F107" s="289">
        <f t="shared" ca="1" si="15"/>
        <v>60</v>
      </c>
      <c r="G107" s="290">
        <f ca="1">KTVCOI!R106</f>
        <v>0.90448014194370552</v>
      </c>
      <c r="H107" s="290">
        <f ca="1">(H106-F107-G107)*(1+LS!$F$3)</f>
        <v>-5856.0882394829778</v>
      </c>
      <c r="I107" s="953"/>
      <c r="J107" s="292">
        <f t="shared" ca="1" si="16"/>
        <v>-5856.0882394829778</v>
      </c>
      <c r="K107" s="949"/>
      <c r="L107" s="949"/>
      <c r="M107" s="949"/>
      <c r="N107" s="950"/>
      <c r="O107" s="950"/>
      <c r="X107" s="1004"/>
      <c r="Y107" s="1004"/>
    </row>
    <row r="108" spans="2:25" ht="9.75" customHeight="1">
      <c r="B108" s="951"/>
      <c r="C108" s="951"/>
      <c r="D108" s="287">
        <f t="shared" ca="1" si="14"/>
        <v>49394</v>
      </c>
      <c r="E108" s="359">
        <f t="shared" si="17"/>
        <v>0</v>
      </c>
      <c r="F108" s="289">
        <f t="shared" ca="1" si="15"/>
        <v>60</v>
      </c>
      <c r="G108" s="290">
        <f ca="1">KTVCOI!R107</f>
        <v>0.91745382418566657</v>
      </c>
      <c r="H108" s="290">
        <f ca="1">(H107-F108-G108)*(1+LS!$F$3)</f>
        <v>-5939.2229383603044</v>
      </c>
      <c r="I108" s="953"/>
      <c r="J108" s="292">
        <f t="shared" ca="1" si="16"/>
        <v>-5939.2229383603044</v>
      </c>
      <c r="K108" s="949"/>
      <c r="L108" s="949"/>
      <c r="M108" s="949"/>
      <c r="N108" s="950"/>
      <c r="O108" s="950"/>
      <c r="X108" s="1004"/>
      <c r="Y108" s="1004"/>
    </row>
    <row r="109" spans="2:25" ht="9.75" customHeight="1">
      <c r="B109" s="951"/>
      <c r="C109" s="951"/>
      <c r="D109" s="287">
        <f t="shared" ca="1" si="14"/>
        <v>49425</v>
      </c>
      <c r="E109" s="359">
        <f t="shared" si="17"/>
        <v>0</v>
      </c>
      <c r="F109" s="289">
        <f t="shared" ca="1" si="15"/>
        <v>60</v>
      </c>
      <c r="G109" s="290">
        <f ca="1">KTVCOI!R108</f>
        <v>0.93047826034311443</v>
      </c>
      <c r="H109" s="290">
        <f ca="1">(H108-F109-G109)*(1+LS!$F$3)</f>
        <v>-6022.68286575812</v>
      </c>
      <c r="I109" s="953"/>
      <c r="J109" s="292">
        <f t="shared" ca="1" si="16"/>
        <v>-6022.68286575812</v>
      </c>
      <c r="K109" s="949"/>
      <c r="L109" s="949"/>
      <c r="M109" s="949"/>
      <c r="N109" s="950"/>
      <c r="O109" s="950"/>
      <c r="X109" s="1004"/>
      <c r="Y109" s="1004"/>
    </row>
    <row r="110" spans="2:25" ht="9.75" customHeight="1">
      <c r="B110" s="951"/>
      <c r="C110" s="951"/>
      <c r="D110" s="287">
        <f t="shared" ca="1" si="14"/>
        <v>49455</v>
      </c>
      <c r="E110" s="359">
        <f t="shared" si="17"/>
        <v>0</v>
      </c>
      <c r="F110" s="289">
        <f t="shared" ca="1" si="15"/>
        <v>60</v>
      </c>
      <c r="G110" s="290">
        <f ca="1">KTVCOI!R109</f>
        <v>0.94355364896877214</v>
      </c>
      <c r="H110" s="290">
        <f ca="1">(H109-F110-G110)*(1+LS!$F$3)</f>
        <v>-6106.4692939922215</v>
      </c>
      <c r="I110" s="953"/>
      <c r="J110" s="292">
        <f t="shared" ca="1" si="16"/>
        <v>-6106.4692939922215</v>
      </c>
      <c r="K110" s="949"/>
      <c r="L110" s="949"/>
      <c r="M110" s="949"/>
      <c r="N110" s="950"/>
      <c r="O110" s="950"/>
      <c r="X110" s="1004"/>
      <c r="Y110" s="1004"/>
    </row>
    <row r="111" spans="2:25" ht="9.75" customHeight="1">
      <c r="B111" s="951"/>
      <c r="C111" s="951"/>
      <c r="D111" s="287">
        <f t="shared" ca="1" si="14"/>
        <v>49486</v>
      </c>
      <c r="E111" s="359">
        <f t="shared" si="17"/>
        <v>0</v>
      </c>
      <c r="F111" s="289">
        <f t="shared" ca="1" si="15"/>
        <v>60</v>
      </c>
      <c r="G111" s="290">
        <f ca="1">KTVCOI!R110</f>
        <v>0.95668018939211474</v>
      </c>
      <c r="H111" s="290">
        <f ca="1">(H110-F111-G111)*(1+LS!$F$3)</f>
        <v>-6190.5835003557886</v>
      </c>
      <c r="I111" s="953"/>
      <c r="J111" s="293">
        <f ca="1">H111+I100</f>
        <v>-6190.5835003557886</v>
      </c>
      <c r="K111" s="949"/>
      <c r="L111" s="949"/>
      <c r="M111" s="949"/>
      <c r="N111" s="950"/>
      <c r="O111" s="950"/>
      <c r="X111" s="1004"/>
      <c r="Y111" s="1004"/>
    </row>
    <row r="112" spans="2:25" ht="9.75" customHeight="1">
      <c r="B112" s="946">
        <f>B100+1</f>
        <v>10</v>
      </c>
      <c r="C112" s="947">
        <f ca="1">C100+1</f>
        <v>39</v>
      </c>
      <c r="D112" s="294">
        <f t="shared" ca="1" si="14"/>
        <v>49516</v>
      </c>
      <c r="E112" s="359">
        <f t="shared" si="17"/>
        <v>0</v>
      </c>
      <c r="F112" s="360">
        <f t="shared" ca="1" si="15"/>
        <v>60</v>
      </c>
      <c r="G112" s="290">
        <f ca="1">KTVCOI!R111</f>
        <v>1.0472403754768542</v>
      </c>
      <c r="H112" s="290">
        <f ca="1">(H111+KTVBVGTTKMH!F16-F112-G112)*(1+LS!$F$3)</f>
        <v>-6275.1044399885905</v>
      </c>
      <c r="I112" s="948">
        <f ca="1">IF(COUNTIF(KTVBVGTTKMH!$E$7:E16,0)&gt;0,0,50%*'Tinh phi QL'!H12/1000)</f>
        <v>0</v>
      </c>
      <c r="J112" s="296">
        <f t="shared" ca="1" si="16"/>
        <v>-6275.1044399885905</v>
      </c>
      <c r="K112" s="949">
        <f ca="1">J123</f>
        <v>-7227.0167225354708</v>
      </c>
      <c r="L112" s="949"/>
      <c r="M112" s="949"/>
      <c r="N112" s="950">
        <f t="shared" ref="N112" ca="1" si="24">SUM(G112:G123)</f>
        <v>13.523015714774928</v>
      </c>
      <c r="O112" s="950"/>
      <c r="X112" s="945">
        <f t="shared" ref="X112:Y112" ca="1" si="25">SUM(F112:F123)</f>
        <v>720</v>
      </c>
      <c r="Y112" s="945">
        <f t="shared" ca="1" si="25"/>
        <v>13.523015714774928</v>
      </c>
    </row>
    <row r="113" spans="2:25" ht="9.75" customHeight="1">
      <c r="B113" s="946"/>
      <c r="C113" s="946"/>
      <c r="D113" s="294">
        <f t="shared" ca="1" si="14"/>
        <v>49547</v>
      </c>
      <c r="E113" s="359">
        <f t="shared" si="17"/>
        <v>0</v>
      </c>
      <c r="F113" s="360">
        <f t="shared" ca="1" si="15"/>
        <v>60</v>
      </c>
      <c r="G113" s="290">
        <f ca="1">KTVCOI!R112</f>
        <v>1.0615385010980698</v>
      </c>
      <c r="H113" s="290">
        <f ca="1">(H112-F113-G113)*(1+LS!$F$3)</f>
        <v>-6359.9570916874854</v>
      </c>
      <c r="I113" s="948"/>
      <c r="J113" s="296">
        <f t="shared" ca="1" si="16"/>
        <v>-6359.9570916874854</v>
      </c>
      <c r="K113" s="949"/>
      <c r="L113" s="949"/>
      <c r="M113" s="949"/>
      <c r="N113" s="950"/>
      <c r="O113" s="950"/>
      <c r="X113" s="1004"/>
      <c r="Y113" s="1004"/>
    </row>
    <row r="114" spans="2:25" ht="9.75" customHeight="1">
      <c r="B114" s="946"/>
      <c r="C114" s="946"/>
      <c r="D114" s="294">
        <f t="shared" ca="1" si="14"/>
        <v>49578</v>
      </c>
      <c r="E114" s="359">
        <f t="shared" si="17"/>
        <v>0</v>
      </c>
      <c r="F114" s="360">
        <f t="shared" ca="1" si="15"/>
        <v>60</v>
      </c>
      <c r="G114" s="290">
        <f ca="1">KTVCOI!R113</f>
        <v>1.0758927413437995</v>
      </c>
      <c r="H114" s="290">
        <f ca="1">(H113-F114-G114)*(1+LS!$F$3)</f>
        <v>-6445.1427572943039</v>
      </c>
      <c r="I114" s="948"/>
      <c r="J114" s="296">
        <f t="shared" ca="1" si="16"/>
        <v>-6445.1427572943039</v>
      </c>
      <c r="K114" s="949"/>
      <c r="L114" s="949"/>
      <c r="M114" s="949"/>
      <c r="N114" s="950"/>
      <c r="O114" s="950"/>
      <c r="X114" s="1004"/>
      <c r="Y114" s="1004"/>
    </row>
    <row r="115" spans="2:25" ht="9.75" customHeight="1">
      <c r="B115" s="946"/>
      <c r="C115" s="946"/>
      <c r="D115" s="294">
        <f t="shared" ca="1" si="14"/>
        <v>49608</v>
      </c>
      <c r="E115" s="359">
        <f t="shared" si="17"/>
        <v>0</v>
      </c>
      <c r="F115" s="360">
        <f t="shared" ca="1" si="15"/>
        <v>60</v>
      </c>
      <c r="G115" s="290">
        <f ca="1">KTVCOI!R114</f>
        <v>1.0903033164422864</v>
      </c>
      <c r="H115" s="290">
        <f ca="1">(H114-F115-G115)*(1+LS!$F$3)</f>
        <v>-6530.6627437601028</v>
      </c>
      <c r="I115" s="948"/>
      <c r="J115" s="296">
        <f t="shared" ca="1" si="16"/>
        <v>-6530.6627437601028</v>
      </c>
      <c r="K115" s="949"/>
      <c r="L115" s="949"/>
      <c r="M115" s="949"/>
      <c r="N115" s="950"/>
      <c r="O115" s="950"/>
      <c r="X115" s="1004"/>
      <c r="Y115" s="1004"/>
    </row>
    <row r="116" spans="2:25" ht="9.75" customHeight="1">
      <c r="B116" s="946"/>
      <c r="C116" s="946"/>
      <c r="D116" s="294">
        <f t="shared" ca="1" si="14"/>
        <v>49639</v>
      </c>
      <c r="E116" s="359">
        <f t="shared" si="17"/>
        <v>0</v>
      </c>
      <c r="F116" s="360">
        <f t="shared" ca="1" si="15"/>
        <v>60</v>
      </c>
      <c r="G116" s="290">
        <f ca="1">KTVCOI!R115</f>
        <v>1.104770447486084</v>
      </c>
      <c r="H116" s="290">
        <f ca="1">(H115-F116-G116)*(1+LS!$F$3)</f>
        <v>-6616.5183631652189</v>
      </c>
      <c r="I116" s="948"/>
      <c r="J116" s="296">
        <f t="shared" ca="1" si="16"/>
        <v>-6616.5183631652189</v>
      </c>
      <c r="K116" s="949"/>
      <c r="L116" s="949"/>
      <c r="M116" s="949"/>
      <c r="N116" s="950"/>
      <c r="O116" s="950"/>
      <c r="X116" s="1004"/>
      <c r="Y116" s="1004"/>
    </row>
    <row r="117" spans="2:25" ht="9.75" customHeight="1">
      <c r="B117" s="946"/>
      <c r="C117" s="946"/>
      <c r="D117" s="294">
        <f t="shared" ca="1" si="14"/>
        <v>49669</v>
      </c>
      <c r="E117" s="359">
        <f t="shared" si="17"/>
        <v>0</v>
      </c>
      <c r="F117" s="360">
        <f t="shared" ca="1" si="15"/>
        <v>60</v>
      </c>
      <c r="G117" s="290">
        <f ca="1">KTVCOI!R116</f>
        <v>1.1192943564354494</v>
      </c>
      <c r="H117" s="290">
        <f ca="1">(H116-F117-G117)*(1+LS!$F$3)</f>
        <v>-6702.7109327393973</v>
      </c>
      <c r="I117" s="948"/>
      <c r="J117" s="296">
        <f t="shared" ca="1" si="16"/>
        <v>-6702.7109327393973</v>
      </c>
      <c r="K117" s="949"/>
      <c r="L117" s="949"/>
      <c r="M117" s="949"/>
      <c r="N117" s="950"/>
      <c r="O117" s="950"/>
      <c r="X117" s="1004"/>
      <c r="Y117" s="1004"/>
    </row>
    <row r="118" spans="2:25" ht="9.75" customHeight="1">
      <c r="B118" s="946"/>
      <c r="C118" s="946"/>
      <c r="D118" s="294">
        <f t="shared" ca="1" si="14"/>
        <v>49700</v>
      </c>
      <c r="E118" s="359">
        <f t="shared" si="17"/>
        <v>0</v>
      </c>
      <c r="F118" s="360">
        <f t="shared" ca="1" si="15"/>
        <v>60</v>
      </c>
      <c r="G118" s="290">
        <f ca="1">KTVCOI!R117</f>
        <v>1.1338752661217479</v>
      </c>
      <c r="H118" s="290">
        <f ca="1">(H117-F118-G118)*(1+LS!$F$3)</f>
        <v>-6789.2417748819998</v>
      </c>
      <c r="I118" s="948"/>
      <c r="J118" s="296">
        <f t="shared" ca="1" si="16"/>
        <v>-6789.2417748819998</v>
      </c>
      <c r="K118" s="949"/>
      <c r="L118" s="949"/>
      <c r="M118" s="949"/>
      <c r="N118" s="950"/>
      <c r="O118" s="950"/>
      <c r="X118" s="1004"/>
      <c r="Y118" s="1004"/>
    </row>
    <row r="119" spans="2:25" ht="9.75" customHeight="1">
      <c r="B119" s="946"/>
      <c r="C119" s="946"/>
      <c r="D119" s="294">
        <f t="shared" ca="1" si="14"/>
        <v>49731</v>
      </c>
      <c r="E119" s="359">
        <f t="shared" si="17"/>
        <v>0</v>
      </c>
      <c r="F119" s="360">
        <f t="shared" ca="1" si="15"/>
        <v>60</v>
      </c>
      <c r="G119" s="290">
        <f ca="1">KTVCOI!R118</f>
        <v>1.1485134002508715</v>
      </c>
      <c r="H119" s="290">
        <f ca="1">(H118-F119-G119)*(1+LS!$F$3)</f>
        <v>-6876.1122171822981</v>
      </c>
      <c r="I119" s="948"/>
      <c r="J119" s="296">
        <f t="shared" ca="1" si="16"/>
        <v>-6876.1122171822981</v>
      </c>
      <c r="K119" s="949"/>
      <c r="L119" s="949"/>
      <c r="M119" s="949"/>
      <c r="N119" s="950"/>
      <c r="O119" s="950"/>
      <c r="X119" s="1004"/>
      <c r="Y119" s="1004"/>
    </row>
    <row r="120" spans="2:25" ht="9.75" customHeight="1">
      <c r="B120" s="946"/>
      <c r="C120" s="946"/>
      <c r="D120" s="294">
        <f t="shared" ca="1" si="14"/>
        <v>49760</v>
      </c>
      <c r="E120" s="359">
        <f t="shared" si="17"/>
        <v>0</v>
      </c>
      <c r="F120" s="360">
        <f t="shared" ca="1" si="15"/>
        <v>60</v>
      </c>
      <c r="G120" s="290">
        <f ca="1">KTVCOI!R119</f>
        <v>1.1632089834066719</v>
      </c>
      <c r="H120" s="290">
        <f ca="1">(H119-F120-G120)*(1+LS!$F$3)</f>
        <v>-6963.3235924398377</v>
      </c>
      <c r="I120" s="948"/>
      <c r="J120" s="296">
        <f t="shared" ca="1" si="16"/>
        <v>-6963.3235924398377</v>
      </c>
      <c r="K120" s="949"/>
      <c r="L120" s="949"/>
      <c r="M120" s="949"/>
      <c r="N120" s="950"/>
      <c r="O120" s="950"/>
      <c r="X120" s="1004"/>
      <c r="Y120" s="1004"/>
    </row>
    <row r="121" spans="2:25" ht="9.75" customHeight="1">
      <c r="B121" s="946"/>
      <c r="C121" s="946"/>
      <c r="D121" s="294">
        <f t="shared" ca="1" si="14"/>
        <v>49791</v>
      </c>
      <c r="E121" s="359">
        <f t="shared" si="17"/>
        <v>0</v>
      </c>
      <c r="F121" s="360">
        <f t="shared" ca="1" si="15"/>
        <v>60</v>
      </c>
      <c r="G121" s="290">
        <f ca="1">KTVCOI!R120</f>
        <v>1.1779622410544059</v>
      </c>
      <c r="H121" s="290">
        <f ca="1">(H120-F121-G121)*(1+LS!$F$3)</f>
        <v>-7050.8772386848877</v>
      </c>
      <c r="I121" s="948"/>
      <c r="J121" s="296">
        <f t="shared" ca="1" si="16"/>
        <v>-7050.8772386848877</v>
      </c>
      <c r="K121" s="949"/>
      <c r="L121" s="949"/>
      <c r="M121" s="949"/>
      <c r="N121" s="950"/>
      <c r="O121" s="950"/>
      <c r="X121" s="1004"/>
      <c r="Y121" s="1004"/>
    </row>
    <row r="122" spans="2:25" ht="9.75" customHeight="1">
      <c r="B122" s="946"/>
      <c r="C122" s="946"/>
      <c r="D122" s="294">
        <f t="shared" ca="1" si="14"/>
        <v>49821</v>
      </c>
      <c r="E122" s="359">
        <f t="shared" si="17"/>
        <v>0</v>
      </c>
      <c r="F122" s="360">
        <f t="shared" ca="1" si="15"/>
        <v>60</v>
      </c>
      <c r="G122" s="290">
        <f ca="1">KTVCOI!R121</f>
        <v>1.1927733995441934</v>
      </c>
      <c r="H122" s="290">
        <f ca="1">(H121-F122-G122)*(1+LS!$F$3)</f>
        <v>-7138.7744991989712</v>
      </c>
      <c r="I122" s="948"/>
      <c r="J122" s="296">
        <f t="shared" ca="1" si="16"/>
        <v>-7138.7744991989712</v>
      </c>
      <c r="K122" s="949"/>
      <c r="L122" s="949"/>
      <c r="M122" s="949"/>
      <c r="N122" s="950"/>
      <c r="O122" s="950"/>
      <c r="X122" s="1004"/>
      <c r="Y122" s="1004"/>
    </row>
    <row r="123" spans="2:25" ht="9.75" customHeight="1">
      <c r="B123" s="946"/>
      <c r="C123" s="946"/>
      <c r="D123" s="294">
        <f t="shared" ca="1" si="14"/>
        <v>49852</v>
      </c>
      <c r="E123" s="359">
        <f t="shared" si="17"/>
        <v>0</v>
      </c>
      <c r="F123" s="360">
        <f t="shared" ca="1" si="15"/>
        <v>60</v>
      </c>
      <c r="G123" s="290">
        <f ca="1">KTVCOI!R122</f>
        <v>1.2076426861144924</v>
      </c>
      <c r="H123" s="290">
        <f ca="1">(H122-F123-G123)*(1+LS!$F$3)</f>
        <v>-7227.0167225354708</v>
      </c>
      <c r="I123" s="948"/>
      <c r="J123" s="297">
        <f ca="1">H123+I112</f>
        <v>-7227.0167225354708</v>
      </c>
      <c r="K123" s="949"/>
      <c r="L123" s="949"/>
      <c r="M123" s="949"/>
      <c r="N123" s="950"/>
      <c r="O123" s="950"/>
      <c r="X123" s="1004"/>
      <c r="Y123" s="1004"/>
    </row>
    <row r="124" spans="2:25" ht="9.75" customHeight="1">
      <c r="B124" s="951">
        <f>B112+1</f>
        <v>11</v>
      </c>
      <c r="C124" s="952">
        <f ca="1">C112+1</f>
        <v>40</v>
      </c>
      <c r="D124" s="287">
        <f t="shared" ca="1" si="14"/>
        <v>49882</v>
      </c>
      <c r="E124" s="359">
        <f t="shared" si="17"/>
        <v>0</v>
      </c>
      <c r="F124" s="289">
        <f t="shared" ca="1" si="15"/>
        <v>60</v>
      </c>
      <c r="G124" s="290">
        <f ca="1">KTVCOI!R123</f>
        <v>1.3309755797336158</v>
      </c>
      <c r="H124" s="290">
        <f ca="1">(J123+KTVBVGTTKMH!F17-F124-G124)*(1+LS!$F$3)</f>
        <v>-7315.7140748325155</v>
      </c>
      <c r="I124" s="953"/>
      <c r="J124" s="292">
        <f t="shared" ca="1" si="16"/>
        <v>-7315.7140748325155</v>
      </c>
      <c r="K124" s="949">
        <f ca="1">J135</f>
        <v>-8314.7534493669573</v>
      </c>
      <c r="L124" s="949"/>
      <c r="M124" s="949"/>
      <c r="N124" s="950">
        <f t="shared" ref="N124" ca="1" si="26">SUM(G124:G135)</f>
        <v>17.06410764588712</v>
      </c>
      <c r="O124" s="950"/>
      <c r="X124" s="945">
        <f t="shared" ref="X124:Y124" ca="1" si="27">SUM(F124:F135)</f>
        <v>720</v>
      </c>
      <c r="Y124" s="945">
        <f t="shared" ca="1" si="27"/>
        <v>17.06410764588712</v>
      </c>
    </row>
    <row r="125" spans="2:25" ht="9.75" customHeight="1">
      <c r="B125" s="951"/>
      <c r="C125" s="951"/>
      <c r="D125" s="287">
        <f t="shared" ca="1" si="14"/>
        <v>49913</v>
      </c>
      <c r="E125" s="359">
        <f t="shared" si="17"/>
        <v>0</v>
      </c>
      <c r="F125" s="289">
        <f t="shared" ca="1" si="15"/>
        <v>60</v>
      </c>
      <c r="G125" s="290">
        <f ca="1">KTVCOI!R124</f>
        <v>1.3473106754483215</v>
      </c>
      <c r="H125" s="290">
        <f ca="1">(H124-F125-G125)*(1+LS!$F$3)</f>
        <v>-7404.7608654593323</v>
      </c>
      <c r="I125" s="953"/>
      <c r="J125" s="292">
        <f t="shared" ca="1" si="16"/>
        <v>-7404.7608654593323</v>
      </c>
      <c r="K125" s="949"/>
      <c r="L125" s="949"/>
      <c r="M125" s="949"/>
      <c r="N125" s="950"/>
      <c r="O125" s="950"/>
      <c r="X125" s="1004"/>
      <c r="Y125" s="1004"/>
    </row>
    <row r="126" spans="2:25" ht="9.75" customHeight="1">
      <c r="B126" s="951"/>
      <c r="C126" s="951"/>
      <c r="D126" s="287">
        <f t="shared" ca="1" si="14"/>
        <v>49944</v>
      </c>
      <c r="E126" s="359">
        <f t="shared" si="17"/>
        <v>0</v>
      </c>
      <c r="F126" s="289">
        <f t="shared" ca="1" si="15"/>
        <v>60</v>
      </c>
      <c r="G126" s="290">
        <f ca="1">KTVCOI!R125</f>
        <v>1.363710126055427</v>
      </c>
      <c r="H126" s="290">
        <f ca="1">(H125-F126-G126)*(1+LS!$F$3)</f>
        <v>-7494.1584710877505</v>
      </c>
      <c r="I126" s="953"/>
      <c r="J126" s="292">
        <f t="shared" ca="1" si="16"/>
        <v>-7494.1584710877505</v>
      </c>
      <c r="K126" s="949"/>
      <c r="L126" s="949"/>
      <c r="M126" s="949"/>
      <c r="N126" s="950"/>
      <c r="O126" s="950"/>
      <c r="X126" s="1004"/>
      <c r="Y126" s="1004"/>
    </row>
    <row r="127" spans="2:25" ht="9.75" customHeight="1">
      <c r="B127" s="951"/>
      <c r="C127" s="951"/>
      <c r="D127" s="287">
        <f t="shared" ca="1" si="14"/>
        <v>49974</v>
      </c>
      <c r="E127" s="359">
        <f t="shared" si="17"/>
        <v>0</v>
      </c>
      <c r="F127" s="289">
        <f t="shared" ca="1" si="15"/>
        <v>60</v>
      </c>
      <c r="G127" s="290">
        <f ca="1">KTVCOI!R126</f>
        <v>1.3801741850919942</v>
      </c>
      <c r="H127" s="290">
        <f ca="1">(H126-F127-G127)*(1+LS!$F$3)</f>
        <v>-7583.9082738132338</v>
      </c>
      <c r="I127" s="953"/>
      <c r="J127" s="292">
        <f t="shared" ca="1" si="16"/>
        <v>-7583.9082738132338</v>
      </c>
      <c r="K127" s="949"/>
      <c r="L127" s="949"/>
      <c r="M127" s="949"/>
      <c r="N127" s="950"/>
      <c r="O127" s="950"/>
      <c r="X127" s="1004"/>
      <c r="Y127" s="1004"/>
    </row>
    <row r="128" spans="2:25" ht="9.75" customHeight="1">
      <c r="B128" s="951"/>
      <c r="C128" s="951"/>
      <c r="D128" s="287">
        <f t="shared" ca="1" si="14"/>
        <v>50005</v>
      </c>
      <c r="E128" s="359">
        <f t="shared" si="17"/>
        <v>0</v>
      </c>
      <c r="F128" s="289">
        <f t="shared" ca="1" si="15"/>
        <v>60</v>
      </c>
      <c r="G128" s="290">
        <f ca="1">KTVCOI!R127</f>
        <v>1.3967031070939371</v>
      </c>
      <c r="H128" s="290">
        <f ca="1">(H127-F128-G128)*(1+LS!$F$3)</f>
        <v>-7674.011661176246</v>
      </c>
      <c r="I128" s="953"/>
      <c r="J128" s="292">
        <f t="shared" ca="1" si="16"/>
        <v>-7674.011661176246</v>
      </c>
      <c r="K128" s="949"/>
      <c r="L128" s="949"/>
      <c r="M128" s="949"/>
      <c r="N128" s="950"/>
      <c r="O128" s="950"/>
      <c r="X128" s="1004"/>
      <c r="Y128" s="1004"/>
    </row>
    <row r="129" spans="2:25" ht="9.75" customHeight="1">
      <c r="B129" s="951"/>
      <c r="C129" s="951"/>
      <c r="D129" s="287">
        <f t="shared" ca="1" si="14"/>
        <v>50035</v>
      </c>
      <c r="E129" s="359">
        <f t="shared" si="17"/>
        <v>0</v>
      </c>
      <c r="F129" s="289">
        <f t="shared" ca="1" si="15"/>
        <v>60</v>
      </c>
      <c r="G129" s="290">
        <f ca="1">KTVCOI!R128</f>
        <v>1.4132971475999587</v>
      </c>
      <c r="H129" s="290">
        <f ca="1">(H128-F129-G129)*(1+LS!$F$3)</f>
        <v>-7764.4700261837024</v>
      </c>
      <c r="I129" s="953"/>
      <c r="J129" s="292">
        <f t="shared" ca="1" si="16"/>
        <v>-7764.4700261837024</v>
      </c>
      <c r="K129" s="949"/>
      <c r="L129" s="949"/>
      <c r="M129" s="949"/>
      <c r="N129" s="950"/>
      <c r="O129" s="950"/>
      <c r="X129" s="1004"/>
      <c r="Y129" s="1004"/>
    </row>
    <row r="130" spans="2:25" ht="9.75" customHeight="1">
      <c r="B130" s="951"/>
      <c r="C130" s="951"/>
      <c r="D130" s="287">
        <f t="shared" ca="1" si="14"/>
        <v>50066</v>
      </c>
      <c r="E130" s="359">
        <f t="shared" si="17"/>
        <v>0</v>
      </c>
      <c r="F130" s="289">
        <f t="shared" ca="1" si="15"/>
        <v>60</v>
      </c>
      <c r="G130" s="290">
        <f ca="1">KTVCOI!R129</f>
        <v>1.4299565631554987</v>
      </c>
      <c r="H130" s="290">
        <f ca="1">(H129-F130-G130)*(1+LS!$F$3)</f>
        <v>-7855.2847673305068</v>
      </c>
      <c r="I130" s="953"/>
      <c r="J130" s="292">
        <f t="shared" ca="1" si="16"/>
        <v>-7855.2847673305068</v>
      </c>
      <c r="K130" s="949"/>
      <c r="L130" s="949"/>
      <c r="M130" s="949"/>
      <c r="N130" s="950"/>
      <c r="O130" s="950"/>
      <c r="X130" s="1004"/>
      <c r="Y130" s="1004"/>
    </row>
    <row r="131" spans="2:25" ht="9.75" customHeight="1">
      <c r="B131" s="951"/>
      <c r="C131" s="951"/>
      <c r="D131" s="287">
        <f t="shared" ca="1" si="14"/>
        <v>50097</v>
      </c>
      <c r="E131" s="359">
        <f t="shared" si="17"/>
        <v>0</v>
      </c>
      <c r="F131" s="289">
        <f t="shared" ca="1" si="15"/>
        <v>60</v>
      </c>
      <c r="G131" s="290">
        <f ca="1">KTVCOI!R130</f>
        <v>1.4466816113167018</v>
      </c>
      <c r="H131" s="290">
        <f ca="1">(H130-F131-G131)*(1+LS!$F$3)</f>
        <v>-7946.4572886211727</v>
      </c>
      <c r="I131" s="953"/>
      <c r="J131" s="292">
        <f t="shared" ca="1" si="16"/>
        <v>-7946.4572886211727</v>
      </c>
      <c r="K131" s="949"/>
      <c r="L131" s="949"/>
      <c r="M131" s="949"/>
      <c r="N131" s="950"/>
      <c r="O131" s="950"/>
      <c r="X131" s="1004"/>
      <c r="Y131" s="1004"/>
    </row>
    <row r="132" spans="2:25" ht="9.75" customHeight="1">
      <c r="B132" s="951"/>
      <c r="C132" s="951"/>
      <c r="D132" s="287">
        <f t="shared" ca="1" si="14"/>
        <v>50125</v>
      </c>
      <c r="E132" s="359">
        <f t="shared" si="17"/>
        <v>0</v>
      </c>
      <c r="F132" s="289">
        <f t="shared" ca="1" si="15"/>
        <v>60</v>
      </c>
      <c r="G132" s="290">
        <f ca="1">KTVCOI!R131</f>
        <v>1.4634725506543991</v>
      </c>
      <c r="H132" s="290">
        <f ca="1">(H131-F132-G132)*(1+LS!$F$3)</f>
        <v>-8037.9889995915282</v>
      </c>
      <c r="I132" s="953"/>
      <c r="J132" s="292">
        <f t="shared" ca="1" si="16"/>
        <v>-8037.9889995915282</v>
      </c>
      <c r="K132" s="949"/>
      <c r="L132" s="949"/>
      <c r="M132" s="949"/>
      <c r="N132" s="950"/>
      <c r="O132" s="950"/>
      <c r="X132" s="1004"/>
      <c r="Y132" s="1004"/>
    </row>
    <row r="133" spans="2:25" ht="9.75" customHeight="1">
      <c r="B133" s="951"/>
      <c r="C133" s="951"/>
      <c r="D133" s="287">
        <f t="shared" ref="D133:D196" ca="1" si="28">EDATE(D132,1)</f>
        <v>50156</v>
      </c>
      <c r="E133" s="359">
        <f t="shared" si="17"/>
        <v>0</v>
      </c>
      <c r="F133" s="289">
        <f t="shared" ref="F133:F196" ca="1" si="29">IF(YEAR(D133)=2025,40000,IF(YEAR(D133)=2026,40000,IF(YEAR(D133)=2027,40000,IF(YEAR(D133)=2028,40000,IF(YEAR(D133)=2029,40000,IF(YEAR(D133)=2030,50000,IF(YEAR(D133)=2031,50000,IF(YEAR(D133)=2032,50000,IF(YEAR(D133)=2033,50000,IF(YEAR(D133)=2034,50000,IF(YEAR(D133)&gt;=2035,60000,0)))))))))))/1000</f>
        <v>60</v>
      </c>
      <c r="G133" s="290">
        <f ca="1">KTVCOI!R132</f>
        <v>1.4803296407581066</v>
      </c>
      <c r="H133" s="290">
        <f ca="1">(H132-F133-G133)*(1+LS!$F$3)</f>
        <v>-8129.8813153305073</v>
      </c>
      <c r="I133" s="953"/>
      <c r="J133" s="292">
        <f t="shared" ref="J133:J196" ca="1" si="30">H133</f>
        <v>-8129.8813153305073</v>
      </c>
      <c r="K133" s="949"/>
      <c r="L133" s="949"/>
      <c r="M133" s="949"/>
      <c r="N133" s="950"/>
      <c r="O133" s="950"/>
      <c r="X133" s="1004"/>
      <c r="Y133" s="1004"/>
    </row>
    <row r="134" spans="2:25" ht="9.75" customHeight="1">
      <c r="B134" s="951"/>
      <c r="C134" s="951"/>
      <c r="D134" s="287">
        <f t="shared" ca="1" si="28"/>
        <v>50186</v>
      </c>
      <c r="E134" s="359">
        <f t="shared" ref="E134:E197" si="31">E133</f>
        <v>0</v>
      </c>
      <c r="F134" s="289">
        <f t="shared" ca="1" si="29"/>
        <v>60</v>
      </c>
      <c r="G134" s="290">
        <f ca="1">KTVCOI!R133</f>
        <v>1.4972531422400348</v>
      </c>
      <c r="H134" s="290">
        <f ca="1">(H133-F134-G134)*(1+LS!$F$3)</f>
        <v>-8222.1356565020287</v>
      </c>
      <c r="I134" s="953"/>
      <c r="J134" s="292">
        <f t="shared" ca="1" si="30"/>
        <v>-8222.1356565020287</v>
      </c>
      <c r="K134" s="949"/>
      <c r="L134" s="949"/>
      <c r="M134" s="949"/>
      <c r="N134" s="950"/>
      <c r="O134" s="950"/>
      <c r="X134" s="1004"/>
      <c r="Y134" s="1004"/>
    </row>
    <row r="135" spans="2:25" ht="9.75" customHeight="1">
      <c r="B135" s="951"/>
      <c r="C135" s="951"/>
      <c r="D135" s="287">
        <f t="shared" ca="1" si="28"/>
        <v>50217</v>
      </c>
      <c r="E135" s="359">
        <f t="shared" si="31"/>
        <v>0</v>
      </c>
      <c r="F135" s="289">
        <f t="shared" ca="1" si="29"/>
        <v>60</v>
      </c>
      <c r="G135" s="290">
        <f ca="1">KTVCOI!R134</f>
        <v>1.5142433167391236</v>
      </c>
      <c r="H135" s="290">
        <f ca="1">(H134-F135-G135)*(1+LS!$F$3)</f>
        <v>-8314.7534493669573</v>
      </c>
      <c r="I135" s="953"/>
      <c r="J135" s="293">
        <f ca="1">H135+I124</f>
        <v>-8314.7534493669573</v>
      </c>
      <c r="K135" s="949"/>
      <c r="L135" s="949"/>
      <c r="M135" s="949"/>
      <c r="N135" s="950"/>
      <c r="O135" s="950"/>
      <c r="X135" s="1004"/>
      <c r="Y135" s="1004"/>
    </row>
    <row r="136" spans="2:25" ht="9.75" customHeight="1">
      <c r="B136" s="946">
        <f>B124+1</f>
        <v>12</v>
      </c>
      <c r="C136" s="947">
        <f ca="1">C124+1</f>
        <v>41</v>
      </c>
      <c r="D136" s="294">
        <f t="shared" ca="1" si="28"/>
        <v>50247</v>
      </c>
      <c r="E136" s="359">
        <f t="shared" si="31"/>
        <v>0</v>
      </c>
      <c r="F136" s="360">
        <f t="shared" ca="1" si="29"/>
        <v>60</v>
      </c>
      <c r="G136" s="290">
        <f ca="1">KTVCOI!R135</f>
        <v>1.6560217286655858</v>
      </c>
      <c r="H136" s="290">
        <f ca="1">(H135+KTVBVGTTKMH!F18-F136-G136)*(1+LS!$F$3)</f>
        <v>-8407.8613154119612</v>
      </c>
      <c r="I136" s="948"/>
      <c r="J136" s="296">
        <f t="shared" ca="1" si="30"/>
        <v>-8407.8613154119612</v>
      </c>
      <c r="K136" s="949">
        <f ca="1">J147</f>
        <v>-9456.6733400981011</v>
      </c>
      <c r="L136" s="949"/>
      <c r="M136" s="949"/>
      <c r="N136" s="950">
        <f t="shared" ref="N136" ca="1" si="32">SUM(G136:G147)</f>
        <v>21.112442123143971</v>
      </c>
      <c r="O136" s="950"/>
      <c r="X136" s="945">
        <f t="shared" ref="X136:Y136" ca="1" si="33">SUM(F136:F147)</f>
        <v>720</v>
      </c>
      <c r="Y136" s="945">
        <f t="shared" ca="1" si="33"/>
        <v>21.112442123143971</v>
      </c>
    </row>
    <row r="137" spans="2:25" ht="9.75" customHeight="1">
      <c r="B137" s="946"/>
      <c r="C137" s="946"/>
      <c r="D137" s="294">
        <f t="shared" ca="1" si="28"/>
        <v>50278</v>
      </c>
      <c r="E137" s="359">
        <f t="shared" si="31"/>
        <v>0</v>
      </c>
      <c r="F137" s="360">
        <f t="shared" ca="1" si="29"/>
        <v>60</v>
      </c>
      <c r="G137" s="290">
        <f ca="1">KTVCOI!R136</f>
        <v>1.6745657119862158</v>
      </c>
      <c r="H137" s="290">
        <f ca="1">(H136-F137-G137)*(1+LS!$F$3)</f>
        <v>-8501.3373976190469</v>
      </c>
      <c r="I137" s="948"/>
      <c r="J137" s="296">
        <f t="shared" ca="1" si="30"/>
        <v>-8501.3373976190469</v>
      </c>
      <c r="K137" s="949"/>
      <c r="L137" s="949"/>
      <c r="M137" s="949"/>
      <c r="N137" s="950"/>
      <c r="O137" s="950"/>
      <c r="X137" s="1004"/>
      <c r="Y137" s="1004"/>
    </row>
    <row r="138" spans="2:25" ht="9.75" customHeight="1">
      <c r="B138" s="946"/>
      <c r="C138" s="946"/>
      <c r="D138" s="294">
        <f t="shared" ca="1" si="28"/>
        <v>50309</v>
      </c>
      <c r="E138" s="359">
        <f t="shared" si="31"/>
        <v>0</v>
      </c>
      <c r="F138" s="360">
        <f t="shared" ca="1" si="29"/>
        <v>60</v>
      </c>
      <c r="G138" s="290">
        <f ca="1">KTVCOI!R137</f>
        <v>1.6931830316924603</v>
      </c>
      <c r="H138" s="290">
        <f ca="1">(H137-F138-G138)*(1+LS!$F$3)</f>
        <v>-8595.1831521824934</v>
      </c>
      <c r="I138" s="948"/>
      <c r="J138" s="296">
        <f t="shared" ca="1" si="30"/>
        <v>-8595.1831521824934</v>
      </c>
      <c r="K138" s="949"/>
      <c r="L138" s="949"/>
      <c r="M138" s="949"/>
      <c r="N138" s="950"/>
      <c r="O138" s="950"/>
      <c r="X138" s="1004"/>
      <c r="Y138" s="1004"/>
    </row>
    <row r="139" spans="2:25" ht="9.75" customHeight="1">
      <c r="B139" s="946"/>
      <c r="C139" s="946"/>
      <c r="D139" s="294">
        <f t="shared" ca="1" si="28"/>
        <v>50339</v>
      </c>
      <c r="E139" s="359">
        <f t="shared" si="31"/>
        <v>0</v>
      </c>
      <c r="F139" s="360">
        <f t="shared" ca="1" si="29"/>
        <v>60</v>
      </c>
      <c r="G139" s="290">
        <f ca="1">KTVCOI!R138</f>
        <v>1.7118739778096801</v>
      </c>
      <c r="H139" s="290">
        <f ca="1">(H138-F139-G139)*(1+LS!$F$3)</f>
        <v>-8689.4000410554327</v>
      </c>
      <c r="I139" s="948"/>
      <c r="J139" s="296">
        <f t="shared" ca="1" si="30"/>
        <v>-8689.4000410554327</v>
      </c>
      <c r="K139" s="949"/>
      <c r="L139" s="949"/>
      <c r="M139" s="949"/>
      <c r="N139" s="950"/>
      <c r="O139" s="950"/>
      <c r="X139" s="1004"/>
      <c r="Y139" s="1004"/>
    </row>
    <row r="140" spans="2:25" ht="9.75" customHeight="1">
      <c r="B140" s="946"/>
      <c r="C140" s="946"/>
      <c r="D140" s="294">
        <f t="shared" ca="1" si="28"/>
        <v>50370</v>
      </c>
      <c r="E140" s="359">
        <f t="shared" si="31"/>
        <v>0</v>
      </c>
      <c r="F140" s="360">
        <f t="shared" ca="1" si="29"/>
        <v>60</v>
      </c>
      <c r="G140" s="290">
        <f ca="1">KTVCOI!R139</f>
        <v>1.7306388415102072</v>
      </c>
      <c r="H140" s="290">
        <f ca="1">(H139-F140-G140)*(1+LS!$F$3)</f>
        <v>-8783.989531972622</v>
      </c>
      <c r="I140" s="948"/>
      <c r="J140" s="296">
        <f t="shared" ca="1" si="30"/>
        <v>-8783.989531972622</v>
      </c>
      <c r="K140" s="949"/>
      <c r="L140" s="949"/>
      <c r="M140" s="949"/>
      <c r="N140" s="950"/>
      <c r="O140" s="950"/>
      <c r="X140" s="1004"/>
      <c r="Y140" s="1004"/>
    </row>
    <row r="141" spans="2:25" ht="9.75" customHeight="1">
      <c r="B141" s="946"/>
      <c r="C141" s="946"/>
      <c r="D141" s="294">
        <f t="shared" ca="1" si="28"/>
        <v>50400</v>
      </c>
      <c r="E141" s="359">
        <f t="shared" si="31"/>
        <v>0</v>
      </c>
      <c r="F141" s="360">
        <f t="shared" ca="1" si="29"/>
        <v>60</v>
      </c>
      <c r="G141" s="290">
        <f ca="1">KTVCOI!R140</f>
        <v>1.7494779151178808</v>
      </c>
      <c r="H141" s="290">
        <f ca="1">(H140-F141-G141)*(1+LS!$F$3)</f>
        <v>-8878.9530984733065</v>
      </c>
      <c r="I141" s="948"/>
      <c r="J141" s="296">
        <f t="shared" ca="1" si="30"/>
        <v>-8878.9530984733065</v>
      </c>
      <c r="K141" s="949"/>
      <c r="L141" s="949"/>
      <c r="M141" s="949"/>
      <c r="N141" s="950"/>
      <c r="O141" s="950"/>
      <c r="X141" s="1004"/>
      <c r="Y141" s="1004"/>
    </row>
    <row r="142" spans="2:25" ht="9.75" customHeight="1">
      <c r="B142" s="946"/>
      <c r="C142" s="946"/>
      <c r="D142" s="294">
        <f t="shared" ca="1" si="28"/>
        <v>50431</v>
      </c>
      <c r="E142" s="359">
        <f t="shared" si="31"/>
        <v>0</v>
      </c>
      <c r="F142" s="360">
        <f t="shared" ca="1" si="29"/>
        <v>60</v>
      </c>
      <c r="G142" s="290">
        <f ca="1">KTVCOI!R141</f>
        <v>1.7683914921126005</v>
      </c>
      <c r="H142" s="290">
        <f ca="1">(H141-F142-G142)*(1+LS!$F$3)</f>
        <v>-8974.2922199241766</v>
      </c>
      <c r="I142" s="948"/>
      <c r="J142" s="296">
        <f t="shared" ca="1" si="30"/>
        <v>-8974.2922199241766</v>
      </c>
      <c r="K142" s="949"/>
      <c r="L142" s="949"/>
      <c r="M142" s="949"/>
      <c r="N142" s="950"/>
      <c r="O142" s="950"/>
      <c r="X142" s="1004"/>
      <c r="Y142" s="1004"/>
    </row>
    <row r="143" spans="2:25" ht="9.75" customHeight="1">
      <c r="B143" s="946"/>
      <c r="C143" s="946"/>
      <c r="D143" s="294">
        <f t="shared" ca="1" si="28"/>
        <v>50462</v>
      </c>
      <c r="E143" s="359">
        <f t="shared" si="31"/>
        <v>0</v>
      </c>
      <c r="F143" s="360">
        <f t="shared" ca="1" si="29"/>
        <v>60</v>
      </c>
      <c r="G143" s="290">
        <f ca="1">KTVCOI!R142</f>
        <v>1.7873798671348986</v>
      </c>
      <c r="H143" s="290">
        <f ca="1">(H142-F143-G143)*(1+LS!$F$3)</f>
        <v>-9070.008381542415</v>
      </c>
      <c r="I143" s="948"/>
      <c r="J143" s="296">
        <f t="shared" ca="1" si="30"/>
        <v>-9070.008381542415</v>
      </c>
      <c r="K143" s="949"/>
      <c r="L143" s="949"/>
      <c r="M143" s="949"/>
      <c r="N143" s="950"/>
      <c r="O143" s="950"/>
      <c r="X143" s="1004"/>
      <c r="Y143" s="1004"/>
    </row>
    <row r="144" spans="2:25" ht="9.75" customHeight="1">
      <c r="B144" s="946"/>
      <c r="C144" s="946"/>
      <c r="D144" s="294">
        <f t="shared" ca="1" si="28"/>
        <v>50490</v>
      </c>
      <c r="E144" s="359">
        <f t="shared" si="31"/>
        <v>0</v>
      </c>
      <c r="F144" s="360">
        <f t="shared" ca="1" si="29"/>
        <v>60</v>
      </c>
      <c r="G144" s="290">
        <f ca="1">KTVCOI!R143</f>
        <v>1.8064433359905312</v>
      </c>
      <c r="H144" s="290">
        <f ca="1">(H143-F144-G144)*(1+LS!$F$3)</f>
        <v>-9166.1030744188301</v>
      </c>
      <c r="I144" s="948"/>
      <c r="J144" s="296">
        <f t="shared" ca="1" si="30"/>
        <v>-9166.1030744188301</v>
      </c>
      <c r="K144" s="949"/>
      <c r="L144" s="949"/>
      <c r="M144" s="949"/>
      <c r="N144" s="950"/>
      <c r="O144" s="950"/>
      <c r="X144" s="1004"/>
      <c r="Y144" s="1004"/>
    </row>
    <row r="145" spans="2:25" ht="9.75" customHeight="1">
      <c r="B145" s="946"/>
      <c r="C145" s="946"/>
      <c r="D145" s="294">
        <f t="shared" ca="1" si="28"/>
        <v>50521</v>
      </c>
      <c r="E145" s="359">
        <f t="shared" si="31"/>
        <v>0</v>
      </c>
      <c r="F145" s="360">
        <f t="shared" ca="1" si="29"/>
        <v>60</v>
      </c>
      <c r="G145" s="290">
        <f ca="1">KTVCOI!R144</f>
        <v>1.825582195655084</v>
      </c>
      <c r="H145" s="290">
        <f ca="1">(H144-F145-G145)*(1+LS!$F$3)</f>
        <v>-9262.5777955410886</v>
      </c>
      <c r="I145" s="948"/>
      <c r="J145" s="296">
        <f t="shared" ca="1" si="30"/>
        <v>-9262.5777955410886</v>
      </c>
      <c r="K145" s="949"/>
      <c r="L145" s="949"/>
      <c r="M145" s="949"/>
      <c r="N145" s="950"/>
      <c r="O145" s="950"/>
      <c r="X145" s="1004"/>
      <c r="Y145" s="1004"/>
    </row>
    <row r="146" spans="2:25" ht="9.75" customHeight="1">
      <c r="B146" s="946"/>
      <c r="C146" s="946"/>
      <c r="D146" s="294">
        <f t="shared" ca="1" si="28"/>
        <v>50551</v>
      </c>
      <c r="E146" s="359">
        <f t="shared" si="31"/>
        <v>0</v>
      </c>
      <c r="F146" s="360">
        <f t="shared" ca="1" si="29"/>
        <v>60</v>
      </c>
      <c r="G146" s="290">
        <f ca="1">KTVCOI!R145</f>
        <v>1.8447967442786002</v>
      </c>
      <c r="H146" s="290">
        <f ca="1">(H145-F146-G146)*(1+LS!$F$3)</f>
        <v>-9359.4340478170343</v>
      </c>
      <c r="I146" s="948"/>
      <c r="J146" s="296">
        <f t="shared" ca="1" si="30"/>
        <v>-9359.4340478170343</v>
      </c>
      <c r="K146" s="949"/>
      <c r="L146" s="949"/>
      <c r="M146" s="949"/>
      <c r="N146" s="950"/>
      <c r="O146" s="950"/>
      <c r="X146" s="1004"/>
      <c r="Y146" s="1004"/>
    </row>
    <row r="147" spans="2:25" ht="9.75" customHeight="1">
      <c r="B147" s="946"/>
      <c r="C147" s="946"/>
      <c r="D147" s="294">
        <f t="shared" ca="1" si="28"/>
        <v>50582</v>
      </c>
      <c r="E147" s="359">
        <f t="shared" si="31"/>
        <v>0</v>
      </c>
      <c r="F147" s="360">
        <f t="shared" ca="1" si="29"/>
        <v>60</v>
      </c>
      <c r="G147" s="290">
        <f ca="1">KTVCOI!R146</f>
        <v>1.864087281190226</v>
      </c>
      <c r="H147" s="290">
        <f ca="1">(H146-F147-G147)*(1+LS!$F$3)</f>
        <v>-9456.6733400981011</v>
      </c>
      <c r="I147" s="948"/>
      <c r="J147" s="297">
        <f ca="1">H147+I136</f>
        <v>-9456.6733400981011</v>
      </c>
      <c r="K147" s="949"/>
      <c r="L147" s="949"/>
      <c r="M147" s="949"/>
      <c r="N147" s="950"/>
      <c r="O147" s="950"/>
      <c r="X147" s="1004"/>
      <c r="Y147" s="1004"/>
    </row>
    <row r="148" spans="2:25" ht="9.75" customHeight="1">
      <c r="B148" s="951">
        <f>B136+1</f>
        <v>13</v>
      </c>
      <c r="C148" s="952">
        <f ca="1">C136+1</f>
        <v>42</v>
      </c>
      <c r="D148" s="287">
        <f t="shared" ca="1" si="28"/>
        <v>50612</v>
      </c>
      <c r="E148" s="359">
        <f t="shared" si="31"/>
        <v>0</v>
      </c>
      <c r="F148" s="289">
        <f t="shared" ca="1" si="29"/>
        <v>60</v>
      </c>
      <c r="G148" s="290">
        <f ca="1">KTVCOI!R147</f>
        <v>2.0489458903545885</v>
      </c>
      <c r="H148" s="290">
        <f ca="1">(H147+KTVBVGTTKMH!F19-F148-G148)*(1+LS!$F$3)</f>
        <v>-9554.4633003768322</v>
      </c>
      <c r="I148" s="953"/>
      <c r="J148" s="292">
        <f t="shared" ca="1" si="30"/>
        <v>-9554.4633003768322</v>
      </c>
      <c r="K148" s="949">
        <f ca="1">J159</f>
        <v>-10656.133106074374</v>
      </c>
      <c r="L148" s="949"/>
      <c r="M148" s="949"/>
      <c r="N148" s="950">
        <f t="shared" ref="N148" ca="1" si="34">SUM(G148:G159)</f>
        <v>26.004429795472468</v>
      </c>
      <c r="O148" s="950"/>
      <c r="X148" s="945">
        <f t="shared" ref="X148:Y148" ca="1" si="35">SUM(F148:F159)</f>
        <v>720</v>
      </c>
      <c r="Y148" s="945">
        <f t="shared" ca="1" si="35"/>
        <v>26.004429795472468</v>
      </c>
    </row>
    <row r="149" spans="2:25" ht="9.75" customHeight="1">
      <c r="B149" s="951"/>
      <c r="C149" s="951"/>
      <c r="D149" s="287">
        <f t="shared" ca="1" si="28"/>
        <v>50643</v>
      </c>
      <c r="E149" s="359">
        <f t="shared" si="31"/>
        <v>0</v>
      </c>
      <c r="F149" s="289">
        <f t="shared" ca="1" si="29"/>
        <v>60</v>
      </c>
      <c r="G149" s="290">
        <f ca="1">KTVCOI!R148</f>
        <v>2.070133715081647</v>
      </c>
      <c r="H149" s="290">
        <f ca="1">(H148-F149-G149)*(1+LS!$F$3)</f>
        <v>-9652.6417109706417</v>
      </c>
      <c r="I149" s="953"/>
      <c r="J149" s="292">
        <f t="shared" ca="1" si="30"/>
        <v>-9652.6417109706417</v>
      </c>
      <c r="K149" s="949"/>
      <c r="L149" s="949"/>
      <c r="M149" s="949"/>
      <c r="N149" s="950"/>
      <c r="O149" s="950"/>
      <c r="X149" s="1004"/>
      <c r="Y149" s="1004"/>
    </row>
    <row r="150" spans="2:25" ht="9.75" customHeight="1">
      <c r="B150" s="951"/>
      <c r="C150" s="951"/>
      <c r="D150" s="287">
        <f t="shared" ca="1" si="28"/>
        <v>50674</v>
      </c>
      <c r="E150" s="359">
        <f t="shared" si="31"/>
        <v>0</v>
      </c>
      <c r="F150" s="289">
        <f t="shared" ca="1" si="29"/>
        <v>60</v>
      </c>
      <c r="G150" s="290">
        <f ca="1">KTVCOI!R149</f>
        <v>2.0914057040436389</v>
      </c>
      <c r="H150" s="290">
        <f ca="1">(H149-F150-G150)*(1+LS!$F$3)</f>
        <v>-9751.2101149177597</v>
      </c>
      <c r="I150" s="953"/>
      <c r="J150" s="292">
        <f t="shared" ca="1" si="30"/>
        <v>-9751.2101149177597</v>
      </c>
      <c r="K150" s="949"/>
      <c r="L150" s="949"/>
      <c r="M150" s="949"/>
      <c r="N150" s="950"/>
      <c r="O150" s="950"/>
      <c r="X150" s="1004"/>
      <c r="Y150" s="1004"/>
    </row>
    <row r="151" spans="2:25" ht="9.75" customHeight="1">
      <c r="B151" s="951"/>
      <c r="C151" s="951"/>
      <c r="D151" s="287">
        <f t="shared" ca="1" si="28"/>
        <v>50704</v>
      </c>
      <c r="E151" s="359">
        <f t="shared" si="31"/>
        <v>0</v>
      </c>
      <c r="F151" s="289">
        <f t="shared" ca="1" si="29"/>
        <v>60</v>
      </c>
      <c r="G151" s="290">
        <f ca="1">KTVCOI!R150</f>
        <v>2.112762191565515</v>
      </c>
      <c r="H151" s="290">
        <f ca="1">(H150-F151-G151)*(1+LS!$F$3)</f>
        <v>-9850.1700613858156</v>
      </c>
      <c r="I151" s="953"/>
      <c r="J151" s="292">
        <f t="shared" ca="1" si="30"/>
        <v>-9850.1700613858156</v>
      </c>
      <c r="K151" s="949"/>
      <c r="L151" s="949"/>
      <c r="M151" s="949"/>
      <c r="N151" s="950"/>
      <c r="O151" s="950"/>
      <c r="X151" s="1004"/>
      <c r="Y151" s="1004"/>
    </row>
    <row r="152" spans="2:25" ht="9.75" customHeight="1">
      <c r="B152" s="951"/>
      <c r="C152" s="951"/>
      <c r="D152" s="287">
        <f t="shared" ca="1" si="28"/>
        <v>50735</v>
      </c>
      <c r="E152" s="359">
        <f t="shared" si="31"/>
        <v>0</v>
      </c>
      <c r="F152" s="289">
        <f t="shared" ca="1" si="29"/>
        <v>60</v>
      </c>
      <c r="G152" s="290">
        <f ca="1">KTVCOI!R151</f>
        <v>2.1342035133002599</v>
      </c>
      <c r="H152" s="290">
        <f ca="1">(H151-F152-G152)*(1+LS!$F$3)</f>
        <v>-9949.5231056961857</v>
      </c>
      <c r="I152" s="953"/>
      <c r="J152" s="292">
        <f t="shared" ca="1" si="30"/>
        <v>-9949.5231056961857</v>
      </c>
      <c r="K152" s="949"/>
      <c r="L152" s="949"/>
      <c r="M152" s="949"/>
      <c r="N152" s="950"/>
      <c r="O152" s="950"/>
      <c r="X152" s="1004"/>
      <c r="Y152" s="1004"/>
    </row>
    <row r="153" spans="2:25" ht="9.75" customHeight="1">
      <c r="B153" s="951"/>
      <c r="C153" s="951"/>
      <c r="D153" s="287">
        <f t="shared" ca="1" si="28"/>
        <v>50765</v>
      </c>
      <c r="E153" s="359">
        <f t="shared" si="31"/>
        <v>0</v>
      </c>
      <c r="F153" s="289">
        <f t="shared" ca="1" si="29"/>
        <v>60</v>
      </c>
      <c r="G153" s="290">
        <f ca="1">KTVCOI!R152</f>
        <v>2.1557300062341738</v>
      </c>
      <c r="H153" s="290">
        <f ca="1">(H152-F153-G153)*(1+LS!$F$3)</f>
        <v>-10049.270809348438</v>
      </c>
      <c r="I153" s="953"/>
      <c r="J153" s="292">
        <f t="shared" ca="1" si="30"/>
        <v>-10049.270809348438</v>
      </c>
      <c r="K153" s="949"/>
      <c r="L153" s="949"/>
      <c r="M153" s="949"/>
      <c r="N153" s="950"/>
      <c r="O153" s="950"/>
      <c r="X153" s="1004"/>
      <c r="Y153" s="1004"/>
    </row>
    <row r="154" spans="2:25" ht="9.75" customHeight="1">
      <c r="B154" s="951"/>
      <c r="C154" s="951"/>
      <c r="D154" s="287">
        <f t="shared" ca="1" si="28"/>
        <v>50796</v>
      </c>
      <c r="E154" s="359">
        <f t="shared" si="31"/>
        <v>0</v>
      </c>
      <c r="F154" s="289">
        <f t="shared" ca="1" si="29"/>
        <v>60</v>
      </c>
      <c r="G154" s="290">
        <f ca="1">KTVCOI!R153</f>
        <v>2.1773420086921615</v>
      </c>
      <c r="H154" s="290">
        <f ca="1">(H153-F154-G154)*(1+LS!$F$3)</f>
        <v>-10149.414740044873</v>
      </c>
      <c r="I154" s="953"/>
      <c r="J154" s="292">
        <f t="shared" ca="1" si="30"/>
        <v>-10149.414740044873</v>
      </c>
      <c r="K154" s="949"/>
      <c r="L154" s="949"/>
      <c r="M154" s="949"/>
      <c r="N154" s="950"/>
      <c r="O154" s="950"/>
      <c r="X154" s="1004"/>
      <c r="Y154" s="1004"/>
    </row>
    <row r="155" spans="2:25" ht="9.75" customHeight="1">
      <c r="B155" s="951"/>
      <c r="C155" s="951"/>
      <c r="D155" s="287">
        <f t="shared" ca="1" si="28"/>
        <v>50827</v>
      </c>
      <c r="E155" s="359">
        <f t="shared" si="31"/>
        <v>0</v>
      </c>
      <c r="F155" s="289">
        <f t="shared" ca="1" si="29"/>
        <v>60</v>
      </c>
      <c r="G155" s="290">
        <f ca="1">KTVCOI!R154</f>
        <v>2.1990398603430559</v>
      </c>
      <c r="H155" s="290">
        <f ca="1">(H154-F155-G155)*(1+LS!$F$3)</f>
        <v>-10249.956471715164</v>
      </c>
      <c r="I155" s="953"/>
      <c r="J155" s="292">
        <f t="shared" ca="1" si="30"/>
        <v>-10249.956471715164</v>
      </c>
      <c r="K155" s="949"/>
      <c r="L155" s="949"/>
      <c r="M155" s="949"/>
      <c r="N155" s="950"/>
      <c r="O155" s="950"/>
      <c r="X155" s="1004"/>
      <c r="Y155" s="1004"/>
    </row>
    <row r="156" spans="2:25" ht="9.75" customHeight="1">
      <c r="B156" s="951"/>
      <c r="C156" s="951"/>
      <c r="D156" s="287">
        <f t="shared" ca="1" si="28"/>
        <v>50855</v>
      </c>
      <c r="E156" s="359">
        <f t="shared" si="31"/>
        <v>0</v>
      </c>
      <c r="F156" s="289">
        <f t="shared" ca="1" si="29"/>
        <v>60</v>
      </c>
      <c r="G156" s="290">
        <f ca="1">KTVCOI!R155</f>
        <v>2.2208239022049523</v>
      </c>
      <c r="H156" s="290">
        <f ca="1">(H155-F156-G156)*(1+LS!$F$3)</f>
        <v>-10350.897584541093</v>
      </c>
      <c r="I156" s="953"/>
      <c r="J156" s="292">
        <f t="shared" ca="1" si="30"/>
        <v>-10350.897584541093</v>
      </c>
      <c r="K156" s="949"/>
      <c r="L156" s="949"/>
      <c r="M156" s="949"/>
      <c r="N156" s="950"/>
      <c r="O156" s="950"/>
      <c r="X156" s="1004"/>
      <c r="Y156" s="1004"/>
    </row>
    <row r="157" spans="2:25" ht="9.75" customHeight="1">
      <c r="B157" s="951"/>
      <c r="C157" s="951"/>
      <c r="D157" s="287">
        <f t="shared" ca="1" si="28"/>
        <v>50886</v>
      </c>
      <c r="E157" s="359">
        <f t="shared" si="31"/>
        <v>0</v>
      </c>
      <c r="F157" s="289">
        <f t="shared" ca="1" si="29"/>
        <v>60</v>
      </c>
      <c r="G157" s="290">
        <f ca="1">KTVCOI!R156</f>
        <v>2.2426944766505703</v>
      </c>
      <c r="H157" s="290">
        <f ca="1">(H156-F157-G157)*(1+LS!$F$3)</f>
        <v>-10452.239664981384</v>
      </c>
      <c r="I157" s="953"/>
      <c r="J157" s="292">
        <f t="shared" ca="1" si="30"/>
        <v>-10452.239664981384</v>
      </c>
      <c r="K157" s="949"/>
      <c r="L157" s="949"/>
      <c r="M157" s="949"/>
      <c r="N157" s="950"/>
      <c r="O157" s="950"/>
      <c r="X157" s="1004"/>
      <c r="Y157" s="1004"/>
    </row>
    <row r="158" spans="2:25" ht="9.75" customHeight="1">
      <c r="B158" s="951"/>
      <c r="C158" s="951"/>
      <c r="D158" s="287">
        <f t="shared" ca="1" si="28"/>
        <v>50916</v>
      </c>
      <c r="E158" s="359">
        <f t="shared" si="31"/>
        <v>0</v>
      </c>
      <c r="F158" s="289">
        <f t="shared" ca="1" si="29"/>
        <v>60</v>
      </c>
      <c r="G158" s="290">
        <f ca="1">KTVCOI!R157</f>
        <v>2.2646519274126331</v>
      </c>
      <c r="H158" s="290">
        <f ca="1">(H157-F158-G158)*(1+LS!$F$3)</f>
        <v>-10553.984305796639</v>
      </c>
      <c r="I158" s="953"/>
      <c r="J158" s="292">
        <f t="shared" ca="1" si="30"/>
        <v>-10553.984305796639</v>
      </c>
      <c r="K158" s="949"/>
      <c r="L158" s="949"/>
      <c r="M158" s="949"/>
      <c r="N158" s="950"/>
      <c r="O158" s="950"/>
      <c r="X158" s="1004"/>
      <c r="Y158" s="1004"/>
    </row>
    <row r="159" spans="2:25" ht="9.75" customHeight="1">
      <c r="B159" s="951"/>
      <c r="C159" s="951"/>
      <c r="D159" s="287">
        <f t="shared" ca="1" si="28"/>
        <v>50947</v>
      </c>
      <c r="E159" s="359">
        <f t="shared" si="31"/>
        <v>0</v>
      </c>
      <c r="F159" s="289">
        <f t="shared" ca="1" si="29"/>
        <v>60</v>
      </c>
      <c r="G159" s="290">
        <f ca="1">KTVCOI!R158</f>
        <v>2.2866965995892721</v>
      </c>
      <c r="H159" s="290">
        <f ca="1">(H158-F159-G159)*(1+LS!$F$3)</f>
        <v>-10656.133106074374</v>
      </c>
      <c r="I159" s="953"/>
      <c r="J159" s="293">
        <f ca="1">H159+I148</f>
        <v>-10656.133106074374</v>
      </c>
      <c r="K159" s="949"/>
      <c r="L159" s="949"/>
      <c r="M159" s="949"/>
      <c r="N159" s="950"/>
      <c r="O159" s="950"/>
      <c r="X159" s="1004"/>
      <c r="Y159" s="1004"/>
    </row>
    <row r="160" spans="2:25" ht="9.75" customHeight="1">
      <c r="B160" s="946">
        <f>B148+1</f>
        <v>14</v>
      </c>
      <c r="C160" s="947">
        <f ca="1">C148+1</f>
        <v>43</v>
      </c>
      <c r="D160" s="294">
        <f t="shared" ca="1" si="28"/>
        <v>50977</v>
      </c>
      <c r="E160" s="359">
        <f t="shared" si="31"/>
        <v>0</v>
      </c>
      <c r="F160" s="360">
        <f t="shared" ca="1" si="29"/>
        <v>60</v>
      </c>
      <c r="G160" s="290">
        <f ca="1">KTVCOI!R159</f>
        <v>2.5041912799274777</v>
      </c>
      <c r="H160" s="290">
        <f ca="1">(H159+KTVBVGTTKMH!F20-F160-G160)*(1+LS!$F$3)</f>
        <v>-10758.883767243695</v>
      </c>
      <c r="I160" s="948"/>
      <c r="J160" s="296">
        <f t="shared" ca="1" si="30"/>
        <v>-10758.883767243695</v>
      </c>
      <c r="K160" s="949">
        <f ca="1">J171</f>
        <v>-11916.567364111625</v>
      </c>
      <c r="L160" s="949"/>
      <c r="M160" s="949"/>
      <c r="N160" s="950">
        <f t="shared" ref="N160" ca="1" si="36">SUM(G160:G171)</f>
        <v>31.665349090033377</v>
      </c>
      <c r="O160" s="950"/>
      <c r="X160" s="945">
        <f t="shared" ref="X160:Y160" ca="1" si="37">SUM(F160:F171)</f>
        <v>720</v>
      </c>
      <c r="Y160" s="945">
        <f t="shared" ca="1" si="37"/>
        <v>31.665349090033377</v>
      </c>
    </row>
    <row r="161" spans="2:25" ht="9.75" customHeight="1">
      <c r="B161" s="946"/>
      <c r="C161" s="946"/>
      <c r="D161" s="294">
        <f t="shared" ca="1" si="28"/>
        <v>51008</v>
      </c>
      <c r="E161" s="359">
        <f t="shared" si="31"/>
        <v>0</v>
      </c>
      <c r="F161" s="360">
        <f t="shared" ca="1" si="29"/>
        <v>60</v>
      </c>
      <c r="G161" s="290">
        <f ca="1">KTVCOI!R160</f>
        <v>2.5283376853022683</v>
      </c>
      <c r="H161" s="290">
        <f ca="1">(H160-F161-G161)*(1+LS!$F$3)</f>
        <v>-10862.044474917786</v>
      </c>
      <c r="I161" s="948"/>
      <c r="J161" s="296">
        <f t="shared" ca="1" si="30"/>
        <v>-10862.044474917786</v>
      </c>
      <c r="K161" s="949"/>
      <c r="L161" s="949"/>
      <c r="M161" s="949"/>
      <c r="N161" s="950"/>
      <c r="O161" s="950"/>
      <c r="X161" s="1004"/>
      <c r="Y161" s="1004"/>
    </row>
    <row r="162" spans="2:25" ht="9.75" customHeight="1">
      <c r="B162" s="946"/>
      <c r="C162" s="946"/>
      <c r="D162" s="294">
        <f t="shared" ca="1" si="28"/>
        <v>51039</v>
      </c>
      <c r="E162" s="359">
        <f t="shared" si="31"/>
        <v>0</v>
      </c>
      <c r="F162" s="360">
        <f t="shared" ca="1" si="29"/>
        <v>60</v>
      </c>
      <c r="G162" s="290">
        <f ca="1">KTVCOI!R161</f>
        <v>2.5525804516056794</v>
      </c>
      <c r="H162" s="290">
        <f ca="1">(H161-F162-G162)*(1+LS!$F$3)</f>
        <v>-10965.616865467005</v>
      </c>
      <c r="I162" s="948"/>
      <c r="J162" s="296">
        <f t="shared" ca="1" si="30"/>
        <v>-10965.616865467005</v>
      </c>
      <c r="K162" s="949"/>
      <c r="L162" s="949"/>
      <c r="M162" s="949"/>
      <c r="N162" s="950"/>
      <c r="O162" s="950"/>
      <c r="X162" s="1004"/>
      <c r="Y162" s="1004"/>
    </row>
    <row r="163" spans="2:25" ht="9.75" customHeight="1">
      <c r="B163" s="946"/>
      <c r="C163" s="946"/>
      <c r="D163" s="294">
        <f t="shared" ca="1" si="28"/>
        <v>51069</v>
      </c>
      <c r="E163" s="359">
        <f t="shared" si="31"/>
        <v>0</v>
      </c>
      <c r="F163" s="360">
        <f t="shared" ca="1" si="29"/>
        <v>60</v>
      </c>
      <c r="G163" s="290">
        <f ca="1">KTVCOI!R162</f>
        <v>2.5769199633847464</v>
      </c>
      <c r="H163" s="290">
        <f ca="1">(H162-F163-G163)*(1+LS!$F$3)</f>
        <v>-11069.602581791965</v>
      </c>
      <c r="I163" s="948"/>
      <c r="J163" s="296">
        <f t="shared" ca="1" si="30"/>
        <v>-11069.602581791965</v>
      </c>
      <c r="K163" s="949"/>
      <c r="L163" s="949"/>
      <c r="M163" s="949"/>
      <c r="N163" s="950"/>
      <c r="O163" s="950"/>
      <c r="X163" s="1004"/>
      <c r="Y163" s="1004"/>
    </row>
    <row r="164" spans="2:25" ht="9.75" customHeight="1">
      <c r="B164" s="946"/>
      <c r="C164" s="946"/>
      <c r="D164" s="294">
        <f t="shared" ca="1" si="28"/>
        <v>51100</v>
      </c>
      <c r="E164" s="359">
        <f t="shared" si="31"/>
        <v>0</v>
      </c>
      <c r="F164" s="360">
        <f t="shared" ca="1" si="29"/>
        <v>60</v>
      </c>
      <c r="G164" s="290">
        <f ca="1">KTVCOI!R163</f>
        <v>2.6013566067211116</v>
      </c>
      <c r="H164" s="290">
        <f ca="1">(H163-F164-G164)*(1+LS!$F$3)</f>
        <v>-11174.00327334959</v>
      </c>
      <c r="I164" s="948"/>
      <c r="J164" s="296">
        <f t="shared" ca="1" si="30"/>
        <v>-11174.00327334959</v>
      </c>
      <c r="K164" s="949"/>
      <c r="L164" s="949"/>
      <c r="M164" s="949"/>
      <c r="N164" s="950"/>
      <c r="O164" s="950"/>
      <c r="X164" s="1004"/>
      <c r="Y164" s="1004"/>
    </row>
    <row r="165" spans="2:25" ht="9.75" customHeight="1">
      <c r="B165" s="946"/>
      <c r="C165" s="946"/>
      <c r="D165" s="294">
        <f t="shared" ca="1" si="28"/>
        <v>51130</v>
      </c>
      <c r="E165" s="359">
        <f t="shared" si="31"/>
        <v>0</v>
      </c>
      <c r="F165" s="360">
        <f t="shared" ca="1" si="29"/>
        <v>60</v>
      </c>
      <c r="G165" s="290">
        <f ca="1">KTVCOI!R164</f>
        <v>2.6258907692371536</v>
      </c>
      <c r="H165" s="290">
        <f ca="1">(H164-F165-G165)*(1+LS!$F$3)</f>
        <v>-11278.820596179283</v>
      </c>
      <c r="I165" s="948"/>
      <c r="J165" s="296">
        <f t="shared" ca="1" si="30"/>
        <v>-11278.820596179283</v>
      </c>
      <c r="K165" s="949"/>
      <c r="L165" s="949"/>
      <c r="M165" s="949"/>
      <c r="N165" s="950"/>
      <c r="O165" s="950"/>
      <c r="X165" s="1004"/>
      <c r="Y165" s="1004"/>
    </row>
    <row r="166" spans="2:25" ht="9.75" customHeight="1">
      <c r="B166" s="946"/>
      <c r="C166" s="946"/>
      <c r="D166" s="294">
        <f t="shared" ca="1" si="28"/>
        <v>51161</v>
      </c>
      <c r="E166" s="359">
        <f t="shared" si="31"/>
        <v>0</v>
      </c>
      <c r="F166" s="360">
        <f t="shared" ca="1" si="29"/>
        <v>60</v>
      </c>
      <c r="G166" s="290">
        <f ca="1">KTVCOI!R165</f>
        <v>2.6505228401021315</v>
      </c>
      <c r="H166" s="290">
        <f ca="1">(H165-F166-G166)*(1+LS!$F$3)</f>
        <v>-11384.056212929196</v>
      </c>
      <c r="I166" s="948"/>
      <c r="J166" s="296">
        <f t="shared" ca="1" si="30"/>
        <v>-11384.056212929196</v>
      </c>
      <c r="K166" s="949"/>
      <c r="L166" s="949"/>
      <c r="M166" s="949"/>
      <c r="N166" s="950"/>
      <c r="O166" s="950"/>
      <c r="X166" s="1004"/>
      <c r="Y166" s="1004"/>
    </row>
    <row r="167" spans="2:25" ht="9.75" customHeight="1">
      <c r="B167" s="946"/>
      <c r="C167" s="946"/>
      <c r="D167" s="294">
        <f t="shared" ca="1" si="28"/>
        <v>51192</v>
      </c>
      <c r="E167" s="359">
        <f t="shared" si="31"/>
        <v>0</v>
      </c>
      <c r="F167" s="360">
        <f t="shared" ca="1" si="29"/>
        <v>60</v>
      </c>
      <c r="G167" s="290">
        <f ca="1">KTVCOI!R166</f>
        <v>2.675253210038361</v>
      </c>
      <c r="H167" s="290">
        <f ca="1">(H166-F167-G167)*(1+LS!$F$3)</f>
        <v>-11489.711792882603</v>
      </c>
      <c r="I167" s="948"/>
      <c r="J167" s="296">
        <f t="shared" ca="1" si="30"/>
        <v>-11489.711792882603</v>
      </c>
      <c r="K167" s="949"/>
      <c r="L167" s="949"/>
      <c r="M167" s="949"/>
      <c r="N167" s="950"/>
      <c r="O167" s="950"/>
      <c r="X167" s="1004"/>
      <c r="Y167" s="1004"/>
    </row>
    <row r="168" spans="2:25" ht="9.75" customHeight="1">
      <c r="B168" s="946"/>
      <c r="C168" s="946"/>
      <c r="D168" s="294">
        <f t="shared" ca="1" si="28"/>
        <v>51221</v>
      </c>
      <c r="E168" s="359">
        <f t="shared" si="31"/>
        <v>0</v>
      </c>
      <c r="F168" s="360">
        <f t="shared" ca="1" si="29"/>
        <v>60</v>
      </c>
      <c r="G168" s="290">
        <f ca="1">KTVCOI!R167</f>
        <v>2.7000822713274117</v>
      </c>
      <c r="H168" s="290">
        <f ca="1">(H167-F168-G168)*(1+LS!$F$3)</f>
        <v>-11595.789011984376</v>
      </c>
      <c r="I168" s="948"/>
      <c r="J168" s="296">
        <f t="shared" ca="1" si="30"/>
        <v>-11595.789011984376</v>
      </c>
      <c r="K168" s="949"/>
      <c r="L168" s="949"/>
      <c r="M168" s="949"/>
      <c r="N168" s="950"/>
      <c r="O168" s="950"/>
      <c r="X168" s="1004"/>
      <c r="Y168" s="1004"/>
    </row>
    <row r="169" spans="2:25" ht="9.75" customHeight="1">
      <c r="B169" s="946"/>
      <c r="C169" s="946"/>
      <c r="D169" s="294">
        <f t="shared" ca="1" si="28"/>
        <v>51252</v>
      </c>
      <c r="E169" s="359">
        <f t="shared" si="31"/>
        <v>0</v>
      </c>
      <c r="F169" s="360">
        <f t="shared" ca="1" si="29"/>
        <v>60</v>
      </c>
      <c r="G169" s="290">
        <f ca="1">KTVCOI!R168</f>
        <v>2.7250104178163284</v>
      </c>
      <c r="H169" s="290">
        <f ca="1">(H168-F169-G169)*(1+LS!$F$3)</f>
        <v>-11702.289552867571</v>
      </c>
      <c r="I169" s="948"/>
      <c r="J169" s="296">
        <f t="shared" ca="1" si="30"/>
        <v>-11702.289552867571</v>
      </c>
      <c r="K169" s="949"/>
      <c r="L169" s="949"/>
      <c r="M169" s="949"/>
      <c r="N169" s="950"/>
      <c r="O169" s="950"/>
      <c r="X169" s="1004"/>
      <c r="Y169" s="1004"/>
    </row>
    <row r="170" spans="2:25" ht="9.75" customHeight="1">
      <c r="B170" s="946"/>
      <c r="C170" s="946"/>
      <c r="D170" s="294">
        <f t="shared" ca="1" si="28"/>
        <v>51282</v>
      </c>
      <c r="E170" s="359">
        <f t="shared" si="31"/>
        <v>0</v>
      </c>
      <c r="F170" s="360">
        <f t="shared" ca="1" si="29"/>
        <v>60</v>
      </c>
      <c r="G170" s="290">
        <f ca="1">KTVCOI!R169</f>
        <v>2.7500380449238793</v>
      </c>
      <c r="H170" s="290">
        <f ca="1">(H169-F170-G170)*(1+LS!$F$3)</f>
        <v>-11809.215104880119</v>
      </c>
      <c r="I170" s="948"/>
      <c r="J170" s="296">
        <f t="shared" ca="1" si="30"/>
        <v>-11809.215104880119</v>
      </c>
      <c r="K170" s="949"/>
      <c r="L170" s="949"/>
      <c r="M170" s="949"/>
      <c r="N170" s="950"/>
      <c r="O170" s="950"/>
      <c r="X170" s="1004"/>
      <c r="Y170" s="1004"/>
    </row>
    <row r="171" spans="2:25" ht="9.75" customHeight="1">
      <c r="B171" s="946"/>
      <c r="C171" s="946"/>
      <c r="D171" s="294">
        <f t="shared" ca="1" si="28"/>
        <v>51313</v>
      </c>
      <c r="E171" s="359">
        <f t="shared" si="31"/>
        <v>0</v>
      </c>
      <c r="F171" s="360">
        <f t="shared" ca="1" si="29"/>
        <v>60</v>
      </c>
      <c r="G171" s="290">
        <f ca="1">KTVCOI!R170</f>
        <v>2.7751655496468275</v>
      </c>
      <c r="H171" s="290">
        <f ca="1">(H170-F171-G171)*(1+LS!$F$3)</f>
        <v>-11916.567364111625</v>
      </c>
      <c r="I171" s="948"/>
      <c r="J171" s="297">
        <f ca="1">H171+I160</f>
        <v>-11916.567364111625</v>
      </c>
      <c r="K171" s="949"/>
      <c r="L171" s="949"/>
      <c r="M171" s="949"/>
      <c r="N171" s="950"/>
      <c r="O171" s="950"/>
      <c r="X171" s="1004"/>
      <c r="Y171" s="1004"/>
    </row>
    <row r="172" spans="2:25" ht="9.75" customHeight="1">
      <c r="B172" s="951">
        <f>B160+1</f>
        <v>15</v>
      </c>
      <c r="C172" s="952">
        <f ca="1">C160+1</f>
        <v>44</v>
      </c>
      <c r="D172" s="287">
        <f t="shared" ca="1" si="28"/>
        <v>51343</v>
      </c>
      <c r="E172" s="359">
        <f t="shared" si="31"/>
        <v>0</v>
      </c>
      <c r="F172" s="289">
        <f t="shared" ca="1" si="29"/>
        <v>60</v>
      </c>
      <c r="G172" s="290">
        <f ca="1">KTVCOI!R171</f>
        <v>3.0387246778484642</v>
      </c>
      <c r="H172" s="290">
        <f ca="1">(H171+KTVBVGTTKMH!F21-F172-G172)*(1+LS!$F$3)</f>
        <v>-12024.587259656992</v>
      </c>
      <c r="I172" s="953"/>
      <c r="J172" s="292">
        <f t="shared" ca="1" si="30"/>
        <v>-12024.587259656992</v>
      </c>
      <c r="K172" s="949">
        <f ca="1">J183</f>
        <v>-13241.785895635829</v>
      </c>
      <c r="L172" s="949"/>
      <c r="M172" s="949"/>
      <c r="N172" s="950">
        <f t="shared" ref="N172" ca="1" si="38">SUM(G172:G183)</f>
        <v>38.307196651418238</v>
      </c>
      <c r="O172" s="950"/>
      <c r="X172" s="945">
        <f t="shared" ref="X172:Y172" ca="1" si="39">SUM(F172:F183)</f>
        <v>720</v>
      </c>
      <c r="Y172" s="945">
        <f t="shared" ca="1" si="39"/>
        <v>38.307196651418238</v>
      </c>
    </row>
    <row r="173" spans="2:25" ht="9.75" customHeight="1">
      <c r="B173" s="951"/>
      <c r="C173" s="951"/>
      <c r="D173" s="287">
        <f t="shared" ca="1" si="28"/>
        <v>51374</v>
      </c>
      <c r="E173" s="359">
        <f t="shared" si="31"/>
        <v>0</v>
      </c>
      <c r="F173" s="289">
        <f t="shared" ca="1" si="29"/>
        <v>60</v>
      </c>
      <c r="G173" s="290">
        <f ca="1">KTVCOI!R172</f>
        <v>3.0662697512125328</v>
      </c>
      <c r="H173" s="290">
        <f ca="1">(H172-F173-G173)*(1+LS!$F$3)</f>
        <v>-12133.040398121901</v>
      </c>
      <c r="I173" s="953"/>
      <c r="J173" s="292">
        <f t="shared" ca="1" si="30"/>
        <v>-12133.040398121901</v>
      </c>
      <c r="K173" s="949"/>
      <c r="L173" s="949"/>
      <c r="M173" s="949"/>
      <c r="N173" s="950"/>
      <c r="O173" s="950"/>
      <c r="X173" s="1004"/>
      <c r="Y173" s="1004"/>
    </row>
    <row r="174" spans="2:25" ht="9.75" customHeight="1">
      <c r="B174" s="951"/>
      <c r="C174" s="951"/>
      <c r="D174" s="287">
        <f t="shared" ca="1" si="28"/>
        <v>51405</v>
      </c>
      <c r="E174" s="359">
        <f t="shared" si="31"/>
        <v>0</v>
      </c>
      <c r="F174" s="289">
        <f t="shared" ca="1" si="29"/>
        <v>60</v>
      </c>
      <c r="G174" s="290">
        <f ca="1">KTVCOI!R173</f>
        <v>3.0939253015210846</v>
      </c>
      <c r="H174" s="290">
        <f ca="1">(H173-F174-G174)*(1+LS!$F$3)</f>
        <v>-12241.928517143906</v>
      </c>
      <c r="I174" s="953"/>
      <c r="J174" s="292">
        <f t="shared" ca="1" si="30"/>
        <v>-12241.928517143906</v>
      </c>
      <c r="K174" s="949"/>
      <c r="L174" s="949"/>
      <c r="M174" s="949"/>
      <c r="N174" s="950"/>
      <c r="O174" s="950"/>
      <c r="X174" s="1004"/>
      <c r="Y174" s="1004"/>
    </row>
    <row r="175" spans="2:25" ht="9.75" customHeight="1">
      <c r="B175" s="951"/>
      <c r="C175" s="951"/>
      <c r="D175" s="287">
        <f t="shared" ca="1" si="28"/>
        <v>51435</v>
      </c>
      <c r="E175" s="359">
        <f t="shared" si="31"/>
        <v>0</v>
      </c>
      <c r="F175" s="289">
        <f t="shared" ca="1" si="29"/>
        <v>60</v>
      </c>
      <c r="G175" s="290">
        <f ca="1">KTVCOI!R174</f>
        <v>3.1216917718716957</v>
      </c>
      <c r="H175" s="290">
        <f ca="1">(H174-F175-G175)*(1+LS!$F$3)</f>
        <v>-12351.253361329829</v>
      </c>
      <c r="I175" s="953"/>
      <c r="J175" s="292">
        <f t="shared" ca="1" si="30"/>
        <v>-12351.253361329829</v>
      </c>
      <c r="K175" s="949"/>
      <c r="L175" s="949"/>
      <c r="M175" s="949"/>
      <c r="N175" s="950"/>
      <c r="O175" s="950"/>
      <c r="X175" s="1004"/>
      <c r="Y175" s="1004"/>
    </row>
    <row r="176" spans="2:25" ht="9.75" customHeight="1">
      <c r="B176" s="951"/>
      <c r="C176" s="951"/>
      <c r="D176" s="287">
        <f t="shared" ca="1" si="28"/>
        <v>51466</v>
      </c>
      <c r="E176" s="359">
        <f t="shared" si="31"/>
        <v>0</v>
      </c>
      <c r="F176" s="289">
        <f t="shared" ca="1" si="29"/>
        <v>60</v>
      </c>
      <c r="G176" s="290">
        <f ca="1">KTVCOI!R175</f>
        <v>3.1495696071391066</v>
      </c>
      <c r="H176" s="290">
        <f ca="1">(H175-F176-G176)*(1+LS!$F$3)</f>
        <v>-12461.016682283707</v>
      </c>
      <c r="I176" s="953"/>
      <c r="J176" s="292">
        <f t="shared" ca="1" si="30"/>
        <v>-12461.016682283707</v>
      </c>
      <c r="K176" s="949"/>
      <c r="L176" s="949"/>
      <c r="M176" s="949"/>
      <c r="N176" s="950"/>
      <c r="O176" s="950"/>
      <c r="X176" s="1004"/>
      <c r="Y176" s="1004"/>
    </row>
    <row r="177" spans="2:25" ht="9.75" customHeight="1">
      <c r="B177" s="951"/>
      <c r="C177" s="951"/>
      <c r="D177" s="287">
        <f t="shared" ca="1" si="28"/>
        <v>51496</v>
      </c>
      <c r="E177" s="359">
        <f t="shared" si="31"/>
        <v>0</v>
      </c>
      <c r="F177" s="289">
        <f t="shared" ca="1" si="29"/>
        <v>60</v>
      </c>
      <c r="G177" s="290">
        <f ca="1">KTVCOI!R176</f>
        <v>3.1775592539823454</v>
      </c>
      <c r="H177" s="290">
        <f ca="1">(H176-F177-G177)*(1+LS!$F$3)</f>
        <v>-12571.220238634854</v>
      </c>
      <c r="I177" s="953"/>
      <c r="J177" s="292">
        <f t="shared" ca="1" si="30"/>
        <v>-12571.220238634854</v>
      </c>
      <c r="K177" s="949"/>
      <c r="L177" s="949"/>
      <c r="M177" s="949"/>
      <c r="N177" s="950"/>
      <c r="O177" s="950"/>
      <c r="X177" s="1004"/>
      <c r="Y177" s="1004"/>
    </row>
    <row r="178" spans="2:25" ht="9.75" customHeight="1">
      <c r="B178" s="951"/>
      <c r="C178" s="951"/>
      <c r="D178" s="287">
        <f t="shared" ca="1" si="28"/>
        <v>51527</v>
      </c>
      <c r="E178" s="359">
        <f t="shared" si="31"/>
        <v>0</v>
      </c>
      <c r="F178" s="289">
        <f t="shared" ca="1" si="29"/>
        <v>60</v>
      </c>
      <c r="G178" s="290">
        <f ca="1">KTVCOI!R177</f>
        <v>3.2056611608518879</v>
      </c>
      <c r="H178" s="290">
        <f ca="1">(H177-F178-G178)*(1+LS!$F$3)</f>
        <v>-12681.865796066048</v>
      </c>
      <c r="I178" s="953"/>
      <c r="J178" s="292">
        <f t="shared" ca="1" si="30"/>
        <v>-12681.865796066048</v>
      </c>
      <c r="K178" s="949"/>
      <c r="L178" s="949"/>
      <c r="M178" s="949"/>
      <c r="N178" s="950"/>
      <c r="O178" s="950"/>
      <c r="X178" s="1004"/>
      <c r="Y178" s="1004"/>
    </row>
    <row r="179" spans="2:25" ht="9.75" customHeight="1">
      <c r="B179" s="951"/>
      <c r="C179" s="951"/>
      <c r="D179" s="287">
        <f t="shared" ca="1" si="28"/>
        <v>51558</v>
      </c>
      <c r="E179" s="359">
        <f t="shared" si="31"/>
        <v>0</v>
      </c>
      <c r="F179" s="289">
        <f t="shared" ca="1" si="29"/>
        <v>60</v>
      </c>
      <c r="G179" s="290">
        <f ca="1">KTVCOI!R178</f>
        <v>3.2338757779968428</v>
      </c>
      <c r="H179" s="290">
        <f ca="1">(H178-F179-G179)*(1+LS!$F$3)</f>
        <v>-12792.955127341806</v>
      </c>
      <c r="I179" s="953"/>
      <c r="J179" s="292">
        <f t="shared" ca="1" si="30"/>
        <v>-12792.955127341806</v>
      </c>
      <c r="K179" s="949"/>
      <c r="L179" s="949"/>
      <c r="M179" s="949"/>
      <c r="N179" s="950"/>
      <c r="O179" s="950"/>
      <c r="X179" s="1004"/>
      <c r="Y179" s="1004"/>
    </row>
    <row r="180" spans="2:25" ht="9.75" customHeight="1">
      <c r="B180" s="951"/>
      <c r="C180" s="951"/>
      <c r="D180" s="287">
        <f t="shared" ca="1" si="28"/>
        <v>51586</v>
      </c>
      <c r="E180" s="359">
        <f t="shared" si="31"/>
        <v>0</v>
      </c>
      <c r="F180" s="289">
        <f t="shared" ca="1" si="29"/>
        <v>60</v>
      </c>
      <c r="G180" s="290">
        <f ca="1">KTVCOI!R179</f>
        <v>3.2622035574721604</v>
      </c>
      <c r="H180" s="290">
        <f ca="1">(H179-F180-G180)*(1+LS!$F$3)</f>
        <v>-12904.490012336801</v>
      </c>
      <c r="I180" s="953"/>
      <c r="J180" s="292">
        <f t="shared" ca="1" si="30"/>
        <v>-12904.490012336801</v>
      </c>
      <c r="K180" s="949"/>
      <c r="L180" s="949"/>
      <c r="M180" s="949"/>
      <c r="N180" s="950"/>
      <c r="O180" s="950"/>
      <c r="X180" s="1004"/>
      <c r="Y180" s="1004"/>
    </row>
    <row r="181" spans="2:25" ht="9.75" customHeight="1">
      <c r="B181" s="951"/>
      <c r="C181" s="951"/>
      <c r="D181" s="287">
        <f t="shared" ca="1" si="28"/>
        <v>51617</v>
      </c>
      <c r="E181" s="359">
        <f t="shared" si="31"/>
        <v>0</v>
      </c>
      <c r="F181" s="289">
        <f t="shared" ca="1" si="29"/>
        <v>60</v>
      </c>
      <c r="G181" s="290">
        <f ca="1">KTVCOI!R180</f>
        <v>3.2906449531458843</v>
      </c>
      <c r="H181" s="290">
        <f ca="1">(H180-F181-G181)*(1+LS!$F$3)</f>
        <v>-13016.472238064371</v>
      </c>
      <c r="I181" s="953"/>
      <c r="J181" s="292">
        <f t="shared" ca="1" si="30"/>
        <v>-13016.472238064371</v>
      </c>
      <c r="K181" s="949"/>
      <c r="L181" s="949"/>
      <c r="M181" s="949"/>
      <c r="N181" s="950"/>
      <c r="O181" s="950"/>
      <c r="X181" s="1004"/>
      <c r="Y181" s="1004"/>
    </row>
    <row r="182" spans="2:25" ht="9.75" customHeight="1">
      <c r="B182" s="951"/>
      <c r="C182" s="951"/>
      <c r="D182" s="287">
        <f t="shared" ca="1" si="28"/>
        <v>51647</v>
      </c>
      <c r="E182" s="359">
        <f t="shared" si="31"/>
        <v>0</v>
      </c>
      <c r="F182" s="289">
        <f t="shared" ca="1" si="29"/>
        <v>60</v>
      </c>
      <c r="G182" s="290">
        <f ca="1">KTVCOI!R181</f>
        <v>3.3192004207064145</v>
      </c>
      <c r="H182" s="290">
        <f ca="1">(H181-F182-G182)*(1+LS!$F$3)</f>
        <v>-13128.903598705152</v>
      </c>
      <c r="I182" s="953"/>
      <c r="J182" s="292">
        <f t="shared" ca="1" si="30"/>
        <v>-13128.903598705152</v>
      </c>
      <c r="K182" s="949"/>
      <c r="L182" s="949"/>
      <c r="M182" s="949"/>
      <c r="N182" s="950"/>
      <c r="O182" s="950"/>
      <c r="X182" s="1004"/>
      <c r="Y182" s="1004"/>
    </row>
    <row r="183" spans="2:25" ht="9.75" customHeight="1">
      <c r="B183" s="951"/>
      <c r="C183" s="951"/>
      <c r="D183" s="287">
        <f t="shared" ca="1" si="28"/>
        <v>51678</v>
      </c>
      <c r="E183" s="359">
        <f t="shared" si="31"/>
        <v>0</v>
      </c>
      <c r="F183" s="289">
        <f t="shared" ca="1" si="29"/>
        <v>60</v>
      </c>
      <c r="G183" s="290">
        <f ca="1">KTVCOI!R182</f>
        <v>3.3478704176698137</v>
      </c>
      <c r="H183" s="290">
        <f ca="1">(H182-F183-G183)*(1+LS!$F$3)</f>
        <v>-13241.785895635829</v>
      </c>
      <c r="I183" s="953"/>
      <c r="J183" s="293">
        <f ca="1">H183+I172</f>
        <v>-13241.785895635829</v>
      </c>
      <c r="K183" s="949"/>
      <c r="L183" s="949"/>
      <c r="M183" s="949"/>
      <c r="N183" s="950"/>
      <c r="O183" s="950"/>
      <c r="X183" s="1004"/>
      <c r="Y183" s="1004"/>
    </row>
    <row r="184" spans="2:25" ht="9.75" customHeight="1">
      <c r="B184" s="946">
        <f>B172+1</f>
        <v>16</v>
      </c>
      <c r="C184" s="947">
        <f ca="1">C172+1</f>
        <v>45</v>
      </c>
      <c r="D184" s="294">
        <f t="shared" ca="1" si="28"/>
        <v>51708</v>
      </c>
      <c r="E184" s="359">
        <f t="shared" si="31"/>
        <v>0</v>
      </c>
      <c r="F184" s="360">
        <f t="shared" ca="1" si="29"/>
        <v>60</v>
      </c>
      <c r="G184" s="290">
        <f ca="1">KTVCOI!R183</f>
        <v>3.6525259428795493</v>
      </c>
      <c r="H184" s="290">
        <f ca="1">(H183+KTVBVGTTKMH!F22-F184-G184)*(1+LS!$F$3)</f>
        <v>-13355.397843839542</v>
      </c>
      <c r="I184" s="948"/>
      <c r="J184" s="296">
        <f t="shared" ca="1" si="30"/>
        <v>-13355.397843839542</v>
      </c>
      <c r="K184" s="949">
        <f ca="1">J195</f>
        <v>-14635.770369819849</v>
      </c>
      <c r="L184" s="949"/>
      <c r="M184" s="949"/>
      <c r="N184" s="950">
        <f t="shared" ref="N184" ca="1" si="40">SUM(G184:G195)</f>
        <v>45.926666437945514</v>
      </c>
      <c r="O184" s="950"/>
      <c r="X184" s="945">
        <f t="shared" ref="X184:Y184" ca="1" si="41">SUM(F184:F195)</f>
        <v>720</v>
      </c>
      <c r="Y184" s="945">
        <f t="shared" ca="1" si="41"/>
        <v>45.926666437945514</v>
      </c>
    </row>
    <row r="185" spans="2:25" ht="9.75" customHeight="1">
      <c r="B185" s="946"/>
      <c r="C185" s="946"/>
      <c r="D185" s="294">
        <f t="shared" ca="1" si="28"/>
        <v>51739</v>
      </c>
      <c r="E185" s="359">
        <f t="shared" si="31"/>
        <v>0</v>
      </c>
      <c r="F185" s="360">
        <f t="shared" ca="1" si="29"/>
        <v>60</v>
      </c>
      <c r="G185" s="290">
        <f ca="1">KTVCOI!R184</f>
        <v>3.683863905259074</v>
      </c>
      <c r="H185" s="290">
        <f ca="1">(H184-F185-G185)*(1+LS!$F$3)</f>
        <v>-13469.467839200837</v>
      </c>
      <c r="I185" s="948"/>
      <c r="J185" s="296">
        <f t="shared" ca="1" si="30"/>
        <v>-13469.467839200837</v>
      </c>
      <c r="K185" s="949"/>
      <c r="L185" s="949"/>
      <c r="M185" s="949"/>
      <c r="N185" s="950"/>
      <c r="O185" s="950"/>
      <c r="X185" s="1004"/>
      <c r="Y185" s="1004"/>
    </row>
    <row r="186" spans="2:25" ht="9.75" customHeight="1">
      <c r="B186" s="946"/>
      <c r="C186" s="946"/>
      <c r="D186" s="294">
        <f t="shared" ca="1" si="28"/>
        <v>51770</v>
      </c>
      <c r="E186" s="359">
        <f t="shared" si="31"/>
        <v>0</v>
      </c>
      <c r="F186" s="360">
        <f t="shared" ca="1" si="29"/>
        <v>60</v>
      </c>
      <c r="G186" s="290">
        <f ca="1">KTVCOI!R185</f>
        <v>3.7153282123128974</v>
      </c>
      <c r="H186" s="290">
        <f ca="1">(H185-F186-G186)*(1+LS!$F$3)</f>
        <v>-13583.997728419836</v>
      </c>
      <c r="I186" s="948"/>
      <c r="J186" s="296">
        <f t="shared" ca="1" si="30"/>
        <v>-13583.997728419836</v>
      </c>
      <c r="K186" s="949"/>
      <c r="L186" s="949"/>
      <c r="M186" s="949"/>
      <c r="N186" s="950"/>
      <c r="O186" s="950"/>
      <c r="X186" s="1004"/>
      <c r="Y186" s="1004"/>
    </row>
    <row r="187" spans="2:25" ht="9.75" customHeight="1">
      <c r="B187" s="946"/>
      <c r="C187" s="946"/>
      <c r="D187" s="294">
        <f t="shared" ca="1" si="28"/>
        <v>51800</v>
      </c>
      <c r="E187" s="359">
        <f t="shared" si="31"/>
        <v>0</v>
      </c>
      <c r="F187" s="360">
        <f t="shared" ca="1" si="29"/>
        <v>60</v>
      </c>
      <c r="G187" s="290">
        <f ca="1">KTVCOI!R186</f>
        <v>3.7469193734224713</v>
      </c>
      <c r="H187" s="290">
        <f ca="1">(H186-F187-G187)*(1+LS!$F$3)</f>
        <v>-13698.989365641964</v>
      </c>
      <c r="I187" s="948"/>
      <c r="J187" s="296">
        <f t="shared" ca="1" si="30"/>
        <v>-13698.989365641964</v>
      </c>
      <c r="K187" s="949"/>
      <c r="L187" s="949"/>
      <c r="M187" s="949"/>
      <c r="N187" s="950"/>
      <c r="O187" s="950"/>
      <c r="X187" s="1004"/>
      <c r="Y187" s="1004"/>
    </row>
    <row r="188" spans="2:25" ht="9.75" customHeight="1">
      <c r="B188" s="946"/>
      <c r="C188" s="946"/>
      <c r="D188" s="294">
        <f t="shared" ca="1" si="28"/>
        <v>51831</v>
      </c>
      <c r="E188" s="359">
        <f t="shared" si="31"/>
        <v>0</v>
      </c>
      <c r="F188" s="360">
        <f t="shared" ca="1" si="29"/>
        <v>60</v>
      </c>
      <c r="G188" s="290">
        <f ca="1">KTVCOI!R187</f>
        <v>3.7786379000229089</v>
      </c>
      <c r="H188" s="290">
        <f ca="1">(H187-F188-G188)*(1+LS!$F$3)</f>
        <v>-13814.444612487974</v>
      </c>
      <c r="I188" s="948"/>
      <c r="J188" s="296">
        <f t="shared" ca="1" si="30"/>
        <v>-13814.444612487974</v>
      </c>
      <c r="K188" s="949"/>
      <c r="L188" s="949"/>
      <c r="M188" s="949"/>
      <c r="N188" s="950"/>
      <c r="O188" s="950"/>
      <c r="X188" s="1004"/>
      <c r="Y188" s="1004"/>
    </row>
    <row r="189" spans="2:25" ht="9.75" customHeight="1">
      <c r="B189" s="946"/>
      <c r="C189" s="946"/>
      <c r="D189" s="294">
        <f t="shared" ca="1" si="28"/>
        <v>51861</v>
      </c>
      <c r="E189" s="359">
        <f t="shared" si="31"/>
        <v>0</v>
      </c>
      <c r="F189" s="360">
        <f t="shared" ca="1" si="29"/>
        <v>60</v>
      </c>
      <c r="G189" s="290">
        <f ca="1">KTVCOI!R188</f>
        <v>3.8104843056112667</v>
      </c>
      <c r="H189" s="290">
        <f ca="1">(H188-F189-G189)*(1+LS!$F$3)</f>
        <v>-13930.365338084081</v>
      </c>
      <c r="I189" s="948"/>
      <c r="J189" s="296">
        <f t="shared" ca="1" si="30"/>
        <v>-13930.365338084081</v>
      </c>
      <c r="K189" s="949"/>
      <c r="L189" s="949"/>
      <c r="M189" s="949"/>
      <c r="N189" s="950"/>
      <c r="O189" s="950"/>
      <c r="X189" s="1004"/>
      <c r="Y189" s="1004"/>
    </row>
    <row r="190" spans="2:25" ht="9.75" customHeight="1">
      <c r="B190" s="946"/>
      <c r="C190" s="946"/>
      <c r="D190" s="294">
        <f t="shared" ca="1" si="28"/>
        <v>51892</v>
      </c>
      <c r="E190" s="359">
        <f t="shared" si="31"/>
        <v>0</v>
      </c>
      <c r="F190" s="360">
        <f t="shared" ca="1" si="29"/>
        <v>60</v>
      </c>
      <c r="G190" s="290">
        <f ca="1">KTVCOI!R189</f>
        <v>3.8424591057548589</v>
      </c>
      <c r="H190" s="290">
        <f ca="1">(H189-F190-G190)*(1+LS!$F$3)</f>
        <v>-14046.753419092214</v>
      </c>
      <c r="I190" s="948"/>
      <c r="J190" s="296">
        <f t="shared" ca="1" si="30"/>
        <v>-14046.753419092214</v>
      </c>
      <c r="K190" s="949"/>
      <c r="L190" s="949"/>
      <c r="M190" s="949"/>
      <c r="N190" s="950"/>
      <c r="O190" s="950"/>
      <c r="X190" s="1004"/>
      <c r="Y190" s="1004"/>
    </row>
    <row r="191" spans="2:25" ht="9.75" customHeight="1">
      <c r="B191" s="946"/>
      <c r="C191" s="946"/>
      <c r="D191" s="294">
        <f t="shared" ca="1" si="28"/>
        <v>51923</v>
      </c>
      <c r="E191" s="359">
        <f t="shared" si="31"/>
        <v>0</v>
      </c>
      <c r="F191" s="360">
        <f t="shared" ca="1" si="29"/>
        <v>60</v>
      </c>
      <c r="G191" s="290">
        <f ca="1">KTVCOI!R190</f>
        <v>3.8745628180996028</v>
      </c>
      <c r="H191" s="290">
        <f ca="1">(H190-F191-G191)*(1+LS!$F$3)</f>
        <v>-14163.610739740414</v>
      </c>
      <c r="I191" s="948"/>
      <c r="J191" s="296">
        <f t="shared" ca="1" si="30"/>
        <v>-14163.610739740414</v>
      </c>
      <c r="K191" s="949"/>
      <c r="L191" s="949"/>
      <c r="M191" s="949"/>
      <c r="N191" s="950"/>
      <c r="O191" s="950"/>
      <c r="X191" s="1004"/>
      <c r="Y191" s="1004"/>
    </row>
    <row r="192" spans="2:25" ht="9.75" customHeight="1">
      <c r="B192" s="946"/>
      <c r="C192" s="946"/>
      <c r="D192" s="294">
        <f t="shared" ca="1" si="28"/>
        <v>51951</v>
      </c>
      <c r="E192" s="359">
        <f t="shared" si="31"/>
        <v>0</v>
      </c>
      <c r="F192" s="360">
        <f t="shared" ca="1" si="29"/>
        <v>60</v>
      </c>
      <c r="G192" s="290">
        <f ca="1">KTVCOI!R191</f>
        <v>3.9067959623783981</v>
      </c>
      <c r="H192" s="290">
        <f ca="1">(H191-F192-G192)*(1+LS!$F$3)</f>
        <v>-14280.93919185332</v>
      </c>
      <c r="I192" s="948"/>
      <c r="J192" s="296">
        <f t="shared" ca="1" si="30"/>
        <v>-14280.93919185332</v>
      </c>
      <c r="K192" s="949"/>
      <c r="L192" s="949"/>
      <c r="M192" s="949"/>
      <c r="N192" s="950"/>
      <c r="O192" s="950"/>
      <c r="X192" s="1004"/>
      <c r="Y192" s="1004"/>
    </row>
    <row r="193" spans="2:25" ht="9.75" customHeight="1">
      <c r="B193" s="946"/>
      <c r="C193" s="946"/>
      <c r="D193" s="294">
        <f t="shared" ca="1" si="28"/>
        <v>51982</v>
      </c>
      <c r="E193" s="359">
        <f t="shared" si="31"/>
        <v>0</v>
      </c>
      <c r="F193" s="360">
        <f t="shared" ca="1" si="29"/>
        <v>60</v>
      </c>
      <c r="G193" s="290">
        <f ca="1">KTVCOI!R192</f>
        <v>3.939159060419541</v>
      </c>
      <c r="H193" s="290">
        <f ca="1">(H192-F193-G193)*(1+LS!$F$3)</f>
        <v>-14398.740674882811</v>
      </c>
      <c r="I193" s="948"/>
      <c r="J193" s="296">
        <f t="shared" ca="1" si="30"/>
        <v>-14398.740674882811</v>
      </c>
      <c r="K193" s="949"/>
      <c r="L193" s="949"/>
      <c r="M193" s="949"/>
      <c r="N193" s="950"/>
      <c r="O193" s="950"/>
      <c r="X193" s="1004"/>
      <c r="Y193" s="1004"/>
    </row>
    <row r="194" spans="2:25" ht="9.75" customHeight="1">
      <c r="B194" s="946"/>
      <c r="C194" s="946"/>
      <c r="D194" s="294">
        <f t="shared" ca="1" si="28"/>
        <v>52012</v>
      </c>
      <c r="E194" s="359">
        <f t="shared" si="31"/>
        <v>0</v>
      </c>
      <c r="F194" s="360">
        <f t="shared" ca="1" si="29"/>
        <v>60</v>
      </c>
      <c r="G194" s="290">
        <f ca="1">KTVCOI!R193</f>
        <v>3.9716526361551749</v>
      </c>
      <c r="H194" s="290">
        <f ca="1">(H193-F194-G194)*(1+LS!$F$3)</f>
        <v>-14517.017095938747</v>
      </c>
      <c r="I194" s="948"/>
      <c r="J194" s="296">
        <f t="shared" ca="1" si="30"/>
        <v>-14517.017095938747</v>
      </c>
      <c r="K194" s="949"/>
      <c r="L194" s="949"/>
      <c r="M194" s="949"/>
      <c r="N194" s="950"/>
      <c r="O194" s="950"/>
      <c r="X194" s="1004"/>
      <c r="Y194" s="1004"/>
    </row>
    <row r="195" spans="2:25" ht="9.75" customHeight="1">
      <c r="B195" s="946"/>
      <c r="C195" s="946"/>
      <c r="D195" s="294">
        <f t="shared" ca="1" si="28"/>
        <v>52043</v>
      </c>
      <c r="E195" s="359">
        <f t="shared" si="31"/>
        <v>0</v>
      </c>
      <c r="F195" s="360">
        <f t="shared" ca="1" si="29"/>
        <v>60</v>
      </c>
      <c r="G195" s="290">
        <f ca="1">KTVCOI!R194</f>
        <v>4.004277215629771</v>
      </c>
      <c r="H195" s="290">
        <f ca="1">(H194-F195-G195)*(1+LS!$F$3)</f>
        <v>-14635.770369819849</v>
      </c>
      <c r="I195" s="948"/>
      <c r="J195" s="297">
        <f ca="1">H195+I184</f>
        <v>-14635.770369819849</v>
      </c>
      <c r="K195" s="949"/>
      <c r="L195" s="949"/>
      <c r="M195" s="949"/>
      <c r="N195" s="950"/>
      <c r="O195" s="950"/>
      <c r="X195" s="1004"/>
      <c r="Y195" s="1004"/>
    </row>
    <row r="196" spans="2:25" ht="9.75" customHeight="1">
      <c r="B196" s="951">
        <f>B184+1</f>
        <v>17</v>
      </c>
      <c r="C196" s="952">
        <f ca="1">C184+1</f>
        <v>46</v>
      </c>
      <c r="D196" s="287">
        <f t="shared" ca="1" si="28"/>
        <v>52073</v>
      </c>
      <c r="E196" s="359">
        <f t="shared" si="31"/>
        <v>0</v>
      </c>
      <c r="F196" s="289">
        <f t="shared" ca="1" si="29"/>
        <v>60</v>
      </c>
      <c r="G196" s="290">
        <f ca="1">KTVCOI!R195</f>
        <v>4.3663381603295885</v>
      </c>
      <c r="H196" s="290">
        <f ca="1">(H195+KTVBVGTTKMH!F23-F196-G196)*(1+LS!$F$3)</f>
        <v>-14755.332960355816</v>
      </c>
      <c r="I196" s="953"/>
      <c r="J196" s="292">
        <f t="shared" ca="1" si="30"/>
        <v>-14755.332960355816</v>
      </c>
      <c r="K196" s="949">
        <f ca="1">J207</f>
        <v>-16102.950524524656</v>
      </c>
      <c r="L196" s="949"/>
      <c r="M196" s="949"/>
      <c r="N196" s="950">
        <f t="shared" ref="N196" ca="1" si="42">SUM(G196:G207)</f>
        <v>54.782352446923156</v>
      </c>
      <c r="O196" s="950"/>
      <c r="X196" s="945">
        <f t="shared" ref="X196:Y196" ca="1" si="43">SUM(F196:F207)</f>
        <v>720</v>
      </c>
      <c r="Y196" s="945">
        <f t="shared" ca="1" si="43"/>
        <v>54.782352446923156</v>
      </c>
    </row>
    <row r="197" spans="2:25" ht="9.75" customHeight="1">
      <c r="B197" s="951"/>
      <c r="C197" s="951"/>
      <c r="D197" s="287">
        <f t="shared" ref="D197:D243" ca="1" si="44">EDATE(D196,1)</f>
        <v>52104</v>
      </c>
      <c r="E197" s="359">
        <f t="shared" si="31"/>
        <v>0</v>
      </c>
      <c r="F197" s="289">
        <f t="shared" ref="F197:F243" ca="1" si="45">IF(YEAR(D197)=2025,40000,IF(YEAR(D197)=2026,40000,IF(YEAR(D197)=2027,40000,IF(YEAR(D197)=2028,40000,IF(YEAR(D197)=2029,40000,IF(YEAR(D197)=2030,50000,IF(YEAR(D197)=2031,50000,IF(YEAR(D197)=2032,50000,IF(YEAR(D197)=2033,50000,IF(YEAR(D197)=2034,50000,IF(YEAR(D197)&gt;=2035,60000,0)))))))))))/1000</f>
        <v>60</v>
      </c>
      <c r="G197" s="290">
        <f ca="1">KTVCOI!R196</f>
        <v>4.4020076665061518</v>
      </c>
      <c r="H197" s="290">
        <f ca="1">(H196-F197-G197)*(1+LS!$F$3)</f>
        <v>-14875.38028940161</v>
      </c>
      <c r="I197" s="953"/>
      <c r="J197" s="292">
        <f t="shared" ref="J197:J242" ca="1" si="46">H197</f>
        <v>-14875.38028940161</v>
      </c>
      <c r="K197" s="949"/>
      <c r="L197" s="949"/>
      <c r="M197" s="949"/>
      <c r="N197" s="950"/>
      <c r="O197" s="950"/>
      <c r="X197" s="1004"/>
      <c r="Y197" s="1004"/>
    </row>
    <row r="198" spans="2:25" ht="9.75" customHeight="1">
      <c r="B198" s="951"/>
      <c r="C198" s="951"/>
      <c r="D198" s="287">
        <f t="shared" ca="1" si="44"/>
        <v>52135</v>
      </c>
      <c r="E198" s="359">
        <f t="shared" ref="E198:E243" si="47">E197</f>
        <v>0</v>
      </c>
      <c r="F198" s="289">
        <f t="shared" ca="1" si="45"/>
        <v>60</v>
      </c>
      <c r="G198" s="290">
        <f ca="1">KTVCOI!R197</f>
        <v>4.4378217863381471</v>
      </c>
      <c r="H198" s="290">
        <f ca="1">(H197-F198-G198)*(1+LS!$F$3)</f>
        <v>-14995.914322215944</v>
      </c>
      <c r="I198" s="953"/>
      <c r="J198" s="292">
        <f t="shared" ca="1" si="46"/>
        <v>-14995.914322215944</v>
      </c>
      <c r="K198" s="949"/>
      <c r="L198" s="949"/>
      <c r="M198" s="949"/>
      <c r="N198" s="950"/>
      <c r="O198" s="950"/>
      <c r="X198" s="1004"/>
      <c r="Y198" s="1004"/>
    </row>
    <row r="199" spans="2:25" ht="9.75" customHeight="1">
      <c r="B199" s="951"/>
      <c r="C199" s="951"/>
      <c r="D199" s="287">
        <f t="shared" ca="1" si="44"/>
        <v>52165</v>
      </c>
      <c r="E199" s="359">
        <f t="shared" si="47"/>
        <v>0</v>
      </c>
      <c r="F199" s="289">
        <f t="shared" ca="1" si="45"/>
        <v>60</v>
      </c>
      <c r="G199" s="290">
        <f ca="1">KTVCOI!R198</f>
        <v>4.473781106127757</v>
      </c>
      <c r="H199" s="290">
        <f ca="1">(H198-F199-G199)*(1+LS!$F$3)</f>
        <v>-15116.937032025213</v>
      </c>
      <c r="I199" s="953"/>
      <c r="J199" s="292">
        <f t="shared" ca="1" si="46"/>
        <v>-15116.937032025213</v>
      </c>
      <c r="K199" s="949"/>
      <c r="L199" s="949"/>
      <c r="M199" s="949"/>
      <c r="N199" s="950"/>
      <c r="O199" s="950"/>
      <c r="X199" s="1004"/>
      <c r="Y199" s="1004"/>
    </row>
    <row r="200" spans="2:25" ht="9.75" customHeight="1">
      <c r="B200" s="951"/>
      <c r="C200" s="951"/>
      <c r="D200" s="287">
        <f t="shared" ca="1" si="44"/>
        <v>52196</v>
      </c>
      <c r="E200" s="359">
        <f t="shared" si="47"/>
        <v>0</v>
      </c>
      <c r="F200" s="289">
        <f t="shared" ca="1" si="45"/>
        <v>60</v>
      </c>
      <c r="G200" s="290">
        <f ca="1">KTVCOI!R199</f>
        <v>4.5098862145541885</v>
      </c>
      <c r="H200" s="290">
        <f ca="1">(H199-F200-G200)*(1+LS!$F$3)</f>
        <v>-15238.450400055799</v>
      </c>
      <c r="I200" s="953"/>
      <c r="J200" s="292">
        <f t="shared" ca="1" si="46"/>
        <v>-15238.450400055799</v>
      </c>
      <c r="K200" s="949"/>
      <c r="L200" s="949"/>
      <c r="M200" s="949"/>
      <c r="N200" s="950"/>
      <c r="O200" s="950"/>
      <c r="X200" s="1004"/>
      <c r="Y200" s="1004"/>
    </row>
    <row r="201" spans="2:25" ht="9.75" customHeight="1">
      <c r="B201" s="951"/>
      <c r="C201" s="951"/>
      <c r="D201" s="287">
        <f t="shared" ca="1" si="44"/>
        <v>52226</v>
      </c>
      <c r="E201" s="359">
        <f t="shared" si="47"/>
        <v>0</v>
      </c>
      <c r="F201" s="289">
        <f t="shared" ca="1" si="45"/>
        <v>60</v>
      </c>
      <c r="G201" s="290">
        <f ca="1">KTVCOI!R200</f>
        <v>4.5461377026833132</v>
      </c>
      <c r="H201" s="290">
        <f ca="1">(H200-F201-G201)*(1+LS!$F$3)</f>
        <v>-15360.456415566496</v>
      </c>
      <c r="I201" s="953"/>
      <c r="J201" s="292">
        <f t="shared" ca="1" si="46"/>
        <v>-15360.456415566496</v>
      </c>
      <c r="K201" s="949"/>
      <c r="L201" s="949"/>
      <c r="M201" s="949"/>
      <c r="N201" s="950"/>
      <c r="O201" s="950"/>
      <c r="X201" s="1004"/>
      <c r="Y201" s="1004"/>
    </row>
    <row r="202" spans="2:25" ht="9.75" customHeight="1">
      <c r="B202" s="951"/>
      <c r="C202" s="951"/>
      <c r="D202" s="287">
        <f t="shared" ca="1" si="44"/>
        <v>52257</v>
      </c>
      <c r="E202" s="359">
        <f t="shared" si="47"/>
        <v>0</v>
      </c>
      <c r="F202" s="289">
        <f t="shared" ca="1" si="45"/>
        <v>60</v>
      </c>
      <c r="G202" s="290">
        <f ca="1">KTVCOI!R201</f>
        <v>4.5825361639773385</v>
      </c>
      <c r="H202" s="290">
        <f ca="1">(H201-F202-G202)*(1+LS!$F$3)</f>
        <v>-15482.957075881086</v>
      </c>
      <c r="I202" s="953"/>
      <c r="J202" s="292">
        <f t="shared" ca="1" si="46"/>
        <v>-15482.957075881086</v>
      </c>
      <c r="K202" s="949"/>
      <c r="L202" s="949"/>
      <c r="M202" s="949"/>
      <c r="N202" s="950"/>
      <c r="O202" s="950"/>
      <c r="X202" s="1004"/>
      <c r="Y202" s="1004"/>
    </row>
    <row r="203" spans="2:25" ht="9.75" customHeight="1">
      <c r="B203" s="951"/>
      <c r="C203" s="951"/>
      <c r="D203" s="287">
        <f t="shared" ca="1" si="44"/>
        <v>52288</v>
      </c>
      <c r="E203" s="359">
        <f t="shared" si="47"/>
        <v>0</v>
      </c>
      <c r="F203" s="289">
        <f t="shared" ca="1" si="45"/>
        <v>60</v>
      </c>
      <c r="G203" s="290">
        <f ca="1">KTVCOI!R202</f>
        <v>4.6190821943045242</v>
      </c>
      <c r="H203" s="290">
        <f ca="1">(H202-F203-G203)*(1+LS!$F$3)</f>
        <v>-15605.954386421028</v>
      </c>
      <c r="I203" s="953"/>
      <c r="J203" s="292">
        <f t="shared" ca="1" si="46"/>
        <v>-15605.954386421028</v>
      </c>
      <c r="K203" s="949"/>
      <c r="L203" s="949"/>
      <c r="M203" s="949"/>
      <c r="N203" s="950"/>
      <c r="O203" s="950"/>
      <c r="X203" s="1004"/>
      <c r="Y203" s="1004"/>
    </row>
    <row r="204" spans="2:25" ht="9.75" customHeight="1">
      <c r="B204" s="951"/>
      <c r="C204" s="951"/>
      <c r="D204" s="287">
        <f t="shared" ca="1" si="44"/>
        <v>52316</v>
      </c>
      <c r="E204" s="359">
        <f t="shared" si="47"/>
        <v>0</v>
      </c>
      <c r="F204" s="289">
        <f t="shared" ca="1" si="45"/>
        <v>60</v>
      </c>
      <c r="G204" s="290">
        <f ca="1">KTVCOI!R203</f>
        <v>4.6557763919489403</v>
      </c>
      <c r="H204" s="290">
        <f ca="1">(H203-F204-G204)*(1+LS!$F$3)</f>
        <v>-15729.450360738299</v>
      </c>
      <c r="I204" s="953"/>
      <c r="J204" s="292">
        <f t="shared" ca="1" si="46"/>
        <v>-15729.450360738299</v>
      </c>
      <c r="K204" s="949"/>
      <c r="L204" s="949"/>
      <c r="M204" s="949"/>
      <c r="N204" s="950"/>
      <c r="O204" s="950"/>
      <c r="X204" s="1004"/>
      <c r="Y204" s="1004"/>
    </row>
    <row r="205" spans="2:25" ht="9.75" customHeight="1">
      <c r="B205" s="951"/>
      <c r="C205" s="951"/>
      <c r="D205" s="287">
        <f t="shared" ca="1" si="44"/>
        <v>52347</v>
      </c>
      <c r="E205" s="359">
        <f t="shared" si="47"/>
        <v>0</v>
      </c>
      <c r="F205" s="289">
        <f t="shared" ca="1" si="45"/>
        <v>60</v>
      </c>
      <c r="G205" s="290">
        <f ca="1">KTVCOI!R204</f>
        <v>4.6926193576202593</v>
      </c>
      <c r="H205" s="290">
        <f ca="1">(H204-F205-G205)*(1+LS!$F$3)</f>
        <v>-15853.447020548347</v>
      </c>
      <c r="I205" s="953"/>
      <c r="J205" s="292">
        <f t="shared" ca="1" si="46"/>
        <v>-15853.447020548347</v>
      </c>
      <c r="K205" s="949"/>
      <c r="L205" s="949"/>
      <c r="M205" s="949"/>
      <c r="N205" s="950"/>
      <c r="O205" s="950"/>
      <c r="X205" s="1004"/>
      <c r="Y205" s="1004"/>
    </row>
    <row r="206" spans="2:25" ht="9.75" customHeight="1">
      <c r="B206" s="951"/>
      <c r="C206" s="951"/>
      <c r="D206" s="287">
        <f t="shared" ca="1" si="44"/>
        <v>52377</v>
      </c>
      <c r="E206" s="359">
        <f t="shared" si="47"/>
        <v>0</v>
      </c>
      <c r="F206" s="289">
        <f t="shared" ca="1" si="45"/>
        <v>60</v>
      </c>
      <c r="G206" s="290">
        <f ca="1">KTVCOI!R205</f>
        <v>4.72961169446359</v>
      </c>
      <c r="H206" s="290">
        <f ca="1">(H205-F206-G206)*(1+LS!$F$3)</f>
        <v>-15977.946395763192</v>
      </c>
      <c r="I206" s="953"/>
      <c r="J206" s="292">
        <f t="shared" ca="1" si="46"/>
        <v>-15977.946395763192</v>
      </c>
      <c r="K206" s="949"/>
      <c r="L206" s="949"/>
      <c r="M206" s="949"/>
      <c r="N206" s="950"/>
      <c r="O206" s="950"/>
      <c r="X206" s="1004"/>
      <c r="Y206" s="1004"/>
    </row>
    <row r="207" spans="2:25" ht="9.75" customHeight="1">
      <c r="B207" s="951"/>
      <c r="C207" s="951"/>
      <c r="D207" s="287">
        <f t="shared" ca="1" si="44"/>
        <v>52408</v>
      </c>
      <c r="E207" s="359">
        <f t="shared" si="47"/>
        <v>0</v>
      </c>
      <c r="F207" s="289">
        <f t="shared" ca="1" si="45"/>
        <v>60</v>
      </c>
      <c r="G207" s="290">
        <f ca="1">KTVCOI!R206</f>
        <v>4.7667540080693529</v>
      </c>
      <c r="H207" s="290">
        <f ca="1">(H206-F207-G207)*(1+LS!$F$3)</f>
        <v>-16102.950524524656</v>
      </c>
      <c r="I207" s="953"/>
      <c r="J207" s="293">
        <f ca="1">H207+I196</f>
        <v>-16102.950524524656</v>
      </c>
      <c r="K207" s="949"/>
      <c r="L207" s="949"/>
      <c r="M207" s="949"/>
      <c r="N207" s="950"/>
      <c r="O207" s="950"/>
      <c r="X207" s="1004"/>
      <c r="Y207" s="1004"/>
    </row>
    <row r="208" spans="2:25" ht="9.75" customHeight="1">
      <c r="B208" s="946">
        <f>B196+1</f>
        <v>18</v>
      </c>
      <c r="C208" s="947">
        <f ca="1">C196+1</f>
        <v>47</v>
      </c>
      <c r="D208" s="294">
        <f t="shared" ca="1" si="44"/>
        <v>52438</v>
      </c>
      <c r="E208" s="359">
        <f t="shared" si="47"/>
        <v>0</v>
      </c>
      <c r="F208" s="360">
        <f t="shared" ca="1" si="45"/>
        <v>60</v>
      </c>
      <c r="G208" s="290">
        <f ca="1">KTVCOI!R207</f>
        <v>5.1932015441592023</v>
      </c>
      <c r="H208" s="290">
        <f ca="1">(H207+KTVBVGTTKMH!F24-F208-G208)*(1+LS!$F$3)</f>
        <v>-16228.852069077981</v>
      </c>
      <c r="I208" s="948"/>
      <c r="J208" s="296">
        <f t="shared" ca="1" si="46"/>
        <v>-16228.852069077981</v>
      </c>
      <c r="K208" s="949">
        <f ca="1">J219</f>
        <v>-17648.124554565526</v>
      </c>
      <c r="L208" s="949"/>
      <c r="M208" s="949"/>
      <c r="N208" s="950">
        <f t="shared" ref="N208" ca="1" si="48">SUM(G208:G219)</f>
        <v>65.035001707992947</v>
      </c>
      <c r="O208" s="950"/>
      <c r="X208" s="945">
        <f t="shared" ref="X208:Y208" ca="1" si="49">SUM(F208:F219)</f>
        <v>720</v>
      </c>
      <c r="Y208" s="945">
        <f t="shared" ca="1" si="49"/>
        <v>65.035001707992947</v>
      </c>
    </row>
    <row r="209" spans="2:25" ht="9.75" customHeight="1">
      <c r="B209" s="946"/>
      <c r="C209" s="946"/>
      <c r="D209" s="294">
        <f t="shared" ca="1" si="44"/>
        <v>52469</v>
      </c>
      <c r="E209" s="359">
        <f t="shared" si="47"/>
        <v>0</v>
      </c>
      <c r="F209" s="360">
        <f t="shared" ca="1" si="45"/>
        <v>60</v>
      </c>
      <c r="G209" s="290">
        <f ca="1">KTVCOI!R208</f>
        <v>5.2338047922776489</v>
      </c>
      <c r="H209" s="290">
        <f ca="1">(H208-F209-G209)*(1+LS!$F$3)</f>
        <v>-16355.267105990108</v>
      </c>
      <c r="I209" s="948"/>
      <c r="J209" s="296">
        <f t="shared" ca="1" si="46"/>
        <v>-16355.267105990108</v>
      </c>
      <c r="K209" s="949"/>
      <c r="L209" s="949"/>
      <c r="M209" s="949"/>
      <c r="N209" s="950"/>
      <c r="O209" s="950"/>
      <c r="X209" s="1004"/>
      <c r="Y209" s="1004"/>
    </row>
    <row r="210" spans="2:25" ht="9.75" customHeight="1">
      <c r="B210" s="946"/>
      <c r="C210" s="946"/>
      <c r="D210" s="294">
        <f t="shared" ca="1" si="44"/>
        <v>52500</v>
      </c>
      <c r="E210" s="359">
        <f t="shared" si="47"/>
        <v>0</v>
      </c>
      <c r="F210" s="360">
        <f t="shared" ca="1" si="45"/>
        <v>60</v>
      </c>
      <c r="G210" s="290">
        <f ca="1">KTVCOI!R209</f>
        <v>5.2745736416818092</v>
      </c>
      <c r="H210" s="290">
        <f ca="1">(H209-F210-G210)*(1+LS!$F$3)</f>
        <v>-16482.197729551488</v>
      </c>
      <c r="I210" s="948"/>
      <c r="J210" s="296">
        <f t="shared" ca="1" si="46"/>
        <v>-16482.197729551488</v>
      </c>
      <c r="K210" s="949"/>
      <c r="L210" s="949"/>
      <c r="M210" s="949"/>
      <c r="N210" s="950"/>
      <c r="O210" s="950"/>
      <c r="X210" s="1004"/>
      <c r="Y210" s="1004"/>
    </row>
    <row r="211" spans="2:25" ht="9.75" customHeight="1">
      <c r="B211" s="946"/>
      <c r="C211" s="946"/>
      <c r="D211" s="294">
        <f t="shared" ca="1" si="44"/>
        <v>52530</v>
      </c>
      <c r="E211" s="359">
        <f t="shared" si="47"/>
        <v>0</v>
      </c>
      <c r="F211" s="360">
        <f t="shared" ca="1" si="45"/>
        <v>60</v>
      </c>
      <c r="G211" s="290">
        <f ca="1">KTVCOI!R210</f>
        <v>5.3155087677803552</v>
      </c>
      <c r="H211" s="290">
        <f ca="1">(H210-F211-G211)*(1+LS!$F$3)</f>
        <v>-16609.646042594188</v>
      </c>
      <c r="I211" s="948"/>
      <c r="J211" s="296">
        <f t="shared" ca="1" si="46"/>
        <v>-16609.646042594188</v>
      </c>
      <c r="K211" s="949"/>
      <c r="L211" s="949"/>
      <c r="M211" s="949"/>
      <c r="N211" s="950"/>
      <c r="O211" s="950"/>
      <c r="X211" s="1004"/>
      <c r="Y211" s="1004"/>
    </row>
    <row r="212" spans="2:25" ht="9.75" customHeight="1">
      <c r="B212" s="946"/>
      <c r="C212" s="946"/>
      <c r="D212" s="294">
        <f t="shared" ca="1" si="44"/>
        <v>52561</v>
      </c>
      <c r="E212" s="359">
        <f t="shared" si="47"/>
        <v>0</v>
      </c>
      <c r="F212" s="360">
        <f t="shared" ca="1" si="45"/>
        <v>60</v>
      </c>
      <c r="G212" s="290">
        <f ca="1">KTVCOI!R211</f>
        <v>5.3566108487366257</v>
      </c>
      <c r="H212" s="290">
        <f ca="1">(H211-F212-G212)*(1+LS!$F$3)</f>
        <v>-16737.614156526717</v>
      </c>
      <c r="I212" s="948"/>
      <c r="J212" s="296">
        <f t="shared" ca="1" si="46"/>
        <v>-16737.614156526717</v>
      </c>
      <c r="K212" s="949"/>
      <c r="L212" s="949"/>
      <c r="M212" s="949"/>
      <c r="N212" s="950"/>
      <c r="O212" s="950"/>
      <c r="X212" s="1004"/>
      <c r="Y212" s="1004"/>
    </row>
    <row r="213" spans="2:25" ht="9.75" customHeight="1">
      <c r="B213" s="946"/>
      <c r="C213" s="946"/>
      <c r="D213" s="294">
        <f t="shared" ca="1" si="44"/>
        <v>52591</v>
      </c>
      <c r="E213" s="359">
        <f t="shared" si="47"/>
        <v>0</v>
      </c>
      <c r="F213" s="360">
        <f t="shared" ca="1" si="45"/>
        <v>60</v>
      </c>
      <c r="G213" s="290">
        <f ca="1">KTVCOI!R212</f>
        <v>5.3978805654798663</v>
      </c>
      <c r="H213" s="290">
        <f ca="1">(H212-F213-G213)*(1+LS!$F$3)</f>
        <v>-16866.104191369017</v>
      </c>
      <c r="I213" s="948"/>
      <c r="J213" s="296">
        <f t="shared" ca="1" si="46"/>
        <v>-16866.104191369017</v>
      </c>
      <c r="K213" s="949"/>
      <c r="L213" s="949"/>
      <c r="M213" s="949"/>
      <c r="N213" s="950"/>
      <c r="O213" s="950"/>
      <c r="X213" s="1004"/>
      <c r="Y213" s="1004"/>
    </row>
    <row r="214" spans="2:25" ht="9.75" customHeight="1">
      <c r="B214" s="946"/>
      <c r="C214" s="946"/>
      <c r="D214" s="294">
        <f t="shared" ca="1" si="44"/>
        <v>52622</v>
      </c>
      <c r="E214" s="359">
        <f t="shared" si="47"/>
        <v>0</v>
      </c>
      <c r="F214" s="360">
        <f t="shared" ca="1" si="45"/>
        <v>60</v>
      </c>
      <c r="G214" s="290">
        <f ca="1">KTVCOI!R213</f>
        <v>5.4393186017165078</v>
      </c>
      <c r="H214" s="290">
        <f ca="1">(H213-F214-G214)*(1+LS!$F$3)</f>
        <v>-16995.118275787576</v>
      </c>
      <c r="I214" s="948"/>
      <c r="J214" s="296">
        <f t="shared" ca="1" si="46"/>
        <v>-16995.118275787576</v>
      </c>
      <c r="K214" s="949"/>
      <c r="L214" s="949"/>
      <c r="M214" s="949"/>
      <c r="N214" s="950"/>
      <c r="O214" s="950"/>
      <c r="X214" s="1004"/>
      <c r="Y214" s="1004"/>
    </row>
    <row r="215" spans="2:25" ht="9.75" customHeight="1">
      <c r="B215" s="946"/>
      <c r="C215" s="946"/>
      <c r="D215" s="294">
        <f t="shared" ca="1" si="44"/>
        <v>52653</v>
      </c>
      <c r="E215" s="359">
        <f t="shared" si="47"/>
        <v>0</v>
      </c>
      <c r="F215" s="360">
        <f t="shared" ca="1" si="45"/>
        <v>60</v>
      </c>
      <c r="G215" s="290">
        <f ca="1">KTVCOI!R214</f>
        <v>5.4809256439414931</v>
      </c>
      <c r="H215" s="290">
        <f ca="1">(H214-F215-G215)*(1+LS!$F$3)</f>
        <v>-17124.658547130704</v>
      </c>
      <c r="I215" s="948"/>
      <c r="J215" s="296">
        <f t="shared" ca="1" si="46"/>
        <v>-17124.658547130704</v>
      </c>
      <c r="K215" s="949"/>
      <c r="L215" s="949"/>
      <c r="M215" s="949"/>
      <c r="N215" s="950"/>
      <c r="O215" s="950"/>
      <c r="X215" s="1004"/>
      <c r="Y215" s="1004"/>
    </row>
    <row r="216" spans="2:25" ht="9.75" customHeight="1">
      <c r="B216" s="946"/>
      <c r="C216" s="946"/>
      <c r="D216" s="294">
        <f t="shared" ca="1" si="44"/>
        <v>52682</v>
      </c>
      <c r="E216" s="359">
        <f t="shared" si="47"/>
        <v>0</v>
      </c>
      <c r="F216" s="360">
        <f t="shared" ca="1" si="45"/>
        <v>60</v>
      </c>
      <c r="G216" s="290">
        <f ca="1">KTVCOI!R215</f>
        <v>5.5227023814496521</v>
      </c>
      <c r="H216" s="290">
        <f ca="1">(H215-F216-G216)*(1+LS!$F$3)</f>
        <v>-17254.727151463932</v>
      </c>
      <c r="I216" s="948"/>
      <c r="J216" s="296">
        <f t="shared" ca="1" si="46"/>
        <v>-17254.727151463932</v>
      </c>
      <c r="K216" s="949"/>
      <c r="L216" s="949"/>
      <c r="M216" s="949"/>
      <c r="N216" s="950"/>
      <c r="O216" s="950"/>
      <c r="X216" s="1004"/>
      <c r="Y216" s="1004"/>
    </row>
    <row r="217" spans="2:25" ht="9.75" customHeight="1">
      <c r="B217" s="946"/>
      <c r="C217" s="946"/>
      <c r="D217" s="294">
        <f t="shared" ca="1" si="44"/>
        <v>52713</v>
      </c>
      <c r="E217" s="359">
        <f t="shared" si="47"/>
        <v>0</v>
      </c>
      <c r="F217" s="360">
        <f t="shared" ca="1" si="45"/>
        <v>60</v>
      </c>
      <c r="G217" s="290">
        <f ca="1">KTVCOI!R216</f>
        <v>5.5646495063471173</v>
      </c>
      <c r="H217" s="290">
        <f ca="1">(H216-F217-G217)*(1+LS!$F$3)</f>
        <v>-17385.32624360557</v>
      </c>
      <c r="I217" s="948"/>
      <c r="J217" s="296">
        <f t="shared" ca="1" si="46"/>
        <v>-17385.32624360557</v>
      </c>
      <c r="K217" s="949"/>
      <c r="L217" s="949"/>
      <c r="M217" s="949"/>
      <c r="N217" s="950"/>
      <c r="O217" s="950"/>
      <c r="X217" s="1004"/>
      <c r="Y217" s="1004"/>
    </row>
    <row r="218" spans="2:25" ht="9.75" customHeight="1">
      <c r="B218" s="946"/>
      <c r="C218" s="946"/>
      <c r="D218" s="294">
        <f t="shared" ca="1" si="44"/>
        <v>52743</v>
      </c>
      <c r="E218" s="359">
        <f t="shared" si="47"/>
        <v>0</v>
      </c>
      <c r="F218" s="360">
        <f t="shared" ca="1" si="45"/>
        <v>60</v>
      </c>
      <c r="G218" s="290">
        <f ca="1">KTVCOI!R217</f>
        <v>5.606767713562796</v>
      </c>
      <c r="H218" s="290">
        <f ca="1">(H217-F218-G218)*(1+LS!$F$3)</f>
        <v>-17516.457987162397</v>
      </c>
      <c r="I218" s="948"/>
      <c r="J218" s="296">
        <f t="shared" ca="1" si="46"/>
        <v>-17516.457987162397</v>
      </c>
      <c r="K218" s="949"/>
      <c r="L218" s="949"/>
      <c r="M218" s="949"/>
      <c r="N218" s="950"/>
      <c r="O218" s="950"/>
      <c r="X218" s="1004"/>
      <c r="Y218" s="1004"/>
    </row>
    <row r="219" spans="2:25" ht="9.75" customHeight="1">
      <c r="B219" s="946"/>
      <c r="C219" s="946"/>
      <c r="D219" s="294">
        <f t="shared" ca="1" si="44"/>
        <v>52774</v>
      </c>
      <c r="E219" s="359">
        <f t="shared" si="47"/>
        <v>0</v>
      </c>
      <c r="F219" s="360">
        <f t="shared" ca="1" si="45"/>
        <v>60</v>
      </c>
      <c r="G219" s="290">
        <f ca="1">KTVCOI!R218</f>
        <v>5.6490577008598741</v>
      </c>
      <c r="H219" s="290">
        <f ca="1">(H218-F219-G219)*(1+LS!$F$3)</f>
        <v>-17648.124554565526</v>
      </c>
      <c r="I219" s="948"/>
      <c r="J219" s="297">
        <f ca="1">H219+I208</f>
        <v>-17648.124554565526</v>
      </c>
      <c r="K219" s="949"/>
      <c r="L219" s="949"/>
      <c r="M219" s="949"/>
      <c r="N219" s="950"/>
      <c r="O219" s="950"/>
      <c r="X219" s="1004"/>
      <c r="Y219" s="1004"/>
    </row>
    <row r="220" spans="2:25" ht="9.75" customHeight="1">
      <c r="B220" s="951">
        <f>B208+1</f>
        <v>19</v>
      </c>
      <c r="C220" s="952">
        <f ca="1">C208+1</f>
        <v>48</v>
      </c>
      <c r="D220" s="287">
        <f t="shared" ca="1" si="44"/>
        <v>52804</v>
      </c>
      <c r="E220" s="359">
        <f t="shared" si="47"/>
        <v>0</v>
      </c>
      <c r="F220" s="289">
        <f t="shared" ca="1" si="45"/>
        <v>60</v>
      </c>
      <c r="G220" s="290">
        <f ca="1">KTVCOI!R219</f>
        <v>6.1474300531736574</v>
      </c>
      <c r="H220" s="290">
        <f ca="1">(H219+KTVBVGTTKMH!F25-F220-G220)*(1+LS!$F$3)</f>
        <v>-17780.78574884668</v>
      </c>
      <c r="I220" s="953"/>
      <c r="J220" s="292">
        <f t="shared" ca="1" si="46"/>
        <v>-17780.78574884668</v>
      </c>
      <c r="K220" s="949">
        <f ca="1">J231</f>
        <v>-19276.492242420394</v>
      </c>
      <c r="L220" s="949"/>
      <c r="M220" s="949"/>
      <c r="N220" s="950">
        <f t="shared" ref="N220" ca="1" si="50">SUM(G220:G231)</f>
        <v>76.861156366829022</v>
      </c>
      <c r="O220" s="950"/>
      <c r="X220" s="945">
        <f t="shared" ref="X220:Y220" ca="1" si="51">SUM(F220:F231)</f>
        <v>720</v>
      </c>
      <c r="Y220" s="945">
        <f t="shared" ca="1" si="51"/>
        <v>76.861156366829022</v>
      </c>
    </row>
    <row r="221" spans="2:25" ht="9.75" customHeight="1">
      <c r="B221" s="951"/>
      <c r="C221" s="951"/>
      <c r="D221" s="287">
        <f t="shared" ca="1" si="44"/>
        <v>52835</v>
      </c>
      <c r="E221" s="359">
        <f t="shared" si="47"/>
        <v>0</v>
      </c>
      <c r="F221" s="289">
        <f t="shared" ca="1" si="45"/>
        <v>60</v>
      </c>
      <c r="G221" s="290">
        <f ca="1">KTVCOI!R220</f>
        <v>6.1936403691815931</v>
      </c>
      <c r="H221" s="290">
        <f ca="1">(H220-F221-G221)*(1+LS!$F$3)</f>
        <v>-17913.991444823154</v>
      </c>
      <c r="I221" s="953"/>
      <c r="J221" s="292">
        <f t="shared" ca="1" si="46"/>
        <v>-17913.991444823154</v>
      </c>
      <c r="K221" s="949"/>
      <c r="L221" s="949"/>
      <c r="M221" s="949"/>
      <c r="N221" s="950"/>
      <c r="O221" s="950"/>
      <c r="X221" s="1004"/>
      <c r="Y221" s="1004"/>
    </row>
    <row r="222" spans="2:25" ht="9.75" customHeight="1">
      <c r="B222" s="951"/>
      <c r="C222" s="951"/>
      <c r="D222" s="287">
        <f t="shared" ca="1" si="44"/>
        <v>52866</v>
      </c>
      <c r="E222" s="359">
        <f t="shared" si="47"/>
        <v>0</v>
      </c>
      <c r="F222" s="289">
        <f t="shared" ca="1" si="45"/>
        <v>60</v>
      </c>
      <c r="G222" s="290">
        <f ca="1">KTVCOI!R221</f>
        <v>6.2400403532800652</v>
      </c>
      <c r="H222" s="290">
        <f ca="1">(H221-F222-G222)*(1+LS!$F$3)</f>
        <v>-18047.743877376804</v>
      </c>
      <c r="I222" s="953"/>
      <c r="J222" s="292">
        <f t="shared" ca="1" si="46"/>
        <v>-18047.743877376804</v>
      </c>
      <c r="K222" s="949"/>
      <c r="L222" s="949"/>
      <c r="M222" s="949"/>
      <c r="N222" s="950"/>
      <c r="O222" s="950"/>
      <c r="X222" s="1004"/>
      <c r="Y222" s="1004"/>
    </row>
    <row r="223" spans="2:25" ht="9.75" customHeight="1">
      <c r="B223" s="951"/>
      <c r="C223" s="951"/>
      <c r="D223" s="287">
        <f t="shared" ca="1" si="44"/>
        <v>52896</v>
      </c>
      <c r="E223" s="359">
        <f t="shared" si="47"/>
        <v>0</v>
      </c>
      <c r="F223" s="289">
        <f t="shared" ca="1" si="45"/>
        <v>60</v>
      </c>
      <c r="G223" s="290">
        <f ca="1">KTVCOI!R222</f>
        <v>6.2866307839529192</v>
      </c>
      <c r="H223" s="290">
        <f ca="1">(H222-F223-G223)*(1+LS!$F$3)</f>
        <v>-18182.045290562455</v>
      </c>
      <c r="I223" s="953"/>
      <c r="J223" s="292">
        <f t="shared" ca="1" si="46"/>
        <v>-18182.045290562455</v>
      </c>
      <c r="K223" s="949"/>
      <c r="L223" s="949"/>
      <c r="M223" s="949"/>
      <c r="N223" s="950"/>
      <c r="O223" s="950"/>
      <c r="X223" s="1004"/>
      <c r="Y223" s="1004"/>
    </row>
    <row r="224" spans="2:25" ht="9.75" customHeight="1">
      <c r="B224" s="951"/>
      <c r="C224" s="951"/>
      <c r="D224" s="287">
        <f t="shared" ca="1" si="44"/>
        <v>52927</v>
      </c>
      <c r="E224" s="359">
        <f t="shared" si="47"/>
        <v>0</v>
      </c>
      <c r="F224" s="289">
        <f t="shared" ca="1" si="45"/>
        <v>60</v>
      </c>
      <c r="G224" s="290">
        <f ca="1">KTVCOI!R223</f>
        <v>6.3334124428792551</v>
      </c>
      <c r="H224" s="290">
        <f ca="1">(H223-F224-G224)*(1+LS!$F$3)</f>
        <v>-18316.897937645546</v>
      </c>
      <c r="I224" s="953"/>
      <c r="J224" s="292">
        <f t="shared" ca="1" si="46"/>
        <v>-18316.897937645546</v>
      </c>
      <c r="K224" s="949"/>
      <c r="L224" s="949"/>
      <c r="M224" s="949"/>
      <c r="N224" s="950"/>
      <c r="O224" s="950"/>
      <c r="X224" s="1004"/>
      <c r="Y224" s="1004"/>
    </row>
    <row r="225" spans="2:25" ht="9.75" customHeight="1">
      <c r="B225" s="951"/>
      <c r="C225" s="951"/>
      <c r="D225" s="287">
        <f t="shared" ca="1" si="44"/>
        <v>52957</v>
      </c>
      <c r="E225" s="359">
        <f t="shared" si="47"/>
        <v>0</v>
      </c>
      <c r="F225" s="289">
        <f t="shared" ca="1" si="45"/>
        <v>60</v>
      </c>
      <c r="G225" s="290">
        <f ca="1">KTVCOI!R224</f>
        <v>6.3803861149465311</v>
      </c>
      <c r="H225" s="290">
        <f ca="1">(H224-F225-G225)*(1+LS!$F$3)</f>
        <v>-18452.304081139948</v>
      </c>
      <c r="I225" s="953"/>
      <c r="J225" s="292">
        <f t="shared" ca="1" si="46"/>
        <v>-18452.304081139948</v>
      </c>
      <c r="K225" s="949"/>
      <c r="L225" s="949"/>
      <c r="M225" s="949"/>
      <c r="N225" s="950"/>
      <c r="O225" s="950"/>
      <c r="X225" s="1004"/>
      <c r="Y225" s="1004"/>
    </row>
    <row r="226" spans="2:25" ht="9.75" customHeight="1">
      <c r="B226" s="951"/>
      <c r="C226" s="951"/>
      <c r="D226" s="287">
        <f t="shared" ca="1" si="44"/>
        <v>52988</v>
      </c>
      <c r="E226" s="359">
        <f t="shared" si="47"/>
        <v>0</v>
      </c>
      <c r="F226" s="289">
        <f t="shared" ca="1" si="45"/>
        <v>60</v>
      </c>
      <c r="G226" s="290">
        <f ca="1">KTVCOI!R225</f>
        <v>6.4275525882637483</v>
      </c>
      <c r="H226" s="290">
        <f ca="1">(H225-F226-G226)*(1+LS!$F$3)</f>
        <v>-18588.265992845911</v>
      </c>
      <c r="I226" s="953"/>
      <c r="J226" s="292">
        <f t="shared" ca="1" si="46"/>
        <v>-18588.265992845911</v>
      </c>
      <c r="K226" s="949"/>
      <c r="L226" s="949"/>
      <c r="M226" s="949"/>
      <c r="N226" s="950"/>
      <c r="O226" s="950"/>
      <c r="X226" s="1004"/>
      <c r="Y226" s="1004"/>
    </row>
    <row r="227" spans="2:25" ht="9.75" customHeight="1">
      <c r="B227" s="951"/>
      <c r="C227" s="951"/>
      <c r="D227" s="287">
        <f t="shared" ca="1" si="44"/>
        <v>53019</v>
      </c>
      <c r="E227" s="359">
        <f t="shared" si="47"/>
        <v>0</v>
      </c>
      <c r="F227" s="289">
        <f t="shared" ca="1" si="45"/>
        <v>60</v>
      </c>
      <c r="G227" s="290">
        <f ca="1">KTVCOI!R226</f>
        <v>6.4749126541746582</v>
      </c>
      <c r="H227" s="290">
        <f ca="1">(H226-F227-G227)*(1+LS!$F$3)</f>
        <v>-18724.785953888182</v>
      </c>
      <c r="I227" s="953"/>
      <c r="J227" s="292">
        <f t="shared" ca="1" si="46"/>
        <v>-18724.785953888182</v>
      </c>
      <c r="K227" s="949"/>
      <c r="L227" s="949"/>
      <c r="M227" s="949"/>
      <c r="N227" s="950"/>
      <c r="O227" s="950"/>
      <c r="X227" s="1004"/>
      <c r="Y227" s="1004"/>
    </row>
    <row r="228" spans="2:25" ht="9.75" customHeight="1">
      <c r="B228" s="951"/>
      <c r="C228" s="951"/>
      <c r="D228" s="287">
        <f t="shared" ca="1" si="44"/>
        <v>53047</v>
      </c>
      <c r="E228" s="359">
        <f t="shared" si="47"/>
        <v>0</v>
      </c>
      <c r="F228" s="289">
        <f t="shared" ca="1" si="45"/>
        <v>60</v>
      </c>
      <c r="G228" s="290">
        <f ca="1">KTVCOI!R227</f>
        <v>6.5224671072710487</v>
      </c>
      <c r="H228" s="290">
        <f ca="1">(H227-F228-G228)*(1+LS!$F$3)</f>
        <v>-18861.866254754281</v>
      </c>
      <c r="I228" s="953"/>
      <c r="J228" s="292">
        <f t="shared" ca="1" si="46"/>
        <v>-18861.866254754281</v>
      </c>
      <c r="K228" s="949"/>
      <c r="L228" s="949"/>
      <c r="M228" s="949"/>
      <c r="N228" s="950"/>
      <c r="O228" s="950"/>
      <c r="X228" s="1004"/>
      <c r="Y228" s="1004"/>
    </row>
    <row r="229" spans="2:25" ht="9.75" customHeight="1">
      <c r="B229" s="951"/>
      <c r="C229" s="951"/>
      <c r="D229" s="287">
        <f t="shared" ca="1" si="44"/>
        <v>53078</v>
      </c>
      <c r="E229" s="359">
        <f t="shared" si="47"/>
        <v>0</v>
      </c>
      <c r="F229" s="289">
        <f t="shared" ca="1" si="45"/>
        <v>60</v>
      </c>
      <c r="G229" s="290">
        <f ca="1">KTVCOI!R228</f>
        <v>6.570216745406074</v>
      </c>
      <c r="H229" s="290">
        <f ca="1">(H228-F229-G229)*(1+LS!$F$3)</f>
        <v>-18999.509195332925</v>
      </c>
      <c r="I229" s="953"/>
      <c r="J229" s="292">
        <f t="shared" ca="1" si="46"/>
        <v>-18999.509195332925</v>
      </c>
      <c r="K229" s="949"/>
      <c r="L229" s="949"/>
      <c r="M229" s="949"/>
      <c r="N229" s="950"/>
      <c r="O229" s="950"/>
      <c r="X229" s="1004"/>
      <c r="Y229" s="1004"/>
    </row>
    <row r="230" spans="2:25" ht="9.75" customHeight="1">
      <c r="B230" s="951"/>
      <c r="C230" s="951"/>
      <c r="D230" s="287">
        <f t="shared" ca="1" si="44"/>
        <v>53108</v>
      </c>
      <c r="E230" s="359">
        <f t="shared" si="47"/>
        <v>0</v>
      </c>
      <c r="F230" s="289">
        <f t="shared" ca="1" si="45"/>
        <v>60</v>
      </c>
      <c r="G230" s="290">
        <f ca="1">KTVCOI!R229</f>
        <v>6.6181623697076342</v>
      </c>
      <c r="H230" s="290">
        <f ca="1">(H229-F230-G230)*(1+LS!$F$3)</f>
        <v>-19137.717084952619</v>
      </c>
      <c r="I230" s="953"/>
      <c r="J230" s="292">
        <f t="shared" ca="1" si="46"/>
        <v>-19137.717084952619</v>
      </c>
      <c r="K230" s="949"/>
      <c r="L230" s="949"/>
      <c r="M230" s="949"/>
      <c r="N230" s="950"/>
      <c r="O230" s="950"/>
      <c r="X230" s="1004"/>
      <c r="Y230" s="1004"/>
    </row>
    <row r="231" spans="2:25" ht="9.75" customHeight="1">
      <c r="B231" s="951"/>
      <c r="C231" s="951"/>
      <c r="D231" s="287">
        <f t="shared" ca="1" si="44"/>
        <v>53139</v>
      </c>
      <c r="E231" s="359">
        <f t="shared" si="47"/>
        <v>0</v>
      </c>
      <c r="F231" s="289">
        <f t="shared" ca="1" si="45"/>
        <v>60</v>
      </c>
      <c r="G231" s="290">
        <f ca="1">KTVCOI!R230</f>
        <v>6.6663047845918291</v>
      </c>
      <c r="H231" s="290">
        <f ca="1">(H230-F231-G231)*(1+LS!$F$3)</f>
        <v>-19276.492242420394</v>
      </c>
      <c r="I231" s="953"/>
      <c r="J231" s="293">
        <f ca="1">H231+I220</f>
        <v>-19276.492242420394</v>
      </c>
      <c r="K231" s="949"/>
      <c r="L231" s="949"/>
      <c r="M231" s="949"/>
      <c r="N231" s="950"/>
      <c r="O231" s="950"/>
      <c r="X231" s="1004"/>
      <c r="Y231" s="1004"/>
    </row>
    <row r="232" spans="2:25" ht="9.75" customHeight="1">
      <c r="B232" s="946">
        <f>B220+1</f>
        <v>20</v>
      </c>
      <c r="C232" s="947">
        <f ca="1">C220+1</f>
        <v>49</v>
      </c>
      <c r="D232" s="294">
        <f t="shared" ca="1" si="44"/>
        <v>53169</v>
      </c>
      <c r="E232" s="359">
        <f t="shared" si="47"/>
        <v>0</v>
      </c>
      <c r="F232" s="360">
        <f t="shared" ca="1" si="45"/>
        <v>60</v>
      </c>
      <c r="G232" s="290">
        <f ca="1">KTVCOI!R231</f>
        <v>7.2608120779783478</v>
      </c>
      <c r="H232" s="290">
        <f ca="1">(H231+KTVBVGTTKMH!F26-F232-G232)*(1+LS!$F$3)</f>
        <v>-19416.385214096485</v>
      </c>
      <c r="I232" s="948">
        <f ca="1">IF(COUNTIF(KTVBVGTTKMH!$E$7:E26,0)&gt;0,0,'Tinh phi QL'!H12/1000)</f>
        <v>0</v>
      </c>
      <c r="J232" s="296">
        <f t="shared" ca="1" si="46"/>
        <v>-19416.385214096485</v>
      </c>
      <c r="K232" s="949">
        <f ca="1">J243</f>
        <v>-20993.897248596921</v>
      </c>
      <c r="L232" s="949"/>
      <c r="M232" s="949"/>
      <c r="N232" s="950">
        <f t="shared" ref="N232" ca="1" si="52">SUM(G232:G243)</f>
        <v>90.655843107561836</v>
      </c>
      <c r="O232" s="950"/>
      <c r="X232" s="945">
        <f t="shared" ref="X232:Y232" ca="1" si="53">SUM(F232:F243)</f>
        <v>720</v>
      </c>
      <c r="Y232" s="945">
        <f t="shared" ca="1" si="53"/>
        <v>90.655843107561836</v>
      </c>
    </row>
    <row r="233" spans="2:25" ht="9.75" customHeight="1">
      <c r="B233" s="946"/>
      <c r="C233" s="946"/>
      <c r="D233" s="294">
        <f t="shared" ca="1" si="44"/>
        <v>53200</v>
      </c>
      <c r="E233" s="359">
        <f t="shared" si="47"/>
        <v>0</v>
      </c>
      <c r="F233" s="360">
        <f t="shared" ca="1" si="45"/>
        <v>60</v>
      </c>
      <c r="G233" s="290">
        <f ca="1">KTVCOI!R232</f>
        <v>7.313505097309676</v>
      </c>
      <c r="H233" s="290">
        <f ca="1">(H232-F233-G233)*(1+LS!$F$3)</f>
        <v>-19556.856348478406</v>
      </c>
      <c r="I233" s="948"/>
      <c r="J233" s="296">
        <f t="shared" ca="1" si="46"/>
        <v>-19556.856348478406</v>
      </c>
      <c r="K233" s="949"/>
      <c r="L233" s="949"/>
      <c r="M233" s="949"/>
      <c r="N233" s="950"/>
      <c r="O233" s="950"/>
      <c r="X233" s="1004"/>
      <c r="Y233" s="1004"/>
    </row>
    <row r="234" spans="2:25" ht="9.75" customHeight="1">
      <c r="B234" s="946"/>
      <c r="C234" s="946"/>
      <c r="D234" s="294">
        <f t="shared" ca="1" si="44"/>
        <v>53231</v>
      </c>
      <c r="E234" s="359">
        <f t="shared" si="47"/>
        <v>0</v>
      </c>
      <c r="F234" s="360">
        <f t="shared" ca="1" si="45"/>
        <v>60</v>
      </c>
      <c r="G234" s="290">
        <f ca="1">KTVCOI!R233</f>
        <v>7.3664158912601989</v>
      </c>
      <c r="H234" s="290">
        <f ca="1">(H233-F234-G234)*(1+LS!$F$3)</f>
        <v>-19697.908035050848</v>
      </c>
      <c r="I234" s="948"/>
      <c r="J234" s="296">
        <f t="shared" ca="1" si="46"/>
        <v>-19697.908035050848</v>
      </c>
      <c r="K234" s="949"/>
      <c r="L234" s="949"/>
      <c r="M234" s="949"/>
      <c r="N234" s="950"/>
      <c r="O234" s="950"/>
      <c r="X234" s="1004"/>
      <c r="Y234" s="1004"/>
    </row>
    <row r="235" spans="2:25" ht="9.75" customHeight="1">
      <c r="B235" s="946"/>
      <c r="C235" s="946"/>
      <c r="D235" s="294">
        <f t="shared" ca="1" si="44"/>
        <v>53261</v>
      </c>
      <c r="E235" s="359">
        <f t="shared" si="47"/>
        <v>0</v>
      </c>
      <c r="F235" s="360">
        <f t="shared" ca="1" si="45"/>
        <v>60</v>
      </c>
      <c r="G235" s="290">
        <f ca="1">KTVCOI!R234</f>
        <v>7.4195453598691516</v>
      </c>
      <c r="H235" s="290">
        <f ca="1">(H234-F235-G235)*(1+LS!$F$3)</f>
        <v>-19839.542673173986</v>
      </c>
      <c r="I235" s="948"/>
      <c r="J235" s="296">
        <f t="shared" ca="1" si="46"/>
        <v>-19839.542673173986</v>
      </c>
      <c r="K235" s="949"/>
      <c r="L235" s="949"/>
      <c r="M235" s="949"/>
      <c r="N235" s="950"/>
      <c r="O235" s="950"/>
      <c r="X235" s="1004"/>
      <c r="Y235" s="1004"/>
    </row>
    <row r="236" spans="2:25" ht="9.75" customHeight="1">
      <c r="B236" s="946"/>
      <c r="C236" s="946"/>
      <c r="D236" s="294">
        <f t="shared" ca="1" si="44"/>
        <v>53292</v>
      </c>
      <c r="E236" s="359">
        <f t="shared" si="47"/>
        <v>0</v>
      </c>
      <c r="F236" s="360">
        <f t="shared" ca="1" si="45"/>
        <v>60</v>
      </c>
      <c r="G236" s="290">
        <f ca="1">KTVCOI!R235</f>
        <v>7.4728944068955343</v>
      </c>
      <c r="H236" s="290">
        <f ca="1">(H235-F236-G236)*(1+LS!$F$3)</f>
        <v>-19981.7626721243</v>
      </c>
      <c r="I236" s="948"/>
      <c r="J236" s="296">
        <f t="shared" ca="1" si="46"/>
        <v>-19981.7626721243</v>
      </c>
      <c r="K236" s="949"/>
      <c r="L236" s="949"/>
      <c r="M236" s="949"/>
      <c r="N236" s="950"/>
      <c r="O236" s="950"/>
      <c r="X236" s="1004"/>
      <c r="Y236" s="1004"/>
    </row>
    <row r="237" spans="2:25" ht="9.75" customHeight="1">
      <c r="B237" s="946"/>
      <c r="C237" s="946"/>
      <c r="D237" s="294">
        <f t="shared" ca="1" si="44"/>
        <v>53322</v>
      </c>
      <c r="E237" s="359">
        <f t="shared" si="47"/>
        <v>0</v>
      </c>
      <c r="F237" s="360">
        <f t="shared" ca="1" si="45"/>
        <v>60</v>
      </c>
      <c r="G237" s="290">
        <f ca="1">KTVCOI!R236</f>
        <v>7.5264639398334845</v>
      </c>
      <c r="H237" s="290">
        <f ca="1">(H236-F237-G237)*(1+LS!$F$3)</f>
        <v>-20124.570451135547</v>
      </c>
      <c r="I237" s="948"/>
      <c r="J237" s="296">
        <f t="shared" ca="1" si="46"/>
        <v>-20124.570451135547</v>
      </c>
      <c r="K237" s="949"/>
      <c r="L237" s="949"/>
      <c r="M237" s="949"/>
      <c r="N237" s="950"/>
      <c r="O237" s="950"/>
      <c r="X237" s="1004"/>
      <c r="Y237" s="1004"/>
    </row>
    <row r="238" spans="2:25" ht="9.75" customHeight="1">
      <c r="B238" s="946"/>
      <c r="C238" s="946"/>
      <c r="D238" s="294">
        <f t="shared" ca="1" si="44"/>
        <v>53353</v>
      </c>
      <c r="E238" s="359">
        <f t="shared" si="47"/>
        <v>0</v>
      </c>
      <c r="F238" s="360">
        <f t="shared" ca="1" si="45"/>
        <v>60</v>
      </c>
      <c r="G238" s="290">
        <f ca="1">KTVCOI!R237</f>
        <v>7.5802548699277219</v>
      </c>
      <c r="H238" s="290">
        <f ca="1">(H237-F238-G238)*(1+LS!$F$3)</f>
        <v>-20267.968439439923</v>
      </c>
      <c r="I238" s="948"/>
      <c r="J238" s="296">
        <f t="shared" ca="1" si="46"/>
        <v>-20267.968439439923</v>
      </c>
      <c r="K238" s="949"/>
      <c r="L238" s="949"/>
      <c r="M238" s="949"/>
      <c r="N238" s="950"/>
      <c r="O238" s="950"/>
      <c r="X238" s="1004"/>
      <c r="Y238" s="1004"/>
    </row>
    <row r="239" spans="2:25" ht="9.75" customHeight="1">
      <c r="B239" s="946"/>
      <c r="C239" s="946"/>
      <c r="D239" s="294">
        <f t="shared" ca="1" si="44"/>
        <v>53384</v>
      </c>
      <c r="E239" s="359">
        <f t="shared" si="47"/>
        <v>0</v>
      </c>
      <c r="F239" s="360">
        <f t="shared" ca="1" si="45"/>
        <v>60</v>
      </c>
      <c r="G239" s="290">
        <f ca="1">KTVCOI!R238</f>
        <v>7.6342681121890372</v>
      </c>
      <c r="H239" s="290">
        <f ca="1">(H238-F239-G239)*(1+LS!$F$3)</f>
        <v>-20411.959076309377</v>
      </c>
      <c r="I239" s="948"/>
      <c r="J239" s="296">
        <f t="shared" ca="1" si="46"/>
        <v>-20411.959076309377</v>
      </c>
      <c r="K239" s="949"/>
      <c r="L239" s="949"/>
      <c r="M239" s="949"/>
      <c r="N239" s="950"/>
      <c r="O239" s="950"/>
      <c r="X239" s="1004"/>
      <c r="Y239" s="1004"/>
    </row>
    <row r="240" spans="2:25" ht="9.75" customHeight="1">
      <c r="B240" s="946"/>
      <c r="C240" s="946"/>
      <c r="D240" s="294">
        <f t="shared" ca="1" si="44"/>
        <v>53412</v>
      </c>
      <c r="E240" s="359">
        <f t="shared" si="47"/>
        <v>0</v>
      </c>
      <c r="F240" s="360">
        <f t="shared" ca="1" si="45"/>
        <v>60</v>
      </c>
      <c r="G240" s="290">
        <f ca="1">KTVCOI!R239</f>
        <v>7.6885045854098637</v>
      </c>
      <c r="H240" s="290">
        <f ca="1">(H239-F240-G240)*(1+LS!$F$3)</f>
        <v>-20556.544811097112</v>
      </c>
      <c r="I240" s="948"/>
      <c r="J240" s="296">
        <f t="shared" ca="1" si="46"/>
        <v>-20556.544811097112</v>
      </c>
      <c r="K240" s="949"/>
      <c r="L240" s="949"/>
      <c r="M240" s="949"/>
      <c r="N240" s="950"/>
      <c r="O240" s="950"/>
      <c r="X240" s="1004"/>
      <c r="Y240" s="1004"/>
    </row>
    <row r="241" spans="2:25" ht="9.75" customHeight="1">
      <c r="B241" s="946"/>
      <c r="C241" s="946"/>
      <c r="D241" s="294">
        <f t="shared" ca="1" si="44"/>
        <v>53443</v>
      </c>
      <c r="E241" s="359">
        <f t="shared" si="47"/>
        <v>0</v>
      </c>
      <c r="F241" s="360">
        <f t="shared" ca="1" si="45"/>
        <v>60</v>
      </c>
      <c r="G241" s="290">
        <f ca="1">KTVCOI!R240</f>
        <v>7.7429652121799117</v>
      </c>
      <c r="H241" s="290">
        <f ca="1">(H240-F241-G241)*(1+LS!$F$3)</f>
        <v>-20701.728103279242</v>
      </c>
      <c r="I241" s="948"/>
      <c r="J241" s="296">
        <f t="shared" ca="1" si="46"/>
        <v>-20701.728103279242</v>
      </c>
      <c r="K241" s="949"/>
      <c r="L241" s="949"/>
      <c r="M241" s="949"/>
      <c r="N241" s="950"/>
      <c r="O241" s="950"/>
      <c r="X241" s="1004"/>
      <c r="Y241" s="1004"/>
    </row>
    <row r="242" spans="2:25" ht="9.75" customHeight="1">
      <c r="B242" s="946"/>
      <c r="C242" s="946"/>
      <c r="D242" s="294">
        <f t="shared" ca="1" si="44"/>
        <v>53473</v>
      </c>
      <c r="E242" s="359">
        <f t="shared" si="47"/>
        <v>0</v>
      </c>
      <c r="F242" s="360">
        <f t="shared" ca="1" si="45"/>
        <v>60</v>
      </c>
      <c r="G242" s="290">
        <f ca="1">KTVCOI!R241</f>
        <v>7.797650918901847</v>
      </c>
      <c r="H242" s="290">
        <f ca="1">(H241-F242-G242)*(1+LS!$F$3)</f>
        <v>-20847.511422496635</v>
      </c>
      <c r="I242" s="948"/>
      <c r="J242" s="296">
        <f t="shared" ca="1" si="46"/>
        <v>-20847.511422496635</v>
      </c>
      <c r="K242" s="949"/>
      <c r="L242" s="949"/>
      <c r="M242" s="949"/>
      <c r="N242" s="950"/>
      <c r="O242" s="950"/>
      <c r="X242" s="1004"/>
      <c r="Y242" s="1004"/>
    </row>
    <row r="243" spans="2:25" ht="9.75" customHeight="1">
      <c r="B243" s="946"/>
      <c r="C243" s="946"/>
      <c r="D243" s="294">
        <f t="shared" ca="1" si="44"/>
        <v>53504</v>
      </c>
      <c r="E243" s="359">
        <f t="shared" si="47"/>
        <v>0</v>
      </c>
      <c r="F243" s="360">
        <f t="shared" ca="1" si="45"/>
        <v>60</v>
      </c>
      <c r="G243" s="290">
        <f ca="1">KTVCOI!R242</f>
        <v>7.8525626358070646</v>
      </c>
      <c r="H243" s="290">
        <f ca="1">(H242-F243-G243)*(1+LS!$F$3)</f>
        <v>-20993.897248596921</v>
      </c>
      <c r="I243" s="948"/>
      <c r="J243" s="297">
        <f ca="1">H243+I232</f>
        <v>-20993.897248596921</v>
      </c>
      <c r="K243" s="949"/>
      <c r="L243" s="949"/>
      <c r="M243" s="949"/>
      <c r="N243" s="950"/>
      <c r="O243" s="950"/>
      <c r="X243" s="1004"/>
      <c r="Y243" s="1004"/>
    </row>
    <row r="244" spans="2:25" ht="9.75" customHeight="1">
      <c r="X244" s="945"/>
      <c r="Y244" s="945"/>
    </row>
    <row r="245" spans="2:25" ht="9.75" customHeight="1">
      <c r="X245" s="1004"/>
      <c r="Y245" s="1004"/>
    </row>
    <row r="246" spans="2:25" ht="9.75" customHeight="1">
      <c r="X246" s="1004"/>
      <c r="Y246" s="1004"/>
    </row>
    <row r="247" spans="2:25" ht="9.75" customHeight="1">
      <c r="X247" s="1004"/>
      <c r="Y247" s="1004"/>
    </row>
    <row r="248" spans="2:25" ht="9.75" customHeight="1">
      <c r="X248" s="1004"/>
      <c r="Y248" s="1004"/>
    </row>
    <row r="249" spans="2:25" ht="9.75" customHeight="1">
      <c r="X249" s="1004"/>
      <c r="Y249" s="1004"/>
    </row>
    <row r="250" spans="2:25" ht="9.75" customHeight="1">
      <c r="X250" s="1004"/>
      <c r="Y250" s="1004"/>
    </row>
    <row r="251" spans="2:25" ht="9.75" customHeight="1">
      <c r="X251" s="1004"/>
      <c r="Y251" s="1004"/>
    </row>
    <row r="252" spans="2:25" ht="9.75" customHeight="1">
      <c r="X252" s="1004"/>
      <c r="Y252" s="1004"/>
    </row>
    <row r="253" spans="2:25" ht="9.75" customHeight="1">
      <c r="X253" s="1004"/>
      <c r="Y253" s="1004"/>
    </row>
    <row r="254" spans="2:25" ht="9.75" customHeight="1">
      <c r="X254" s="1004"/>
      <c r="Y254" s="1004"/>
    </row>
    <row r="255" spans="2:25" ht="9.75" customHeight="1">
      <c r="X255" s="1004"/>
      <c r="Y255" s="1004"/>
    </row>
  </sheetData>
  <sheetProtection selectLockedCells="1"/>
  <mergeCells count="140">
    <mergeCell ref="B16:B27"/>
    <mergeCell ref="C16:C27"/>
    <mergeCell ref="K16:M27"/>
    <mergeCell ref="N16:O27"/>
    <mergeCell ref="B2:I2"/>
    <mergeCell ref="B4:B15"/>
    <mergeCell ref="C4:C15"/>
    <mergeCell ref="K4:M15"/>
    <mergeCell ref="N4:O15"/>
    <mergeCell ref="B28:B39"/>
    <mergeCell ref="C28:C39"/>
    <mergeCell ref="K28:M39"/>
    <mergeCell ref="N28:O39"/>
    <mergeCell ref="B40:B51"/>
    <mergeCell ref="C40:C51"/>
    <mergeCell ref="I40:I51"/>
    <mergeCell ref="K40:M51"/>
    <mergeCell ref="N40:O51"/>
    <mergeCell ref="B52:B63"/>
    <mergeCell ref="C52:C63"/>
    <mergeCell ref="I52:I63"/>
    <mergeCell ref="K52:M63"/>
    <mergeCell ref="N52:O63"/>
    <mergeCell ref="B64:B75"/>
    <mergeCell ref="C64:C75"/>
    <mergeCell ref="I64:I75"/>
    <mergeCell ref="K64:M75"/>
    <mergeCell ref="N64:O75"/>
    <mergeCell ref="B76:B87"/>
    <mergeCell ref="C76:C87"/>
    <mergeCell ref="I76:I87"/>
    <mergeCell ref="K76:M87"/>
    <mergeCell ref="N76:O87"/>
    <mergeCell ref="B88:B99"/>
    <mergeCell ref="C88:C99"/>
    <mergeCell ref="I88:I99"/>
    <mergeCell ref="K88:M99"/>
    <mergeCell ref="N88:O99"/>
    <mergeCell ref="B100:B111"/>
    <mergeCell ref="C100:C111"/>
    <mergeCell ref="I100:I111"/>
    <mergeCell ref="K100:M111"/>
    <mergeCell ref="N100:O111"/>
    <mergeCell ref="B112:B123"/>
    <mergeCell ref="C112:C123"/>
    <mergeCell ref="I112:I123"/>
    <mergeCell ref="K112:M123"/>
    <mergeCell ref="N112:O123"/>
    <mergeCell ref="K148:M159"/>
    <mergeCell ref="N148:O159"/>
    <mergeCell ref="B160:B171"/>
    <mergeCell ref="C160:C171"/>
    <mergeCell ref="I160:I171"/>
    <mergeCell ref="K160:M171"/>
    <mergeCell ref="N160:O171"/>
    <mergeCell ref="B124:B135"/>
    <mergeCell ref="C124:C135"/>
    <mergeCell ref="I124:I135"/>
    <mergeCell ref="K124:M135"/>
    <mergeCell ref="N124:O135"/>
    <mergeCell ref="B136:B147"/>
    <mergeCell ref="C136:C147"/>
    <mergeCell ref="I136:I147"/>
    <mergeCell ref="K136:M147"/>
    <mergeCell ref="N136:O147"/>
    <mergeCell ref="B232:B243"/>
    <mergeCell ref="C232:C243"/>
    <mergeCell ref="I232:I243"/>
    <mergeCell ref="K232:M243"/>
    <mergeCell ref="N232:O243"/>
    <mergeCell ref="B196:B207"/>
    <mergeCell ref="C196:C207"/>
    <mergeCell ref="I196:I207"/>
    <mergeCell ref="K196:M207"/>
    <mergeCell ref="N196:O207"/>
    <mergeCell ref="B208:B219"/>
    <mergeCell ref="C208:C219"/>
    <mergeCell ref="I208:I219"/>
    <mergeCell ref="K208:M219"/>
    <mergeCell ref="N208:O219"/>
    <mergeCell ref="X4:X15"/>
    <mergeCell ref="Y4:Y15"/>
    <mergeCell ref="X16:X27"/>
    <mergeCell ref="Y16:Y27"/>
    <mergeCell ref="X28:X39"/>
    <mergeCell ref="Y28:Y39"/>
    <mergeCell ref="B220:B231"/>
    <mergeCell ref="C220:C231"/>
    <mergeCell ref="I220:I231"/>
    <mergeCell ref="K220:M231"/>
    <mergeCell ref="N220:O231"/>
    <mergeCell ref="B172:B183"/>
    <mergeCell ref="C172:C183"/>
    <mergeCell ref="I172:I183"/>
    <mergeCell ref="K172:M183"/>
    <mergeCell ref="N172:O183"/>
    <mergeCell ref="B184:B195"/>
    <mergeCell ref="C184:C195"/>
    <mergeCell ref="I184:I195"/>
    <mergeCell ref="K184:M195"/>
    <mergeCell ref="N184:O195"/>
    <mergeCell ref="B148:B159"/>
    <mergeCell ref="C148:C159"/>
    <mergeCell ref="I148:I159"/>
    <mergeCell ref="X76:X87"/>
    <mergeCell ref="Y76:Y87"/>
    <mergeCell ref="X88:X99"/>
    <mergeCell ref="Y88:Y99"/>
    <mergeCell ref="X100:X111"/>
    <mergeCell ref="Y100:Y111"/>
    <mergeCell ref="X40:X51"/>
    <mergeCell ref="Y40:Y51"/>
    <mergeCell ref="X52:X63"/>
    <mergeCell ref="Y52:Y63"/>
    <mergeCell ref="X64:X75"/>
    <mergeCell ref="Y64:Y75"/>
    <mergeCell ref="X148:X159"/>
    <mergeCell ref="Y148:Y159"/>
    <mergeCell ref="X160:X171"/>
    <mergeCell ref="Y160:Y171"/>
    <mergeCell ref="X172:X183"/>
    <mergeCell ref="Y172:Y183"/>
    <mergeCell ref="X112:X123"/>
    <mergeCell ref="Y112:Y123"/>
    <mergeCell ref="X124:X135"/>
    <mergeCell ref="Y124:Y135"/>
    <mergeCell ref="X136:X147"/>
    <mergeCell ref="Y136:Y147"/>
    <mergeCell ref="X220:X231"/>
    <mergeCell ref="Y220:Y231"/>
    <mergeCell ref="X232:X243"/>
    <mergeCell ref="Y232:Y243"/>
    <mergeCell ref="X244:X255"/>
    <mergeCell ref="Y244:Y255"/>
    <mergeCell ref="X184:X195"/>
    <mergeCell ref="Y184:Y195"/>
    <mergeCell ref="X196:X207"/>
    <mergeCell ref="Y196:Y207"/>
    <mergeCell ref="X208:X219"/>
    <mergeCell ref="Y208:Y219"/>
  </mergeCells>
  <conditionalFormatting sqref="H1:J5 I6:J52 H6:H243 J53:J63 H244:J1048576">
    <cfRule type="cellIs" dxfId="183" priority="2" operator="lessThan">
      <formula>0</formula>
    </cfRule>
  </conditionalFormatting>
  <conditionalFormatting sqref="I64:J243">
    <cfRule type="cellIs" dxfId="182" priority="1" operator="lessThan">
      <formula>0</formula>
    </cfRule>
  </conditionalFormatting>
  <pageMargins left="0.75" right="0.75" top="1" bottom="1" header="0.5" footer="0.5"/>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6F3907-9168-49F6-AC35-F2DFE2309297}">
  <dimension ref="B1:AH24"/>
  <sheetViews>
    <sheetView showGridLines="0" zoomScale="70" zoomScaleNormal="70" workbookViewId="0"/>
  </sheetViews>
  <sheetFormatPr defaultColWidth="12.5" defaultRowHeight="10.5"/>
  <cols>
    <col min="1" max="1" width="0.5" style="363" customWidth="1"/>
    <col min="2" max="2" width="2.69921875" style="363" customWidth="1"/>
    <col min="3" max="3" width="3.296875" style="363" customWidth="1"/>
    <col min="4" max="7" width="6.69921875" style="363" customWidth="1"/>
    <col min="8" max="8" width="9.796875" style="363" customWidth="1"/>
    <col min="9" max="14" width="6.69921875" style="363" customWidth="1"/>
    <col min="15" max="15" width="8.796875" style="363" customWidth="1"/>
    <col min="16" max="26" width="6.69921875" style="363" customWidth="1"/>
    <col min="27" max="33" width="6.296875" style="363" customWidth="1"/>
    <col min="34" max="34" width="10.296875" style="363" customWidth="1"/>
    <col min="35" max="16384" width="12.5" style="363"/>
  </cols>
  <sheetData>
    <row r="1" spans="2:34">
      <c r="B1" s="964"/>
      <c r="C1" s="964"/>
      <c r="D1" s="964"/>
      <c r="E1" s="964"/>
      <c r="F1" s="964"/>
      <c r="G1" s="964"/>
      <c r="H1" s="964"/>
    </row>
    <row r="2" spans="2:34">
      <c r="B2" s="965" t="str">
        <f>'Tinh phi QL'!F7</f>
        <v xml:space="preserve">TRAN VAN HUY    </v>
      </c>
      <c r="C2" s="965"/>
      <c r="D2" s="965"/>
      <c r="E2" s="965"/>
      <c r="F2" s="965"/>
      <c r="G2" s="965"/>
      <c r="H2" s="965"/>
      <c r="I2" s="965"/>
      <c r="J2" s="965"/>
      <c r="K2" s="965"/>
      <c r="L2" s="966" t="str">
        <f>'Tinh phi QL'!F28</f>
        <v>Đỗ Thị X</v>
      </c>
      <c r="M2" s="966"/>
      <c r="N2" s="966"/>
      <c r="O2" s="966"/>
      <c r="P2" s="966"/>
      <c r="Q2" s="966"/>
      <c r="R2" s="966"/>
      <c r="S2" s="364"/>
      <c r="T2" s="966" t="str">
        <f>'Tinh phi QL'!F48</f>
        <v>Trần Huy A</v>
      </c>
      <c r="U2" s="966"/>
      <c r="V2" s="966"/>
      <c r="W2" s="966"/>
      <c r="X2" s="966"/>
      <c r="Y2" s="966"/>
      <c r="Z2" s="966"/>
      <c r="AA2" s="966" t="str">
        <f>'Tinh phi QL'!F67</f>
        <v>Trần Huy B</v>
      </c>
      <c r="AB2" s="966"/>
      <c r="AC2" s="966"/>
      <c r="AD2" s="966"/>
      <c r="AE2" s="966"/>
      <c r="AF2" s="966"/>
      <c r="AG2" s="966"/>
    </row>
    <row r="3" spans="2:34" ht="66.75" customHeight="1">
      <c r="B3" s="366" t="s">
        <v>670</v>
      </c>
      <c r="C3" s="366" t="s">
        <v>842</v>
      </c>
      <c r="D3" s="366" t="s">
        <v>742</v>
      </c>
      <c r="E3" s="366" t="str">
        <f>'Tinh phi QL'!$B$14</f>
        <v>Bảo hiểm Tử vong và thương tật do tai nạn</v>
      </c>
      <c r="F3" s="366" t="str">
        <f>'Tinh phi QL'!$B$15</f>
        <v>Bảo hiểm Hỗ trợ chi phí nằm viện</v>
      </c>
      <c r="G3" s="366" t="str">
        <f>'Tinh phi QL'!$B$16</f>
        <v>Bảo hiểm Toàn diện Bệnh hiểm nghèo 2.0</v>
      </c>
      <c r="H3" s="366" t="str">
        <f>'Tinh phi QL'!$B$17</f>
        <v>Bảo hiểm chăm sóc sức khỏe Trọn đời - Nội Trú (Chọn phạm vi bảo lãnh)</v>
      </c>
      <c r="I3" s="366" t="str">
        <f>'Tinh phi QL'!$B$19</f>
        <v>Bảo hiểm chăm sóc sức khỏe Trọn đời - Ngoại Trú</v>
      </c>
      <c r="J3" s="366" t="str">
        <f>'Tinh phi QL'!$B$21</f>
        <v>Bảo hiểm chăm sóc sức khỏe Trọn đời - Nha khoa</v>
      </c>
      <c r="K3" s="366" t="str">
        <f>'Tinh phi QL'!$B$25</f>
        <v>Bảo hiểm tử kỳ gia hạn hàng năm</v>
      </c>
      <c r="L3" s="367" t="str">
        <f>'Tinh phi QL'!$B$14</f>
        <v>Bảo hiểm Tử vong và thương tật do tai nạn</v>
      </c>
      <c r="M3" s="367" t="str">
        <f>'Tinh phi QL'!$B$15</f>
        <v>Bảo hiểm Hỗ trợ chi phí nằm viện</v>
      </c>
      <c r="N3" s="367" t="str">
        <f>'Tinh phi QL'!$B$16</f>
        <v>Bảo hiểm Toàn diện Bệnh hiểm nghèo 2.0</v>
      </c>
      <c r="O3" s="367" t="str">
        <f>'Tinh phi QL'!$B$17</f>
        <v>Bảo hiểm chăm sóc sức khỏe Trọn đời - Nội Trú (Chọn phạm vi bảo lãnh)</v>
      </c>
      <c r="P3" s="367" t="str">
        <f>'Tinh phi QL'!$B$19</f>
        <v>Bảo hiểm chăm sóc sức khỏe Trọn đời - Ngoại Trú</v>
      </c>
      <c r="Q3" s="367" t="str">
        <f>'Tinh phi QL'!$B$21</f>
        <v>Bảo hiểm chăm sóc sức khỏe Trọn đời - Nha khoa</v>
      </c>
      <c r="R3" s="367" t="str">
        <f>'Tinh phi QL'!$B$25</f>
        <v>Bảo hiểm tử kỳ gia hạn hàng năm</v>
      </c>
      <c r="S3" s="367" t="str">
        <f>'Tinh phi QL'!B45</f>
        <v>Bảo hiểm Miễn thu phí - phiên bản 3.0</v>
      </c>
      <c r="T3" s="366" t="str">
        <f>'Tinh phi QL'!$B$14</f>
        <v>Bảo hiểm Tử vong và thương tật do tai nạn</v>
      </c>
      <c r="U3" s="366" t="str">
        <f>'Tinh phi QL'!$B$15</f>
        <v>Bảo hiểm Hỗ trợ chi phí nằm viện</v>
      </c>
      <c r="V3" s="366" t="str">
        <f>'Tinh phi QL'!$B$16</f>
        <v>Bảo hiểm Toàn diện Bệnh hiểm nghèo 2.0</v>
      </c>
      <c r="W3" s="366" t="str">
        <f>'Tinh phi QL'!$B$17</f>
        <v>Bảo hiểm chăm sóc sức khỏe Trọn đời - Nội Trú (Chọn phạm vi bảo lãnh)</v>
      </c>
      <c r="X3" s="366" t="str">
        <f>'Tinh phi QL'!$B$19</f>
        <v>Bảo hiểm chăm sóc sức khỏe Trọn đời - Ngoại Trú</v>
      </c>
      <c r="Y3" s="366" t="str">
        <f>'Tinh phi QL'!$B$21</f>
        <v>Bảo hiểm chăm sóc sức khỏe Trọn đời - Nha khoa</v>
      </c>
      <c r="Z3" s="366" t="str">
        <f>'Tinh phi QL'!$B$25</f>
        <v>Bảo hiểm tử kỳ gia hạn hàng năm</v>
      </c>
      <c r="AA3" s="367" t="str">
        <f>'Tinh phi QL'!$B$14</f>
        <v>Bảo hiểm Tử vong và thương tật do tai nạn</v>
      </c>
      <c r="AB3" s="367" t="str">
        <f>'Tinh phi QL'!$B$15</f>
        <v>Bảo hiểm Hỗ trợ chi phí nằm viện</v>
      </c>
      <c r="AC3" s="367" t="str">
        <f>'Tinh phi QL'!$B$16</f>
        <v>Bảo hiểm Toàn diện Bệnh hiểm nghèo 2.0</v>
      </c>
      <c r="AD3" s="367" t="str">
        <f>'Tinh phi QL'!$B$17</f>
        <v>Bảo hiểm chăm sóc sức khỏe Trọn đời - Nội Trú (Chọn phạm vi bảo lãnh)</v>
      </c>
      <c r="AE3" s="367" t="str">
        <f>'Tinh phi QL'!$B$19</f>
        <v>Bảo hiểm chăm sóc sức khỏe Trọn đời - Ngoại Trú</v>
      </c>
      <c r="AF3" s="367" t="str">
        <f>'Tinh phi QL'!$B$21</f>
        <v>Bảo hiểm chăm sóc sức khỏe Trọn đời - Nha khoa</v>
      </c>
      <c r="AG3" s="367" t="str">
        <f>'Tinh phi QL'!$B$25</f>
        <v>Bảo hiểm tử kỳ gia hạn hàng năm</v>
      </c>
      <c r="AH3" s="366" t="s">
        <v>763</v>
      </c>
    </row>
    <row r="4" spans="2:34">
      <c r="B4" s="368">
        <v>1</v>
      </c>
      <c r="C4" s="368">
        <f>IF(ROW(A1)&gt;'Tinh phi QL'!$D$12,"",ROW(A1))</f>
        <v>1</v>
      </c>
      <c r="D4" s="369">
        <f ca="1">IF(IFERROR(--TRIM(C4),0)=0,0,'Tinh phi QL'!$H$12/1000)</f>
        <v>0</v>
      </c>
      <c r="E4" s="370">
        <f>'Tinh phi QL'!H14/1000</f>
        <v>2270</v>
      </c>
      <c r="F4" s="370">
        <f ca="1">IF('Tinh phi QL'!I8=0,0,VLOOKUP('Tinh phi QL'!$I$8,TCYT!$A$2:$B$60,2,0)*'Tinh phi QL'!$G$15/100000)</f>
        <v>0</v>
      </c>
      <c r="G4" s="370">
        <f ca="1">'Tinh phi QL'!$G$16/1000000*IF('Tinh phi QL'!$H$9="nam",VLOOKUP('Tinh phi QL'!$I$8,BHN!$A$2:$C$87,2,0),VLOOKUP('Tinh phi QL'!$I$8,BHN!$A$2:$C$87,3,0))</f>
        <v>606</v>
      </c>
      <c r="H4" s="370">
        <f ca="1">'Tinh phi QL'!H17/1000</f>
        <v>3695</v>
      </c>
      <c r="I4" s="370">
        <f>'Tinh phi QL'!H19/1000</f>
        <v>0</v>
      </c>
      <c r="J4" s="370">
        <f>'Tinh phi QL'!H21/1000</f>
        <v>0</v>
      </c>
      <c r="K4" s="370">
        <f ca="1">'Tinh phi QL'!$G$25/1000000*IF('Tinh phi QL'!$H$9="nam",VLOOKUP('Tinh phi QL'!$I$8,Tuky!$A$2:$C$87,2,0),VLOOKUP('Tinh phi QL'!$I$8,Tuky!$A$2:$C$87,3,0))</f>
        <v>0</v>
      </c>
      <c r="L4" s="370">
        <f>'Tinh phi QL'!H33/1000</f>
        <v>0</v>
      </c>
      <c r="M4" s="370" t="e">
        <f ca="1">VLOOKUP('Tinh phi QL'!$I$29,TCYT!$A$2:$B$60,2,0)*'Tinh phi QL'!$G$34/100000</f>
        <v>#N/A</v>
      </c>
      <c r="N4" s="370">
        <f ca="1">'Tinh phi QL'!$G$35/1000000*IF('Tinh phi QL'!$H$30="nam",VLOOKUP('Tinh phi QL'!$I$29,BHN!$A$2:$C$87,2,0),VLOOKUP('Tinh phi QL'!$I$29,BHN!$A$2:$C$87,3,0))</f>
        <v>0</v>
      </c>
      <c r="O4" s="370">
        <f>'Tinh phi QL'!H36/1000</f>
        <v>0</v>
      </c>
      <c r="P4" s="370">
        <f>'Tinh phi QL'!H38/1000</f>
        <v>0</v>
      </c>
      <c r="Q4" s="370">
        <f>'Tinh phi QL'!H40/1000</f>
        <v>0</v>
      </c>
      <c r="R4" s="370">
        <f ca="1">'Tinh phi QL'!$G$44/1000000*IF('Tinh phi QL'!$H$30="nam",VLOOKUP('Tinh phi QL'!$I$29,Tuky!$A$2:$C$87,2,0),VLOOKUP('Tinh phi QL'!$I$29,Tuky!$A$2:$C$87,3,0))</f>
        <v>0</v>
      </c>
      <c r="S4" s="370">
        <f>IF('Tinh phi QL'!$G$45=0,0,'Tinh phi QL'!$G$45/1000000*IF('Tinh phi QL'!$H$30="nam",INDEX(MTPNam!$B$2:$AR$44,MATCH('Tinh phi QL'!$I$29,MTPNam!$A$2:$A$44,0),MATCH('Tinh phi QL'!$E$45,MTPNam!$B$1:$AR$1,0)),IF('Tinh phi QL'!$H$30="nữ",INDEX(MTPNu!$B$2:$AR$44,MATCH('Tinh phi QL'!$I$29,MTPNu!$A$2:$A$44,0),MATCH('Tinh phi QL'!$E$45,MTPNu!$B$1:$AR$1,0)))))</f>
        <v>0</v>
      </c>
      <c r="T4" s="370">
        <f>'Tinh phi QL'!H53/1000</f>
        <v>0</v>
      </c>
      <c r="U4" s="370">
        <f ca="1">VLOOKUP('Tinh phi QL'!$I$49,TCYT!$A$2:$B$60,2,0)*'Tinh phi QL'!$G$54/100000</f>
        <v>0</v>
      </c>
      <c r="V4" s="370">
        <f ca="1">'Tinh phi QL'!$G$55/1000000*IF('Tinh phi QL'!$H$50="nam",VLOOKUP('Tinh phi QL'!$I$49,BHN!$A$2:$C$87,2,0),VLOOKUP('Tinh phi QL'!$I$49,BHN!$A$2:$C$87,3,0))</f>
        <v>0</v>
      </c>
      <c r="W4" s="370">
        <f>'Tinh phi QL'!H56/1000</f>
        <v>0</v>
      </c>
      <c r="X4" s="370">
        <f>'Tinh phi QL'!H58/1000</f>
        <v>0</v>
      </c>
      <c r="Y4" s="370">
        <f>'Tinh phi QL'!H60/1000</f>
        <v>0</v>
      </c>
      <c r="Z4" s="370">
        <f ca="1">'Tinh phi QL'!$G$64/1000000*IF('Tinh phi QL'!$H$50="nam",VLOOKUP('Tinh phi QL'!$I$49,Tuky!$A$2:$C$87,2,0),VLOOKUP('Tinh phi QL'!$I$49,Tuky!$A$2:$C$87,3,0))</f>
        <v>0</v>
      </c>
      <c r="AA4" s="370">
        <f>'Tinh phi QL'!H72/1000</f>
        <v>0</v>
      </c>
      <c r="AB4" s="370">
        <f ca="1">VLOOKUP('Tinh phi QL'!$I$68,TCYT!$A$2:$B$60,2,0)*'Tinh phi QL'!$G$73/100000</f>
        <v>0</v>
      </c>
      <c r="AC4" s="370">
        <f ca="1">'Tinh phi QL'!$G$74/1000000*IF('Tinh phi QL'!$H$69="nam",VLOOKUP('Tinh phi QL'!$I$68,BHN!$A$2:$C$87,2,0),VLOOKUP('Tinh phi QL'!$I$68,BHN!$A$2:$C$87,3,0))</f>
        <v>0</v>
      </c>
      <c r="AD4" s="370">
        <f>'Tinh phi QL'!H75/1000</f>
        <v>0</v>
      </c>
      <c r="AE4" s="370">
        <f>'Tinh phi QL'!H77/1000</f>
        <v>0</v>
      </c>
      <c r="AF4" s="370">
        <f>'Tinh phi QL'!H79/1000</f>
        <v>0</v>
      </c>
      <c r="AG4" s="370">
        <f ca="1">'Tinh phi QL'!$G$83/1000000*IF('Tinh phi QL'!$H$69="nam",VLOOKUP('Tinh phi QL'!$I$68,Tuky!$A$2:$C$87,2,0),VLOOKUP('Tinh phi QL'!$I$68,Tuky!$A$2:$C$87,3,0))</f>
        <v>0</v>
      </c>
      <c r="AH4" s="371">
        <f ca="1">_xlfn.AGGREGATE(9,6,D4:AG4)</f>
        <v>6571</v>
      </c>
    </row>
    <row r="5" spans="2:34">
      <c r="B5" s="368">
        <v>2</v>
      </c>
      <c r="C5" s="368">
        <f>IF(ROW(A2)&gt;'Tinh phi QL'!$D$12,"",ROW(A2))</f>
        <v>2</v>
      </c>
      <c r="D5" s="369">
        <f ca="1">IF(IFERROR(--TRIM(C5),0)=0,0,'Tinh phi QL'!$H$12/1000)</f>
        <v>0</v>
      </c>
      <c r="E5" s="370">
        <f>E4</f>
        <v>2270</v>
      </c>
      <c r="F5" s="370">
        <f ca="1">VLOOKUP('Tinh phi QL'!$I$8+B4,TCYT!$A$2:$B$60,2,0)*'Tinh phi QL'!$G$15/100000</f>
        <v>0</v>
      </c>
      <c r="G5" s="370">
        <f ca="1">'Tinh phi QL'!$G$16/1000000*IF('Tinh phi QL'!$H$9="nam",VLOOKUP('Tinh phi QL'!$I$8+B4,BHN!$A$2:$C$87,2,0),VLOOKUP('Tinh phi QL'!$I$8+B4,BHN!$A$2:$C$87,3,0))</f>
        <v>606</v>
      </c>
      <c r="H5" s="370">
        <f ca="1">IF($H$4=0,0,IF('Tinh phi QL'!$F$17="Việt Nam",INDEX(TTD!$B$3:$E$102,MATCH('Tinh phi QL'!$I$8+B4,TTD!$A$3:$A$102,0),MATCH('Tinh phi QL'!$G$17,TTD!$B$2:$E$2,0)),IF('Tinh phi QL'!$F$17="Toàn cầu",INDEX(TTD!$F$3:$I$102,MATCH('Tinh phi QL'!$I$8+B4,TTD!$A$3:$A$102,0),MATCH('Tinh phi QL'!$G$17,TTD!$F$2:$I$2,0)))))/1000</f>
        <v>3695</v>
      </c>
      <c r="I5" s="370">
        <f>IF($I$4=0,0,INDEX(TTD!$J$3:$M$102,MATCH('Tinh phi QL'!$I$8+B4,TTD!$A$3:$A$102,0),MATCH('Tinh phi QL'!$G$19,TTD!$J$2:$M$2,0)))/1000</f>
        <v>0</v>
      </c>
      <c r="J5" s="370">
        <f>IF($J$4=0,0,INDEX(TTD!$N$3:$Q$102,MATCH('Tinh phi QL'!$I$8+B4,TTD!$A$3:$A$102,0),MATCH('Tinh phi QL'!$G$21,TTD!$N$2:$Q$2,0)))/1000</f>
        <v>0</v>
      </c>
      <c r="K5" s="370">
        <f ca="1">'Tinh phi QL'!$G$25/1000000*IF('Tinh phi QL'!$H$9="nam",VLOOKUP('Tinh phi QL'!$I$8+B4,Tuky!$A$2:$C$87,2,0),VLOOKUP('Tinh phi QL'!$I$8+B4,Tuky!$A$2:$C$87,3,0))</f>
        <v>0</v>
      </c>
      <c r="L5" s="370">
        <f>L4</f>
        <v>0</v>
      </c>
      <c r="M5" s="370">
        <f ca="1">VLOOKUP('Tinh phi QL'!$I$29+B4,TCYT!$A$2:$B$60,2,0)*'Tinh phi QL'!$G$34/100000</f>
        <v>0</v>
      </c>
      <c r="N5" s="370">
        <f ca="1">'Tinh phi QL'!$G$35/1000000*IF('Tinh phi QL'!$H$30="nam",VLOOKUP('Tinh phi QL'!$I$29+B4,BHN!$A$2:$C$87,2,0),VLOOKUP('Tinh phi QL'!$I$29+B4,BHN!$A$2:$C$87,3,0))</f>
        <v>0</v>
      </c>
      <c r="O5" s="370">
        <f>IF($O$4=0,0,IF('Tinh phi QL'!$F$36="Việt Nam",INDEX(TTD!$B$3:$E$102,MATCH('Tinh phi QL'!$I$29+B4,TTD!$A$3:$A$102,0),MATCH('Tinh phi QL'!$G$36,TTD!$B$2:$E$2,0)),IF('Tinh phi QL'!$F$36="Toàn cầu",INDEX(TTD!$F$3:$I$102,MATCH('Tinh phi QL'!$I$29+B4,TTD!$A$3:$A$102,0),MATCH('Tinh phi QL'!$G$36,TTD!$F$2:$I$2,0)))))/1000</f>
        <v>0</v>
      </c>
      <c r="P5" s="370">
        <f>IF($P$4=0,0,INDEX(TTD!$J$3:$M$102,MATCH('Tinh phi QL'!$I$29+B4,TTD!$A$3:$A$102,0),MATCH('Tinh phi QL'!$G$38,TTD!$J$2:$M$2,0)))/1000</f>
        <v>0</v>
      </c>
      <c r="Q5" s="370">
        <f>IF($Q$4=0,0,INDEX(TTD!$N$3:$Q$102,MATCH('Tinh phi QL'!$I$29+B4,TTD!$A$3:$A$102,0),MATCH('Tinh phi QL'!$G$40,TTD!$N$2:$Q$2,0)))/1000</f>
        <v>0</v>
      </c>
      <c r="R5" s="370">
        <f ca="1">'Tinh phi QL'!$G$44/1000000*IF('Tinh phi QL'!$H$30="nam",VLOOKUP('Tinh phi QL'!$I$29+B4,Tuky!$A$2:$C$87,2,0),VLOOKUP('Tinh phi QL'!$I$29+B4,Tuky!$A$2:$C$87,3,0))</f>
        <v>0</v>
      </c>
      <c r="S5" s="370">
        <f>IF('Tinh phi QL'!$G$45=0,0,((SUM(D5:R5)+SUM(T5:AG5))/1000*IF('Tinh phi QL'!$H$30="nam",INDEX(MTPNam!$B$2:$AR$44,MATCH('Tinh phi QL'!$I$29+B4,MTPNam!$A$2:$A$44,0),MATCH('Tinh phi QL'!$E$45-B4,MTPNam!$B$1:$AR$1,0)),IF('Tinh phi QL'!$H$30="nữ",INDEX(MTPNu!$B$2:$AR$44,MATCH('Tinh phi QL'!$I$29+B4,MTPNu!$A$2:$A$44,0),MATCH('Tinh phi QL'!$E$45-B4,MTPNu!$B$1:$AR$1,0))))))</f>
        <v>0</v>
      </c>
      <c r="T5" s="370">
        <f>T4</f>
        <v>0</v>
      </c>
      <c r="U5" s="370">
        <f ca="1">VLOOKUP('Tinh phi QL'!$I$49+B4,TCYT!$A$2:$B$60,2,0)*'Tinh phi QL'!$G$54/100000</f>
        <v>0</v>
      </c>
      <c r="V5" s="370">
        <f ca="1">'Tinh phi QL'!$G$55/1000000*IF('Tinh phi QL'!$H$50="nam",VLOOKUP('Tinh phi QL'!$I$49+B4,BHN!$A$2:$C$87,2,0),VLOOKUP('Tinh phi QL'!$I$49+B4,BHN!$A$2:$C$87,3,0))</f>
        <v>0</v>
      </c>
      <c r="W5" s="370">
        <f>IF($W$4=0,0,IF('Tinh phi QL'!$F$56="Việt Nam",INDEX(TTD!$B$3:$E$102,MATCH('Tinh phi QL'!$I$49+B4,TTD!$A$3:$A$102,0),MATCH('Tinh phi QL'!$G$56,TTD!$B$2:$E$2,0)),IF('Tinh phi QL'!$F$56="Toàn cầu",INDEX(TTD!$F$3:$I$102,MATCH('Tinh phi QL'!$I$49+B4,TTD!$A$3:$A$102,0),MATCH('Tinh phi QL'!$G$56,TTD!$F$2:$I$2,0)))))/1000</f>
        <v>0</v>
      </c>
      <c r="X5" s="370">
        <f>IF($X$4=0,0,INDEX(TTD!$J$3:$M$102,MATCH('Tinh phi QL'!$I$49+B4,TTD!$A$3:$A$102,0),MATCH('Tinh phi QL'!$G$58,TTD!$J$2:$M$2,0)))/1000</f>
        <v>0</v>
      </c>
      <c r="Y5" s="370">
        <f>IF($Y$4=0,0,INDEX(TTD!$N$3:$Q$102,MATCH('Tinh phi QL'!$I$49+B4,TTD!$A$3:$A$102,0),MATCH('Tinh phi QL'!$G$60,TTD!$N$2:$Q$2,0)))/1000</f>
        <v>0</v>
      </c>
      <c r="Z5" s="370">
        <f ca="1">'Tinh phi QL'!$G$64/1000000*IF('Tinh phi QL'!$H$50="nam",VLOOKUP('Tinh phi QL'!$I$49+B4,Tuky!$A$2:$C$87,2,0),VLOOKUP('Tinh phi QL'!$I$49+B4,Tuky!$A$2:$C$87,3,0))</f>
        <v>0</v>
      </c>
      <c r="AA5" s="370">
        <f>AA4</f>
        <v>0</v>
      </c>
      <c r="AB5" s="370">
        <f ca="1">VLOOKUP('Tinh phi QL'!$I$68+B4,TCYT!$A$2:$B$60,2,0)*'Tinh phi QL'!$G$73/100000</f>
        <v>0</v>
      </c>
      <c r="AC5" s="370">
        <f ca="1">'Tinh phi QL'!$G$74/1000000*IF('Tinh phi QL'!$H$69="nam",VLOOKUP('Tinh phi QL'!$I$68+B4,BHN!$A$2:$C$87,2,0),VLOOKUP('Tinh phi QL'!$I$68+B4,BHN!$A$2:$C$87,3,0))</f>
        <v>0</v>
      </c>
      <c r="AD5" s="370">
        <f>IF($AD$4=0,0,IF('Tinh phi QL'!$F$75="Việt Nam",INDEX(TTD!$B$3:$E$102,MATCH('Tinh phi QL'!$I$68+B4,TTD!$A$3:$A$102,0),MATCH('Tinh phi QL'!$G$75,TTD!$B$2:$E$2,0)),IF('Tinh phi QL'!$F$75="Toàn cầu",INDEX(TTD!$F$3:$I$102,MATCH('Tinh phi QL'!$I$68+B4,TTD!$A$3:$A$102,0),MATCH('Tinh phi QL'!$G$75,TTD!$F$2:$I$2,0)))))/1000</f>
        <v>0</v>
      </c>
      <c r="AE5" s="370">
        <f>IF($AE$4=0,0,INDEX(TTD!$J$3:$M$102,MATCH('Tinh phi QL'!$I$68+B4,TTD!$A$3:$A$102,0),MATCH('Tinh phi QL'!$G$77,TTD!$J$2:$M$2,0)))/1000</f>
        <v>0</v>
      </c>
      <c r="AF5" s="370">
        <f>IF($AF$4=0,0,INDEX(TTD!$N$3:$Q$102,MATCH('Tinh phi QL'!$I$68+B4,TTD!$A$3:$A$102,0),MATCH('Tinh phi QL'!$G$79,TTD!$N$2:$Q$2,0)))/1000</f>
        <v>0</v>
      </c>
      <c r="AG5" s="370">
        <f ca="1">'Tinh phi QL'!$G$83/1000000*IF('Tinh phi QL'!$H$69="nam",VLOOKUP('Tinh phi QL'!$I$68+B4,Tuky!$A$2:$C$87,2,0),VLOOKUP('Tinh phi QL'!$I$68+B4,Tuky!$A$2:$C$87,3,0))</f>
        <v>0</v>
      </c>
      <c r="AH5" s="371">
        <f t="shared" ref="AH5:AH23" ca="1" si="0">_xlfn.AGGREGATE(9,6,D5:AG5)</f>
        <v>6571</v>
      </c>
    </row>
    <row r="6" spans="2:34">
      <c r="B6" s="368">
        <v>3</v>
      </c>
      <c r="C6" s="368">
        <f>IF(ROW(A3)&gt;'Tinh phi QL'!$D$12,"",ROW(A3))</f>
        <v>3</v>
      </c>
      <c r="D6" s="369">
        <f ca="1">IF(IFERROR(--TRIM(C6),0)=0,0,'Tinh phi QL'!$H$12/1000)</f>
        <v>0</v>
      </c>
      <c r="E6" s="370">
        <f t="shared" ref="E6:E21" si="1">E5</f>
        <v>2270</v>
      </c>
      <c r="F6" s="370">
        <f ca="1">VLOOKUP('Tinh phi QL'!$I$8+B5,TCYT!$A$2:$B$60,2,0)*'Tinh phi QL'!$G$15/100000</f>
        <v>0</v>
      </c>
      <c r="G6" s="370">
        <f ca="1">'Tinh phi QL'!$G$16/1000000*IF('Tinh phi QL'!$H$9="nam",VLOOKUP('Tinh phi QL'!$I$8+B5,BHN!$A$2:$C$87,2,0),VLOOKUP('Tinh phi QL'!$I$8+B5,BHN!$A$2:$C$87,3,0))</f>
        <v>606</v>
      </c>
      <c r="H6" s="370">
        <f ca="1">IF($H$4=0,0,IF('Tinh phi QL'!$F$17="Việt Nam",INDEX(TTD!$B$3:$E$102,MATCH('Tinh phi QL'!$I$8+B5,TTD!$A$3:$A$102,0),MATCH('Tinh phi QL'!$G$17,TTD!$B$2:$E$2,0)),IF('Tinh phi QL'!$F$17="Toàn cầu",INDEX(TTD!$F$3:$I$102,MATCH('Tinh phi QL'!$I$8+B5,TTD!$A$3:$A$102,0),MATCH('Tinh phi QL'!$G$17,TTD!$F$2:$I$2,0)))))/1000</f>
        <v>3695</v>
      </c>
      <c r="I6" s="370">
        <f>IF($I$4=0,0,INDEX(TTD!$J$3:$M$102,MATCH('Tinh phi QL'!$I$8+B5,TTD!$A$3:$A$102,0),MATCH('Tinh phi QL'!$G$19,TTD!$J$2:$M$2,0)))/1000</f>
        <v>0</v>
      </c>
      <c r="J6" s="370">
        <f>IF($J$4=0,0,INDEX(TTD!$N$3:$Q$102,MATCH('Tinh phi QL'!$I$8+B5,TTD!$A$3:$A$102,0),MATCH('Tinh phi QL'!$G$21,TTD!$N$2:$Q$2,0)))/1000</f>
        <v>0</v>
      </c>
      <c r="K6" s="370">
        <f ca="1">'Tinh phi QL'!$G$25/1000000*IF('Tinh phi QL'!$H$9="nam",VLOOKUP('Tinh phi QL'!$I$8+B5,Tuky!$A$2:$C$87,2,0),VLOOKUP('Tinh phi QL'!$I$8+B5,Tuky!$A$2:$C$87,3,0))</f>
        <v>0</v>
      </c>
      <c r="L6" s="370">
        <f t="shared" ref="L6:L23" si="2">L5</f>
        <v>0</v>
      </c>
      <c r="M6" s="370">
        <f ca="1">VLOOKUP('Tinh phi QL'!$I$29+B5,TCYT!$A$2:$B$60,2,0)*'Tinh phi QL'!$G$34/100000</f>
        <v>0</v>
      </c>
      <c r="N6" s="370">
        <f ca="1">'Tinh phi QL'!$G$35/1000000*IF('Tinh phi QL'!$H$30="nam",VLOOKUP('Tinh phi QL'!$I$29+B5,BHN!$A$2:$C$87,2,0),VLOOKUP('Tinh phi QL'!$I$29+B5,BHN!$A$2:$C$87,3,0))</f>
        <v>0</v>
      </c>
      <c r="O6" s="370">
        <f>IF($O$4=0,0,IF('Tinh phi QL'!$F$36="Việt Nam",INDEX(TTD!$B$3:$E$102,MATCH('Tinh phi QL'!$I$29+B5,TTD!$A$3:$A$102,0),MATCH('Tinh phi QL'!$G$36,TTD!$B$2:$E$2,0)),IF('Tinh phi QL'!$F$36="Toàn cầu",INDEX(TTD!$F$3:$I$102,MATCH('Tinh phi QL'!$I$29+B5,TTD!$A$3:$A$102,0),MATCH('Tinh phi QL'!$G$36,TTD!$F$2:$I$2,0)))))/1000</f>
        <v>0</v>
      </c>
      <c r="P6" s="370">
        <f>IF($P$4=0,0,INDEX(TTD!$J$3:$M$102,MATCH('Tinh phi QL'!$I$29+B5,TTD!$A$3:$A$102,0),MATCH('Tinh phi QL'!$G$38,TTD!$J$2:$M$2,0)))/1000</f>
        <v>0</v>
      </c>
      <c r="Q6" s="370">
        <f>IF($Q$4=0,0,INDEX(TTD!$N$3:$Q$102,MATCH('Tinh phi QL'!$I$29+B5,TTD!$A$3:$A$102,0),MATCH('Tinh phi QL'!$G$40,TTD!$N$2:$Q$2,0)))/1000</f>
        <v>0</v>
      </c>
      <c r="R6" s="370">
        <f ca="1">'Tinh phi QL'!$G$44/1000000*IF('Tinh phi QL'!$H$30="nam",VLOOKUP('Tinh phi QL'!$I$29+B5,Tuky!$A$2:$C$87,2,0),VLOOKUP('Tinh phi QL'!$I$29+B5,Tuky!$A$2:$C$87,3,0))</f>
        <v>0</v>
      </c>
      <c r="S6" s="370">
        <f>IF('Tinh phi QL'!$G$45=0,0,((SUM(D6:R6)+SUM(T6:AG6))/1000*IF('Tinh phi QL'!$H$30="nam",INDEX(MTPNam!$B$2:$AR$44,MATCH('Tinh phi QL'!$I$29+B5,MTPNam!$A$2:$A$44,0),MATCH('Tinh phi QL'!$E$45-B5,MTPNam!$B$1:$AR$1,0)),IF('Tinh phi QL'!$H$30="nữ",INDEX(MTPNu!$B$2:$AR$44,MATCH('Tinh phi QL'!$I$29+B5,MTPNu!$A$2:$A$44,0),MATCH('Tinh phi QL'!$E$45-B5,MTPNu!$B$1:$AR$1,0))))))</f>
        <v>0</v>
      </c>
      <c r="T6" s="370">
        <f t="shared" ref="T6:T23" si="3">T5</f>
        <v>0</v>
      </c>
      <c r="U6" s="370">
        <f ca="1">VLOOKUP('Tinh phi QL'!$I$49+B5,TCYT!$A$2:$B$60,2,0)*'Tinh phi QL'!$G$54/100000</f>
        <v>0</v>
      </c>
      <c r="V6" s="370">
        <f ca="1">'Tinh phi QL'!$G$55/1000000*IF('Tinh phi QL'!$H$50="nam",VLOOKUP('Tinh phi QL'!$I$49+B5,BHN!$A$2:$C$87,2,0),VLOOKUP('Tinh phi QL'!$I$49+B5,BHN!$A$2:$C$87,3,0))</f>
        <v>0</v>
      </c>
      <c r="W6" s="370">
        <f>IF($W$4=0,0,IF('Tinh phi QL'!$F$56="Việt Nam",INDEX(TTD!$B$3:$E$102,MATCH('Tinh phi QL'!$I$49+B5,TTD!$A$3:$A$102,0),MATCH('Tinh phi QL'!$G$56,TTD!$B$2:$E$2,0)),IF('Tinh phi QL'!$F$56="Toàn cầu",INDEX(TTD!$F$3:$I$102,MATCH('Tinh phi QL'!$I$49+B5,TTD!$A$3:$A$102,0),MATCH('Tinh phi QL'!$G$56,TTD!$F$2:$I$2,0)))))/1000</f>
        <v>0</v>
      </c>
      <c r="X6" s="370">
        <f>IF($X$4=0,0,INDEX(TTD!$J$3:$M$102,MATCH('Tinh phi QL'!$I$49+B5,TTD!$A$3:$A$102,0),MATCH('Tinh phi QL'!$G$58,TTD!$J$2:$M$2,0)))/1000</f>
        <v>0</v>
      </c>
      <c r="Y6" s="370">
        <f>IF($Y$4=0,0,INDEX(TTD!$N$3:$Q$102,MATCH('Tinh phi QL'!$I$49+B5,TTD!$A$3:$A$102,0),MATCH('Tinh phi QL'!$G$60,TTD!$N$2:$Q$2,0)))/1000</f>
        <v>0</v>
      </c>
      <c r="Z6" s="370">
        <f ca="1">'Tinh phi QL'!$G$64/1000000*IF('Tinh phi QL'!$H$50="nam",VLOOKUP('Tinh phi QL'!$I$49+B5,Tuky!$A$2:$C$87,2,0),VLOOKUP('Tinh phi QL'!$I$49+B5,Tuky!$A$2:$C$87,3,0))</f>
        <v>0</v>
      </c>
      <c r="AA6" s="370">
        <f t="shared" ref="AA6:AA23" si="4">AA5</f>
        <v>0</v>
      </c>
      <c r="AB6" s="370">
        <f ca="1">VLOOKUP('Tinh phi QL'!$I$68+B5,TCYT!$A$2:$B$60,2,0)*'Tinh phi QL'!$G$73/100000</f>
        <v>0</v>
      </c>
      <c r="AC6" s="370">
        <f ca="1">'Tinh phi QL'!$G$74/1000000*IF('Tinh phi QL'!$H$69="nam",VLOOKUP('Tinh phi QL'!$I$68+B5,BHN!$A$2:$C$87,2,0),VLOOKUP('Tinh phi QL'!$I$68+B5,BHN!$A$2:$C$87,3,0))</f>
        <v>0</v>
      </c>
      <c r="AD6" s="370">
        <f>IF($AD$4=0,0,IF('Tinh phi QL'!$F$75="Việt Nam",INDEX(TTD!$B$3:$E$102,MATCH('Tinh phi QL'!$I$68+B5,TTD!$A$3:$A$102,0),MATCH('Tinh phi QL'!$G$75,TTD!$B$2:$E$2,0)),IF('Tinh phi QL'!$F$75="Toàn cầu",INDEX(TTD!$F$3:$I$102,MATCH('Tinh phi QL'!$I$68+B5,TTD!$A$3:$A$102,0),MATCH('Tinh phi QL'!$G$75,TTD!$F$2:$I$2,0)))))/1000</f>
        <v>0</v>
      </c>
      <c r="AE6" s="370">
        <f>IF($AE$4=0,0,INDEX(TTD!$J$3:$M$102,MATCH('Tinh phi QL'!$I$68+B5,TTD!$A$3:$A$102,0),MATCH('Tinh phi QL'!$G$77,TTD!$J$2:$M$2,0)))/1000</f>
        <v>0</v>
      </c>
      <c r="AF6" s="370">
        <f>IF($AF$4=0,0,INDEX(TTD!$N$3:$Q$102,MATCH('Tinh phi QL'!$I$68+B5,TTD!$A$3:$A$102,0),MATCH('Tinh phi QL'!$G$79,TTD!$N$2:$Q$2,0)))/1000</f>
        <v>0</v>
      </c>
      <c r="AG6" s="370">
        <f ca="1">'Tinh phi QL'!$G$83/1000000*IF('Tinh phi QL'!$H$69="nam",VLOOKUP('Tinh phi QL'!$I$68+B5,Tuky!$A$2:$C$87,2,0),VLOOKUP('Tinh phi QL'!$I$68+B5,Tuky!$A$2:$C$87,3,0))</f>
        <v>0</v>
      </c>
      <c r="AH6" s="371">
        <f t="shared" ca="1" si="0"/>
        <v>6571</v>
      </c>
    </row>
    <row r="7" spans="2:34">
      <c r="B7" s="368">
        <v>4</v>
      </c>
      <c r="C7" s="368">
        <f>IF(ROW(A4)&gt;'Tinh phi QL'!$D$12,"",ROW(A4))</f>
        <v>4</v>
      </c>
      <c r="D7" s="369">
        <f ca="1">IF(IFERROR(--TRIM(C7),0)=0,0,'Tinh phi QL'!$H$12/1000)</f>
        <v>0</v>
      </c>
      <c r="E7" s="370">
        <f t="shared" si="1"/>
        <v>2270</v>
      </c>
      <c r="F7" s="370">
        <f ca="1">VLOOKUP('Tinh phi QL'!$I$8+B6,TCYT!$A$2:$B$60,2,0)*'Tinh phi QL'!$G$15/100000</f>
        <v>0</v>
      </c>
      <c r="G7" s="370">
        <f ca="1">'Tinh phi QL'!$G$16/1000000*IF('Tinh phi QL'!$H$9="nam",VLOOKUP('Tinh phi QL'!$I$8+B6,BHN!$A$2:$C$87,2,0),VLOOKUP('Tinh phi QL'!$I$8+B6,BHN!$A$2:$C$87,3,0))</f>
        <v>606</v>
      </c>
      <c r="H7" s="370">
        <f ca="1">IF($H$4=0,0,IF('Tinh phi QL'!$F$17="Việt Nam",INDEX(TTD!$B$3:$E$102,MATCH('Tinh phi QL'!$I$8+B6,TTD!$A$3:$A$102,0),MATCH('Tinh phi QL'!$G$17,TTD!$B$2:$E$2,0)),IF('Tinh phi QL'!$F$17="Toàn cầu",INDEX(TTD!$F$3:$I$102,MATCH('Tinh phi QL'!$I$8+B6,TTD!$A$3:$A$102,0),MATCH('Tinh phi QL'!$G$17,TTD!$F$2:$I$2,0)))))/1000</f>
        <v>3695</v>
      </c>
      <c r="I7" s="370">
        <f>IF($I$4=0,0,INDEX(TTD!$J$3:$M$102,MATCH('Tinh phi QL'!$I$8+B6,TTD!$A$3:$A$102,0),MATCH('Tinh phi QL'!$G$19,TTD!$J$2:$M$2,0)))/1000</f>
        <v>0</v>
      </c>
      <c r="J7" s="370">
        <f>IF($J$4=0,0,INDEX(TTD!$N$3:$Q$102,MATCH('Tinh phi QL'!$I$8+B6,TTD!$A$3:$A$102,0),MATCH('Tinh phi QL'!$G$21,TTD!$N$2:$Q$2,0)))/1000</f>
        <v>0</v>
      </c>
      <c r="K7" s="370">
        <f ca="1">'Tinh phi QL'!$G$25/1000000*IF('Tinh phi QL'!$H$9="nam",VLOOKUP('Tinh phi QL'!$I$8+B6,Tuky!$A$2:$C$87,2,0),VLOOKUP('Tinh phi QL'!$I$8+B6,Tuky!$A$2:$C$87,3,0))</f>
        <v>0</v>
      </c>
      <c r="L7" s="370">
        <f t="shared" si="2"/>
        <v>0</v>
      </c>
      <c r="M7" s="370">
        <f ca="1">VLOOKUP('Tinh phi QL'!$I$29+B6,TCYT!$A$2:$B$60,2,0)*'Tinh phi QL'!$G$34/100000</f>
        <v>0</v>
      </c>
      <c r="N7" s="370">
        <f ca="1">'Tinh phi QL'!$G$35/1000000*IF('Tinh phi QL'!$H$30="nam",VLOOKUP('Tinh phi QL'!$I$29+B6,BHN!$A$2:$C$87,2,0),VLOOKUP('Tinh phi QL'!$I$29+B6,BHN!$A$2:$C$87,3,0))</f>
        <v>0</v>
      </c>
      <c r="O7" s="370">
        <f>IF($O$4=0,0,IF('Tinh phi QL'!$F$36="Việt Nam",INDEX(TTD!$B$3:$E$102,MATCH('Tinh phi QL'!$I$29+B6,TTD!$A$3:$A$102,0),MATCH('Tinh phi QL'!$G$36,TTD!$B$2:$E$2,0)),IF('Tinh phi QL'!$F$36="Toàn cầu",INDEX(TTD!$F$3:$I$102,MATCH('Tinh phi QL'!$I$29+B6,TTD!$A$3:$A$102,0),MATCH('Tinh phi QL'!$G$36,TTD!$F$2:$I$2,0)))))/1000</f>
        <v>0</v>
      </c>
      <c r="P7" s="370">
        <f>IF($P$4=0,0,INDEX(TTD!$J$3:$M$102,MATCH('Tinh phi QL'!$I$29+B6,TTD!$A$3:$A$102,0),MATCH('Tinh phi QL'!$G$38,TTD!$J$2:$M$2,0)))/1000</f>
        <v>0</v>
      </c>
      <c r="Q7" s="370">
        <f>IF($Q$4=0,0,INDEX(TTD!$N$3:$Q$102,MATCH('Tinh phi QL'!$I$29+B6,TTD!$A$3:$A$102,0),MATCH('Tinh phi QL'!$G$40,TTD!$N$2:$Q$2,0)))/1000</f>
        <v>0</v>
      </c>
      <c r="R7" s="370">
        <f ca="1">'Tinh phi QL'!$G$44/1000000*IF('Tinh phi QL'!$H$30="nam",VLOOKUP('Tinh phi QL'!$I$29+B6,Tuky!$A$2:$C$87,2,0),VLOOKUP('Tinh phi QL'!$I$29+B6,Tuky!$A$2:$C$87,3,0))</f>
        <v>0</v>
      </c>
      <c r="S7" s="370">
        <f>IF('Tinh phi QL'!$G$45=0,0,((SUM(D7:R7)+SUM(T7:AG7))/1000*IF('Tinh phi QL'!$H$30="nam",INDEX(MTPNam!$B$2:$AR$44,MATCH('Tinh phi QL'!$I$29+B6,MTPNam!$A$2:$A$44,0),MATCH('Tinh phi QL'!$E$45-B6,MTPNam!$B$1:$AR$1,0)),IF('Tinh phi QL'!$H$30="nữ",INDEX(MTPNu!$B$2:$AR$44,MATCH('Tinh phi QL'!$I$29+B6,MTPNu!$A$2:$A$44,0),MATCH('Tinh phi QL'!$E$45-B6,MTPNu!$B$1:$AR$1,0))))))</f>
        <v>0</v>
      </c>
      <c r="T7" s="370">
        <f t="shared" si="3"/>
        <v>0</v>
      </c>
      <c r="U7" s="370">
        <f ca="1">VLOOKUP('Tinh phi QL'!$I$49+B6,TCYT!$A$2:$B$60,2,0)*'Tinh phi QL'!$G$54/100000</f>
        <v>0</v>
      </c>
      <c r="V7" s="370">
        <f ca="1">'Tinh phi QL'!$G$55/1000000*IF('Tinh phi QL'!$H$50="nam",VLOOKUP('Tinh phi QL'!$I$49+B6,BHN!$A$2:$C$87,2,0),VLOOKUP('Tinh phi QL'!$I$49+B6,BHN!$A$2:$C$87,3,0))</f>
        <v>0</v>
      </c>
      <c r="W7" s="370">
        <f>IF($W$4=0,0,IF('Tinh phi QL'!$F$56="Việt Nam",INDEX(TTD!$B$3:$E$102,MATCH('Tinh phi QL'!$I$49+B6,TTD!$A$3:$A$102,0),MATCH('Tinh phi QL'!$G$56,TTD!$B$2:$E$2,0)),IF('Tinh phi QL'!$F$56="Toàn cầu",INDEX(TTD!$F$3:$I$102,MATCH('Tinh phi QL'!$I$49+B6,TTD!$A$3:$A$102,0),MATCH('Tinh phi QL'!$G$56,TTD!$F$2:$I$2,0)))))/1000</f>
        <v>0</v>
      </c>
      <c r="X7" s="370">
        <f>IF($X$4=0,0,INDEX(TTD!$J$3:$M$102,MATCH('Tinh phi QL'!$I$49+B6,TTD!$A$3:$A$102,0),MATCH('Tinh phi QL'!$G$58,TTD!$J$2:$M$2,0)))/1000</f>
        <v>0</v>
      </c>
      <c r="Y7" s="370">
        <f>IF($Y$4=0,0,INDEX(TTD!$N$3:$Q$102,MATCH('Tinh phi QL'!$I$49+B6,TTD!$A$3:$A$102,0),MATCH('Tinh phi QL'!$G$60,TTD!$N$2:$Q$2,0)))/1000</f>
        <v>0</v>
      </c>
      <c r="Z7" s="370">
        <f ca="1">'Tinh phi QL'!$G$64/1000000*IF('Tinh phi QL'!$H$50="nam",VLOOKUP('Tinh phi QL'!$I$49+B6,Tuky!$A$2:$C$87,2,0),VLOOKUP('Tinh phi QL'!$I$49+B6,Tuky!$A$2:$C$87,3,0))</f>
        <v>0</v>
      </c>
      <c r="AA7" s="370">
        <f t="shared" si="4"/>
        <v>0</v>
      </c>
      <c r="AB7" s="370">
        <f ca="1">VLOOKUP('Tinh phi QL'!$I$68+B6,TCYT!$A$2:$B$60,2,0)*'Tinh phi QL'!$G$73/100000</f>
        <v>0</v>
      </c>
      <c r="AC7" s="370">
        <f ca="1">'Tinh phi QL'!$G$74/1000000*IF('Tinh phi QL'!$H$69="nam",VLOOKUP('Tinh phi QL'!$I$68+B6,BHN!$A$2:$C$87,2,0),VLOOKUP('Tinh phi QL'!$I$68+B6,BHN!$A$2:$C$87,3,0))</f>
        <v>0</v>
      </c>
      <c r="AD7" s="370">
        <f>IF($AD$4=0,0,IF('Tinh phi QL'!$F$75="Việt Nam",INDEX(TTD!$B$3:$E$102,MATCH('Tinh phi QL'!$I$68+B6,TTD!$A$3:$A$102,0),MATCH('Tinh phi QL'!$G$75,TTD!$B$2:$E$2,0)),IF('Tinh phi QL'!$F$75="Toàn cầu",INDEX(TTD!$F$3:$I$102,MATCH('Tinh phi QL'!$I$68+B6,TTD!$A$3:$A$102,0),MATCH('Tinh phi QL'!$G$75,TTD!$F$2:$I$2,0)))))/1000</f>
        <v>0</v>
      </c>
      <c r="AE7" s="370">
        <f>IF($AE$4=0,0,INDEX(TTD!$J$3:$M$102,MATCH('Tinh phi QL'!$I$68+B6,TTD!$A$3:$A$102,0),MATCH('Tinh phi QL'!$G$77,TTD!$J$2:$M$2,0)))/1000</f>
        <v>0</v>
      </c>
      <c r="AF7" s="370">
        <f>IF($AF$4=0,0,INDEX(TTD!$N$3:$Q$102,MATCH('Tinh phi QL'!$I$68+B6,TTD!$A$3:$A$102,0),MATCH('Tinh phi QL'!$G$79,TTD!$N$2:$Q$2,0)))/1000</f>
        <v>0</v>
      </c>
      <c r="AG7" s="370">
        <f ca="1">'Tinh phi QL'!$G$83/1000000*IF('Tinh phi QL'!$H$69="nam",VLOOKUP('Tinh phi QL'!$I$68+B6,Tuky!$A$2:$C$87,2,0),VLOOKUP('Tinh phi QL'!$I$68+B6,Tuky!$A$2:$C$87,3,0))</f>
        <v>0</v>
      </c>
      <c r="AH7" s="371">
        <f t="shared" ca="1" si="0"/>
        <v>6571</v>
      </c>
    </row>
    <row r="8" spans="2:34">
      <c r="B8" s="368">
        <v>5</v>
      </c>
      <c r="C8" s="368">
        <f>IF(ROW(A5)&gt;'Tinh phi QL'!$D$12,"",ROW(A5))</f>
        <v>5</v>
      </c>
      <c r="D8" s="369">
        <f ca="1">IF(IFERROR(--TRIM(C8),0)=0,0,'Tinh phi QL'!$H$12/1000)</f>
        <v>0</v>
      </c>
      <c r="E8" s="370">
        <f t="shared" si="1"/>
        <v>2270</v>
      </c>
      <c r="F8" s="370">
        <f ca="1">VLOOKUP('Tinh phi QL'!$I$8+B7,TCYT!$A$2:$B$60,2,0)*'Tinh phi QL'!$G$15/100000</f>
        <v>0</v>
      </c>
      <c r="G8" s="370">
        <f ca="1">'Tinh phi QL'!$G$16/1000000*IF('Tinh phi QL'!$H$9="nam",VLOOKUP('Tinh phi QL'!$I$8+B7,BHN!$A$2:$C$87,2,0),VLOOKUP('Tinh phi QL'!$I$8+B7,BHN!$A$2:$C$87,3,0))</f>
        <v>606</v>
      </c>
      <c r="H8" s="370">
        <f ca="1">IF($H$4=0,0,IF('Tinh phi QL'!$F$17="Việt Nam",INDEX(TTD!$B$3:$E$102,MATCH('Tinh phi QL'!$I$8+B7,TTD!$A$3:$A$102,0),MATCH('Tinh phi QL'!$G$17,TTD!$B$2:$E$2,0)),IF('Tinh phi QL'!$F$17="Toàn cầu",INDEX(TTD!$F$3:$I$102,MATCH('Tinh phi QL'!$I$8+B7,TTD!$A$3:$A$102,0),MATCH('Tinh phi QL'!$G$17,TTD!$F$2:$I$2,0)))))/1000</f>
        <v>3695</v>
      </c>
      <c r="I8" s="370">
        <f>IF($I$4=0,0,INDEX(TTD!$J$3:$M$102,MATCH('Tinh phi QL'!$I$8+B7,TTD!$A$3:$A$102,0),MATCH('Tinh phi QL'!$G$19,TTD!$J$2:$M$2,0)))/1000</f>
        <v>0</v>
      </c>
      <c r="J8" s="370">
        <f>IF($J$4=0,0,INDEX(TTD!$N$3:$Q$102,MATCH('Tinh phi QL'!$I$8+B7,TTD!$A$3:$A$102,0),MATCH('Tinh phi QL'!$G$21,TTD!$N$2:$Q$2,0)))/1000</f>
        <v>0</v>
      </c>
      <c r="K8" s="370">
        <f ca="1">'Tinh phi QL'!$G$25/1000000*IF('Tinh phi QL'!$H$9="nam",VLOOKUP('Tinh phi QL'!$I$8+B7,Tuky!$A$2:$C$87,2,0),VLOOKUP('Tinh phi QL'!$I$8+B7,Tuky!$A$2:$C$87,3,0))</f>
        <v>0</v>
      </c>
      <c r="L8" s="370">
        <f t="shared" si="2"/>
        <v>0</v>
      </c>
      <c r="M8" s="370">
        <f ca="1">VLOOKUP('Tinh phi QL'!$I$29+B7,TCYT!$A$2:$B$60,2,0)*'Tinh phi QL'!$G$34/100000</f>
        <v>0</v>
      </c>
      <c r="N8" s="370">
        <f ca="1">'Tinh phi QL'!$G$35/1000000*IF('Tinh phi QL'!$H$30="nam",VLOOKUP('Tinh phi QL'!$I$29+B7,BHN!$A$2:$C$87,2,0),VLOOKUP('Tinh phi QL'!$I$29+B7,BHN!$A$2:$C$87,3,0))</f>
        <v>0</v>
      </c>
      <c r="O8" s="370">
        <f>IF($O$4=0,0,IF('Tinh phi QL'!$F$36="Việt Nam",INDEX(TTD!$B$3:$E$102,MATCH('Tinh phi QL'!$I$29+B7,TTD!$A$3:$A$102,0),MATCH('Tinh phi QL'!$G$36,TTD!$B$2:$E$2,0)),IF('Tinh phi QL'!$F$36="Toàn cầu",INDEX(TTD!$F$3:$I$102,MATCH('Tinh phi QL'!$I$29+B7,TTD!$A$3:$A$102,0),MATCH('Tinh phi QL'!$G$36,TTD!$F$2:$I$2,0)))))/1000</f>
        <v>0</v>
      </c>
      <c r="P8" s="370">
        <f>IF($P$4=0,0,INDEX(TTD!$J$3:$M$102,MATCH('Tinh phi QL'!$I$29+B7,TTD!$A$3:$A$102,0),MATCH('Tinh phi QL'!$G$38,TTD!$J$2:$M$2,0)))/1000</f>
        <v>0</v>
      </c>
      <c r="Q8" s="370">
        <f>IF($Q$4=0,0,INDEX(TTD!$N$3:$Q$102,MATCH('Tinh phi QL'!$I$29+B7,TTD!$A$3:$A$102,0),MATCH('Tinh phi QL'!$G$40,TTD!$N$2:$Q$2,0)))/1000</f>
        <v>0</v>
      </c>
      <c r="R8" s="370">
        <f ca="1">'Tinh phi QL'!$G$44/1000000*IF('Tinh phi QL'!$H$30="nam",VLOOKUP('Tinh phi QL'!$I$29+B7,Tuky!$A$2:$C$87,2,0),VLOOKUP('Tinh phi QL'!$I$29+B7,Tuky!$A$2:$C$87,3,0))</f>
        <v>0</v>
      </c>
      <c r="S8" s="370">
        <f>IF('Tinh phi QL'!$G$45=0,0,((SUM(D8:R8)+SUM(T8:AG8))/1000*IF('Tinh phi QL'!$H$30="nam",INDEX(MTPNam!$B$2:$AR$44,MATCH('Tinh phi QL'!$I$29+B7,MTPNam!$A$2:$A$44,0),MATCH('Tinh phi QL'!$E$45-B7,MTPNam!$B$1:$AR$1,0)),IF('Tinh phi QL'!$H$30="nữ",INDEX(MTPNu!$B$2:$AR$44,MATCH('Tinh phi QL'!$I$29+B7,MTPNu!$A$2:$A$44,0),MATCH('Tinh phi QL'!$E$45-B7,MTPNu!$B$1:$AR$1,0))))))</f>
        <v>0</v>
      </c>
      <c r="T8" s="370">
        <f t="shared" si="3"/>
        <v>0</v>
      </c>
      <c r="U8" s="370">
        <f ca="1">VLOOKUP('Tinh phi QL'!$I$49+B7,TCYT!$A$2:$B$60,2,0)*'Tinh phi QL'!$G$54/100000</f>
        <v>0</v>
      </c>
      <c r="V8" s="370">
        <f ca="1">'Tinh phi QL'!$G$55/1000000*IF('Tinh phi QL'!$H$50="nam",VLOOKUP('Tinh phi QL'!$I$49+B7,BHN!$A$2:$C$87,2,0),VLOOKUP('Tinh phi QL'!$I$49+B7,BHN!$A$2:$C$87,3,0))</f>
        <v>0</v>
      </c>
      <c r="W8" s="370">
        <f>IF($W$4=0,0,IF('Tinh phi QL'!$F$56="Việt Nam",INDEX(TTD!$B$3:$E$102,MATCH('Tinh phi QL'!$I$49+B7,TTD!$A$3:$A$102,0),MATCH('Tinh phi QL'!$G$56,TTD!$B$2:$E$2,0)),IF('Tinh phi QL'!$F$56="Toàn cầu",INDEX(TTD!$F$3:$I$102,MATCH('Tinh phi QL'!$I$49+B7,TTD!$A$3:$A$102,0),MATCH('Tinh phi QL'!$G$56,TTD!$F$2:$I$2,0)))))/1000</f>
        <v>0</v>
      </c>
      <c r="X8" s="370">
        <f>IF($X$4=0,0,INDEX(TTD!$J$3:$M$102,MATCH('Tinh phi QL'!$I$49+B7,TTD!$A$3:$A$102,0),MATCH('Tinh phi QL'!$G$58,TTD!$J$2:$M$2,0)))/1000</f>
        <v>0</v>
      </c>
      <c r="Y8" s="370">
        <f>IF($Y$4=0,0,INDEX(TTD!$N$3:$Q$102,MATCH('Tinh phi QL'!$I$49+B7,TTD!$A$3:$A$102,0),MATCH('Tinh phi QL'!$G$60,TTD!$N$2:$Q$2,0)))/1000</f>
        <v>0</v>
      </c>
      <c r="Z8" s="370">
        <f ca="1">'Tinh phi QL'!$G$64/1000000*IF('Tinh phi QL'!$H$50="nam",VLOOKUP('Tinh phi QL'!$I$49+B7,Tuky!$A$2:$C$87,2,0),VLOOKUP('Tinh phi QL'!$I$49+B7,Tuky!$A$2:$C$87,3,0))</f>
        <v>0</v>
      </c>
      <c r="AA8" s="370">
        <f t="shared" si="4"/>
        <v>0</v>
      </c>
      <c r="AB8" s="370">
        <f ca="1">VLOOKUP('Tinh phi QL'!$I$68+B7,TCYT!$A$2:$B$60,2,0)*'Tinh phi QL'!$G$73/100000</f>
        <v>0</v>
      </c>
      <c r="AC8" s="370">
        <f ca="1">'Tinh phi QL'!$G$74/1000000*IF('Tinh phi QL'!$H$69="nam",VLOOKUP('Tinh phi QL'!$I$68+B7,BHN!$A$2:$C$87,2,0),VLOOKUP('Tinh phi QL'!$I$68+B7,BHN!$A$2:$C$87,3,0))</f>
        <v>0</v>
      </c>
      <c r="AD8" s="370">
        <f>IF($AD$4=0,0,IF('Tinh phi QL'!$F$75="Việt Nam",INDEX(TTD!$B$3:$E$102,MATCH('Tinh phi QL'!$I$68+B7,TTD!$A$3:$A$102,0),MATCH('Tinh phi QL'!$G$75,TTD!$B$2:$E$2,0)),IF('Tinh phi QL'!$F$75="Toàn cầu",INDEX(TTD!$F$3:$I$102,MATCH('Tinh phi QL'!$I$68+B7,TTD!$A$3:$A$102,0),MATCH('Tinh phi QL'!$G$75,TTD!$F$2:$I$2,0)))))/1000</f>
        <v>0</v>
      </c>
      <c r="AE8" s="370">
        <f>IF($AE$4=0,0,INDEX(TTD!$J$3:$M$102,MATCH('Tinh phi QL'!$I$68+B7,TTD!$A$3:$A$102,0),MATCH('Tinh phi QL'!$G$77,TTD!$J$2:$M$2,0)))/1000</f>
        <v>0</v>
      </c>
      <c r="AF8" s="370">
        <f>IF($AF$4=0,0,INDEX(TTD!$N$3:$Q$102,MATCH('Tinh phi QL'!$I$68+B7,TTD!$A$3:$A$102,0),MATCH('Tinh phi QL'!$G$79,TTD!$N$2:$Q$2,0)))/1000</f>
        <v>0</v>
      </c>
      <c r="AG8" s="370">
        <f ca="1">'Tinh phi QL'!$G$83/1000000*IF('Tinh phi QL'!$H$69="nam",VLOOKUP('Tinh phi QL'!$I$68+B7,Tuky!$A$2:$C$87,2,0),VLOOKUP('Tinh phi QL'!$I$68+B7,Tuky!$A$2:$C$87,3,0))</f>
        <v>0</v>
      </c>
      <c r="AH8" s="371">
        <f t="shared" ca="1" si="0"/>
        <v>6571</v>
      </c>
    </row>
    <row r="9" spans="2:34">
      <c r="B9" s="368">
        <v>6</v>
      </c>
      <c r="C9" s="368">
        <f>IF(ROW(A6)&gt;'Tinh phi QL'!$D$12,"",ROW(A6))</f>
        <v>6</v>
      </c>
      <c r="D9" s="369">
        <f ca="1">IF(IFERROR(--TRIM(C9),0)=0,0,'Tinh phi QL'!$H$12/1000)</f>
        <v>0</v>
      </c>
      <c r="E9" s="370">
        <f t="shared" si="1"/>
        <v>2270</v>
      </c>
      <c r="F9" s="370">
        <f ca="1">VLOOKUP('Tinh phi QL'!$I$8+B8,TCYT!$A$2:$B$60,2,0)*'Tinh phi QL'!$G$15/100000</f>
        <v>0</v>
      </c>
      <c r="G9" s="370">
        <f ca="1">'Tinh phi QL'!$G$16/1000000*IF('Tinh phi QL'!$H$9="nam",VLOOKUP('Tinh phi QL'!$I$8+B8,BHN!$A$2:$C$87,2,0),VLOOKUP('Tinh phi QL'!$I$8+B8,BHN!$A$2:$C$87,3,0))</f>
        <v>1002</v>
      </c>
      <c r="H9" s="370">
        <f ca="1">IF($H$4=0,0,IF('Tinh phi QL'!$F$17="Việt Nam",INDEX(TTD!$B$3:$E$102,MATCH('Tinh phi QL'!$I$8+B8,TTD!$A$3:$A$102,0),MATCH('Tinh phi QL'!$G$17,TTD!$B$2:$E$2,0)),IF('Tinh phi QL'!$F$17="Toàn cầu",INDEX(TTD!$F$3:$I$102,MATCH('Tinh phi QL'!$I$8+B8,TTD!$A$3:$A$102,0),MATCH('Tinh phi QL'!$G$17,TTD!$F$2:$I$2,0)))))/1000</f>
        <v>4223</v>
      </c>
      <c r="I9" s="370">
        <f>IF($I$4=0,0,INDEX(TTD!$J$3:$M$102,MATCH('Tinh phi QL'!$I$8+B8,TTD!$A$3:$A$102,0),MATCH('Tinh phi QL'!$G$19,TTD!$J$2:$M$2,0)))/1000</f>
        <v>0</v>
      </c>
      <c r="J9" s="370">
        <f>IF($J$4=0,0,INDEX(TTD!$N$3:$Q$102,MATCH('Tinh phi QL'!$I$8+B8,TTD!$A$3:$A$102,0),MATCH('Tinh phi QL'!$G$21,TTD!$N$2:$Q$2,0)))/1000</f>
        <v>0</v>
      </c>
      <c r="K9" s="370">
        <f ca="1">'Tinh phi QL'!$G$25/1000000*IF('Tinh phi QL'!$H$9="nam",VLOOKUP('Tinh phi QL'!$I$8+B8,Tuky!$A$2:$C$87,2,0),VLOOKUP('Tinh phi QL'!$I$8+B8,Tuky!$A$2:$C$87,3,0))</f>
        <v>0</v>
      </c>
      <c r="L9" s="370">
        <f t="shared" si="2"/>
        <v>0</v>
      </c>
      <c r="M9" s="370">
        <f ca="1">VLOOKUP('Tinh phi QL'!$I$29+B8,TCYT!$A$2:$B$60,2,0)*'Tinh phi QL'!$G$34/100000</f>
        <v>0</v>
      </c>
      <c r="N9" s="370">
        <f ca="1">'Tinh phi QL'!$G$35/1000000*IF('Tinh phi QL'!$H$30="nam",VLOOKUP('Tinh phi QL'!$I$29+B8,BHN!$A$2:$C$87,2,0),VLOOKUP('Tinh phi QL'!$I$29+B8,BHN!$A$2:$C$87,3,0))</f>
        <v>0</v>
      </c>
      <c r="O9" s="370">
        <f>IF($O$4=0,0,IF('Tinh phi QL'!$F$36="Việt Nam",INDEX(TTD!$B$3:$E$102,MATCH('Tinh phi QL'!$I$29+B8,TTD!$A$3:$A$102,0),MATCH('Tinh phi QL'!$G$36,TTD!$B$2:$E$2,0)),IF('Tinh phi QL'!$F$36="Toàn cầu",INDEX(TTD!$F$3:$I$102,MATCH('Tinh phi QL'!$I$29+B8,TTD!$A$3:$A$102,0),MATCH('Tinh phi QL'!$G$36,TTD!$F$2:$I$2,0)))))/1000</f>
        <v>0</v>
      </c>
      <c r="P9" s="370">
        <f>IF($P$4=0,0,INDEX(TTD!$J$3:$M$102,MATCH('Tinh phi QL'!$I$29+B8,TTD!$A$3:$A$102,0),MATCH('Tinh phi QL'!$G$38,TTD!$J$2:$M$2,0)))/1000</f>
        <v>0</v>
      </c>
      <c r="Q9" s="370">
        <f>IF($Q$4=0,0,INDEX(TTD!$N$3:$Q$102,MATCH('Tinh phi QL'!$I$29+B8,TTD!$A$3:$A$102,0),MATCH('Tinh phi QL'!$G$40,TTD!$N$2:$Q$2,0)))/1000</f>
        <v>0</v>
      </c>
      <c r="R9" s="370">
        <f ca="1">'Tinh phi QL'!$G$44/1000000*IF('Tinh phi QL'!$H$30="nam",VLOOKUP('Tinh phi QL'!$I$29+B8,Tuky!$A$2:$C$87,2,0),VLOOKUP('Tinh phi QL'!$I$29+B8,Tuky!$A$2:$C$87,3,0))</f>
        <v>0</v>
      </c>
      <c r="S9" s="370">
        <f>IF('Tinh phi QL'!$G$45=0,0,((SUM(D9:R9)+SUM(T9:AG9))/1000*IF('Tinh phi QL'!$H$30="nam",INDEX(MTPNam!$B$2:$AR$44,MATCH('Tinh phi QL'!$I$29+B8,MTPNam!$A$2:$A$44,0),MATCH('Tinh phi QL'!$E$45-B8,MTPNam!$B$1:$AR$1,0)),IF('Tinh phi QL'!$H$30="nữ",INDEX(MTPNu!$B$2:$AR$44,MATCH('Tinh phi QL'!$I$29+B8,MTPNu!$A$2:$A$44,0),MATCH('Tinh phi QL'!$E$45-B8,MTPNu!$B$1:$AR$1,0))))))</f>
        <v>0</v>
      </c>
      <c r="T9" s="370">
        <f t="shared" si="3"/>
        <v>0</v>
      </c>
      <c r="U9" s="370">
        <f ca="1">VLOOKUP('Tinh phi QL'!$I$49+B8,TCYT!$A$2:$B$60,2,0)*'Tinh phi QL'!$G$54/100000</f>
        <v>0</v>
      </c>
      <c r="V9" s="370">
        <f ca="1">'Tinh phi QL'!$G$55/1000000*IF('Tinh phi QL'!$H$50="nam",VLOOKUP('Tinh phi QL'!$I$49+B8,BHN!$A$2:$C$87,2,0),VLOOKUP('Tinh phi QL'!$I$49+B8,BHN!$A$2:$C$87,3,0))</f>
        <v>0</v>
      </c>
      <c r="W9" s="370">
        <f>IF($W$4=0,0,IF('Tinh phi QL'!$F$56="Việt Nam",INDEX(TTD!$B$3:$E$102,MATCH('Tinh phi QL'!$I$49+B8,TTD!$A$3:$A$102,0),MATCH('Tinh phi QL'!$G$56,TTD!$B$2:$E$2,0)),IF('Tinh phi QL'!$F$56="Toàn cầu",INDEX(TTD!$F$3:$I$102,MATCH('Tinh phi QL'!$I$49+B8,TTD!$A$3:$A$102,0),MATCH('Tinh phi QL'!$G$56,TTD!$F$2:$I$2,0)))))/1000</f>
        <v>0</v>
      </c>
      <c r="X9" s="370">
        <f>IF($X$4=0,0,INDEX(TTD!$J$3:$M$102,MATCH('Tinh phi QL'!$I$49+B8,TTD!$A$3:$A$102,0),MATCH('Tinh phi QL'!$G$58,TTD!$J$2:$M$2,0)))/1000</f>
        <v>0</v>
      </c>
      <c r="Y9" s="370">
        <f>IF($Y$4=0,0,INDEX(TTD!$N$3:$Q$102,MATCH('Tinh phi QL'!$I$49+B8,TTD!$A$3:$A$102,0),MATCH('Tinh phi QL'!$G$60,TTD!$N$2:$Q$2,0)))/1000</f>
        <v>0</v>
      </c>
      <c r="Z9" s="370">
        <f ca="1">'Tinh phi QL'!$G$64/1000000*IF('Tinh phi QL'!$H$50="nam",VLOOKUP('Tinh phi QL'!$I$49+B8,Tuky!$A$2:$C$87,2,0),VLOOKUP('Tinh phi QL'!$I$49+B8,Tuky!$A$2:$C$87,3,0))</f>
        <v>0</v>
      </c>
      <c r="AA9" s="370">
        <f t="shared" si="4"/>
        <v>0</v>
      </c>
      <c r="AB9" s="370">
        <f ca="1">VLOOKUP('Tinh phi QL'!$I$68+B8,TCYT!$A$2:$B$60,2,0)*'Tinh phi QL'!$G$73/100000</f>
        <v>0</v>
      </c>
      <c r="AC9" s="370">
        <f ca="1">'Tinh phi QL'!$G$74/1000000*IF('Tinh phi QL'!$H$69="nam",VLOOKUP('Tinh phi QL'!$I$68+B8,BHN!$A$2:$C$87,2,0),VLOOKUP('Tinh phi QL'!$I$68+B8,BHN!$A$2:$C$87,3,0))</f>
        <v>0</v>
      </c>
      <c r="AD9" s="370">
        <f>IF($AD$4=0,0,IF('Tinh phi QL'!$F$75="Việt Nam",INDEX(TTD!$B$3:$E$102,MATCH('Tinh phi QL'!$I$68+B8,TTD!$A$3:$A$102,0),MATCH('Tinh phi QL'!$G$75,TTD!$B$2:$E$2,0)),IF('Tinh phi QL'!$F$75="Toàn cầu",INDEX(TTD!$F$3:$I$102,MATCH('Tinh phi QL'!$I$68+B8,TTD!$A$3:$A$102,0),MATCH('Tinh phi QL'!$G$75,TTD!$F$2:$I$2,0)))))/1000</f>
        <v>0</v>
      </c>
      <c r="AE9" s="370">
        <f>IF($AE$4=0,0,INDEX(TTD!$J$3:$M$102,MATCH('Tinh phi QL'!$I$68+B8,TTD!$A$3:$A$102,0),MATCH('Tinh phi QL'!$G$77,TTD!$J$2:$M$2,0)))/1000</f>
        <v>0</v>
      </c>
      <c r="AF9" s="370">
        <f>IF($AF$4=0,0,INDEX(TTD!$N$3:$Q$102,MATCH('Tinh phi QL'!$I$68+B8,TTD!$A$3:$A$102,0),MATCH('Tinh phi QL'!$G$79,TTD!$N$2:$Q$2,0)))/1000</f>
        <v>0</v>
      </c>
      <c r="AG9" s="370">
        <f ca="1">'Tinh phi QL'!$G$83/1000000*IF('Tinh phi QL'!$H$69="nam",VLOOKUP('Tinh phi QL'!$I$68+B8,Tuky!$A$2:$C$87,2,0),VLOOKUP('Tinh phi QL'!$I$68+B8,Tuky!$A$2:$C$87,3,0))</f>
        <v>0</v>
      </c>
      <c r="AH9" s="371">
        <f t="shared" ca="1" si="0"/>
        <v>7495</v>
      </c>
    </row>
    <row r="10" spans="2:34">
      <c r="B10" s="368">
        <v>7</v>
      </c>
      <c r="C10" s="368">
        <f>IF(ROW(A7)&gt;'Tinh phi QL'!$D$12,"",ROW(A7))</f>
        <v>7</v>
      </c>
      <c r="D10" s="369">
        <f ca="1">IF(IFERROR(--TRIM(C10),0)=0,0,'Tinh phi QL'!$H$12/1000)</f>
        <v>0</v>
      </c>
      <c r="E10" s="370">
        <f t="shared" si="1"/>
        <v>2270</v>
      </c>
      <c r="F10" s="370">
        <f ca="1">VLOOKUP('Tinh phi QL'!$I$8+B9,TCYT!$A$2:$B$60,2,0)*'Tinh phi QL'!$G$15/100000</f>
        <v>0</v>
      </c>
      <c r="G10" s="370">
        <f ca="1">'Tinh phi QL'!$G$16/1000000*IF('Tinh phi QL'!$H$9="nam",VLOOKUP('Tinh phi QL'!$I$8+B9,BHN!$A$2:$C$87,2,0),VLOOKUP('Tinh phi QL'!$I$8+B9,BHN!$A$2:$C$87,3,0))</f>
        <v>1002</v>
      </c>
      <c r="H10" s="370">
        <f ca="1">IF($H$4=0,0,IF('Tinh phi QL'!$F$17="Việt Nam",INDEX(TTD!$B$3:$E$102,MATCH('Tinh phi QL'!$I$8+B9,TTD!$A$3:$A$102,0),MATCH('Tinh phi QL'!$G$17,TTD!$B$2:$E$2,0)),IF('Tinh phi QL'!$F$17="Toàn cầu",INDEX(TTD!$F$3:$I$102,MATCH('Tinh phi QL'!$I$8+B9,TTD!$A$3:$A$102,0),MATCH('Tinh phi QL'!$G$17,TTD!$F$2:$I$2,0)))))/1000</f>
        <v>4223</v>
      </c>
      <c r="I10" s="370">
        <f>IF($I$4=0,0,INDEX(TTD!$J$3:$M$102,MATCH('Tinh phi QL'!$I$8+B9,TTD!$A$3:$A$102,0),MATCH('Tinh phi QL'!$G$19,TTD!$J$2:$M$2,0)))/1000</f>
        <v>0</v>
      </c>
      <c r="J10" s="370">
        <f>IF($J$4=0,0,INDEX(TTD!$N$3:$Q$102,MATCH('Tinh phi QL'!$I$8+B9,TTD!$A$3:$A$102,0),MATCH('Tinh phi QL'!$G$21,TTD!$N$2:$Q$2,0)))/1000</f>
        <v>0</v>
      </c>
      <c r="K10" s="370">
        <f ca="1">'Tinh phi QL'!$G$25/1000000*IF('Tinh phi QL'!$H$9="nam",VLOOKUP('Tinh phi QL'!$I$8+B9,Tuky!$A$2:$C$87,2,0),VLOOKUP('Tinh phi QL'!$I$8+B9,Tuky!$A$2:$C$87,3,0))</f>
        <v>0</v>
      </c>
      <c r="L10" s="370">
        <f t="shared" si="2"/>
        <v>0</v>
      </c>
      <c r="M10" s="370">
        <f ca="1">VLOOKUP('Tinh phi QL'!$I$29+B9,TCYT!$A$2:$B$60,2,0)*'Tinh phi QL'!$G$34/100000</f>
        <v>0</v>
      </c>
      <c r="N10" s="370">
        <f ca="1">'Tinh phi QL'!$G$35/1000000*IF('Tinh phi QL'!$H$30="nam",VLOOKUP('Tinh phi QL'!$I$29+B9,BHN!$A$2:$C$87,2,0),VLOOKUP('Tinh phi QL'!$I$29+B9,BHN!$A$2:$C$87,3,0))</f>
        <v>0</v>
      </c>
      <c r="O10" s="370">
        <f>IF($O$4=0,0,IF('Tinh phi QL'!$F$36="Việt Nam",INDEX(TTD!$B$3:$E$102,MATCH('Tinh phi QL'!$I$29+B9,TTD!$A$3:$A$102,0),MATCH('Tinh phi QL'!$G$36,TTD!$B$2:$E$2,0)),IF('Tinh phi QL'!$F$36="Toàn cầu",INDEX(TTD!$F$3:$I$102,MATCH('Tinh phi QL'!$I$29+B9,TTD!$A$3:$A$102,0),MATCH('Tinh phi QL'!$G$36,TTD!$F$2:$I$2,0)))))/1000</f>
        <v>0</v>
      </c>
      <c r="P10" s="370">
        <f>IF($P$4=0,0,INDEX(TTD!$J$3:$M$102,MATCH('Tinh phi QL'!$I$29+B9,TTD!$A$3:$A$102,0),MATCH('Tinh phi QL'!$G$38,TTD!$J$2:$M$2,0)))/1000</f>
        <v>0</v>
      </c>
      <c r="Q10" s="370">
        <f>IF($Q$4=0,0,INDEX(TTD!$N$3:$Q$102,MATCH('Tinh phi QL'!$I$29+B9,TTD!$A$3:$A$102,0),MATCH('Tinh phi QL'!$G$40,TTD!$N$2:$Q$2,0)))/1000</f>
        <v>0</v>
      </c>
      <c r="R10" s="370">
        <f ca="1">'Tinh phi QL'!$G$44/1000000*IF('Tinh phi QL'!$H$30="nam",VLOOKUP('Tinh phi QL'!$I$29+B9,Tuky!$A$2:$C$87,2,0),VLOOKUP('Tinh phi QL'!$I$29+B9,Tuky!$A$2:$C$87,3,0))</f>
        <v>0</v>
      </c>
      <c r="S10" s="370">
        <f>IF('Tinh phi QL'!$G$45=0,0,((SUM(D10:R10)+SUM(T10:AG10))/1000*IF('Tinh phi QL'!$H$30="nam",INDEX(MTPNam!$B$2:$AR$44,MATCH('Tinh phi QL'!$I$29+B9,MTPNam!$A$2:$A$44,0),MATCH('Tinh phi QL'!$E$45-B9,MTPNam!$B$1:$AR$1,0)),IF('Tinh phi QL'!$H$30="nữ",INDEX(MTPNu!$B$2:$AR$44,MATCH('Tinh phi QL'!$I$29+B9,MTPNu!$A$2:$A$44,0),MATCH('Tinh phi QL'!$E$45-B9,MTPNu!$B$1:$AR$1,0))))))</f>
        <v>0</v>
      </c>
      <c r="T10" s="370">
        <f t="shared" si="3"/>
        <v>0</v>
      </c>
      <c r="U10" s="370">
        <f ca="1">VLOOKUP('Tinh phi QL'!$I$49+B9,TCYT!$A$2:$B$60,2,0)*'Tinh phi QL'!$G$54/100000</f>
        <v>0</v>
      </c>
      <c r="V10" s="370">
        <f ca="1">'Tinh phi QL'!$G$55/1000000*IF('Tinh phi QL'!$H$50="nam",VLOOKUP('Tinh phi QL'!$I$49+B9,BHN!$A$2:$C$87,2,0),VLOOKUP('Tinh phi QL'!$I$49+B9,BHN!$A$2:$C$87,3,0))</f>
        <v>0</v>
      </c>
      <c r="W10" s="370">
        <f>IF($W$4=0,0,IF('Tinh phi QL'!$F$56="Việt Nam",INDEX(TTD!$B$3:$E$102,MATCH('Tinh phi QL'!$I$49+B9,TTD!$A$3:$A$102,0),MATCH('Tinh phi QL'!$G$56,TTD!$B$2:$E$2,0)),IF('Tinh phi QL'!$F$56="Toàn cầu",INDEX(TTD!$F$3:$I$102,MATCH('Tinh phi QL'!$I$49+B9,TTD!$A$3:$A$102,0),MATCH('Tinh phi QL'!$G$56,TTD!$F$2:$I$2,0)))))/1000</f>
        <v>0</v>
      </c>
      <c r="X10" s="370">
        <f>IF($X$4=0,0,INDEX(TTD!$J$3:$M$102,MATCH('Tinh phi QL'!$I$49+B9,TTD!$A$3:$A$102,0),MATCH('Tinh phi QL'!$G$58,TTD!$J$2:$M$2,0)))/1000</f>
        <v>0</v>
      </c>
      <c r="Y10" s="370">
        <f>IF($Y$4=0,0,INDEX(TTD!$N$3:$Q$102,MATCH('Tinh phi QL'!$I$49+B9,TTD!$A$3:$A$102,0),MATCH('Tinh phi QL'!$G$60,TTD!$N$2:$Q$2,0)))/1000</f>
        <v>0</v>
      </c>
      <c r="Z10" s="370">
        <f ca="1">'Tinh phi QL'!$G$64/1000000*IF('Tinh phi QL'!$H$50="nam",VLOOKUP('Tinh phi QL'!$I$49+B9,Tuky!$A$2:$C$87,2,0),VLOOKUP('Tinh phi QL'!$I$49+B9,Tuky!$A$2:$C$87,3,0))</f>
        <v>0</v>
      </c>
      <c r="AA10" s="370">
        <f t="shared" si="4"/>
        <v>0</v>
      </c>
      <c r="AB10" s="370">
        <f ca="1">VLOOKUP('Tinh phi QL'!$I$68+B9,TCYT!$A$2:$B$60,2,0)*'Tinh phi QL'!$G$73/100000</f>
        <v>0</v>
      </c>
      <c r="AC10" s="370">
        <f ca="1">'Tinh phi QL'!$G$74/1000000*IF('Tinh phi QL'!$H$69="nam",VLOOKUP('Tinh phi QL'!$I$68+B9,BHN!$A$2:$C$87,2,0),VLOOKUP('Tinh phi QL'!$I$68+B9,BHN!$A$2:$C$87,3,0))</f>
        <v>0</v>
      </c>
      <c r="AD10" s="370">
        <f>IF($AD$4=0,0,IF('Tinh phi QL'!$F$75="Việt Nam",INDEX(TTD!$B$3:$E$102,MATCH('Tinh phi QL'!$I$68+B9,TTD!$A$3:$A$102,0),MATCH('Tinh phi QL'!$G$75,TTD!$B$2:$E$2,0)),IF('Tinh phi QL'!$F$75="Toàn cầu",INDEX(TTD!$F$3:$I$102,MATCH('Tinh phi QL'!$I$68+B9,TTD!$A$3:$A$102,0),MATCH('Tinh phi QL'!$G$75,TTD!$F$2:$I$2,0)))))/1000</f>
        <v>0</v>
      </c>
      <c r="AE10" s="370">
        <f>IF($AE$4=0,0,INDEX(TTD!$J$3:$M$102,MATCH('Tinh phi QL'!$I$68+B9,TTD!$A$3:$A$102,0),MATCH('Tinh phi QL'!$G$77,TTD!$J$2:$M$2,0)))/1000</f>
        <v>0</v>
      </c>
      <c r="AF10" s="370">
        <f>IF($AF$4=0,0,INDEX(TTD!$N$3:$Q$102,MATCH('Tinh phi QL'!$I$68+B9,TTD!$A$3:$A$102,0),MATCH('Tinh phi QL'!$G$79,TTD!$N$2:$Q$2,0)))/1000</f>
        <v>0</v>
      </c>
      <c r="AG10" s="370">
        <f ca="1">'Tinh phi QL'!$G$83/1000000*IF('Tinh phi QL'!$H$69="nam",VLOOKUP('Tinh phi QL'!$I$68+B9,Tuky!$A$2:$C$87,2,0),VLOOKUP('Tinh phi QL'!$I$68+B9,Tuky!$A$2:$C$87,3,0))</f>
        <v>0</v>
      </c>
      <c r="AH10" s="371">
        <f t="shared" ca="1" si="0"/>
        <v>7495</v>
      </c>
    </row>
    <row r="11" spans="2:34">
      <c r="B11" s="368">
        <v>8</v>
      </c>
      <c r="C11" s="368">
        <f>IF(ROW(A8)&gt;'Tinh phi QL'!$D$12,"",ROW(A8))</f>
        <v>8</v>
      </c>
      <c r="D11" s="369">
        <f ca="1">IF(IFERROR(--TRIM(C11),0)=0,0,'Tinh phi QL'!$H$12/1000)</f>
        <v>0</v>
      </c>
      <c r="E11" s="370">
        <f t="shared" si="1"/>
        <v>2270</v>
      </c>
      <c r="F11" s="370">
        <f ca="1">VLOOKUP('Tinh phi QL'!$I$8+B10,TCYT!$A$2:$B$60,2,0)*'Tinh phi QL'!$G$15/100000</f>
        <v>0</v>
      </c>
      <c r="G11" s="370">
        <f ca="1">'Tinh phi QL'!$G$16/1000000*IF('Tinh phi QL'!$H$9="nam",VLOOKUP('Tinh phi QL'!$I$8+B10,BHN!$A$2:$C$87,2,0),VLOOKUP('Tinh phi QL'!$I$8+B10,BHN!$A$2:$C$87,3,0))</f>
        <v>1002</v>
      </c>
      <c r="H11" s="370">
        <f ca="1">IF($H$4=0,0,IF('Tinh phi QL'!$F$17="Việt Nam",INDEX(TTD!$B$3:$E$102,MATCH('Tinh phi QL'!$I$8+B10,TTD!$A$3:$A$102,0),MATCH('Tinh phi QL'!$G$17,TTD!$B$2:$E$2,0)),IF('Tinh phi QL'!$F$17="Toàn cầu",INDEX(TTD!$F$3:$I$102,MATCH('Tinh phi QL'!$I$8+B10,TTD!$A$3:$A$102,0),MATCH('Tinh phi QL'!$G$17,TTD!$F$2:$I$2,0)))))/1000</f>
        <v>4223</v>
      </c>
      <c r="I11" s="370">
        <f>IF($I$4=0,0,INDEX(TTD!$J$3:$M$102,MATCH('Tinh phi QL'!$I$8+B10,TTD!$A$3:$A$102,0),MATCH('Tinh phi QL'!$G$19,TTD!$J$2:$M$2,0)))/1000</f>
        <v>0</v>
      </c>
      <c r="J11" s="370">
        <f>IF($J$4=0,0,INDEX(TTD!$N$3:$Q$102,MATCH('Tinh phi QL'!$I$8+B10,TTD!$A$3:$A$102,0),MATCH('Tinh phi QL'!$G$21,TTD!$N$2:$Q$2,0)))/1000</f>
        <v>0</v>
      </c>
      <c r="K11" s="370">
        <f ca="1">'Tinh phi QL'!$G$25/1000000*IF('Tinh phi QL'!$H$9="nam",VLOOKUP('Tinh phi QL'!$I$8+B10,Tuky!$A$2:$C$87,2,0),VLOOKUP('Tinh phi QL'!$I$8+B10,Tuky!$A$2:$C$87,3,0))</f>
        <v>0</v>
      </c>
      <c r="L11" s="370">
        <f t="shared" si="2"/>
        <v>0</v>
      </c>
      <c r="M11" s="370">
        <f ca="1">VLOOKUP('Tinh phi QL'!$I$29+B10,TCYT!$A$2:$B$60,2,0)*'Tinh phi QL'!$G$34/100000</f>
        <v>0</v>
      </c>
      <c r="N11" s="370">
        <f ca="1">'Tinh phi QL'!$G$35/1000000*IF('Tinh phi QL'!$H$30="nam",VLOOKUP('Tinh phi QL'!$I$29+B10,BHN!$A$2:$C$87,2,0),VLOOKUP('Tinh phi QL'!$I$29+B10,BHN!$A$2:$C$87,3,0))</f>
        <v>0</v>
      </c>
      <c r="O11" s="370">
        <f>IF($O$4=0,0,IF('Tinh phi QL'!$F$36="Việt Nam",INDEX(TTD!$B$3:$E$102,MATCH('Tinh phi QL'!$I$29+B10,TTD!$A$3:$A$102,0),MATCH('Tinh phi QL'!$G$36,TTD!$B$2:$E$2,0)),IF('Tinh phi QL'!$F$36="Toàn cầu",INDEX(TTD!$F$3:$I$102,MATCH('Tinh phi QL'!$I$29+B10,TTD!$A$3:$A$102,0),MATCH('Tinh phi QL'!$G$36,TTD!$F$2:$I$2,0)))))/1000</f>
        <v>0</v>
      </c>
      <c r="P11" s="370">
        <f>IF($P$4=0,0,INDEX(TTD!$J$3:$M$102,MATCH('Tinh phi QL'!$I$29+B10,TTD!$A$3:$A$102,0),MATCH('Tinh phi QL'!$G$38,TTD!$J$2:$M$2,0)))/1000</f>
        <v>0</v>
      </c>
      <c r="Q11" s="370">
        <f>IF($Q$4=0,0,INDEX(TTD!$N$3:$Q$102,MATCH('Tinh phi QL'!$I$29+B10,TTD!$A$3:$A$102,0),MATCH('Tinh phi QL'!$G$40,TTD!$N$2:$Q$2,0)))/1000</f>
        <v>0</v>
      </c>
      <c r="R11" s="370">
        <f ca="1">'Tinh phi QL'!$G$44/1000000*IF('Tinh phi QL'!$H$30="nam",VLOOKUP('Tinh phi QL'!$I$29+B10,Tuky!$A$2:$C$87,2,0),VLOOKUP('Tinh phi QL'!$I$29+B10,Tuky!$A$2:$C$87,3,0))</f>
        <v>0</v>
      </c>
      <c r="S11" s="370">
        <f>IF('Tinh phi QL'!$G$45=0,0,((SUM(D11:R11)+SUM(T11:AG11))/1000*IF('Tinh phi QL'!$H$30="nam",INDEX(MTPNam!$B$2:$AR$44,MATCH('Tinh phi QL'!$I$29+B10,MTPNam!$A$2:$A$44,0),MATCH('Tinh phi QL'!$E$45-B10,MTPNam!$B$1:$AR$1,0)),IF('Tinh phi QL'!$H$30="nữ",INDEX(MTPNu!$B$2:$AR$44,MATCH('Tinh phi QL'!$I$29+B10,MTPNu!$A$2:$A$44,0),MATCH('Tinh phi QL'!$E$45-B10,MTPNu!$B$1:$AR$1,0))))))</f>
        <v>0</v>
      </c>
      <c r="T11" s="370">
        <f t="shared" si="3"/>
        <v>0</v>
      </c>
      <c r="U11" s="370">
        <f ca="1">VLOOKUP('Tinh phi QL'!$I$49+B10,TCYT!$A$2:$B$60,2,0)*'Tinh phi QL'!$G$54/100000</f>
        <v>0</v>
      </c>
      <c r="V11" s="370">
        <f ca="1">'Tinh phi QL'!$G$55/1000000*IF('Tinh phi QL'!$H$50="nam",VLOOKUP('Tinh phi QL'!$I$49+B10,BHN!$A$2:$C$87,2,0),VLOOKUP('Tinh phi QL'!$I$49+B10,BHN!$A$2:$C$87,3,0))</f>
        <v>0</v>
      </c>
      <c r="W11" s="370">
        <f>IF($W$4=0,0,IF('Tinh phi QL'!$F$56="Việt Nam",INDEX(TTD!$B$3:$E$102,MATCH('Tinh phi QL'!$I$49+B10,TTD!$A$3:$A$102,0),MATCH('Tinh phi QL'!$G$56,TTD!$B$2:$E$2,0)),IF('Tinh phi QL'!$F$56="Toàn cầu",INDEX(TTD!$F$3:$I$102,MATCH('Tinh phi QL'!$I$49+B10,TTD!$A$3:$A$102,0),MATCH('Tinh phi QL'!$G$56,TTD!$F$2:$I$2,0)))))/1000</f>
        <v>0</v>
      </c>
      <c r="X11" s="370">
        <f>IF($X$4=0,0,INDEX(TTD!$J$3:$M$102,MATCH('Tinh phi QL'!$I$49+B10,TTD!$A$3:$A$102,0),MATCH('Tinh phi QL'!$G$58,TTD!$J$2:$M$2,0)))/1000</f>
        <v>0</v>
      </c>
      <c r="Y11" s="370">
        <f>IF($Y$4=0,0,INDEX(TTD!$N$3:$Q$102,MATCH('Tinh phi QL'!$I$49+B10,TTD!$A$3:$A$102,0),MATCH('Tinh phi QL'!$G$60,TTD!$N$2:$Q$2,0)))/1000</f>
        <v>0</v>
      </c>
      <c r="Z11" s="370">
        <f ca="1">'Tinh phi QL'!$G$64/1000000*IF('Tinh phi QL'!$H$50="nam",VLOOKUP('Tinh phi QL'!$I$49+B10,Tuky!$A$2:$C$87,2,0),VLOOKUP('Tinh phi QL'!$I$49+B10,Tuky!$A$2:$C$87,3,0))</f>
        <v>0</v>
      </c>
      <c r="AA11" s="370">
        <f t="shared" si="4"/>
        <v>0</v>
      </c>
      <c r="AB11" s="370">
        <f ca="1">VLOOKUP('Tinh phi QL'!$I$68+B10,TCYT!$A$2:$B$60,2,0)*'Tinh phi QL'!$G$73/100000</f>
        <v>0</v>
      </c>
      <c r="AC11" s="370">
        <f ca="1">'Tinh phi QL'!$G$74/1000000*IF('Tinh phi QL'!$H$69="nam",VLOOKUP('Tinh phi QL'!$I$68+B10,BHN!$A$2:$C$87,2,0),VLOOKUP('Tinh phi QL'!$I$68+B10,BHN!$A$2:$C$87,3,0))</f>
        <v>0</v>
      </c>
      <c r="AD11" s="370">
        <f>IF($AD$4=0,0,IF('Tinh phi QL'!$F$75="Việt Nam",INDEX(TTD!$B$3:$E$102,MATCH('Tinh phi QL'!$I$68+B10,TTD!$A$3:$A$102,0),MATCH('Tinh phi QL'!$G$75,TTD!$B$2:$E$2,0)),IF('Tinh phi QL'!$F$75="Toàn cầu",INDEX(TTD!$F$3:$I$102,MATCH('Tinh phi QL'!$I$68+B10,TTD!$A$3:$A$102,0),MATCH('Tinh phi QL'!$G$75,TTD!$F$2:$I$2,0)))))/1000</f>
        <v>0</v>
      </c>
      <c r="AE11" s="370">
        <f>IF($AE$4=0,0,INDEX(TTD!$J$3:$M$102,MATCH('Tinh phi QL'!$I$68+B10,TTD!$A$3:$A$102,0),MATCH('Tinh phi QL'!$G$77,TTD!$J$2:$M$2,0)))/1000</f>
        <v>0</v>
      </c>
      <c r="AF11" s="370">
        <f>IF($AF$4=0,0,INDEX(TTD!$N$3:$Q$102,MATCH('Tinh phi QL'!$I$68+B10,TTD!$A$3:$A$102,0),MATCH('Tinh phi QL'!$G$79,TTD!$N$2:$Q$2,0)))/1000</f>
        <v>0</v>
      </c>
      <c r="AG11" s="370">
        <f ca="1">'Tinh phi QL'!$G$83/1000000*IF('Tinh phi QL'!$H$69="nam",VLOOKUP('Tinh phi QL'!$I$68+B10,Tuky!$A$2:$C$87,2,0),VLOOKUP('Tinh phi QL'!$I$68+B10,Tuky!$A$2:$C$87,3,0))</f>
        <v>0</v>
      </c>
      <c r="AH11" s="371">
        <f t="shared" ca="1" si="0"/>
        <v>7495</v>
      </c>
    </row>
    <row r="12" spans="2:34">
      <c r="B12" s="368">
        <v>9</v>
      </c>
      <c r="C12" s="368">
        <f>IF(ROW(A9)&gt;'Tinh phi QL'!$D$12,"",ROW(A9))</f>
        <v>9</v>
      </c>
      <c r="D12" s="369">
        <f ca="1">IF(IFERROR(--TRIM(C12),0)=0,0,'Tinh phi QL'!$H$12/1000)</f>
        <v>0</v>
      </c>
      <c r="E12" s="370">
        <f t="shared" si="1"/>
        <v>2270</v>
      </c>
      <c r="F12" s="370">
        <f ca="1">VLOOKUP('Tinh phi QL'!$I$8+B11,TCYT!$A$2:$B$60,2,0)*'Tinh phi QL'!$G$15/100000</f>
        <v>0</v>
      </c>
      <c r="G12" s="370">
        <f ca="1">'Tinh phi QL'!$G$16/1000000*IF('Tinh phi QL'!$H$9="nam",VLOOKUP('Tinh phi QL'!$I$8+B11,BHN!$A$2:$C$87,2,0),VLOOKUP('Tinh phi QL'!$I$8+B11,BHN!$A$2:$C$87,3,0))</f>
        <v>1002</v>
      </c>
      <c r="H12" s="370">
        <f ca="1">IF($H$4=0,0,IF('Tinh phi QL'!$F$17="Việt Nam",INDEX(TTD!$B$3:$E$102,MATCH('Tinh phi QL'!$I$8+B11,TTD!$A$3:$A$102,0),MATCH('Tinh phi QL'!$G$17,TTD!$B$2:$E$2,0)),IF('Tinh phi QL'!$F$17="Toàn cầu",INDEX(TTD!$F$3:$I$102,MATCH('Tinh phi QL'!$I$8+B11,TTD!$A$3:$A$102,0),MATCH('Tinh phi QL'!$G$17,TTD!$F$2:$I$2,0)))))/1000</f>
        <v>4223</v>
      </c>
      <c r="I12" s="370">
        <f>IF($I$4=0,0,INDEX(TTD!$J$3:$M$102,MATCH('Tinh phi QL'!$I$8+B11,TTD!$A$3:$A$102,0),MATCH('Tinh phi QL'!$G$19,TTD!$J$2:$M$2,0)))/1000</f>
        <v>0</v>
      </c>
      <c r="J12" s="370">
        <f>IF($J$4=0,0,INDEX(TTD!$N$3:$Q$102,MATCH('Tinh phi QL'!$I$8+B11,TTD!$A$3:$A$102,0),MATCH('Tinh phi QL'!$G$21,TTD!$N$2:$Q$2,0)))/1000</f>
        <v>0</v>
      </c>
      <c r="K12" s="370">
        <f ca="1">'Tinh phi QL'!$G$25/1000000*IF('Tinh phi QL'!$H$9="nam",VLOOKUP('Tinh phi QL'!$I$8+B11,Tuky!$A$2:$C$87,2,0),VLOOKUP('Tinh phi QL'!$I$8+B11,Tuky!$A$2:$C$87,3,0))</f>
        <v>0</v>
      </c>
      <c r="L12" s="370">
        <f t="shared" si="2"/>
        <v>0</v>
      </c>
      <c r="M12" s="370">
        <f ca="1">VLOOKUP('Tinh phi QL'!$I$29+B11,TCYT!$A$2:$B$60,2,0)*'Tinh phi QL'!$G$34/100000</f>
        <v>0</v>
      </c>
      <c r="N12" s="370">
        <f ca="1">'Tinh phi QL'!$G$35/1000000*IF('Tinh phi QL'!$H$30="nam",VLOOKUP('Tinh phi QL'!$I$29+B11,BHN!$A$2:$C$87,2,0),VLOOKUP('Tinh phi QL'!$I$29+B11,BHN!$A$2:$C$87,3,0))</f>
        <v>0</v>
      </c>
      <c r="O12" s="370">
        <f>IF($O$4=0,0,IF('Tinh phi QL'!$F$36="Việt Nam",INDEX(TTD!$B$3:$E$102,MATCH('Tinh phi QL'!$I$29+B11,TTD!$A$3:$A$102,0),MATCH('Tinh phi QL'!$G$36,TTD!$B$2:$E$2,0)),IF('Tinh phi QL'!$F$36="Toàn cầu",INDEX(TTD!$F$3:$I$102,MATCH('Tinh phi QL'!$I$29+B11,TTD!$A$3:$A$102,0),MATCH('Tinh phi QL'!$G$36,TTD!$F$2:$I$2,0)))))/1000</f>
        <v>0</v>
      </c>
      <c r="P12" s="370">
        <f>IF($P$4=0,0,INDEX(TTD!$J$3:$M$102,MATCH('Tinh phi QL'!$I$29+B11,TTD!$A$3:$A$102,0),MATCH('Tinh phi QL'!$G$38,TTD!$J$2:$M$2,0)))/1000</f>
        <v>0</v>
      </c>
      <c r="Q12" s="370">
        <f>IF($Q$4=0,0,INDEX(TTD!$N$3:$Q$102,MATCH('Tinh phi QL'!$I$29+B11,TTD!$A$3:$A$102,0),MATCH('Tinh phi QL'!$G$40,TTD!$N$2:$Q$2,0)))/1000</f>
        <v>0</v>
      </c>
      <c r="R12" s="370">
        <f ca="1">'Tinh phi QL'!$G$44/1000000*IF('Tinh phi QL'!$H$30="nam",VLOOKUP('Tinh phi QL'!$I$29+B11,Tuky!$A$2:$C$87,2,0),VLOOKUP('Tinh phi QL'!$I$29+B11,Tuky!$A$2:$C$87,3,0))</f>
        <v>0</v>
      </c>
      <c r="S12" s="370">
        <f>IF('Tinh phi QL'!$G$45=0,0,((SUM(D12:R12)+SUM(T12:AG12))/1000*IF('Tinh phi QL'!$H$30="nam",INDEX(MTPNam!$B$2:$AR$44,MATCH('Tinh phi QL'!$I$29+B11,MTPNam!$A$2:$A$44,0),MATCH('Tinh phi QL'!$E$45-B11,MTPNam!$B$1:$AR$1,0)),IF('Tinh phi QL'!$H$30="nữ",INDEX(MTPNu!$B$2:$AR$44,MATCH('Tinh phi QL'!$I$29+B11,MTPNu!$A$2:$A$44,0),MATCH('Tinh phi QL'!$E$45-B11,MTPNu!$B$1:$AR$1,0))))))</f>
        <v>0</v>
      </c>
      <c r="T12" s="370">
        <f t="shared" si="3"/>
        <v>0</v>
      </c>
      <c r="U12" s="370">
        <f ca="1">VLOOKUP('Tinh phi QL'!$I$49+B11,TCYT!$A$2:$B$60,2,0)*'Tinh phi QL'!$G$54/100000</f>
        <v>0</v>
      </c>
      <c r="V12" s="370">
        <f ca="1">'Tinh phi QL'!$G$55/1000000*IF('Tinh phi QL'!$H$50="nam",VLOOKUP('Tinh phi QL'!$I$49+B11,BHN!$A$2:$C$87,2,0),VLOOKUP('Tinh phi QL'!$I$49+B11,BHN!$A$2:$C$87,3,0))</f>
        <v>0</v>
      </c>
      <c r="W12" s="370">
        <f>IF($W$4=0,0,IF('Tinh phi QL'!$F$56="Việt Nam",INDEX(TTD!$B$3:$E$102,MATCH('Tinh phi QL'!$I$49+B11,TTD!$A$3:$A$102,0),MATCH('Tinh phi QL'!$G$56,TTD!$B$2:$E$2,0)),IF('Tinh phi QL'!$F$56="Toàn cầu",INDEX(TTD!$F$3:$I$102,MATCH('Tinh phi QL'!$I$49+B11,TTD!$A$3:$A$102,0),MATCH('Tinh phi QL'!$G$56,TTD!$F$2:$I$2,0)))))/1000</f>
        <v>0</v>
      </c>
      <c r="X12" s="370">
        <f>IF($X$4=0,0,INDEX(TTD!$J$3:$M$102,MATCH('Tinh phi QL'!$I$49+B11,TTD!$A$3:$A$102,0),MATCH('Tinh phi QL'!$G$58,TTD!$J$2:$M$2,0)))/1000</f>
        <v>0</v>
      </c>
      <c r="Y12" s="370">
        <f>IF($Y$4=0,0,INDEX(TTD!$N$3:$Q$102,MATCH('Tinh phi QL'!$I$49+B11,TTD!$A$3:$A$102,0),MATCH('Tinh phi QL'!$G$60,TTD!$N$2:$Q$2,0)))/1000</f>
        <v>0</v>
      </c>
      <c r="Z12" s="370">
        <f ca="1">'Tinh phi QL'!$G$64/1000000*IF('Tinh phi QL'!$H$50="nam",VLOOKUP('Tinh phi QL'!$I$49+B11,Tuky!$A$2:$C$87,2,0),VLOOKUP('Tinh phi QL'!$I$49+B11,Tuky!$A$2:$C$87,3,0))</f>
        <v>0</v>
      </c>
      <c r="AA12" s="370">
        <f t="shared" si="4"/>
        <v>0</v>
      </c>
      <c r="AB12" s="370">
        <f ca="1">VLOOKUP('Tinh phi QL'!$I$68+B11,TCYT!$A$2:$B$60,2,0)*'Tinh phi QL'!$G$73/100000</f>
        <v>0</v>
      </c>
      <c r="AC12" s="370">
        <f ca="1">'Tinh phi QL'!$G$74/1000000*IF('Tinh phi QL'!$H$69="nam",VLOOKUP('Tinh phi QL'!$I$68+B11,BHN!$A$2:$C$87,2,0),VLOOKUP('Tinh phi QL'!$I$68+B11,BHN!$A$2:$C$87,3,0))</f>
        <v>0</v>
      </c>
      <c r="AD12" s="370">
        <f>IF($AD$4=0,0,IF('Tinh phi QL'!$F$75="Việt Nam",INDEX(TTD!$B$3:$E$102,MATCH('Tinh phi QL'!$I$68+B11,TTD!$A$3:$A$102,0),MATCH('Tinh phi QL'!$G$75,TTD!$B$2:$E$2,0)),IF('Tinh phi QL'!$F$75="Toàn cầu",INDEX(TTD!$F$3:$I$102,MATCH('Tinh phi QL'!$I$68+B11,TTD!$A$3:$A$102,0),MATCH('Tinh phi QL'!$G$75,TTD!$F$2:$I$2,0)))))/1000</f>
        <v>0</v>
      </c>
      <c r="AE12" s="370">
        <f>IF($AE$4=0,0,INDEX(TTD!$J$3:$M$102,MATCH('Tinh phi QL'!$I$68+B11,TTD!$A$3:$A$102,0),MATCH('Tinh phi QL'!$G$77,TTD!$J$2:$M$2,0)))/1000</f>
        <v>0</v>
      </c>
      <c r="AF12" s="370">
        <f>IF($AF$4=0,0,INDEX(TTD!$N$3:$Q$102,MATCH('Tinh phi QL'!$I$68+B11,TTD!$A$3:$A$102,0),MATCH('Tinh phi QL'!$G$79,TTD!$N$2:$Q$2,0)))/1000</f>
        <v>0</v>
      </c>
      <c r="AG12" s="370">
        <f ca="1">'Tinh phi QL'!$G$83/1000000*IF('Tinh phi QL'!$H$69="nam",VLOOKUP('Tinh phi QL'!$I$68+B11,Tuky!$A$2:$C$87,2,0),VLOOKUP('Tinh phi QL'!$I$68+B11,Tuky!$A$2:$C$87,3,0))</f>
        <v>0</v>
      </c>
      <c r="AH12" s="371">
        <f t="shared" ca="1" si="0"/>
        <v>7495</v>
      </c>
    </row>
    <row r="13" spans="2:34">
      <c r="B13" s="368">
        <v>10</v>
      </c>
      <c r="C13" s="368">
        <f>IF(ROW(A10)&gt;'Tinh phi QL'!$D$12,"",ROW(A10))</f>
        <v>10</v>
      </c>
      <c r="D13" s="369">
        <f ca="1">IF(IFERROR(--TRIM(C13),0)=0,0,'Tinh phi QL'!$H$12/1000)</f>
        <v>0</v>
      </c>
      <c r="E13" s="370">
        <f t="shared" si="1"/>
        <v>2270</v>
      </c>
      <c r="F13" s="370">
        <f ca="1">VLOOKUP('Tinh phi QL'!$I$8+B12,TCYT!$A$2:$B$60,2,0)*'Tinh phi QL'!$G$15/100000</f>
        <v>0</v>
      </c>
      <c r="G13" s="370">
        <f ca="1">'Tinh phi QL'!$G$16/1000000*IF('Tinh phi QL'!$H$9="nam",VLOOKUP('Tinh phi QL'!$I$8+B12,BHN!$A$2:$C$87,2,0),VLOOKUP('Tinh phi QL'!$I$8+B12,BHN!$A$2:$C$87,3,0))</f>
        <v>1002</v>
      </c>
      <c r="H13" s="370">
        <f ca="1">IF($H$4=0,0,IF('Tinh phi QL'!$F$17="Việt Nam",INDEX(TTD!$B$3:$E$102,MATCH('Tinh phi QL'!$I$8+B12,TTD!$A$3:$A$102,0),MATCH('Tinh phi QL'!$G$17,TTD!$B$2:$E$2,0)),IF('Tinh phi QL'!$F$17="Toàn cầu",INDEX(TTD!$F$3:$I$102,MATCH('Tinh phi QL'!$I$8+B12,TTD!$A$3:$A$102,0),MATCH('Tinh phi QL'!$G$17,TTD!$F$2:$I$2,0)))))/1000</f>
        <v>4223</v>
      </c>
      <c r="I13" s="370">
        <f>IF($I$4=0,0,INDEX(TTD!$J$3:$M$102,MATCH('Tinh phi QL'!$I$8+B12,TTD!$A$3:$A$102,0),MATCH('Tinh phi QL'!$G$19,TTD!$J$2:$M$2,0)))/1000</f>
        <v>0</v>
      </c>
      <c r="J13" s="370">
        <f>IF($J$4=0,0,INDEX(TTD!$N$3:$Q$102,MATCH('Tinh phi QL'!$I$8+B12,TTD!$A$3:$A$102,0),MATCH('Tinh phi QL'!$G$21,TTD!$N$2:$Q$2,0)))/1000</f>
        <v>0</v>
      </c>
      <c r="K13" s="370">
        <f ca="1">'Tinh phi QL'!$G$25/1000000*IF('Tinh phi QL'!$H$9="nam",VLOOKUP('Tinh phi QL'!$I$8+B12,Tuky!$A$2:$C$87,2,0),VLOOKUP('Tinh phi QL'!$I$8+B12,Tuky!$A$2:$C$87,3,0))</f>
        <v>0</v>
      </c>
      <c r="L13" s="370">
        <f t="shared" si="2"/>
        <v>0</v>
      </c>
      <c r="M13" s="370">
        <f ca="1">VLOOKUP('Tinh phi QL'!$I$29+B12,TCYT!$A$2:$B$60,2,0)*'Tinh phi QL'!$G$34/100000</f>
        <v>0</v>
      </c>
      <c r="N13" s="370">
        <f ca="1">'Tinh phi QL'!$G$35/1000000*IF('Tinh phi QL'!$H$30="nam",VLOOKUP('Tinh phi QL'!$I$29+B12,BHN!$A$2:$C$87,2,0),VLOOKUP('Tinh phi QL'!$I$29+B12,BHN!$A$2:$C$87,3,0))</f>
        <v>0</v>
      </c>
      <c r="O13" s="370">
        <f>IF($O$4=0,0,IF('Tinh phi QL'!$F$36="Việt Nam",INDEX(TTD!$B$3:$E$102,MATCH('Tinh phi QL'!$I$29+B12,TTD!$A$3:$A$102,0),MATCH('Tinh phi QL'!$G$36,TTD!$B$2:$E$2,0)),IF('Tinh phi QL'!$F$36="Toàn cầu",INDEX(TTD!$F$3:$I$102,MATCH('Tinh phi QL'!$I$29+B12,TTD!$A$3:$A$102,0),MATCH('Tinh phi QL'!$G$36,TTD!$F$2:$I$2,0)))))/1000</f>
        <v>0</v>
      </c>
      <c r="P13" s="370">
        <f>IF($P$4=0,0,INDEX(TTD!$J$3:$M$102,MATCH('Tinh phi QL'!$I$29+B12,TTD!$A$3:$A$102,0),MATCH('Tinh phi QL'!$G$38,TTD!$J$2:$M$2,0)))/1000</f>
        <v>0</v>
      </c>
      <c r="Q13" s="370">
        <f>IF($Q$4=0,0,INDEX(TTD!$N$3:$Q$102,MATCH('Tinh phi QL'!$I$29+B12,TTD!$A$3:$A$102,0),MATCH('Tinh phi QL'!$G$40,TTD!$N$2:$Q$2,0)))/1000</f>
        <v>0</v>
      </c>
      <c r="R13" s="370">
        <f ca="1">'Tinh phi QL'!$G$44/1000000*IF('Tinh phi QL'!$H$30="nam",VLOOKUP('Tinh phi QL'!$I$29+B12,Tuky!$A$2:$C$87,2,0),VLOOKUP('Tinh phi QL'!$I$29+B12,Tuky!$A$2:$C$87,3,0))</f>
        <v>0</v>
      </c>
      <c r="S13" s="370">
        <f>IF('Tinh phi QL'!$G$45=0,0,((SUM(D13:R13)+SUM(T13:AG13))/1000*IF('Tinh phi QL'!$H$30="nam",INDEX(MTPNam!$B$2:$AR$44,MATCH('Tinh phi QL'!$I$29+B12,MTPNam!$A$2:$A$44,0),MATCH('Tinh phi QL'!$E$45-B12,MTPNam!$B$1:$AR$1,0)),IF('Tinh phi QL'!$H$30="nữ",INDEX(MTPNu!$B$2:$AR$44,MATCH('Tinh phi QL'!$I$29+B12,MTPNu!$A$2:$A$44,0),MATCH('Tinh phi QL'!$E$45-B12,MTPNu!$B$1:$AR$1,0))))))</f>
        <v>0</v>
      </c>
      <c r="T13" s="370">
        <f t="shared" si="3"/>
        <v>0</v>
      </c>
      <c r="U13" s="370">
        <f ca="1">VLOOKUP('Tinh phi QL'!$I$49+B12,TCYT!$A$2:$B$60,2,0)*'Tinh phi QL'!$G$54/100000</f>
        <v>0</v>
      </c>
      <c r="V13" s="370">
        <f ca="1">'Tinh phi QL'!$G$55/1000000*IF('Tinh phi QL'!$H$50="nam",VLOOKUP('Tinh phi QL'!$I$49+B12,BHN!$A$2:$C$87,2,0),VLOOKUP('Tinh phi QL'!$I$49+B12,BHN!$A$2:$C$87,3,0))</f>
        <v>0</v>
      </c>
      <c r="W13" s="370">
        <f>IF($W$4=0,0,IF('Tinh phi QL'!$F$56="Việt Nam",INDEX(TTD!$B$3:$E$102,MATCH('Tinh phi QL'!$I$49+B12,TTD!$A$3:$A$102,0),MATCH('Tinh phi QL'!$G$56,TTD!$B$2:$E$2,0)),IF('Tinh phi QL'!$F$56="Toàn cầu",INDEX(TTD!$F$3:$I$102,MATCH('Tinh phi QL'!$I$49+B12,TTD!$A$3:$A$102,0),MATCH('Tinh phi QL'!$G$56,TTD!$F$2:$I$2,0)))))/1000</f>
        <v>0</v>
      </c>
      <c r="X13" s="370">
        <f>IF($X$4=0,0,INDEX(TTD!$J$3:$M$102,MATCH('Tinh phi QL'!$I$49+B12,TTD!$A$3:$A$102,0),MATCH('Tinh phi QL'!$G$58,TTD!$J$2:$M$2,0)))/1000</f>
        <v>0</v>
      </c>
      <c r="Y13" s="370">
        <f>IF($Y$4=0,0,INDEX(TTD!$N$3:$Q$102,MATCH('Tinh phi QL'!$I$49+B12,TTD!$A$3:$A$102,0),MATCH('Tinh phi QL'!$G$60,TTD!$N$2:$Q$2,0)))/1000</f>
        <v>0</v>
      </c>
      <c r="Z13" s="370">
        <f ca="1">'Tinh phi QL'!$G$64/1000000*IF('Tinh phi QL'!$H$50="nam",VLOOKUP('Tinh phi QL'!$I$49+B12,Tuky!$A$2:$C$87,2,0),VLOOKUP('Tinh phi QL'!$I$49+B12,Tuky!$A$2:$C$87,3,0))</f>
        <v>0</v>
      </c>
      <c r="AA13" s="370">
        <f t="shared" si="4"/>
        <v>0</v>
      </c>
      <c r="AB13" s="370">
        <f ca="1">VLOOKUP('Tinh phi QL'!$I$68+B12,TCYT!$A$2:$B$60,2,0)*'Tinh phi QL'!$G$73/100000</f>
        <v>0</v>
      </c>
      <c r="AC13" s="370">
        <f ca="1">'Tinh phi QL'!$G$74/1000000*IF('Tinh phi QL'!$H$69="nam",VLOOKUP('Tinh phi QL'!$I$68+B12,BHN!$A$2:$C$87,2,0),VLOOKUP('Tinh phi QL'!$I$68+B12,BHN!$A$2:$C$87,3,0))</f>
        <v>0</v>
      </c>
      <c r="AD13" s="370">
        <f>IF($AD$4=0,0,IF('Tinh phi QL'!$F$75="Việt Nam",INDEX(TTD!$B$3:$E$102,MATCH('Tinh phi QL'!$I$68+B12,TTD!$A$3:$A$102,0),MATCH('Tinh phi QL'!$G$75,TTD!$B$2:$E$2,0)),IF('Tinh phi QL'!$F$75="Toàn cầu",INDEX(TTD!$F$3:$I$102,MATCH('Tinh phi QL'!$I$68+B12,TTD!$A$3:$A$102,0),MATCH('Tinh phi QL'!$G$75,TTD!$F$2:$I$2,0)))))/1000</f>
        <v>0</v>
      </c>
      <c r="AE13" s="370">
        <f>IF($AE$4=0,0,INDEX(TTD!$J$3:$M$102,MATCH('Tinh phi QL'!$I$68+B12,TTD!$A$3:$A$102,0),MATCH('Tinh phi QL'!$G$77,TTD!$J$2:$M$2,0)))/1000</f>
        <v>0</v>
      </c>
      <c r="AF13" s="370">
        <f>IF($AF$4=0,0,INDEX(TTD!$N$3:$Q$102,MATCH('Tinh phi QL'!$I$68+B12,TTD!$A$3:$A$102,0),MATCH('Tinh phi QL'!$G$79,TTD!$N$2:$Q$2,0)))/1000</f>
        <v>0</v>
      </c>
      <c r="AG13" s="370">
        <f ca="1">'Tinh phi QL'!$G$83/1000000*IF('Tinh phi QL'!$H$69="nam",VLOOKUP('Tinh phi QL'!$I$68+B12,Tuky!$A$2:$C$87,2,0),VLOOKUP('Tinh phi QL'!$I$68+B12,Tuky!$A$2:$C$87,3,0))</f>
        <v>0</v>
      </c>
      <c r="AH13" s="371">
        <f t="shared" ca="1" si="0"/>
        <v>7495</v>
      </c>
    </row>
    <row r="14" spans="2:34">
      <c r="B14" s="368">
        <v>11</v>
      </c>
      <c r="C14" s="368">
        <f>IF(ROW(A11)&gt;'Tinh phi QL'!$D$12,"",ROW(A11))</f>
        <v>11</v>
      </c>
      <c r="D14" s="369">
        <f ca="1">IF(IFERROR(--TRIM(C14),0)=0,0,'Tinh phi QL'!$H$12/1000)</f>
        <v>0</v>
      </c>
      <c r="E14" s="370">
        <f t="shared" si="1"/>
        <v>2270</v>
      </c>
      <c r="F14" s="370">
        <f ca="1">VLOOKUP('Tinh phi QL'!$I$8+B13,TCYT!$A$2:$B$60,2,0)*'Tinh phi QL'!$G$15/100000</f>
        <v>0</v>
      </c>
      <c r="G14" s="370">
        <f ca="1">'Tinh phi QL'!$G$16/1000000*IF('Tinh phi QL'!$H$9="nam",VLOOKUP('Tinh phi QL'!$I$8+B13,BHN!$A$2:$C$87,2,0),VLOOKUP('Tinh phi QL'!$I$8+B13,BHN!$A$2:$C$87,3,0))</f>
        <v>1611</v>
      </c>
      <c r="H14" s="370">
        <f ca="1">IF($H$4=0,0,IF('Tinh phi QL'!$F$17="Việt Nam",INDEX(TTD!$B$3:$E$102,MATCH('Tinh phi QL'!$I$8+B13,TTD!$A$3:$A$102,0),MATCH('Tinh phi QL'!$G$17,TTD!$B$2:$E$2,0)),IF('Tinh phi QL'!$F$17="Toàn cầu",INDEX(TTD!$F$3:$I$102,MATCH('Tinh phi QL'!$I$8+B13,TTD!$A$3:$A$102,0),MATCH('Tinh phi QL'!$G$17,TTD!$F$2:$I$2,0)))))/1000</f>
        <v>4652</v>
      </c>
      <c r="I14" s="370">
        <f>IF($I$4=0,0,INDEX(TTD!$J$3:$M$102,MATCH('Tinh phi QL'!$I$8+B13,TTD!$A$3:$A$102,0),MATCH('Tinh phi QL'!$G$19,TTD!$J$2:$M$2,0)))/1000</f>
        <v>0</v>
      </c>
      <c r="J14" s="370">
        <f>IF($J$4=0,0,INDEX(TTD!$N$3:$Q$102,MATCH('Tinh phi QL'!$I$8+B13,TTD!$A$3:$A$102,0),MATCH('Tinh phi QL'!$G$21,TTD!$N$2:$Q$2,0)))/1000</f>
        <v>0</v>
      </c>
      <c r="K14" s="370">
        <f ca="1">'Tinh phi QL'!$G$25/1000000*IF('Tinh phi QL'!$H$9="nam",VLOOKUP('Tinh phi QL'!$I$8+B13,Tuky!$A$2:$C$87,2,0),VLOOKUP('Tinh phi QL'!$I$8+B13,Tuky!$A$2:$C$87,3,0))</f>
        <v>0</v>
      </c>
      <c r="L14" s="370">
        <f t="shared" si="2"/>
        <v>0</v>
      </c>
      <c r="M14" s="370">
        <f ca="1">VLOOKUP('Tinh phi QL'!$I$29+B13,TCYT!$A$2:$B$60,2,0)*'Tinh phi QL'!$G$34/100000</f>
        <v>0</v>
      </c>
      <c r="N14" s="370">
        <f ca="1">'Tinh phi QL'!$G$35/1000000*IF('Tinh phi QL'!$H$30="nam",VLOOKUP('Tinh phi QL'!$I$29+B13,BHN!$A$2:$C$87,2,0),VLOOKUP('Tinh phi QL'!$I$29+B13,BHN!$A$2:$C$87,3,0))</f>
        <v>0</v>
      </c>
      <c r="O14" s="370">
        <f>IF($O$4=0,0,IF('Tinh phi QL'!$F$36="Việt Nam",INDEX(TTD!$B$3:$E$102,MATCH('Tinh phi QL'!$I$29+B13,TTD!$A$3:$A$102,0),MATCH('Tinh phi QL'!$G$36,TTD!$B$2:$E$2,0)),IF('Tinh phi QL'!$F$36="Toàn cầu",INDEX(TTD!$F$3:$I$102,MATCH('Tinh phi QL'!$I$29+B13,TTD!$A$3:$A$102,0),MATCH('Tinh phi QL'!$G$36,TTD!$F$2:$I$2,0)))))/1000</f>
        <v>0</v>
      </c>
      <c r="P14" s="370">
        <f>IF($P$4=0,0,INDEX(TTD!$J$3:$M$102,MATCH('Tinh phi QL'!$I$29+B13,TTD!$A$3:$A$102,0),MATCH('Tinh phi QL'!$G$38,TTD!$J$2:$M$2,0)))/1000</f>
        <v>0</v>
      </c>
      <c r="Q14" s="370">
        <f>IF($Q$4=0,0,INDEX(TTD!$N$3:$Q$102,MATCH('Tinh phi QL'!$I$29+B13,TTD!$A$3:$A$102,0),MATCH('Tinh phi QL'!$G$40,TTD!$N$2:$Q$2,0)))/1000</f>
        <v>0</v>
      </c>
      <c r="R14" s="370">
        <f ca="1">'Tinh phi QL'!$G$44/1000000*IF('Tinh phi QL'!$H$30="nam",VLOOKUP('Tinh phi QL'!$I$29+B13,Tuky!$A$2:$C$87,2,0),VLOOKUP('Tinh phi QL'!$I$29+B13,Tuky!$A$2:$C$87,3,0))</f>
        <v>0</v>
      </c>
      <c r="S14" s="370">
        <f>IF('Tinh phi QL'!$G$45=0,0,((SUM(D14:R14)+SUM(T14:AG14))/1000*IF('Tinh phi QL'!$H$30="nam",INDEX(MTPNam!$B$2:$AR$44,MATCH('Tinh phi QL'!$I$29+B13,MTPNam!$A$2:$A$44,0),MATCH('Tinh phi QL'!$E$45-B13,MTPNam!$B$1:$AR$1,0)),IF('Tinh phi QL'!$H$30="nữ",INDEX(MTPNu!$B$2:$AR$44,MATCH('Tinh phi QL'!$I$29+B13,MTPNu!$A$2:$A$44,0),MATCH('Tinh phi QL'!$E$45-B13,MTPNu!$B$1:$AR$1,0))))))</f>
        <v>0</v>
      </c>
      <c r="T14" s="370">
        <f t="shared" si="3"/>
        <v>0</v>
      </c>
      <c r="U14" s="370">
        <f ca="1">VLOOKUP('Tinh phi QL'!$I$49+B13,TCYT!$A$2:$B$60,2,0)*'Tinh phi QL'!$G$54/100000</f>
        <v>0</v>
      </c>
      <c r="V14" s="370">
        <f ca="1">'Tinh phi QL'!$G$55/1000000*IF('Tinh phi QL'!$H$50="nam",VLOOKUP('Tinh phi QL'!$I$49+B13,BHN!$A$2:$C$87,2,0),VLOOKUP('Tinh phi QL'!$I$49+B13,BHN!$A$2:$C$87,3,0))</f>
        <v>0</v>
      </c>
      <c r="W14" s="370">
        <f>IF($W$4=0,0,IF('Tinh phi QL'!$F$56="Việt Nam",INDEX(TTD!$B$3:$E$102,MATCH('Tinh phi QL'!$I$49+B13,TTD!$A$3:$A$102,0),MATCH('Tinh phi QL'!$G$56,TTD!$B$2:$E$2,0)),IF('Tinh phi QL'!$F$56="Toàn cầu",INDEX(TTD!$F$3:$I$102,MATCH('Tinh phi QL'!$I$49+B13,TTD!$A$3:$A$102,0),MATCH('Tinh phi QL'!$G$56,TTD!$F$2:$I$2,0)))))/1000</f>
        <v>0</v>
      </c>
      <c r="X14" s="370">
        <f>IF($X$4=0,0,INDEX(TTD!$J$3:$M$102,MATCH('Tinh phi QL'!$I$49+B13,TTD!$A$3:$A$102,0),MATCH('Tinh phi QL'!$G$58,TTD!$J$2:$M$2,0)))/1000</f>
        <v>0</v>
      </c>
      <c r="Y14" s="370">
        <f>IF($Y$4=0,0,INDEX(TTD!$N$3:$Q$102,MATCH('Tinh phi QL'!$I$49+B13,TTD!$A$3:$A$102,0),MATCH('Tinh phi QL'!$G$60,TTD!$N$2:$Q$2,0)))/1000</f>
        <v>0</v>
      </c>
      <c r="Z14" s="370">
        <f ca="1">'Tinh phi QL'!$G$64/1000000*IF('Tinh phi QL'!$H$50="nam",VLOOKUP('Tinh phi QL'!$I$49+B13,Tuky!$A$2:$C$87,2,0),VLOOKUP('Tinh phi QL'!$I$49+B13,Tuky!$A$2:$C$87,3,0))</f>
        <v>0</v>
      </c>
      <c r="AA14" s="370">
        <f t="shared" si="4"/>
        <v>0</v>
      </c>
      <c r="AB14" s="370">
        <f ca="1">VLOOKUP('Tinh phi QL'!$I$68+B13,TCYT!$A$2:$B$60,2,0)*'Tinh phi QL'!$G$73/100000</f>
        <v>0</v>
      </c>
      <c r="AC14" s="370">
        <f ca="1">'Tinh phi QL'!$G$74/1000000*IF('Tinh phi QL'!$H$69="nam",VLOOKUP('Tinh phi QL'!$I$68+B13,BHN!$A$2:$C$87,2,0),VLOOKUP('Tinh phi QL'!$I$68+B13,BHN!$A$2:$C$87,3,0))</f>
        <v>0</v>
      </c>
      <c r="AD14" s="370">
        <f>IF($AD$4=0,0,IF('Tinh phi QL'!$F$75="Việt Nam",INDEX(TTD!$B$3:$E$102,MATCH('Tinh phi QL'!$I$68+B13,TTD!$A$3:$A$102,0),MATCH('Tinh phi QL'!$G$75,TTD!$B$2:$E$2,0)),IF('Tinh phi QL'!$F$75="Toàn cầu",INDEX(TTD!$F$3:$I$102,MATCH('Tinh phi QL'!$I$68+B13,TTD!$A$3:$A$102,0),MATCH('Tinh phi QL'!$G$75,TTD!$F$2:$I$2,0)))))/1000</f>
        <v>0</v>
      </c>
      <c r="AE14" s="370">
        <f>IF($AE$4=0,0,INDEX(TTD!$J$3:$M$102,MATCH('Tinh phi QL'!$I$68+B13,TTD!$A$3:$A$102,0),MATCH('Tinh phi QL'!$G$77,TTD!$J$2:$M$2,0)))/1000</f>
        <v>0</v>
      </c>
      <c r="AF14" s="370">
        <f>IF($AF$4=0,0,INDEX(TTD!$N$3:$Q$102,MATCH('Tinh phi QL'!$I$68+B13,TTD!$A$3:$A$102,0),MATCH('Tinh phi QL'!$G$79,TTD!$N$2:$Q$2,0)))/1000</f>
        <v>0</v>
      </c>
      <c r="AG14" s="370">
        <f ca="1">'Tinh phi QL'!$G$83/1000000*IF('Tinh phi QL'!$H$69="nam",VLOOKUP('Tinh phi QL'!$I$68+B13,Tuky!$A$2:$C$87,2,0),VLOOKUP('Tinh phi QL'!$I$68+B13,Tuky!$A$2:$C$87,3,0))</f>
        <v>0</v>
      </c>
      <c r="AH14" s="371">
        <f t="shared" ca="1" si="0"/>
        <v>8533</v>
      </c>
    </row>
    <row r="15" spans="2:34">
      <c r="B15" s="368">
        <v>12</v>
      </c>
      <c r="C15" s="368">
        <f>IF(ROW(A12)&gt;'Tinh phi QL'!$D$12,"",ROW(A12))</f>
        <v>12</v>
      </c>
      <c r="D15" s="369">
        <f ca="1">IF(IFERROR(--TRIM(C15),0)=0,0,'Tinh phi QL'!$H$12/1000)</f>
        <v>0</v>
      </c>
      <c r="E15" s="370">
        <f t="shared" si="1"/>
        <v>2270</v>
      </c>
      <c r="F15" s="370">
        <f ca="1">VLOOKUP('Tinh phi QL'!$I$8+B14,TCYT!$A$2:$B$60,2,0)*'Tinh phi QL'!$G$15/100000</f>
        <v>0</v>
      </c>
      <c r="G15" s="370">
        <f ca="1">'Tinh phi QL'!$G$16/1000000*IF('Tinh phi QL'!$H$9="nam",VLOOKUP('Tinh phi QL'!$I$8+B14,BHN!$A$2:$C$87,2,0),VLOOKUP('Tinh phi QL'!$I$8+B14,BHN!$A$2:$C$87,3,0))</f>
        <v>1611</v>
      </c>
      <c r="H15" s="370">
        <f ca="1">IF($H$4=0,0,IF('Tinh phi QL'!$F$17="Việt Nam",INDEX(TTD!$B$3:$E$102,MATCH('Tinh phi QL'!$I$8+B14,TTD!$A$3:$A$102,0),MATCH('Tinh phi QL'!$G$17,TTD!$B$2:$E$2,0)),IF('Tinh phi QL'!$F$17="Toàn cầu",INDEX(TTD!$F$3:$I$102,MATCH('Tinh phi QL'!$I$8+B14,TTD!$A$3:$A$102,0),MATCH('Tinh phi QL'!$G$17,TTD!$F$2:$I$2,0)))))/1000</f>
        <v>4652</v>
      </c>
      <c r="I15" s="370">
        <f>IF($I$4=0,0,INDEX(TTD!$J$3:$M$102,MATCH('Tinh phi QL'!$I$8+B14,TTD!$A$3:$A$102,0),MATCH('Tinh phi QL'!$G$19,TTD!$J$2:$M$2,0)))/1000</f>
        <v>0</v>
      </c>
      <c r="J15" s="370">
        <f>IF($J$4=0,0,INDEX(TTD!$N$3:$Q$102,MATCH('Tinh phi QL'!$I$8+B14,TTD!$A$3:$A$102,0),MATCH('Tinh phi QL'!$G$21,TTD!$N$2:$Q$2,0)))/1000</f>
        <v>0</v>
      </c>
      <c r="K15" s="370">
        <f ca="1">'Tinh phi QL'!$G$25/1000000*IF('Tinh phi QL'!$H$9="nam",VLOOKUP('Tinh phi QL'!$I$8+B14,Tuky!$A$2:$C$87,2,0),VLOOKUP('Tinh phi QL'!$I$8+B14,Tuky!$A$2:$C$87,3,0))</f>
        <v>0</v>
      </c>
      <c r="L15" s="370">
        <f t="shared" si="2"/>
        <v>0</v>
      </c>
      <c r="M15" s="370">
        <f ca="1">VLOOKUP('Tinh phi QL'!$I$29+B14,TCYT!$A$2:$B$60,2,0)*'Tinh phi QL'!$G$34/100000</f>
        <v>0</v>
      </c>
      <c r="N15" s="370">
        <f ca="1">'Tinh phi QL'!$G$35/1000000*IF('Tinh phi QL'!$H$30="nam",VLOOKUP('Tinh phi QL'!$I$29+B14,BHN!$A$2:$C$87,2,0),VLOOKUP('Tinh phi QL'!$I$29+B14,BHN!$A$2:$C$87,3,0))</f>
        <v>0</v>
      </c>
      <c r="O15" s="370">
        <f>IF($O$4=0,0,IF('Tinh phi QL'!$F$36="Việt Nam",INDEX(TTD!$B$3:$E$102,MATCH('Tinh phi QL'!$I$29+B14,TTD!$A$3:$A$102,0),MATCH('Tinh phi QL'!$G$36,TTD!$B$2:$E$2,0)),IF('Tinh phi QL'!$F$36="Toàn cầu",INDEX(TTD!$F$3:$I$102,MATCH('Tinh phi QL'!$I$29+B14,TTD!$A$3:$A$102,0),MATCH('Tinh phi QL'!$G$36,TTD!$F$2:$I$2,0)))))/1000</f>
        <v>0</v>
      </c>
      <c r="P15" s="370">
        <f>IF($P$4=0,0,INDEX(TTD!$J$3:$M$102,MATCH('Tinh phi QL'!$I$29+B14,TTD!$A$3:$A$102,0),MATCH('Tinh phi QL'!$G$38,TTD!$J$2:$M$2,0)))/1000</f>
        <v>0</v>
      </c>
      <c r="Q15" s="370">
        <f>IF($Q$4=0,0,INDEX(TTD!$N$3:$Q$102,MATCH('Tinh phi QL'!$I$29+B14,TTD!$A$3:$A$102,0),MATCH('Tinh phi QL'!$G$40,TTD!$N$2:$Q$2,0)))/1000</f>
        <v>0</v>
      </c>
      <c r="R15" s="370">
        <f ca="1">'Tinh phi QL'!$G$44/1000000*IF('Tinh phi QL'!$H$30="nam",VLOOKUP('Tinh phi QL'!$I$29+B14,Tuky!$A$2:$C$87,2,0),VLOOKUP('Tinh phi QL'!$I$29+B14,Tuky!$A$2:$C$87,3,0))</f>
        <v>0</v>
      </c>
      <c r="S15" s="370">
        <f>IF('Tinh phi QL'!$G$45=0,0,((SUM(D15:R15)+SUM(T15:AG15))/1000*IF('Tinh phi QL'!$H$30="nam",INDEX(MTPNam!$B$2:$AR$44,MATCH('Tinh phi QL'!$I$29+B14,MTPNam!$A$2:$A$44,0),MATCH('Tinh phi QL'!$E$45-B14,MTPNam!$B$1:$AR$1,0)),IF('Tinh phi QL'!$H$30="nữ",INDEX(MTPNu!$B$2:$AR$44,MATCH('Tinh phi QL'!$I$29+B14,MTPNu!$A$2:$A$44,0),MATCH('Tinh phi QL'!$E$45-B14,MTPNu!$B$1:$AR$1,0))))))</f>
        <v>0</v>
      </c>
      <c r="T15" s="370">
        <f t="shared" si="3"/>
        <v>0</v>
      </c>
      <c r="U15" s="370">
        <f ca="1">VLOOKUP('Tinh phi QL'!$I$49+B14,TCYT!$A$2:$B$60,2,0)*'Tinh phi QL'!$G$54/100000</f>
        <v>0</v>
      </c>
      <c r="V15" s="370">
        <f ca="1">'Tinh phi QL'!$G$55/1000000*IF('Tinh phi QL'!$H$50="nam",VLOOKUP('Tinh phi QL'!$I$49+B14,BHN!$A$2:$C$87,2,0),VLOOKUP('Tinh phi QL'!$I$49+B14,BHN!$A$2:$C$87,3,0))</f>
        <v>0</v>
      </c>
      <c r="W15" s="370">
        <f>IF($W$4=0,0,IF('Tinh phi QL'!$F$56="Việt Nam",INDEX(TTD!$B$3:$E$102,MATCH('Tinh phi QL'!$I$49+B14,TTD!$A$3:$A$102,0),MATCH('Tinh phi QL'!$G$56,TTD!$B$2:$E$2,0)),IF('Tinh phi QL'!$F$56="Toàn cầu",INDEX(TTD!$F$3:$I$102,MATCH('Tinh phi QL'!$I$49+B14,TTD!$A$3:$A$102,0),MATCH('Tinh phi QL'!$G$56,TTD!$F$2:$I$2,0)))))/1000</f>
        <v>0</v>
      </c>
      <c r="X15" s="370">
        <f>IF($X$4=0,0,INDEX(TTD!$J$3:$M$102,MATCH('Tinh phi QL'!$I$49+B14,TTD!$A$3:$A$102,0),MATCH('Tinh phi QL'!$G$58,TTD!$J$2:$M$2,0)))/1000</f>
        <v>0</v>
      </c>
      <c r="Y15" s="370">
        <f>IF($Y$4=0,0,INDEX(TTD!$N$3:$Q$102,MATCH('Tinh phi QL'!$I$49+B14,TTD!$A$3:$A$102,0),MATCH('Tinh phi QL'!$G$60,TTD!$N$2:$Q$2,0)))/1000</f>
        <v>0</v>
      </c>
      <c r="Z15" s="370">
        <f ca="1">'Tinh phi QL'!$G$64/1000000*IF('Tinh phi QL'!$H$50="nam",VLOOKUP('Tinh phi QL'!$I$49+B14,Tuky!$A$2:$C$87,2,0),VLOOKUP('Tinh phi QL'!$I$49+B14,Tuky!$A$2:$C$87,3,0))</f>
        <v>0</v>
      </c>
      <c r="AA15" s="370">
        <f t="shared" si="4"/>
        <v>0</v>
      </c>
      <c r="AB15" s="370">
        <f ca="1">VLOOKUP('Tinh phi QL'!$I$68+B14,TCYT!$A$2:$B$60,2,0)*'Tinh phi QL'!$G$73/100000</f>
        <v>0</v>
      </c>
      <c r="AC15" s="370">
        <f ca="1">'Tinh phi QL'!$G$74/1000000*IF('Tinh phi QL'!$H$69="nam",VLOOKUP('Tinh phi QL'!$I$68+B14,BHN!$A$2:$C$87,2,0),VLOOKUP('Tinh phi QL'!$I$68+B14,BHN!$A$2:$C$87,3,0))</f>
        <v>0</v>
      </c>
      <c r="AD15" s="370">
        <f>IF($AD$4=0,0,IF('Tinh phi QL'!$F$75="Việt Nam",INDEX(TTD!$B$3:$E$102,MATCH('Tinh phi QL'!$I$68+B14,TTD!$A$3:$A$102,0),MATCH('Tinh phi QL'!$G$75,TTD!$B$2:$E$2,0)),IF('Tinh phi QL'!$F$75="Toàn cầu",INDEX(TTD!$F$3:$I$102,MATCH('Tinh phi QL'!$I$68+B14,TTD!$A$3:$A$102,0),MATCH('Tinh phi QL'!$G$75,TTD!$F$2:$I$2,0)))))/1000</f>
        <v>0</v>
      </c>
      <c r="AE15" s="370">
        <f>IF($AE$4=0,0,INDEX(TTD!$J$3:$M$102,MATCH('Tinh phi QL'!$I$68+B14,TTD!$A$3:$A$102,0),MATCH('Tinh phi QL'!$G$77,TTD!$J$2:$M$2,0)))/1000</f>
        <v>0</v>
      </c>
      <c r="AF15" s="370">
        <f>IF($AF$4=0,0,INDEX(TTD!$N$3:$Q$102,MATCH('Tinh phi QL'!$I$68+B14,TTD!$A$3:$A$102,0),MATCH('Tinh phi QL'!$G$79,TTD!$N$2:$Q$2,0)))/1000</f>
        <v>0</v>
      </c>
      <c r="AG15" s="370">
        <f ca="1">'Tinh phi QL'!$G$83/1000000*IF('Tinh phi QL'!$H$69="nam",VLOOKUP('Tinh phi QL'!$I$68+B14,Tuky!$A$2:$C$87,2,0),VLOOKUP('Tinh phi QL'!$I$68+B14,Tuky!$A$2:$C$87,3,0))</f>
        <v>0</v>
      </c>
      <c r="AH15" s="371">
        <f t="shared" ca="1" si="0"/>
        <v>8533</v>
      </c>
    </row>
    <row r="16" spans="2:34">
      <c r="B16" s="368">
        <v>13</v>
      </c>
      <c r="C16" s="368">
        <f>IF(ROW(A13)&gt;'Tinh phi QL'!$D$12,"",ROW(A13))</f>
        <v>13</v>
      </c>
      <c r="D16" s="369">
        <f ca="1">IF(IFERROR(--TRIM(C16),0)=0,0,'Tinh phi QL'!$H$12/1000)</f>
        <v>0</v>
      </c>
      <c r="E16" s="370">
        <f t="shared" si="1"/>
        <v>2270</v>
      </c>
      <c r="F16" s="370">
        <f ca="1">VLOOKUP('Tinh phi QL'!$I$8+B15,TCYT!$A$2:$B$60,2,0)*'Tinh phi QL'!$G$15/100000</f>
        <v>0</v>
      </c>
      <c r="G16" s="370">
        <f ca="1">'Tinh phi QL'!$G$16/1000000*IF('Tinh phi QL'!$H$9="nam",VLOOKUP('Tinh phi QL'!$I$8+B15,BHN!$A$2:$C$87,2,0),VLOOKUP('Tinh phi QL'!$I$8+B15,BHN!$A$2:$C$87,3,0))</f>
        <v>1611</v>
      </c>
      <c r="H16" s="370">
        <f ca="1">IF($H$4=0,0,IF('Tinh phi QL'!$F$17="Việt Nam",INDEX(TTD!$B$3:$E$102,MATCH('Tinh phi QL'!$I$8+B15,TTD!$A$3:$A$102,0),MATCH('Tinh phi QL'!$G$17,TTD!$B$2:$E$2,0)),IF('Tinh phi QL'!$F$17="Toàn cầu",INDEX(TTD!$F$3:$I$102,MATCH('Tinh phi QL'!$I$8+B15,TTD!$A$3:$A$102,0),MATCH('Tinh phi QL'!$G$17,TTD!$F$2:$I$2,0)))))/1000</f>
        <v>4652</v>
      </c>
      <c r="I16" s="370">
        <f>IF($I$4=0,0,INDEX(TTD!$J$3:$M$102,MATCH('Tinh phi QL'!$I$8+B15,TTD!$A$3:$A$102,0),MATCH('Tinh phi QL'!$G$19,TTD!$J$2:$M$2,0)))/1000</f>
        <v>0</v>
      </c>
      <c r="J16" s="370">
        <f>IF($J$4=0,0,INDEX(TTD!$N$3:$Q$102,MATCH('Tinh phi QL'!$I$8+B15,TTD!$A$3:$A$102,0),MATCH('Tinh phi QL'!$G$21,TTD!$N$2:$Q$2,0)))/1000</f>
        <v>0</v>
      </c>
      <c r="K16" s="370">
        <f ca="1">'Tinh phi QL'!$G$25/1000000*IF('Tinh phi QL'!$H$9="nam",VLOOKUP('Tinh phi QL'!$I$8+B15,Tuky!$A$2:$C$87,2,0),VLOOKUP('Tinh phi QL'!$I$8+B15,Tuky!$A$2:$C$87,3,0))</f>
        <v>0</v>
      </c>
      <c r="L16" s="370">
        <f t="shared" si="2"/>
        <v>0</v>
      </c>
      <c r="M16" s="370">
        <f ca="1">VLOOKUP('Tinh phi QL'!$I$29+B15,TCYT!$A$2:$B$60,2,0)*'Tinh phi QL'!$G$34/100000</f>
        <v>0</v>
      </c>
      <c r="N16" s="370">
        <f ca="1">'Tinh phi QL'!$G$35/1000000*IF('Tinh phi QL'!$H$30="nam",VLOOKUP('Tinh phi QL'!$I$29+B15,BHN!$A$2:$C$87,2,0),VLOOKUP('Tinh phi QL'!$I$29+B15,BHN!$A$2:$C$87,3,0))</f>
        <v>0</v>
      </c>
      <c r="O16" s="370">
        <f>IF($O$4=0,0,IF('Tinh phi QL'!$F$36="Việt Nam",INDEX(TTD!$B$3:$E$102,MATCH('Tinh phi QL'!$I$29+B15,TTD!$A$3:$A$102,0),MATCH('Tinh phi QL'!$G$36,TTD!$B$2:$E$2,0)),IF('Tinh phi QL'!$F$36="Toàn cầu",INDEX(TTD!$F$3:$I$102,MATCH('Tinh phi QL'!$I$29+B15,TTD!$A$3:$A$102,0),MATCH('Tinh phi QL'!$G$36,TTD!$F$2:$I$2,0)))))/1000</f>
        <v>0</v>
      </c>
      <c r="P16" s="370">
        <f>IF($P$4=0,0,INDEX(TTD!$J$3:$M$102,MATCH('Tinh phi QL'!$I$29+B15,TTD!$A$3:$A$102,0),MATCH('Tinh phi QL'!$G$38,TTD!$J$2:$M$2,0)))/1000</f>
        <v>0</v>
      </c>
      <c r="Q16" s="370">
        <f>IF($Q$4=0,0,INDEX(TTD!$N$3:$Q$102,MATCH('Tinh phi QL'!$I$29+B15,TTD!$A$3:$A$102,0),MATCH('Tinh phi QL'!$G$40,TTD!$N$2:$Q$2,0)))/1000</f>
        <v>0</v>
      </c>
      <c r="R16" s="370">
        <f ca="1">'Tinh phi QL'!$G$44/1000000*IF('Tinh phi QL'!$H$30="nam",VLOOKUP('Tinh phi QL'!$I$29+B15,Tuky!$A$2:$C$87,2,0),VLOOKUP('Tinh phi QL'!$I$29+B15,Tuky!$A$2:$C$87,3,0))</f>
        <v>0</v>
      </c>
      <c r="S16" s="370">
        <f>IF('Tinh phi QL'!$G$45=0,0,((SUM(D16:R16)+SUM(T16:AG16))/1000*IF('Tinh phi QL'!$H$30="nam",INDEX(MTPNam!$B$2:$AR$44,MATCH('Tinh phi QL'!$I$29+B15,MTPNam!$A$2:$A$44,0),MATCH('Tinh phi QL'!$E$45-B15,MTPNam!$B$1:$AR$1,0)),IF('Tinh phi QL'!$H$30="nữ",INDEX(MTPNu!$B$2:$AR$44,MATCH('Tinh phi QL'!$I$29+B15,MTPNu!$A$2:$A$44,0),MATCH('Tinh phi QL'!$E$45-B15,MTPNu!$B$1:$AR$1,0))))))</f>
        <v>0</v>
      </c>
      <c r="T16" s="370">
        <f t="shared" si="3"/>
        <v>0</v>
      </c>
      <c r="U16" s="370">
        <f ca="1">VLOOKUP('Tinh phi QL'!$I$49+B15,TCYT!$A$2:$B$60,2,0)*'Tinh phi QL'!$G$54/100000</f>
        <v>0</v>
      </c>
      <c r="V16" s="370">
        <f ca="1">'Tinh phi QL'!$G$55/1000000*IF('Tinh phi QL'!$H$50="nam",VLOOKUP('Tinh phi QL'!$I$49+B15,BHN!$A$2:$C$87,2,0),VLOOKUP('Tinh phi QL'!$I$49+B15,BHN!$A$2:$C$87,3,0))</f>
        <v>0</v>
      </c>
      <c r="W16" s="370">
        <f>IF($W$4=0,0,IF('Tinh phi QL'!$F$56="Việt Nam",INDEX(TTD!$B$3:$E$102,MATCH('Tinh phi QL'!$I$49+B15,TTD!$A$3:$A$102,0),MATCH('Tinh phi QL'!$G$56,TTD!$B$2:$E$2,0)),IF('Tinh phi QL'!$F$56="Toàn cầu",INDEX(TTD!$F$3:$I$102,MATCH('Tinh phi QL'!$I$49+B15,TTD!$A$3:$A$102,0),MATCH('Tinh phi QL'!$G$56,TTD!$F$2:$I$2,0)))))/1000</f>
        <v>0</v>
      </c>
      <c r="X16" s="370">
        <f>IF($X$4=0,0,INDEX(TTD!$J$3:$M$102,MATCH('Tinh phi QL'!$I$49+B15,TTD!$A$3:$A$102,0),MATCH('Tinh phi QL'!$G$58,TTD!$J$2:$M$2,0)))/1000</f>
        <v>0</v>
      </c>
      <c r="Y16" s="370">
        <f>IF($Y$4=0,0,INDEX(TTD!$N$3:$Q$102,MATCH('Tinh phi QL'!$I$49+B15,TTD!$A$3:$A$102,0),MATCH('Tinh phi QL'!$G$60,TTD!$N$2:$Q$2,0)))/1000</f>
        <v>0</v>
      </c>
      <c r="Z16" s="370">
        <f ca="1">'Tinh phi QL'!$G$64/1000000*IF('Tinh phi QL'!$H$50="nam",VLOOKUP('Tinh phi QL'!$I$49+B15,Tuky!$A$2:$C$87,2,0),VLOOKUP('Tinh phi QL'!$I$49+B15,Tuky!$A$2:$C$87,3,0))</f>
        <v>0</v>
      </c>
      <c r="AA16" s="370">
        <f t="shared" si="4"/>
        <v>0</v>
      </c>
      <c r="AB16" s="370">
        <f ca="1">VLOOKUP('Tinh phi QL'!$I$68+B15,TCYT!$A$2:$B$60,2,0)*'Tinh phi QL'!$G$73/100000</f>
        <v>0</v>
      </c>
      <c r="AC16" s="370">
        <f ca="1">'Tinh phi QL'!$G$74/1000000*IF('Tinh phi QL'!$H$69="nam",VLOOKUP('Tinh phi QL'!$I$68+B15,BHN!$A$2:$C$87,2,0),VLOOKUP('Tinh phi QL'!$I$68+B15,BHN!$A$2:$C$87,3,0))</f>
        <v>0</v>
      </c>
      <c r="AD16" s="370">
        <f>IF($AD$4=0,0,IF('Tinh phi QL'!$F$75="Việt Nam",INDEX(TTD!$B$3:$E$102,MATCH('Tinh phi QL'!$I$68+B15,TTD!$A$3:$A$102,0),MATCH('Tinh phi QL'!$G$75,TTD!$B$2:$E$2,0)),IF('Tinh phi QL'!$F$75="Toàn cầu",INDEX(TTD!$F$3:$I$102,MATCH('Tinh phi QL'!$I$68+B15,TTD!$A$3:$A$102,0),MATCH('Tinh phi QL'!$G$75,TTD!$F$2:$I$2,0)))))/1000</f>
        <v>0</v>
      </c>
      <c r="AE16" s="370">
        <f>IF($AE$4=0,0,INDEX(TTD!$J$3:$M$102,MATCH('Tinh phi QL'!$I$68+B15,TTD!$A$3:$A$102,0),MATCH('Tinh phi QL'!$G$77,TTD!$J$2:$M$2,0)))/1000</f>
        <v>0</v>
      </c>
      <c r="AF16" s="370">
        <f>IF($AF$4=0,0,INDEX(TTD!$N$3:$Q$102,MATCH('Tinh phi QL'!$I$68+B15,TTD!$A$3:$A$102,0),MATCH('Tinh phi QL'!$G$79,TTD!$N$2:$Q$2,0)))/1000</f>
        <v>0</v>
      </c>
      <c r="AG16" s="370">
        <f ca="1">'Tinh phi QL'!$G$83/1000000*IF('Tinh phi QL'!$H$69="nam",VLOOKUP('Tinh phi QL'!$I$68+B15,Tuky!$A$2:$C$87,2,0),VLOOKUP('Tinh phi QL'!$I$68+B15,Tuky!$A$2:$C$87,3,0))</f>
        <v>0</v>
      </c>
      <c r="AH16" s="371">
        <f t="shared" ca="1" si="0"/>
        <v>8533</v>
      </c>
    </row>
    <row r="17" spans="2:34">
      <c r="B17" s="368">
        <v>14</v>
      </c>
      <c r="C17" s="368">
        <f>IF(ROW(A14)&gt;'Tinh phi QL'!$D$12,"",ROW(A14))</f>
        <v>14</v>
      </c>
      <c r="D17" s="369">
        <f ca="1">IF(IFERROR(--TRIM(C17),0)=0,0,'Tinh phi QL'!$H$12/1000)</f>
        <v>0</v>
      </c>
      <c r="E17" s="370">
        <f t="shared" si="1"/>
        <v>2270</v>
      </c>
      <c r="F17" s="370">
        <f ca="1">VLOOKUP('Tinh phi QL'!$I$8+B16,TCYT!$A$2:$B$60,2,0)*'Tinh phi QL'!$G$15/100000</f>
        <v>0</v>
      </c>
      <c r="G17" s="370">
        <f ca="1">'Tinh phi QL'!$G$16/1000000*IF('Tinh phi QL'!$H$9="nam",VLOOKUP('Tinh phi QL'!$I$8+B16,BHN!$A$2:$C$87,2,0),VLOOKUP('Tinh phi QL'!$I$8+B16,BHN!$A$2:$C$87,3,0))</f>
        <v>1611</v>
      </c>
      <c r="H17" s="370">
        <f ca="1">IF($H$4=0,0,IF('Tinh phi QL'!$F$17="Việt Nam",INDEX(TTD!$B$3:$E$102,MATCH('Tinh phi QL'!$I$8+B16,TTD!$A$3:$A$102,0),MATCH('Tinh phi QL'!$G$17,TTD!$B$2:$E$2,0)),IF('Tinh phi QL'!$F$17="Toàn cầu",INDEX(TTD!$F$3:$I$102,MATCH('Tinh phi QL'!$I$8+B16,TTD!$A$3:$A$102,0),MATCH('Tinh phi QL'!$G$17,TTD!$F$2:$I$2,0)))))/1000</f>
        <v>4652</v>
      </c>
      <c r="I17" s="370">
        <f>IF($I$4=0,0,INDEX(TTD!$J$3:$M$102,MATCH('Tinh phi QL'!$I$8+B16,TTD!$A$3:$A$102,0),MATCH('Tinh phi QL'!$G$19,TTD!$J$2:$M$2,0)))/1000</f>
        <v>0</v>
      </c>
      <c r="J17" s="370">
        <f>IF($J$4=0,0,INDEX(TTD!$N$3:$Q$102,MATCH('Tinh phi QL'!$I$8+B16,TTD!$A$3:$A$102,0),MATCH('Tinh phi QL'!$G$21,TTD!$N$2:$Q$2,0)))/1000</f>
        <v>0</v>
      </c>
      <c r="K17" s="370">
        <f ca="1">'Tinh phi QL'!$G$25/1000000*IF('Tinh phi QL'!$H$9="nam",VLOOKUP('Tinh phi QL'!$I$8+B16,Tuky!$A$2:$C$87,2,0),VLOOKUP('Tinh phi QL'!$I$8+B16,Tuky!$A$2:$C$87,3,0))</f>
        <v>0</v>
      </c>
      <c r="L17" s="370">
        <f t="shared" si="2"/>
        <v>0</v>
      </c>
      <c r="M17" s="370">
        <f ca="1">VLOOKUP('Tinh phi QL'!$I$29+B16,TCYT!$A$2:$B$60,2,0)*'Tinh phi QL'!$G$34/100000</f>
        <v>0</v>
      </c>
      <c r="N17" s="370">
        <f ca="1">'Tinh phi QL'!$G$35/1000000*IF('Tinh phi QL'!$H$30="nam",VLOOKUP('Tinh phi QL'!$I$29+B16,BHN!$A$2:$C$87,2,0),VLOOKUP('Tinh phi QL'!$I$29+B16,BHN!$A$2:$C$87,3,0))</f>
        <v>0</v>
      </c>
      <c r="O17" s="370">
        <f>IF($O$4=0,0,IF('Tinh phi QL'!$F$36="Việt Nam",INDEX(TTD!$B$3:$E$102,MATCH('Tinh phi QL'!$I$29+B16,TTD!$A$3:$A$102,0),MATCH('Tinh phi QL'!$G$36,TTD!$B$2:$E$2,0)),IF('Tinh phi QL'!$F$36="Toàn cầu",INDEX(TTD!$F$3:$I$102,MATCH('Tinh phi QL'!$I$29+B16,TTD!$A$3:$A$102,0),MATCH('Tinh phi QL'!$G$36,TTD!$F$2:$I$2,0)))))/1000</f>
        <v>0</v>
      </c>
      <c r="P17" s="370">
        <f>IF($P$4=0,0,INDEX(TTD!$J$3:$M$102,MATCH('Tinh phi QL'!$I$29+B16,TTD!$A$3:$A$102,0),MATCH('Tinh phi QL'!$G$38,TTD!$J$2:$M$2,0)))/1000</f>
        <v>0</v>
      </c>
      <c r="Q17" s="370">
        <f>IF($Q$4=0,0,INDEX(TTD!$N$3:$Q$102,MATCH('Tinh phi QL'!$I$29+B16,TTD!$A$3:$A$102,0),MATCH('Tinh phi QL'!$G$40,TTD!$N$2:$Q$2,0)))/1000</f>
        <v>0</v>
      </c>
      <c r="R17" s="370">
        <f ca="1">'Tinh phi QL'!$G$44/1000000*IF('Tinh phi QL'!$H$30="nam",VLOOKUP('Tinh phi QL'!$I$29+B16,Tuky!$A$2:$C$87,2,0),VLOOKUP('Tinh phi QL'!$I$29+B16,Tuky!$A$2:$C$87,3,0))</f>
        <v>0</v>
      </c>
      <c r="S17" s="370">
        <f>IF('Tinh phi QL'!$G$45=0,0,((SUM(D17:R17)+SUM(T17:AG17))/1000*IF('Tinh phi QL'!$H$30="nam",INDEX(MTPNam!$B$2:$AR$44,MATCH('Tinh phi QL'!$I$29+B16,MTPNam!$A$2:$A$44,0),MATCH('Tinh phi QL'!$E$45-B16,MTPNam!$B$1:$AR$1,0)),IF('Tinh phi QL'!$H$30="nữ",INDEX(MTPNu!$B$2:$AR$44,MATCH('Tinh phi QL'!$I$29+B16,MTPNu!$A$2:$A$44,0),MATCH('Tinh phi QL'!$E$45-B16,MTPNu!$B$1:$AR$1,0))))))</f>
        <v>0</v>
      </c>
      <c r="T17" s="370">
        <f t="shared" si="3"/>
        <v>0</v>
      </c>
      <c r="U17" s="370">
        <f ca="1">VLOOKUP('Tinh phi QL'!$I$49+B16,TCYT!$A$2:$B$60,2,0)*'Tinh phi QL'!$G$54/100000</f>
        <v>0</v>
      </c>
      <c r="V17" s="370">
        <f ca="1">'Tinh phi QL'!$G$55/1000000*IF('Tinh phi QL'!$H$50="nam",VLOOKUP('Tinh phi QL'!$I$49+B16,BHN!$A$2:$C$87,2,0),VLOOKUP('Tinh phi QL'!$I$49+B16,BHN!$A$2:$C$87,3,0))</f>
        <v>0</v>
      </c>
      <c r="W17" s="370">
        <f>IF($W$4=0,0,IF('Tinh phi QL'!$F$56="Việt Nam",INDEX(TTD!$B$3:$E$102,MATCH('Tinh phi QL'!$I$49+B16,TTD!$A$3:$A$102,0),MATCH('Tinh phi QL'!$G$56,TTD!$B$2:$E$2,0)),IF('Tinh phi QL'!$F$56="Toàn cầu",INDEX(TTD!$F$3:$I$102,MATCH('Tinh phi QL'!$I$49+B16,TTD!$A$3:$A$102,0),MATCH('Tinh phi QL'!$G$56,TTD!$F$2:$I$2,0)))))/1000</f>
        <v>0</v>
      </c>
      <c r="X17" s="370">
        <f>IF($X$4=0,0,INDEX(TTD!$J$3:$M$102,MATCH('Tinh phi QL'!$I$49+B16,TTD!$A$3:$A$102,0),MATCH('Tinh phi QL'!$G$58,TTD!$J$2:$M$2,0)))/1000</f>
        <v>0</v>
      </c>
      <c r="Y17" s="370">
        <f>IF($Y$4=0,0,INDEX(TTD!$N$3:$Q$102,MATCH('Tinh phi QL'!$I$49+B16,TTD!$A$3:$A$102,0),MATCH('Tinh phi QL'!$G$60,TTD!$N$2:$Q$2,0)))/1000</f>
        <v>0</v>
      </c>
      <c r="Z17" s="370">
        <f ca="1">'Tinh phi QL'!$G$64/1000000*IF('Tinh phi QL'!$H$50="nam",VLOOKUP('Tinh phi QL'!$I$49+B16,Tuky!$A$2:$C$87,2,0),VLOOKUP('Tinh phi QL'!$I$49+B16,Tuky!$A$2:$C$87,3,0))</f>
        <v>0</v>
      </c>
      <c r="AA17" s="370">
        <f t="shared" si="4"/>
        <v>0</v>
      </c>
      <c r="AB17" s="370">
        <f ca="1">VLOOKUP('Tinh phi QL'!$I$68+B16,TCYT!$A$2:$B$60,2,0)*'Tinh phi QL'!$G$73/100000</f>
        <v>0</v>
      </c>
      <c r="AC17" s="370">
        <f ca="1">'Tinh phi QL'!$G$74/1000000*IF('Tinh phi QL'!$H$69="nam",VLOOKUP('Tinh phi QL'!$I$68+B16,BHN!$A$2:$C$87,2,0),VLOOKUP('Tinh phi QL'!$I$68+B16,BHN!$A$2:$C$87,3,0))</f>
        <v>0</v>
      </c>
      <c r="AD17" s="370">
        <f>IF($AD$4=0,0,IF('Tinh phi QL'!$F$75="Việt Nam",INDEX(TTD!$B$3:$E$102,MATCH('Tinh phi QL'!$I$68+B16,TTD!$A$3:$A$102,0),MATCH('Tinh phi QL'!$G$75,TTD!$B$2:$E$2,0)),IF('Tinh phi QL'!$F$75="Toàn cầu",INDEX(TTD!$F$3:$I$102,MATCH('Tinh phi QL'!$I$68+B16,TTD!$A$3:$A$102,0),MATCH('Tinh phi QL'!$G$75,TTD!$F$2:$I$2,0)))))/1000</f>
        <v>0</v>
      </c>
      <c r="AE17" s="370">
        <f>IF($AE$4=0,0,INDEX(TTD!$J$3:$M$102,MATCH('Tinh phi QL'!$I$68+B16,TTD!$A$3:$A$102,0),MATCH('Tinh phi QL'!$G$77,TTD!$J$2:$M$2,0)))/1000</f>
        <v>0</v>
      </c>
      <c r="AF17" s="370">
        <f>IF($AF$4=0,0,INDEX(TTD!$N$3:$Q$102,MATCH('Tinh phi QL'!$I$68+B16,TTD!$A$3:$A$102,0),MATCH('Tinh phi QL'!$G$79,TTD!$N$2:$Q$2,0)))/1000</f>
        <v>0</v>
      </c>
      <c r="AG17" s="370">
        <f ca="1">'Tinh phi QL'!$G$83/1000000*IF('Tinh phi QL'!$H$69="nam",VLOOKUP('Tinh phi QL'!$I$68+B16,Tuky!$A$2:$C$87,2,0),VLOOKUP('Tinh phi QL'!$I$68+B16,Tuky!$A$2:$C$87,3,0))</f>
        <v>0</v>
      </c>
      <c r="AH17" s="371">
        <f t="shared" ca="1" si="0"/>
        <v>8533</v>
      </c>
    </row>
    <row r="18" spans="2:34">
      <c r="B18" s="368">
        <v>15</v>
      </c>
      <c r="C18" s="368">
        <f>IF(ROW(A15)&gt;'Tinh phi QL'!$D$12,"",ROW(A15))</f>
        <v>15</v>
      </c>
      <c r="D18" s="369">
        <f ca="1">IF(IFERROR(--TRIM(C18),0)=0,0,'Tinh phi QL'!$H$12/1000)</f>
        <v>0</v>
      </c>
      <c r="E18" s="370">
        <f t="shared" si="1"/>
        <v>2270</v>
      </c>
      <c r="F18" s="370">
        <f ca="1">VLOOKUP('Tinh phi QL'!$I$8+B17,TCYT!$A$2:$B$60,2,0)*'Tinh phi QL'!$G$15/100000</f>
        <v>0</v>
      </c>
      <c r="G18" s="370">
        <f ca="1">'Tinh phi QL'!$G$16/1000000*IF('Tinh phi QL'!$H$9="nam",VLOOKUP('Tinh phi QL'!$I$8+B17,BHN!$A$2:$C$87,2,0),VLOOKUP('Tinh phi QL'!$I$8+B17,BHN!$A$2:$C$87,3,0))</f>
        <v>1611</v>
      </c>
      <c r="H18" s="370">
        <f ca="1">IF($H$4=0,0,IF('Tinh phi QL'!$F$17="Việt Nam",INDEX(TTD!$B$3:$E$102,MATCH('Tinh phi QL'!$I$8+B17,TTD!$A$3:$A$102,0),MATCH('Tinh phi QL'!$G$17,TTD!$B$2:$E$2,0)),IF('Tinh phi QL'!$F$17="Toàn cầu",INDEX(TTD!$F$3:$I$102,MATCH('Tinh phi QL'!$I$8+B17,TTD!$A$3:$A$102,0),MATCH('Tinh phi QL'!$G$17,TTD!$F$2:$I$2,0)))))/1000</f>
        <v>4652</v>
      </c>
      <c r="I18" s="370">
        <f>IF($I$4=0,0,INDEX(TTD!$J$3:$M$102,MATCH('Tinh phi QL'!$I$8+B17,TTD!$A$3:$A$102,0),MATCH('Tinh phi QL'!$G$19,TTD!$J$2:$M$2,0)))/1000</f>
        <v>0</v>
      </c>
      <c r="J18" s="370">
        <f>IF($J$4=0,0,INDEX(TTD!$N$3:$Q$102,MATCH('Tinh phi QL'!$I$8+B17,TTD!$A$3:$A$102,0),MATCH('Tinh phi QL'!$G$21,TTD!$N$2:$Q$2,0)))/1000</f>
        <v>0</v>
      </c>
      <c r="K18" s="370">
        <f ca="1">'Tinh phi QL'!$G$25/1000000*IF('Tinh phi QL'!$H$9="nam",VLOOKUP('Tinh phi QL'!$I$8+B17,Tuky!$A$2:$C$87,2,0),VLOOKUP('Tinh phi QL'!$I$8+B17,Tuky!$A$2:$C$87,3,0))</f>
        <v>0</v>
      </c>
      <c r="L18" s="370">
        <f t="shared" si="2"/>
        <v>0</v>
      </c>
      <c r="M18" s="370">
        <f ca="1">VLOOKUP('Tinh phi QL'!$I$29+B17,TCYT!$A$2:$B$60,2,0)*'Tinh phi QL'!$G$34/100000</f>
        <v>0</v>
      </c>
      <c r="N18" s="370">
        <f ca="1">'Tinh phi QL'!$G$35/1000000*IF('Tinh phi QL'!$H$30="nam",VLOOKUP('Tinh phi QL'!$I$29+B17,BHN!$A$2:$C$87,2,0),VLOOKUP('Tinh phi QL'!$I$29+B17,BHN!$A$2:$C$87,3,0))</f>
        <v>0</v>
      </c>
      <c r="O18" s="370">
        <f>IF($O$4=0,0,IF('Tinh phi QL'!$F$36="Việt Nam",INDEX(TTD!$B$3:$E$102,MATCH('Tinh phi QL'!$I$29+B17,TTD!$A$3:$A$102,0),MATCH('Tinh phi QL'!$G$36,TTD!$B$2:$E$2,0)),IF('Tinh phi QL'!$F$36="Toàn cầu",INDEX(TTD!$F$3:$I$102,MATCH('Tinh phi QL'!$I$29+B17,TTD!$A$3:$A$102,0),MATCH('Tinh phi QL'!$G$36,TTD!$F$2:$I$2,0)))))/1000</f>
        <v>0</v>
      </c>
      <c r="P18" s="370">
        <f>IF($P$4=0,0,INDEX(TTD!$J$3:$M$102,MATCH('Tinh phi QL'!$I$29+B17,TTD!$A$3:$A$102,0),MATCH('Tinh phi QL'!$G$38,TTD!$J$2:$M$2,0)))/1000</f>
        <v>0</v>
      </c>
      <c r="Q18" s="370">
        <f>IF($Q$4=0,0,INDEX(TTD!$N$3:$Q$102,MATCH('Tinh phi QL'!$I$29+B17,TTD!$A$3:$A$102,0),MATCH('Tinh phi QL'!$G$40,TTD!$N$2:$Q$2,0)))/1000</f>
        <v>0</v>
      </c>
      <c r="R18" s="370">
        <f ca="1">'Tinh phi QL'!$G$44/1000000*IF('Tinh phi QL'!$H$30="nam",VLOOKUP('Tinh phi QL'!$I$29+B17,Tuky!$A$2:$C$87,2,0),VLOOKUP('Tinh phi QL'!$I$29+B17,Tuky!$A$2:$C$87,3,0))</f>
        <v>0</v>
      </c>
      <c r="S18" s="370">
        <f>IF('Tinh phi QL'!$G$45=0,0,((SUM(D18:R18)+SUM(T18:AG18))/1000*IF('Tinh phi QL'!$H$30="nam",INDEX(MTPNam!$B$2:$AR$44,MATCH('Tinh phi QL'!$I$29+B17,MTPNam!$A$2:$A$44,0),MATCH('Tinh phi QL'!$E$45-B17,MTPNam!$B$1:$AR$1,0)),IF('Tinh phi QL'!$H$30="nữ",INDEX(MTPNu!$B$2:$AR$44,MATCH('Tinh phi QL'!$I$29+B17,MTPNu!$A$2:$A$44,0),MATCH('Tinh phi QL'!$E$45-B17,MTPNu!$B$1:$AR$1,0))))))</f>
        <v>0</v>
      </c>
      <c r="T18" s="370">
        <f t="shared" si="3"/>
        <v>0</v>
      </c>
      <c r="U18" s="370">
        <f ca="1">VLOOKUP('Tinh phi QL'!$I$49+B17,TCYT!$A$2:$B$60,2,0)*'Tinh phi QL'!$G$54/100000</f>
        <v>0</v>
      </c>
      <c r="V18" s="370">
        <f ca="1">'Tinh phi QL'!$G$55/1000000*IF('Tinh phi QL'!$H$50="nam",VLOOKUP('Tinh phi QL'!$I$49+B17,BHN!$A$2:$C$87,2,0),VLOOKUP('Tinh phi QL'!$I$49+B17,BHN!$A$2:$C$87,3,0))</f>
        <v>0</v>
      </c>
      <c r="W18" s="370">
        <f>IF($W$4=0,0,IF('Tinh phi QL'!$F$56="Việt Nam",INDEX(TTD!$B$3:$E$102,MATCH('Tinh phi QL'!$I$49+B17,TTD!$A$3:$A$102,0),MATCH('Tinh phi QL'!$G$56,TTD!$B$2:$E$2,0)),IF('Tinh phi QL'!$F$56="Toàn cầu",INDEX(TTD!$F$3:$I$102,MATCH('Tinh phi QL'!$I$49+B17,TTD!$A$3:$A$102,0),MATCH('Tinh phi QL'!$G$56,TTD!$F$2:$I$2,0)))))/1000</f>
        <v>0</v>
      </c>
      <c r="X18" s="370">
        <f>IF($X$4=0,0,INDEX(TTD!$J$3:$M$102,MATCH('Tinh phi QL'!$I$49+B17,TTD!$A$3:$A$102,0),MATCH('Tinh phi QL'!$G$58,TTD!$J$2:$M$2,0)))/1000</f>
        <v>0</v>
      </c>
      <c r="Y18" s="370">
        <f>IF($Y$4=0,0,INDEX(TTD!$N$3:$Q$102,MATCH('Tinh phi QL'!$I$49+B17,TTD!$A$3:$A$102,0),MATCH('Tinh phi QL'!$G$60,TTD!$N$2:$Q$2,0)))/1000</f>
        <v>0</v>
      </c>
      <c r="Z18" s="370">
        <f ca="1">'Tinh phi QL'!$G$64/1000000*IF('Tinh phi QL'!$H$50="nam",VLOOKUP('Tinh phi QL'!$I$49+B17,Tuky!$A$2:$C$87,2,0),VLOOKUP('Tinh phi QL'!$I$49+B17,Tuky!$A$2:$C$87,3,0))</f>
        <v>0</v>
      </c>
      <c r="AA18" s="370">
        <f t="shared" si="4"/>
        <v>0</v>
      </c>
      <c r="AB18" s="370">
        <f ca="1">VLOOKUP('Tinh phi QL'!$I$68+B17,TCYT!$A$2:$B$60,2,0)*'Tinh phi QL'!$G$73/100000</f>
        <v>0</v>
      </c>
      <c r="AC18" s="370">
        <f ca="1">'Tinh phi QL'!$G$74/1000000*IF('Tinh phi QL'!$H$69="nam",VLOOKUP('Tinh phi QL'!$I$68+B17,BHN!$A$2:$C$87,2,0),VLOOKUP('Tinh phi QL'!$I$68+B17,BHN!$A$2:$C$87,3,0))</f>
        <v>0</v>
      </c>
      <c r="AD18" s="370">
        <f>IF($AD$4=0,0,IF('Tinh phi QL'!$F$75="Việt Nam",INDEX(TTD!$B$3:$E$102,MATCH('Tinh phi QL'!$I$68+B17,TTD!$A$3:$A$102,0),MATCH('Tinh phi QL'!$G$75,TTD!$B$2:$E$2,0)),IF('Tinh phi QL'!$F$75="Toàn cầu",INDEX(TTD!$F$3:$I$102,MATCH('Tinh phi QL'!$I$68+B17,TTD!$A$3:$A$102,0),MATCH('Tinh phi QL'!$G$75,TTD!$F$2:$I$2,0)))))/1000</f>
        <v>0</v>
      </c>
      <c r="AE18" s="370">
        <f>IF($AE$4=0,0,INDEX(TTD!$J$3:$M$102,MATCH('Tinh phi QL'!$I$68+B17,TTD!$A$3:$A$102,0),MATCH('Tinh phi QL'!$G$77,TTD!$J$2:$M$2,0)))/1000</f>
        <v>0</v>
      </c>
      <c r="AF18" s="370">
        <f>IF($AF$4=0,0,INDEX(TTD!$N$3:$Q$102,MATCH('Tinh phi QL'!$I$68+B17,TTD!$A$3:$A$102,0),MATCH('Tinh phi QL'!$G$79,TTD!$N$2:$Q$2,0)))/1000</f>
        <v>0</v>
      </c>
      <c r="AG18" s="370">
        <f ca="1">'Tinh phi QL'!$G$83/1000000*IF('Tinh phi QL'!$H$69="nam",VLOOKUP('Tinh phi QL'!$I$68+B17,Tuky!$A$2:$C$87,2,0),VLOOKUP('Tinh phi QL'!$I$68+B17,Tuky!$A$2:$C$87,3,0))</f>
        <v>0</v>
      </c>
      <c r="AH18" s="371">
        <f t="shared" ca="1" si="0"/>
        <v>8533</v>
      </c>
    </row>
    <row r="19" spans="2:34">
      <c r="B19" s="368">
        <v>16</v>
      </c>
      <c r="C19" s="368" t="str">
        <f>IF(ROW(A16)&gt;'Tinh phi QL'!$D$12,"",ROW(A16))</f>
        <v/>
      </c>
      <c r="D19" s="369">
        <f>IF(IFERROR(--TRIM(C19),0)=0,0,'Tinh phi QL'!$H$12/1000)</f>
        <v>0</v>
      </c>
      <c r="E19" s="370">
        <f t="shared" si="1"/>
        <v>2270</v>
      </c>
      <c r="F19" s="370">
        <f ca="1">VLOOKUP('Tinh phi QL'!$I$8+B18,TCYT!$A$2:$B$60,2,0)*'Tinh phi QL'!$G$15/100000</f>
        <v>0</v>
      </c>
      <c r="G19" s="370">
        <f ca="1">'Tinh phi QL'!$G$16/1000000*IF('Tinh phi QL'!$H$9="nam",VLOOKUP('Tinh phi QL'!$I$8+B18,BHN!$A$2:$C$87,2,0),VLOOKUP('Tinh phi QL'!$I$8+B18,BHN!$A$2:$C$87,3,0))</f>
        <v>2601</v>
      </c>
      <c r="H19" s="370">
        <f ca="1">IF($H$4=0,0,IF('Tinh phi QL'!$F$17="Việt Nam",INDEX(TTD!$B$3:$E$102,MATCH('Tinh phi QL'!$I$8+B18,TTD!$A$3:$A$102,0),MATCH('Tinh phi QL'!$G$17,TTD!$B$2:$E$2,0)),IF('Tinh phi QL'!$F$17="Toàn cầu",INDEX(TTD!$F$3:$I$102,MATCH('Tinh phi QL'!$I$8+B18,TTD!$A$3:$A$102,0),MATCH('Tinh phi QL'!$G$17,TTD!$F$2:$I$2,0)))))/1000</f>
        <v>5598</v>
      </c>
      <c r="I19" s="370">
        <f>IF($I$4=0,0,INDEX(TTD!$J$3:$M$102,MATCH('Tinh phi QL'!$I$8+B18,TTD!$A$3:$A$102,0),MATCH('Tinh phi QL'!$G$19,TTD!$J$2:$M$2,0)))/1000</f>
        <v>0</v>
      </c>
      <c r="J19" s="370">
        <f>IF($J$4=0,0,INDEX(TTD!$N$3:$Q$102,MATCH('Tinh phi QL'!$I$8+B18,TTD!$A$3:$A$102,0),MATCH('Tinh phi QL'!$G$21,TTD!$N$2:$Q$2,0)))/1000</f>
        <v>0</v>
      </c>
      <c r="K19" s="370">
        <f ca="1">'Tinh phi QL'!$G$25/1000000*IF('Tinh phi QL'!$H$9="nam",VLOOKUP('Tinh phi QL'!$I$8+B18,Tuky!$A$2:$C$87,2,0),VLOOKUP('Tinh phi QL'!$I$8+B18,Tuky!$A$2:$C$87,3,0))</f>
        <v>0</v>
      </c>
      <c r="L19" s="370">
        <f t="shared" si="2"/>
        <v>0</v>
      </c>
      <c r="M19" s="370">
        <f ca="1">VLOOKUP('Tinh phi QL'!$I$29+B18,TCYT!$A$2:$B$60,2,0)*'Tinh phi QL'!$G$34/100000</f>
        <v>0</v>
      </c>
      <c r="N19" s="370">
        <f ca="1">'Tinh phi QL'!$G$35/1000000*IF('Tinh phi QL'!$H$30="nam",VLOOKUP('Tinh phi QL'!$I$29+B18,BHN!$A$2:$C$87,2,0),VLOOKUP('Tinh phi QL'!$I$29+B18,BHN!$A$2:$C$87,3,0))</f>
        <v>0</v>
      </c>
      <c r="O19" s="370">
        <f>IF($O$4=0,0,IF('Tinh phi QL'!$F$36="Việt Nam",INDEX(TTD!$B$3:$E$102,MATCH('Tinh phi QL'!$I$29+B18,TTD!$A$3:$A$102,0),MATCH('Tinh phi QL'!$G$36,TTD!$B$2:$E$2,0)),IF('Tinh phi QL'!$F$36="Toàn cầu",INDEX(TTD!$F$3:$I$102,MATCH('Tinh phi QL'!$I$29+B18,TTD!$A$3:$A$102,0),MATCH('Tinh phi QL'!$G$36,TTD!$F$2:$I$2,0)))))/1000</f>
        <v>0</v>
      </c>
      <c r="P19" s="370">
        <f>IF($P$4=0,0,INDEX(TTD!$J$3:$M$102,MATCH('Tinh phi QL'!$I$29+B18,TTD!$A$3:$A$102,0),MATCH('Tinh phi QL'!$G$38,TTD!$J$2:$M$2,0)))/1000</f>
        <v>0</v>
      </c>
      <c r="Q19" s="370">
        <f>IF($Q$4=0,0,INDEX(TTD!$N$3:$Q$102,MATCH('Tinh phi QL'!$I$29+B18,TTD!$A$3:$A$102,0),MATCH('Tinh phi QL'!$G$40,TTD!$N$2:$Q$2,0)))/1000</f>
        <v>0</v>
      </c>
      <c r="R19" s="370">
        <f ca="1">'Tinh phi QL'!$G$44/1000000*IF('Tinh phi QL'!$H$30="nam",VLOOKUP('Tinh phi QL'!$I$29+B18,Tuky!$A$2:$C$87,2,0),VLOOKUP('Tinh phi QL'!$I$29+B18,Tuky!$A$2:$C$87,3,0))</f>
        <v>0</v>
      </c>
      <c r="S19" s="370">
        <f>IF('Tinh phi QL'!$G$45=0,0,((SUM(D19:R19)+SUM(T19:AG19))/1000*IF('Tinh phi QL'!$H$30="nam",INDEX(MTPNam!$B$2:$AR$44,MATCH('Tinh phi QL'!$I$29+B18,MTPNam!$A$2:$A$44,0),MATCH('Tinh phi QL'!$E$45-B18,MTPNam!$B$1:$AR$1,0)),IF('Tinh phi QL'!$H$30="nữ",INDEX(MTPNu!$B$2:$AR$44,MATCH('Tinh phi QL'!$I$29+B18,MTPNu!$A$2:$A$44,0),MATCH('Tinh phi QL'!$E$45-B18,MTPNu!$B$1:$AR$1,0))))))</f>
        <v>0</v>
      </c>
      <c r="T19" s="370">
        <f t="shared" si="3"/>
        <v>0</v>
      </c>
      <c r="U19" s="370">
        <f ca="1">VLOOKUP('Tinh phi QL'!$I$49+B18,TCYT!$A$2:$B$60,2,0)*'Tinh phi QL'!$G$54/100000</f>
        <v>0</v>
      </c>
      <c r="V19" s="370">
        <f ca="1">'Tinh phi QL'!$G$55/1000000*IF('Tinh phi QL'!$H$50="nam",VLOOKUP('Tinh phi QL'!$I$49+B18,BHN!$A$2:$C$87,2,0),VLOOKUP('Tinh phi QL'!$I$49+B18,BHN!$A$2:$C$87,3,0))</f>
        <v>0</v>
      </c>
      <c r="W19" s="370">
        <f>IF($W$4=0,0,IF('Tinh phi QL'!$F$56="Việt Nam",INDEX(TTD!$B$3:$E$102,MATCH('Tinh phi QL'!$I$49+B18,TTD!$A$3:$A$102,0),MATCH('Tinh phi QL'!$G$56,TTD!$B$2:$E$2,0)),IF('Tinh phi QL'!$F$56="Toàn cầu",INDEX(TTD!$F$3:$I$102,MATCH('Tinh phi QL'!$I$49+B18,TTD!$A$3:$A$102,0),MATCH('Tinh phi QL'!$G$56,TTD!$F$2:$I$2,0)))))/1000</f>
        <v>0</v>
      </c>
      <c r="X19" s="370">
        <f>IF($X$4=0,0,INDEX(TTD!$J$3:$M$102,MATCH('Tinh phi QL'!$I$49+B18,TTD!$A$3:$A$102,0),MATCH('Tinh phi QL'!$G$58,TTD!$J$2:$M$2,0)))/1000</f>
        <v>0</v>
      </c>
      <c r="Y19" s="370">
        <f>IF($Y$4=0,0,INDEX(TTD!$N$3:$Q$102,MATCH('Tinh phi QL'!$I$49+B18,TTD!$A$3:$A$102,0),MATCH('Tinh phi QL'!$G$60,TTD!$N$2:$Q$2,0)))/1000</f>
        <v>0</v>
      </c>
      <c r="Z19" s="370">
        <f ca="1">'Tinh phi QL'!$G$64/1000000*IF('Tinh phi QL'!$H$50="nam",VLOOKUP('Tinh phi QL'!$I$49+B18,Tuky!$A$2:$C$87,2,0),VLOOKUP('Tinh phi QL'!$I$49+B18,Tuky!$A$2:$C$87,3,0))</f>
        <v>0</v>
      </c>
      <c r="AA19" s="370">
        <f t="shared" si="4"/>
        <v>0</v>
      </c>
      <c r="AB19" s="370">
        <f ca="1">VLOOKUP('Tinh phi QL'!$I$68+B18,TCYT!$A$2:$B$60,2,0)*'Tinh phi QL'!$G$73/100000</f>
        <v>0</v>
      </c>
      <c r="AC19" s="370">
        <f ca="1">'Tinh phi QL'!$G$74/1000000*IF('Tinh phi QL'!$H$69="nam",VLOOKUP('Tinh phi QL'!$I$68+B18,BHN!$A$2:$C$87,2,0),VLOOKUP('Tinh phi QL'!$I$68+B18,BHN!$A$2:$C$87,3,0))</f>
        <v>0</v>
      </c>
      <c r="AD19" s="370">
        <f>IF($AD$4=0,0,IF('Tinh phi QL'!$F$75="Việt Nam",INDEX(TTD!$B$3:$E$102,MATCH('Tinh phi QL'!$I$68+B18,TTD!$A$3:$A$102,0),MATCH('Tinh phi QL'!$G$75,TTD!$B$2:$E$2,0)),IF('Tinh phi QL'!$F$75="Toàn cầu",INDEX(TTD!$F$3:$I$102,MATCH('Tinh phi QL'!$I$68+B18,TTD!$A$3:$A$102,0),MATCH('Tinh phi QL'!$G$75,TTD!$F$2:$I$2,0)))))/1000</f>
        <v>0</v>
      </c>
      <c r="AE19" s="370">
        <f>IF($AE$4=0,0,INDEX(TTD!$J$3:$M$102,MATCH('Tinh phi QL'!$I$68+B18,TTD!$A$3:$A$102,0),MATCH('Tinh phi QL'!$G$77,TTD!$J$2:$M$2,0)))/1000</f>
        <v>0</v>
      </c>
      <c r="AF19" s="370">
        <f>IF($AF$4=0,0,INDEX(TTD!$N$3:$Q$102,MATCH('Tinh phi QL'!$I$68+B18,TTD!$A$3:$A$102,0),MATCH('Tinh phi QL'!$G$79,TTD!$N$2:$Q$2,0)))/1000</f>
        <v>0</v>
      </c>
      <c r="AG19" s="370">
        <f ca="1">'Tinh phi QL'!$G$83/1000000*IF('Tinh phi QL'!$H$69="nam",VLOOKUP('Tinh phi QL'!$I$68+B18,Tuky!$A$2:$C$87,2,0),VLOOKUP('Tinh phi QL'!$I$68+B18,Tuky!$A$2:$C$87,3,0))</f>
        <v>0</v>
      </c>
      <c r="AH19" s="371">
        <f t="shared" ca="1" si="0"/>
        <v>10469</v>
      </c>
    </row>
    <row r="20" spans="2:34">
      <c r="B20" s="368">
        <v>17</v>
      </c>
      <c r="C20" s="368" t="str">
        <f>IF(ROW(A17)&gt;'Tinh phi QL'!$D$12,"",ROW(A17))</f>
        <v/>
      </c>
      <c r="D20" s="369">
        <f>IF(IFERROR(--TRIM(C20),0)=0,0,'Tinh phi QL'!$H$12/1000)</f>
        <v>0</v>
      </c>
      <c r="E20" s="370">
        <f t="shared" si="1"/>
        <v>2270</v>
      </c>
      <c r="F20" s="370">
        <f ca="1">VLOOKUP('Tinh phi QL'!$I$8+B19,TCYT!$A$2:$B$60,2,0)*'Tinh phi QL'!$G$15/100000</f>
        <v>0</v>
      </c>
      <c r="G20" s="370">
        <f ca="1">'Tinh phi QL'!$G$16/1000000*IF('Tinh phi QL'!$H$9="nam",VLOOKUP('Tinh phi QL'!$I$8+B19,BHN!$A$2:$C$87,2,0),VLOOKUP('Tinh phi QL'!$I$8+B19,BHN!$A$2:$C$87,3,0))</f>
        <v>2601</v>
      </c>
      <c r="H20" s="370">
        <f ca="1">IF($H$4=0,0,IF('Tinh phi QL'!$F$17="Việt Nam",INDEX(TTD!$B$3:$E$102,MATCH('Tinh phi QL'!$I$8+B19,TTD!$A$3:$A$102,0),MATCH('Tinh phi QL'!$G$17,TTD!$B$2:$E$2,0)),IF('Tinh phi QL'!$F$17="Toàn cầu",INDEX(TTD!$F$3:$I$102,MATCH('Tinh phi QL'!$I$8+B19,TTD!$A$3:$A$102,0),MATCH('Tinh phi QL'!$G$17,TTD!$F$2:$I$2,0)))))/1000</f>
        <v>5598</v>
      </c>
      <c r="I20" s="370">
        <f>IF($I$4=0,0,INDEX(TTD!$J$3:$M$102,MATCH('Tinh phi QL'!$I$8+B19,TTD!$A$3:$A$102,0),MATCH('Tinh phi QL'!$G$19,TTD!$J$2:$M$2,0)))/1000</f>
        <v>0</v>
      </c>
      <c r="J20" s="370">
        <f>IF($J$4=0,0,INDEX(TTD!$N$3:$Q$102,MATCH('Tinh phi QL'!$I$8+B19,TTD!$A$3:$A$102,0),MATCH('Tinh phi QL'!$G$21,TTD!$N$2:$Q$2,0)))/1000</f>
        <v>0</v>
      </c>
      <c r="K20" s="370">
        <f ca="1">'Tinh phi QL'!$G$25/1000000*IF('Tinh phi QL'!$H$9="nam",VLOOKUP('Tinh phi QL'!$I$8+B19,Tuky!$A$2:$C$87,2,0),VLOOKUP('Tinh phi QL'!$I$8+B19,Tuky!$A$2:$C$87,3,0))</f>
        <v>0</v>
      </c>
      <c r="L20" s="370">
        <f t="shared" si="2"/>
        <v>0</v>
      </c>
      <c r="M20" s="370">
        <f ca="1">VLOOKUP('Tinh phi QL'!$I$29+B19,TCYT!$A$2:$B$60,2,0)*'Tinh phi QL'!$G$34/100000</f>
        <v>0</v>
      </c>
      <c r="N20" s="370">
        <f ca="1">'Tinh phi QL'!$G$35/1000000*IF('Tinh phi QL'!$H$30="nam",VLOOKUP('Tinh phi QL'!$I$29+B19,BHN!$A$2:$C$87,2,0),VLOOKUP('Tinh phi QL'!$I$29+B19,BHN!$A$2:$C$87,3,0))</f>
        <v>0</v>
      </c>
      <c r="O20" s="370">
        <f>IF($O$4=0,0,IF('Tinh phi QL'!$F$36="Việt Nam",INDEX(TTD!$B$3:$E$102,MATCH('Tinh phi QL'!$I$29+B19,TTD!$A$3:$A$102,0),MATCH('Tinh phi QL'!$G$36,TTD!$B$2:$E$2,0)),IF('Tinh phi QL'!$F$36="Toàn cầu",INDEX(TTD!$F$3:$I$102,MATCH('Tinh phi QL'!$I$29+B19,TTD!$A$3:$A$102,0),MATCH('Tinh phi QL'!$G$36,TTD!$F$2:$I$2,0)))))/1000</f>
        <v>0</v>
      </c>
      <c r="P20" s="370">
        <f>IF($P$4=0,0,INDEX(TTD!$J$3:$M$102,MATCH('Tinh phi QL'!$I$29+B19,TTD!$A$3:$A$102,0),MATCH('Tinh phi QL'!$G$38,TTD!$J$2:$M$2,0)))/1000</f>
        <v>0</v>
      </c>
      <c r="Q20" s="370">
        <f>IF($Q$4=0,0,INDEX(TTD!$N$3:$Q$102,MATCH('Tinh phi QL'!$I$29+B19,TTD!$A$3:$A$102,0),MATCH('Tinh phi QL'!$G$40,TTD!$N$2:$Q$2,0)))/1000</f>
        <v>0</v>
      </c>
      <c r="R20" s="370">
        <f ca="1">'Tinh phi QL'!$G$44/1000000*IF('Tinh phi QL'!$H$30="nam",VLOOKUP('Tinh phi QL'!$I$29+B19,Tuky!$A$2:$C$87,2,0),VLOOKUP('Tinh phi QL'!$I$29+B19,Tuky!$A$2:$C$87,3,0))</f>
        <v>0</v>
      </c>
      <c r="S20" s="370">
        <f>IF('Tinh phi QL'!$G$45=0,0,((SUM(D20:R20)+SUM(T20:AG20))/1000*IF('Tinh phi QL'!$H$30="nam",INDEX(MTPNam!$B$2:$AR$44,MATCH('Tinh phi QL'!$I$29+B19,MTPNam!$A$2:$A$44,0),MATCH('Tinh phi QL'!$E$45-B19,MTPNam!$B$1:$AR$1,0)),IF('Tinh phi QL'!$H$30="nữ",INDEX(MTPNu!$B$2:$AR$44,MATCH('Tinh phi QL'!$I$29+B19,MTPNu!$A$2:$A$44,0),MATCH('Tinh phi QL'!$E$45-B19,MTPNu!$B$1:$AR$1,0))))))</f>
        <v>0</v>
      </c>
      <c r="T20" s="370">
        <f t="shared" si="3"/>
        <v>0</v>
      </c>
      <c r="U20" s="370">
        <f ca="1">VLOOKUP('Tinh phi QL'!$I$49+B19,TCYT!$A$2:$B$60,2,0)*'Tinh phi QL'!$G$54/100000</f>
        <v>0</v>
      </c>
      <c r="V20" s="370">
        <f ca="1">'Tinh phi QL'!$G$55/1000000*IF('Tinh phi QL'!$H$50="nam",VLOOKUP('Tinh phi QL'!$I$49+B19,BHN!$A$2:$C$87,2,0),VLOOKUP('Tinh phi QL'!$I$49+B19,BHN!$A$2:$C$87,3,0))</f>
        <v>0</v>
      </c>
      <c r="W20" s="370">
        <f>IF($W$4=0,0,IF('Tinh phi QL'!$F$56="Việt Nam",INDEX(TTD!$B$3:$E$102,MATCH('Tinh phi QL'!$I$49+B19,TTD!$A$3:$A$102,0),MATCH('Tinh phi QL'!$G$56,TTD!$B$2:$E$2,0)),IF('Tinh phi QL'!$F$56="Toàn cầu",INDEX(TTD!$F$3:$I$102,MATCH('Tinh phi QL'!$I$49+B19,TTD!$A$3:$A$102,0),MATCH('Tinh phi QL'!$G$56,TTD!$F$2:$I$2,0)))))/1000</f>
        <v>0</v>
      </c>
      <c r="X20" s="370">
        <f>IF($X$4=0,0,INDEX(TTD!$J$3:$M$102,MATCH('Tinh phi QL'!$I$49+B19,TTD!$A$3:$A$102,0),MATCH('Tinh phi QL'!$G$58,TTD!$J$2:$M$2,0)))/1000</f>
        <v>0</v>
      </c>
      <c r="Y20" s="370">
        <f>IF($Y$4=0,0,INDEX(TTD!$N$3:$Q$102,MATCH('Tinh phi QL'!$I$49+B19,TTD!$A$3:$A$102,0),MATCH('Tinh phi QL'!$G$60,TTD!$N$2:$Q$2,0)))/1000</f>
        <v>0</v>
      </c>
      <c r="Z20" s="370">
        <f ca="1">'Tinh phi QL'!$G$64/1000000*IF('Tinh phi QL'!$H$50="nam",VLOOKUP('Tinh phi QL'!$I$49+B19,Tuky!$A$2:$C$87,2,0),VLOOKUP('Tinh phi QL'!$I$49+B19,Tuky!$A$2:$C$87,3,0))</f>
        <v>0</v>
      </c>
      <c r="AA20" s="370">
        <f t="shared" si="4"/>
        <v>0</v>
      </c>
      <c r="AB20" s="370">
        <f ca="1">VLOOKUP('Tinh phi QL'!$I$68+B19,TCYT!$A$2:$B$60,2,0)*'Tinh phi QL'!$G$73/100000</f>
        <v>0</v>
      </c>
      <c r="AC20" s="370">
        <f ca="1">'Tinh phi QL'!$G$74/1000000*IF('Tinh phi QL'!$H$69="nam",VLOOKUP('Tinh phi QL'!$I$68+B19,BHN!$A$2:$C$87,2,0),VLOOKUP('Tinh phi QL'!$I$68+B19,BHN!$A$2:$C$87,3,0))</f>
        <v>0</v>
      </c>
      <c r="AD20" s="370">
        <f>IF($AD$4=0,0,IF('Tinh phi QL'!$F$75="Việt Nam",INDEX(TTD!$B$3:$E$102,MATCH('Tinh phi QL'!$I$68+B19,TTD!$A$3:$A$102,0),MATCH('Tinh phi QL'!$G$75,TTD!$B$2:$E$2,0)),IF('Tinh phi QL'!$F$75="Toàn cầu",INDEX(TTD!$F$3:$I$102,MATCH('Tinh phi QL'!$I$68+B19,TTD!$A$3:$A$102,0),MATCH('Tinh phi QL'!$G$75,TTD!$F$2:$I$2,0)))))/1000</f>
        <v>0</v>
      </c>
      <c r="AE20" s="370">
        <f>IF($AE$4=0,0,INDEX(TTD!$J$3:$M$102,MATCH('Tinh phi QL'!$I$68+B19,TTD!$A$3:$A$102,0),MATCH('Tinh phi QL'!$G$77,TTD!$J$2:$M$2,0)))/1000</f>
        <v>0</v>
      </c>
      <c r="AF20" s="370">
        <f>IF($AF$4=0,0,INDEX(TTD!$N$3:$Q$102,MATCH('Tinh phi QL'!$I$68+B19,TTD!$A$3:$A$102,0),MATCH('Tinh phi QL'!$G$79,TTD!$N$2:$Q$2,0)))/1000</f>
        <v>0</v>
      </c>
      <c r="AG20" s="370">
        <f ca="1">'Tinh phi QL'!$G$83/1000000*IF('Tinh phi QL'!$H$69="nam",VLOOKUP('Tinh phi QL'!$I$68+B19,Tuky!$A$2:$C$87,2,0),VLOOKUP('Tinh phi QL'!$I$68+B19,Tuky!$A$2:$C$87,3,0))</f>
        <v>0</v>
      </c>
      <c r="AH20" s="371">
        <f t="shared" ca="1" si="0"/>
        <v>10469</v>
      </c>
    </row>
    <row r="21" spans="2:34">
      <c r="B21" s="368">
        <v>18</v>
      </c>
      <c r="C21" s="368" t="str">
        <f>IF(ROW(A18)&gt;'Tinh phi QL'!$D$12,"",ROW(A18))</f>
        <v/>
      </c>
      <c r="D21" s="369">
        <f>IF(IFERROR(--TRIM(C21),0)=0,0,'Tinh phi QL'!$H$12/1000)</f>
        <v>0</v>
      </c>
      <c r="E21" s="370">
        <f t="shared" si="1"/>
        <v>2270</v>
      </c>
      <c r="F21" s="370">
        <f ca="1">VLOOKUP('Tinh phi QL'!$I$8+B20,TCYT!$A$2:$B$60,2,0)*'Tinh phi QL'!$G$15/100000</f>
        <v>0</v>
      </c>
      <c r="G21" s="370">
        <f ca="1">'Tinh phi QL'!$G$16/1000000*IF('Tinh phi QL'!$H$9="nam",VLOOKUP('Tinh phi QL'!$I$8+B20,BHN!$A$2:$C$87,2,0),VLOOKUP('Tinh phi QL'!$I$8+B20,BHN!$A$2:$C$87,3,0))</f>
        <v>2601</v>
      </c>
      <c r="H21" s="370">
        <f ca="1">IF($H$4=0,0,IF('Tinh phi QL'!$F$17="Việt Nam",INDEX(TTD!$B$3:$E$102,MATCH('Tinh phi QL'!$I$8+B20,TTD!$A$3:$A$102,0),MATCH('Tinh phi QL'!$G$17,TTD!$B$2:$E$2,0)),IF('Tinh phi QL'!$F$17="Toàn cầu",INDEX(TTD!$F$3:$I$102,MATCH('Tinh phi QL'!$I$8+B20,TTD!$A$3:$A$102,0),MATCH('Tinh phi QL'!$G$17,TTD!$F$2:$I$2,0)))))/1000</f>
        <v>5598</v>
      </c>
      <c r="I21" s="370">
        <f>IF($I$4=0,0,INDEX(TTD!$J$3:$M$102,MATCH('Tinh phi QL'!$I$8+B20,TTD!$A$3:$A$102,0),MATCH('Tinh phi QL'!$G$19,TTD!$J$2:$M$2,0)))/1000</f>
        <v>0</v>
      </c>
      <c r="J21" s="370">
        <f>IF($J$4=0,0,INDEX(TTD!$N$3:$Q$102,MATCH('Tinh phi QL'!$I$8+B20,TTD!$A$3:$A$102,0),MATCH('Tinh phi QL'!$G$21,TTD!$N$2:$Q$2,0)))/1000</f>
        <v>0</v>
      </c>
      <c r="K21" s="370">
        <f ca="1">'Tinh phi QL'!$G$25/1000000*IF('Tinh phi QL'!$H$9="nam",VLOOKUP('Tinh phi QL'!$I$8+B20,Tuky!$A$2:$C$87,2,0),VLOOKUP('Tinh phi QL'!$I$8+B20,Tuky!$A$2:$C$87,3,0))</f>
        <v>0</v>
      </c>
      <c r="L21" s="370">
        <f t="shared" si="2"/>
        <v>0</v>
      </c>
      <c r="M21" s="370">
        <f ca="1">VLOOKUP('Tinh phi QL'!$I$29+B20,TCYT!$A$2:$B$60,2,0)*'Tinh phi QL'!$G$34/100000</f>
        <v>0</v>
      </c>
      <c r="N21" s="370">
        <f ca="1">'Tinh phi QL'!$G$35/1000000*IF('Tinh phi QL'!$H$30="nam",VLOOKUP('Tinh phi QL'!$I$29+B20,BHN!$A$2:$C$87,2,0),VLOOKUP('Tinh phi QL'!$I$29+B20,BHN!$A$2:$C$87,3,0))</f>
        <v>0</v>
      </c>
      <c r="O21" s="370">
        <f>IF($O$4=0,0,IF('Tinh phi QL'!$F$36="Việt Nam",INDEX(TTD!$B$3:$E$102,MATCH('Tinh phi QL'!$I$29+B20,TTD!$A$3:$A$102,0),MATCH('Tinh phi QL'!$G$36,TTD!$B$2:$E$2,0)),IF('Tinh phi QL'!$F$36="Toàn cầu",INDEX(TTD!$F$3:$I$102,MATCH('Tinh phi QL'!$I$29+B20,TTD!$A$3:$A$102,0),MATCH('Tinh phi QL'!$G$36,TTD!$F$2:$I$2,0)))))/1000</f>
        <v>0</v>
      </c>
      <c r="P21" s="370">
        <f>IF($P$4=0,0,INDEX(TTD!$J$3:$M$102,MATCH('Tinh phi QL'!$I$29+B20,TTD!$A$3:$A$102,0),MATCH('Tinh phi QL'!$G$38,TTD!$J$2:$M$2,0)))/1000</f>
        <v>0</v>
      </c>
      <c r="Q21" s="370">
        <f>IF($Q$4=0,0,INDEX(TTD!$N$3:$Q$102,MATCH('Tinh phi QL'!$I$29+B20,TTD!$A$3:$A$102,0),MATCH('Tinh phi QL'!$G$40,TTD!$N$2:$Q$2,0)))/1000</f>
        <v>0</v>
      </c>
      <c r="R21" s="370">
        <f ca="1">'Tinh phi QL'!$G$44/1000000*IF('Tinh phi QL'!$H$30="nam",VLOOKUP('Tinh phi QL'!$I$29+B20,Tuky!$A$2:$C$87,2,0),VLOOKUP('Tinh phi QL'!$I$29+B20,Tuky!$A$2:$C$87,3,0))</f>
        <v>0</v>
      </c>
      <c r="S21" s="370">
        <f>IF('Tinh phi QL'!$G$45=0,0,((SUM(D21:R21)+SUM(T21:AG21))/1000*IF('Tinh phi QL'!$H$30="nam",INDEX(MTPNam!$B$2:$AR$44,MATCH('Tinh phi QL'!$I$29+B20,MTPNam!$A$2:$A$44,0),MATCH('Tinh phi QL'!$E$45-B20,MTPNam!$B$1:$AR$1,0)),IF('Tinh phi QL'!$H$30="nữ",INDEX(MTPNu!$B$2:$AR$44,MATCH('Tinh phi QL'!$I$29+B20,MTPNu!$A$2:$A$44,0),MATCH('Tinh phi QL'!$E$45-B20,MTPNu!$B$1:$AR$1,0))))))</f>
        <v>0</v>
      </c>
      <c r="T21" s="370">
        <f t="shared" si="3"/>
        <v>0</v>
      </c>
      <c r="U21" s="370">
        <f ca="1">VLOOKUP('Tinh phi QL'!$I$49+B20,TCYT!$A$2:$B$60,2,0)*'Tinh phi QL'!$G$54/100000</f>
        <v>0</v>
      </c>
      <c r="V21" s="370">
        <f ca="1">'Tinh phi QL'!$G$55/1000000*IF('Tinh phi QL'!$H$50="nam",VLOOKUP('Tinh phi QL'!$I$49+B20,BHN!$A$2:$C$87,2,0),VLOOKUP('Tinh phi QL'!$I$49+B20,BHN!$A$2:$C$87,3,0))</f>
        <v>0</v>
      </c>
      <c r="W21" s="370">
        <f>IF($W$4=0,0,IF('Tinh phi QL'!$F$56="Việt Nam",INDEX(TTD!$B$3:$E$102,MATCH('Tinh phi QL'!$I$49+B20,TTD!$A$3:$A$102,0),MATCH('Tinh phi QL'!$G$56,TTD!$B$2:$E$2,0)),IF('Tinh phi QL'!$F$56="Toàn cầu",INDEX(TTD!$F$3:$I$102,MATCH('Tinh phi QL'!$I$49+B20,TTD!$A$3:$A$102,0),MATCH('Tinh phi QL'!$G$56,TTD!$F$2:$I$2,0)))))/1000</f>
        <v>0</v>
      </c>
      <c r="X21" s="370">
        <f>IF($X$4=0,0,INDEX(TTD!$J$3:$M$102,MATCH('Tinh phi QL'!$I$49+B20,TTD!$A$3:$A$102,0),MATCH('Tinh phi QL'!$G$58,TTD!$J$2:$M$2,0)))/1000</f>
        <v>0</v>
      </c>
      <c r="Y21" s="370">
        <f>IF($Y$4=0,0,INDEX(TTD!$N$3:$Q$102,MATCH('Tinh phi QL'!$I$49+B20,TTD!$A$3:$A$102,0),MATCH('Tinh phi QL'!$G$60,TTD!$N$2:$Q$2,0)))/1000</f>
        <v>0</v>
      </c>
      <c r="Z21" s="370">
        <f ca="1">'Tinh phi QL'!$G$64/1000000*IF('Tinh phi QL'!$H$50="nam",VLOOKUP('Tinh phi QL'!$I$49+B20,Tuky!$A$2:$C$87,2,0),VLOOKUP('Tinh phi QL'!$I$49+B20,Tuky!$A$2:$C$87,3,0))</f>
        <v>0</v>
      </c>
      <c r="AA21" s="370">
        <f t="shared" si="4"/>
        <v>0</v>
      </c>
      <c r="AB21" s="370">
        <f ca="1">VLOOKUP('Tinh phi QL'!$I$68+B20,TCYT!$A$2:$B$60,2,0)*'Tinh phi QL'!$G$73/100000</f>
        <v>0</v>
      </c>
      <c r="AC21" s="370">
        <f ca="1">'Tinh phi QL'!$G$74/1000000*IF('Tinh phi QL'!$H$69="nam",VLOOKUP('Tinh phi QL'!$I$68+B20,BHN!$A$2:$C$87,2,0),VLOOKUP('Tinh phi QL'!$I$68+B20,BHN!$A$2:$C$87,3,0))</f>
        <v>0</v>
      </c>
      <c r="AD21" s="370">
        <f>IF($AD$4=0,0,IF('Tinh phi QL'!$F$75="Việt Nam",INDEX(TTD!$B$3:$E$102,MATCH('Tinh phi QL'!$I$68+B20,TTD!$A$3:$A$102,0),MATCH('Tinh phi QL'!$G$75,TTD!$B$2:$E$2,0)),IF('Tinh phi QL'!$F$75="Toàn cầu",INDEX(TTD!$F$3:$I$102,MATCH('Tinh phi QL'!$I$68+B20,TTD!$A$3:$A$102,0),MATCH('Tinh phi QL'!$G$75,TTD!$F$2:$I$2,0)))))/1000</f>
        <v>0</v>
      </c>
      <c r="AE21" s="370">
        <f>IF($AE$4=0,0,INDEX(TTD!$J$3:$M$102,MATCH('Tinh phi QL'!$I$68+B20,TTD!$A$3:$A$102,0),MATCH('Tinh phi QL'!$G$77,TTD!$J$2:$M$2,0)))/1000</f>
        <v>0</v>
      </c>
      <c r="AF21" s="370">
        <f>IF($AF$4=0,0,INDEX(TTD!$N$3:$Q$102,MATCH('Tinh phi QL'!$I$68+B20,TTD!$A$3:$A$102,0),MATCH('Tinh phi QL'!$G$79,TTD!$N$2:$Q$2,0)))/1000</f>
        <v>0</v>
      </c>
      <c r="AG21" s="370">
        <f ca="1">'Tinh phi QL'!$G$83/1000000*IF('Tinh phi QL'!$H$69="nam",VLOOKUP('Tinh phi QL'!$I$68+B20,Tuky!$A$2:$C$87,2,0),VLOOKUP('Tinh phi QL'!$I$68+B20,Tuky!$A$2:$C$87,3,0))</f>
        <v>0</v>
      </c>
      <c r="AH21" s="371">
        <f t="shared" ca="1" si="0"/>
        <v>10469</v>
      </c>
    </row>
    <row r="22" spans="2:34">
      <c r="B22" s="368">
        <v>19</v>
      </c>
      <c r="C22" s="368" t="str">
        <f>IF(ROW(A19)&gt;'Tinh phi QL'!$D$12,"",ROW(A19))</f>
        <v/>
      </c>
      <c r="D22" s="369">
        <f>IF(IFERROR(--TRIM(C22),0)=0,0,'Tinh phi QL'!$H$12/1000)</f>
        <v>0</v>
      </c>
      <c r="E22" s="370">
        <f t="shared" ref="E22:E23" si="5">E21</f>
        <v>2270</v>
      </c>
      <c r="F22" s="370">
        <f ca="1">VLOOKUP('Tinh phi QL'!$I$8+B21,TCYT!$A$2:$B$60,2,0)*'Tinh phi QL'!$G$15/100000</f>
        <v>0</v>
      </c>
      <c r="G22" s="370">
        <f ca="1">'Tinh phi QL'!$G$16/1000000*IF('Tinh phi QL'!$H$9="nam",VLOOKUP('Tinh phi QL'!$I$8+B21,BHN!$A$2:$C$87,2,0),VLOOKUP('Tinh phi QL'!$I$8+B21,BHN!$A$2:$C$87,3,0))</f>
        <v>2601</v>
      </c>
      <c r="H22" s="370">
        <f ca="1">IF($H$4=0,0,IF('Tinh phi QL'!$F$17="Việt Nam",INDEX(TTD!$B$3:$E$102,MATCH('Tinh phi QL'!$I$8+B21,TTD!$A$3:$A$102,0),MATCH('Tinh phi QL'!$G$17,TTD!$B$2:$E$2,0)),IF('Tinh phi QL'!$F$17="Toàn cầu",INDEX(TTD!$F$3:$I$102,MATCH('Tinh phi QL'!$I$8+B21,TTD!$A$3:$A$102,0),MATCH('Tinh phi QL'!$G$17,TTD!$F$2:$I$2,0)))))/1000</f>
        <v>5598</v>
      </c>
      <c r="I22" s="370">
        <f>IF($I$4=0,0,INDEX(TTD!$J$3:$M$102,MATCH('Tinh phi QL'!$I$8+B21,TTD!$A$3:$A$102,0),MATCH('Tinh phi QL'!$G$19,TTD!$J$2:$M$2,0)))/1000</f>
        <v>0</v>
      </c>
      <c r="J22" s="370">
        <f>IF($J$4=0,0,INDEX(TTD!$N$3:$Q$102,MATCH('Tinh phi QL'!$I$8+B21,TTD!$A$3:$A$102,0),MATCH('Tinh phi QL'!$G$21,TTD!$N$2:$Q$2,0)))/1000</f>
        <v>0</v>
      </c>
      <c r="K22" s="370">
        <f ca="1">'Tinh phi QL'!$G$25/1000000*IF('Tinh phi QL'!$H$9="nam",VLOOKUP('Tinh phi QL'!$I$8+B21,Tuky!$A$2:$C$87,2,0),VLOOKUP('Tinh phi QL'!$I$8+B21,Tuky!$A$2:$C$87,3,0))</f>
        <v>0</v>
      </c>
      <c r="L22" s="370">
        <f t="shared" si="2"/>
        <v>0</v>
      </c>
      <c r="M22" s="370">
        <f ca="1">VLOOKUP('Tinh phi QL'!$I$29+B21,TCYT!$A$2:$B$60,2,0)*'Tinh phi QL'!$G$34/100000</f>
        <v>0</v>
      </c>
      <c r="N22" s="370">
        <f ca="1">'Tinh phi QL'!$G$35/1000000*IF('Tinh phi QL'!$H$30="nam",VLOOKUP('Tinh phi QL'!$I$29+B21,BHN!$A$2:$C$87,2,0),VLOOKUP('Tinh phi QL'!$I$29+B21,BHN!$A$2:$C$87,3,0))</f>
        <v>0</v>
      </c>
      <c r="O22" s="370">
        <f>IF($O$4=0,0,IF('Tinh phi QL'!$F$36="Việt Nam",INDEX(TTD!$B$3:$E$102,MATCH('Tinh phi QL'!$I$29+B21,TTD!$A$3:$A$102,0),MATCH('Tinh phi QL'!$G$36,TTD!$B$2:$E$2,0)),IF('Tinh phi QL'!$F$36="Toàn cầu",INDEX(TTD!$F$3:$I$102,MATCH('Tinh phi QL'!$I$29+B21,TTD!$A$3:$A$102,0),MATCH('Tinh phi QL'!$G$36,TTD!$F$2:$I$2,0)))))/1000</f>
        <v>0</v>
      </c>
      <c r="P22" s="370">
        <f>IF($P$4=0,0,INDEX(TTD!$J$3:$M$102,MATCH('Tinh phi QL'!$I$29+B21,TTD!$A$3:$A$102,0),MATCH('Tinh phi QL'!$G$38,TTD!$J$2:$M$2,0)))/1000</f>
        <v>0</v>
      </c>
      <c r="Q22" s="370">
        <f>IF($Q$4=0,0,INDEX(TTD!$N$3:$Q$102,MATCH('Tinh phi QL'!$I$29+B21,TTD!$A$3:$A$102,0),MATCH('Tinh phi QL'!$G$40,TTD!$N$2:$Q$2,0)))/1000</f>
        <v>0</v>
      </c>
      <c r="R22" s="370">
        <f ca="1">'Tinh phi QL'!$G$44/1000000*IF('Tinh phi QL'!$H$30="nam",VLOOKUP('Tinh phi QL'!$I$29+B21,Tuky!$A$2:$C$87,2,0),VLOOKUP('Tinh phi QL'!$I$29+B21,Tuky!$A$2:$C$87,3,0))</f>
        <v>0</v>
      </c>
      <c r="S22" s="370">
        <f>IF('Tinh phi QL'!$G$45=0,0,((SUM(D22:R22)+SUM(T22:AG22))/1000*IF('Tinh phi QL'!$H$30="nam",INDEX(MTPNam!$B$2:$AR$44,MATCH('Tinh phi QL'!$I$29+B21,MTPNam!$A$2:$A$44,0),MATCH('Tinh phi QL'!$E$45-B21,MTPNam!$B$1:$AR$1,0)),IF('Tinh phi QL'!$H$30="nữ",INDEX(MTPNu!$B$2:$AR$44,MATCH('Tinh phi QL'!$I$29+B21,MTPNu!$A$2:$A$44,0),MATCH('Tinh phi QL'!$E$45-B21,MTPNu!$B$1:$AR$1,0))))))</f>
        <v>0</v>
      </c>
      <c r="T22" s="370">
        <f t="shared" si="3"/>
        <v>0</v>
      </c>
      <c r="U22" s="370">
        <f ca="1">VLOOKUP('Tinh phi QL'!$I$49+B21,TCYT!$A$2:$B$60,2,0)*'Tinh phi QL'!$G$54/100000</f>
        <v>0</v>
      </c>
      <c r="V22" s="370">
        <f ca="1">'Tinh phi QL'!$G$55/1000000*IF('Tinh phi QL'!$H$50="nam",VLOOKUP('Tinh phi QL'!$I$49+B21,BHN!$A$2:$C$87,2,0),VLOOKUP('Tinh phi QL'!$I$49+B21,BHN!$A$2:$C$87,3,0))</f>
        <v>0</v>
      </c>
      <c r="W22" s="370">
        <f>IF($W$4=0,0,IF('Tinh phi QL'!$F$56="Việt Nam",INDEX(TTD!$B$3:$E$102,MATCH('Tinh phi QL'!$I$49+B21,TTD!$A$3:$A$102,0),MATCH('Tinh phi QL'!$G$56,TTD!$B$2:$E$2,0)),IF('Tinh phi QL'!$F$56="Toàn cầu",INDEX(TTD!$F$3:$I$102,MATCH('Tinh phi QL'!$I$49+B21,TTD!$A$3:$A$102,0),MATCH('Tinh phi QL'!$G$56,TTD!$F$2:$I$2,0)))))/1000</f>
        <v>0</v>
      </c>
      <c r="X22" s="370">
        <f>IF($X$4=0,0,INDEX(TTD!$J$3:$M$102,MATCH('Tinh phi QL'!$I$49+B21,TTD!$A$3:$A$102,0),MATCH('Tinh phi QL'!$G$58,TTD!$J$2:$M$2,0)))/1000</f>
        <v>0</v>
      </c>
      <c r="Y22" s="370">
        <f>IF($Y$4=0,0,INDEX(TTD!$N$3:$Q$102,MATCH('Tinh phi QL'!$I$49+B21,TTD!$A$3:$A$102,0),MATCH('Tinh phi QL'!$G$60,TTD!$N$2:$Q$2,0)))/1000</f>
        <v>0</v>
      </c>
      <c r="Z22" s="370">
        <f ca="1">'Tinh phi QL'!$G$64/1000000*IF('Tinh phi QL'!$H$50="nam",VLOOKUP('Tinh phi QL'!$I$49+B21,Tuky!$A$2:$C$87,2,0),VLOOKUP('Tinh phi QL'!$I$49+B21,Tuky!$A$2:$C$87,3,0))</f>
        <v>0</v>
      </c>
      <c r="AA22" s="370">
        <f t="shared" si="4"/>
        <v>0</v>
      </c>
      <c r="AB22" s="370">
        <f ca="1">VLOOKUP('Tinh phi QL'!$I$68+B21,TCYT!$A$2:$B$60,2,0)*'Tinh phi QL'!$G$73/100000</f>
        <v>0</v>
      </c>
      <c r="AC22" s="370">
        <f ca="1">'Tinh phi QL'!$G$74/1000000*IF('Tinh phi QL'!$H$69="nam",VLOOKUP('Tinh phi QL'!$I$68+B21,BHN!$A$2:$C$87,2,0),VLOOKUP('Tinh phi QL'!$I$68+B21,BHN!$A$2:$C$87,3,0))</f>
        <v>0</v>
      </c>
      <c r="AD22" s="370">
        <f>IF($AD$4=0,0,IF('Tinh phi QL'!$F$75="Việt Nam",INDEX(TTD!$B$3:$E$102,MATCH('Tinh phi QL'!$I$68+B21,TTD!$A$3:$A$102,0),MATCH('Tinh phi QL'!$G$75,TTD!$B$2:$E$2,0)),IF('Tinh phi QL'!$F$75="Toàn cầu",INDEX(TTD!$F$3:$I$102,MATCH('Tinh phi QL'!$I$68+B21,TTD!$A$3:$A$102,0),MATCH('Tinh phi QL'!$G$75,TTD!$F$2:$I$2,0)))))/1000</f>
        <v>0</v>
      </c>
      <c r="AE22" s="370">
        <f>IF($AE$4=0,0,INDEX(TTD!$J$3:$M$102,MATCH('Tinh phi QL'!$I$68+B21,TTD!$A$3:$A$102,0),MATCH('Tinh phi QL'!$G$77,TTD!$J$2:$M$2,0)))/1000</f>
        <v>0</v>
      </c>
      <c r="AF22" s="370">
        <f>IF($AF$4=0,0,INDEX(TTD!$N$3:$Q$102,MATCH('Tinh phi QL'!$I$68+B21,TTD!$A$3:$A$102,0),MATCH('Tinh phi QL'!$G$79,TTD!$N$2:$Q$2,0)))/1000</f>
        <v>0</v>
      </c>
      <c r="AG22" s="370">
        <f ca="1">'Tinh phi QL'!$G$83/1000000*IF('Tinh phi QL'!$H$69="nam",VLOOKUP('Tinh phi QL'!$I$68+B21,Tuky!$A$2:$C$87,2,0),VLOOKUP('Tinh phi QL'!$I$68+B21,Tuky!$A$2:$C$87,3,0))</f>
        <v>0</v>
      </c>
      <c r="AH22" s="371">
        <f t="shared" ca="1" si="0"/>
        <v>10469</v>
      </c>
    </row>
    <row r="23" spans="2:34">
      <c r="B23" s="368">
        <v>20</v>
      </c>
      <c r="C23" s="368" t="str">
        <f>IF(ROW(A20)&gt;'Tinh phi QL'!$D$12,"",ROW(A20))</f>
        <v/>
      </c>
      <c r="D23" s="369">
        <f>IF(IFERROR(--TRIM(C23),0)=0,0,'Tinh phi QL'!$H$12/1000)</f>
        <v>0</v>
      </c>
      <c r="E23" s="370">
        <f t="shared" si="5"/>
        <v>2270</v>
      </c>
      <c r="F23" s="370">
        <f ca="1">VLOOKUP('Tinh phi QL'!$I$8+B22,TCYT!$A$2:$B$60,2,0)*'Tinh phi QL'!$G$15/100000</f>
        <v>0</v>
      </c>
      <c r="G23" s="370">
        <f ca="1">'Tinh phi QL'!$G$16/1000000*IF('Tinh phi QL'!$H$9="nam",VLOOKUP('Tinh phi QL'!$I$8+B22,BHN!$A$2:$C$87,2,0),VLOOKUP('Tinh phi QL'!$I$8+B22,BHN!$A$2:$C$87,3,0))</f>
        <v>2601</v>
      </c>
      <c r="H23" s="370">
        <f ca="1">IF($H$4=0,0,IF('Tinh phi QL'!$F$17="Việt Nam",INDEX(TTD!$B$3:$E$102,MATCH('Tinh phi QL'!$I$8+B22,TTD!$A$3:$A$102,0),MATCH('Tinh phi QL'!$G$17,TTD!$B$2:$E$2,0)),IF('Tinh phi QL'!$F$17="Toàn cầu",INDEX(TTD!$F$3:$I$102,MATCH('Tinh phi QL'!$I$8+B22,TTD!$A$3:$A$102,0),MATCH('Tinh phi QL'!$G$17,TTD!$F$2:$I$2,0)))))/1000</f>
        <v>5598</v>
      </c>
      <c r="I23" s="370">
        <f>IF($I$4=0,0,INDEX(TTD!$J$3:$M$102,MATCH('Tinh phi QL'!$I$8+B22,TTD!$A$3:$A$102,0),MATCH('Tinh phi QL'!$G$19,TTD!$J$2:$M$2,0)))/1000</f>
        <v>0</v>
      </c>
      <c r="J23" s="370">
        <f>IF($J$4=0,0,INDEX(TTD!$N$3:$Q$102,MATCH('Tinh phi QL'!$I$8+B22,TTD!$A$3:$A$102,0),MATCH('Tinh phi QL'!$G$21,TTD!$N$2:$Q$2,0)))/1000</f>
        <v>0</v>
      </c>
      <c r="K23" s="370">
        <f ca="1">'Tinh phi QL'!$G$25/1000000*IF('Tinh phi QL'!$H$9="nam",VLOOKUP('Tinh phi QL'!$I$8+B22,Tuky!$A$2:$C$87,2,0),VLOOKUP('Tinh phi QL'!$I$8+B22,Tuky!$A$2:$C$87,3,0))</f>
        <v>0</v>
      </c>
      <c r="L23" s="370">
        <f t="shared" si="2"/>
        <v>0</v>
      </c>
      <c r="M23" s="370">
        <f ca="1">VLOOKUP('Tinh phi QL'!$I$29+B22,TCYT!$A$2:$B$60,2,0)*'Tinh phi QL'!$G$34/100000</f>
        <v>0</v>
      </c>
      <c r="N23" s="370">
        <f ca="1">'Tinh phi QL'!$G$35/1000000*IF('Tinh phi QL'!$H$30="nam",VLOOKUP('Tinh phi QL'!$I$29+B22,BHN!$A$2:$C$87,2,0),VLOOKUP('Tinh phi QL'!$I$29+B22,BHN!$A$2:$C$87,3,0))</f>
        <v>0</v>
      </c>
      <c r="O23" s="370">
        <f>IF($O$4=0,0,IF('Tinh phi QL'!$F$36="Việt Nam",INDEX(TTD!$B$3:$E$102,MATCH('Tinh phi QL'!$I$29+B22,TTD!$A$3:$A$102,0),MATCH('Tinh phi QL'!$G$36,TTD!$B$2:$E$2,0)),IF('Tinh phi QL'!$F$36="Toàn cầu",INDEX(TTD!$F$3:$I$102,MATCH('Tinh phi QL'!$I$29+B22,TTD!$A$3:$A$102,0),MATCH('Tinh phi QL'!$G$36,TTD!$F$2:$I$2,0)))))/1000</f>
        <v>0</v>
      </c>
      <c r="P23" s="370">
        <f>IF($P$4=0,0,INDEX(TTD!$J$3:$M$102,MATCH('Tinh phi QL'!$I$29+B22,TTD!$A$3:$A$102,0),MATCH('Tinh phi QL'!$G$38,TTD!$J$2:$M$2,0)))/1000</f>
        <v>0</v>
      </c>
      <c r="Q23" s="370">
        <f>IF($Q$4=0,0,INDEX(TTD!$N$3:$Q$102,MATCH('Tinh phi QL'!$I$29+B22,TTD!$A$3:$A$102,0),MATCH('Tinh phi QL'!$G$40,TTD!$N$2:$Q$2,0)))/1000</f>
        <v>0</v>
      </c>
      <c r="R23" s="370">
        <f ca="1">'Tinh phi QL'!$G$44/1000000*IF('Tinh phi QL'!$H$30="nam",VLOOKUP('Tinh phi QL'!$I$29+B22,Tuky!$A$2:$C$87,2,0),VLOOKUP('Tinh phi QL'!$I$29+B22,Tuky!$A$2:$C$87,3,0))</f>
        <v>0</v>
      </c>
      <c r="S23" s="370">
        <f>IF('Tinh phi QL'!$G$45=0,0,((SUM(D23:R23)+SUM(T23:AG23))/1000*IF('Tinh phi QL'!$H$30="nam",INDEX(MTPNam!$B$2:$AR$44,MATCH('Tinh phi QL'!$I$29+B22,MTPNam!$A$2:$A$44,0),MATCH('Tinh phi QL'!$E$45-B22,MTPNam!$B$1:$AR$1,0)),IF('Tinh phi QL'!$H$30="nữ",INDEX(MTPNu!$B$2:$AR$44,MATCH('Tinh phi QL'!$I$29+B22,MTPNu!$A$2:$A$44,0),MATCH('Tinh phi QL'!$E$45-B22,MTPNu!$B$1:$AR$1,0))))))</f>
        <v>0</v>
      </c>
      <c r="T23" s="370">
        <f t="shared" si="3"/>
        <v>0</v>
      </c>
      <c r="U23" s="370">
        <f ca="1">VLOOKUP('Tinh phi QL'!$I$49+B22,TCYT!$A$2:$B$60,2,0)*'Tinh phi QL'!$G$54/100000</f>
        <v>0</v>
      </c>
      <c r="V23" s="370">
        <f ca="1">'Tinh phi QL'!$G$55/1000000*IF('Tinh phi QL'!$H$50="nam",VLOOKUP('Tinh phi QL'!$I$49+B22,BHN!$A$2:$C$87,2,0),VLOOKUP('Tinh phi QL'!$I$49+B22,BHN!$A$2:$C$87,3,0))</f>
        <v>0</v>
      </c>
      <c r="W23" s="370">
        <f>IF($W$4=0,0,IF('Tinh phi QL'!$F$56="Việt Nam",INDEX(TTD!$B$3:$E$102,MATCH('Tinh phi QL'!$I$49+B22,TTD!$A$3:$A$102,0),MATCH('Tinh phi QL'!$G$56,TTD!$B$2:$E$2,0)),IF('Tinh phi QL'!$F$56="Toàn cầu",INDEX(TTD!$F$3:$I$102,MATCH('Tinh phi QL'!$I$49+B22,TTD!$A$3:$A$102,0),MATCH('Tinh phi QL'!$G$56,TTD!$F$2:$I$2,0)))))/1000</f>
        <v>0</v>
      </c>
      <c r="X23" s="370">
        <f>IF($X$4=0,0,INDEX(TTD!$J$3:$M$102,MATCH('Tinh phi QL'!$I$49+B22,TTD!$A$3:$A$102,0),MATCH('Tinh phi QL'!$G$58,TTD!$J$2:$M$2,0)))/1000</f>
        <v>0</v>
      </c>
      <c r="Y23" s="370">
        <f>IF($Y$4=0,0,INDEX(TTD!$N$3:$Q$102,MATCH('Tinh phi QL'!$I$49+B22,TTD!$A$3:$A$102,0),MATCH('Tinh phi QL'!$G$60,TTD!$N$2:$Q$2,0)))/1000</f>
        <v>0</v>
      </c>
      <c r="Z23" s="370">
        <f ca="1">'Tinh phi QL'!$G$64/1000000*IF('Tinh phi QL'!$H$50="nam",VLOOKUP('Tinh phi QL'!$I$49+B22,Tuky!$A$2:$C$87,2,0),VLOOKUP('Tinh phi QL'!$I$49+B22,Tuky!$A$2:$C$87,3,0))</f>
        <v>0</v>
      </c>
      <c r="AA23" s="370">
        <f t="shared" si="4"/>
        <v>0</v>
      </c>
      <c r="AB23" s="370">
        <f ca="1">VLOOKUP('Tinh phi QL'!$I$68+B22,TCYT!$A$2:$B$60,2,0)*'Tinh phi QL'!$G$73/100000</f>
        <v>0</v>
      </c>
      <c r="AC23" s="370">
        <f ca="1">'Tinh phi QL'!$G$74/1000000*IF('Tinh phi QL'!$H$69="nam",VLOOKUP('Tinh phi QL'!$I$68+B22,BHN!$A$2:$C$87,2,0),VLOOKUP('Tinh phi QL'!$I$68+B22,BHN!$A$2:$C$87,3,0))</f>
        <v>0</v>
      </c>
      <c r="AD23" s="370">
        <f>IF($AD$4=0,0,IF('Tinh phi QL'!$F$75="Việt Nam",INDEX(TTD!$B$3:$E$102,MATCH('Tinh phi QL'!$I$68+B22,TTD!$A$3:$A$102,0),MATCH('Tinh phi QL'!$G$75,TTD!$B$2:$E$2,0)),IF('Tinh phi QL'!$F$75="Toàn cầu",INDEX(TTD!$F$3:$I$102,MATCH('Tinh phi QL'!$I$68+B22,TTD!$A$3:$A$102,0),MATCH('Tinh phi QL'!$G$75,TTD!$F$2:$I$2,0)))))/1000</f>
        <v>0</v>
      </c>
      <c r="AE23" s="370">
        <f>IF($AE$4=0,0,INDEX(TTD!$J$3:$M$102,MATCH('Tinh phi QL'!$I$68+B22,TTD!$A$3:$A$102,0),MATCH('Tinh phi QL'!$G$77,TTD!$J$2:$M$2,0)))/1000</f>
        <v>0</v>
      </c>
      <c r="AF23" s="370">
        <f>IF($AF$4=0,0,INDEX(TTD!$N$3:$Q$102,MATCH('Tinh phi QL'!$I$68+B22,TTD!$A$3:$A$102,0),MATCH('Tinh phi QL'!$G$79,TTD!$N$2:$Q$2,0)))/1000</f>
        <v>0</v>
      </c>
      <c r="AG23" s="370">
        <f ca="1">'Tinh phi QL'!$G$83/1000000*IF('Tinh phi QL'!$H$69="nam",VLOOKUP('Tinh phi QL'!$I$68+B22,Tuky!$A$2:$C$87,2,0),VLOOKUP('Tinh phi QL'!$I$68+B22,Tuky!$A$2:$C$87,3,0))</f>
        <v>0</v>
      </c>
      <c r="AH23" s="371">
        <f t="shared" ca="1" si="0"/>
        <v>10469</v>
      </c>
    </row>
    <row r="24" spans="2:34" s="365" customFormat="1" ht="12.75" customHeight="1">
      <c r="B24" s="963" t="s">
        <v>53</v>
      </c>
      <c r="C24" s="963"/>
      <c r="D24" s="963"/>
      <c r="E24" s="963"/>
      <c r="F24" s="963"/>
      <c r="G24" s="963"/>
      <c r="H24" s="963"/>
      <c r="I24" s="963"/>
      <c r="J24" s="963"/>
      <c r="K24" s="963"/>
      <c r="L24" s="963"/>
      <c r="M24" s="963"/>
      <c r="N24" s="963"/>
      <c r="O24" s="963"/>
      <c r="P24" s="963"/>
      <c r="Q24" s="963"/>
      <c r="R24" s="963"/>
      <c r="S24" s="963"/>
      <c r="T24" s="963"/>
      <c r="U24" s="963"/>
      <c r="V24" s="963"/>
      <c r="W24" s="963"/>
      <c r="X24" s="963"/>
      <c r="Y24" s="963"/>
      <c r="Z24" s="963"/>
      <c r="AA24" s="963"/>
      <c r="AB24" s="963"/>
      <c r="AC24" s="963"/>
      <c r="AD24" s="963"/>
      <c r="AE24" s="963"/>
      <c r="AF24" s="963"/>
      <c r="AG24" s="963"/>
      <c r="AH24" s="427">
        <f ca="1">SUM(AH4:AH23)</f>
        <v>165340</v>
      </c>
    </row>
  </sheetData>
  <mergeCells count="6">
    <mergeCell ref="B24:AG24"/>
    <mergeCell ref="B1:H1"/>
    <mergeCell ref="B2:K2"/>
    <mergeCell ref="L2:R2"/>
    <mergeCell ref="T2:Z2"/>
    <mergeCell ref="AA2:AG2"/>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C8D879-EBC7-48BA-A1F0-C86BBCBD42F0}">
  <dimension ref="B1:Y243"/>
  <sheetViews>
    <sheetView showGridLines="0" zoomScaleNormal="100" workbookViewId="0">
      <pane ySplit="3" topLeftCell="A4" activePane="bottomLeft" state="frozen"/>
      <selection pane="bottomLeft"/>
    </sheetView>
  </sheetViews>
  <sheetFormatPr defaultColWidth="7.796875" defaultRowHeight="9.75" customHeight="1"/>
  <cols>
    <col min="1" max="1" width="2.19921875" style="277" customWidth="1"/>
    <col min="2" max="2" width="5.796875" style="270" customWidth="1"/>
    <col min="3" max="3" width="6.796875" style="270" customWidth="1"/>
    <col min="4" max="4" width="9.19921875" style="270" customWidth="1"/>
    <col min="5" max="5" width="14.296875" style="271" customWidth="1"/>
    <col min="6" max="6" width="11.5" style="299" customWidth="1"/>
    <col min="7" max="7" width="13.796875" style="272" customWidth="1"/>
    <col min="8" max="8" width="14.796875" style="271" customWidth="1"/>
    <col min="9" max="9" width="17.296875" style="273" customWidth="1"/>
    <col min="10" max="10" width="15.796875" style="300" customWidth="1"/>
    <col min="11" max="11" width="2.19921875" style="318" hidden="1" customWidth="1"/>
    <col min="12" max="12" width="2.69921875" style="318" hidden="1" customWidth="1"/>
    <col min="13" max="13" width="8.19921875" style="319" hidden="1" customWidth="1"/>
    <col min="14" max="15" width="0" style="298" hidden="1" customWidth="1"/>
    <col min="16" max="23" width="8.19921875" style="277" hidden="1" customWidth="1"/>
    <col min="24" max="16384" width="7.796875" style="277"/>
  </cols>
  <sheetData>
    <row r="1" spans="2:25" ht="9.75" customHeight="1">
      <c r="F1" s="271"/>
      <c r="J1" s="274" t="s">
        <v>681</v>
      </c>
      <c r="N1" s="275" t="s">
        <v>682</v>
      </c>
      <c r="O1" s="275" t="s">
        <v>683</v>
      </c>
      <c r="P1" s="276">
        <v>1</v>
      </c>
      <c r="Q1" s="276">
        <v>2</v>
      </c>
      <c r="R1" s="314">
        <v>3</v>
      </c>
      <c r="S1" s="314">
        <v>4</v>
      </c>
      <c r="T1" s="314">
        <v>5</v>
      </c>
      <c r="U1" s="322" t="s">
        <v>682</v>
      </c>
      <c r="V1" s="322" t="s">
        <v>702</v>
      </c>
      <c r="W1" s="314" t="s">
        <v>703</v>
      </c>
    </row>
    <row r="2" spans="2:25" ht="12" customHeight="1">
      <c r="B2" s="956" t="s">
        <v>859</v>
      </c>
      <c r="C2" s="956"/>
      <c r="D2" s="956"/>
      <c r="E2" s="956"/>
      <c r="F2" s="956"/>
      <c r="G2" s="956"/>
      <c r="H2" s="956"/>
      <c r="I2" s="956"/>
      <c r="J2" s="274"/>
      <c r="N2" s="278">
        <v>0.02</v>
      </c>
      <c r="O2" s="279">
        <v>0.01</v>
      </c>
      <c r="P2" s="315">
        <v>3.5000000000000003E-2</v>
      </c>
      <c r="Q2" s="315">
        <v>0.03</v>
      </c>
      <c r="R2" s="315">
        <v>0.03</v>
      </c>
      <c r="S2" s="315">
        <v>0.02</v>
      </c>
      <c r="T2" s="315">
        <v>0.02</v>
      </c>
      <c r="U2" s="315">
        <v>1.4999999999999999E-2</v>
      </c>
      <c r="V2" s="315">
        <v>0.01</v>
      </c>
      <c r="W2" s="323">
        <v>5.0000000000000001E-3</v>
      </c>
    </row>
    <row r="3" spans="2:25" s="286" customFormat="1" ht="39" customHeight="1">
      <c r="B3" s="280" t="s">
        <v>670</v>
      </c>
      <c r="C3" s="280" t="s">
        <v>1</v>
      </c>
      <c r="D3" s="280" t="s">
        <v>671</v>
      </c>
      <c r="E3" s="281" t="s">
        <v>678</v>
      </c>
      <c r="F3" s="281" t="s">
        <v>684</v>
      </c>
      <c r="G3" s="282" t="s">
        <v>685</v>
      </c>
      <c r="H3" s="281" t="s">
        <v>686</v>
      </c>
      <c r="I3" s="283" t="s">
        <v>804</v>
      </c>
      <c r="J3" s="284" t="s">
        <v>688</v>
      </c>
      <c r="K3" s="320"/>
      <c r="L3" s="320"/>
      <c r="M3" s="321"/>
      <c r="N3" s="285">
        <f t="shared" ref="N3:W3" si="0">(1+N2)^(1/12)-1</f>
        <v>1.6515813019202241E-3</v>
      </c>
      <c r="O3" s="285">
        <f t="shared" si="0"/>
        <v>8.295381143461622E-4</v>
      </c>
      <c r="P3" s="316">
        <f t="shared" si="0"/>
        <v>2.8708987190766422E-3</v>
      </c>
      <c r="Q3" s="316">
        <f t="shared" si="0"/>
        <v>2.4662697723036864E-3</v>
      </c>
      <c r="R3" s="316">
        <f t="shared" si="0"/>
        <v>2.4662697723036864E-3</v>
      </c>
      <c r="S3" s="316">
        <f t="shared" si="0"/>
        <v>1.6515813019202241E-3</v>
      </c>
      <c r="T3" s="316">
        <f t="shared" si="0"/>
        <v>1.6515813019202241E-3</v>
      </c>
      <c r="U3" s="316">
        <f t="shared" si="0"/>
        <v>1.2414877164492744E-3</v>
      </c>
      <c r="V3" s="316">
        <f t="shared" si="0"/>
        <v>8.295381143461622E-4</v>
      </c>
      <c r="W3" s="316">
        <f t="shared" si="0"/>
        <v>4.1571484472902043E-4</v>
      </c>
      <c r="X3" s="286" t="s">
        <v>673</v>
      </c>
      <c r="Y3" s="286" t="s">
        <v>812</v>
      </c>
    </row>
    <row r="4" spans="2:25" ht="9.75" customHeight="1">
      <c r="B4" s="954">
        <v>1</v>
      </c>
      <c r="C4" s="952">
        <f ca="1">'Tinh phi QL'!I8</f>
        <v>30</v>
      </c>
      <c r="D4" s="287">
        <f ca="1">'Hoach dinh tai chinh'!J3</f>
        <v>46229</v>
      </c>
      <c r="E4" s="288">
        <f>'Tinh phi QL'!E12/1000</f>
        <v>0</v>
      </c>
      <c r="F4" s="289">
        <f ca="1">IF(YEAR(D4)=2025,40000,IF(YEAR(D4)=2026,40000,IF(YEAR(D4)=2027,40000,IF(YEAR(D4)=2028,40000,IF(YEAR(D4)=2029,40000,IF(YEAR(D4)=2030,50000,IF(YEAR(D4)=2031,50000,IF(YEAR(D4)=2032,50000,IF(YEAR(D4)=2033,50000,IF(YEAR(D4)=2034,50000,IF(YEAR(D4)&gt;=2035,60000,0)))))))))))/1000</f>
        <v>40</v>
      </c>
      <c r="G4" s="290">
        <f ca="1">KTVCOI!P3</f>
        <v>0</v>
      </c>
      <c r="H4" s="290">
        <f ca="1">(KTVBVGTTKcamket!F7-KTVBV20namcamket!F4-G4)*(1+KTVBV20namcamket!P3)</f>
        <v>-40.114835948763066</v>
      </c>
      <c r="I4" s="291"/>
      <c r="J4" s="292">
        <f ca="1">H4</f>
        <v>-40.114835948763066</v>
      </c>
      <c r="K4" s="949">
        <f ca="1">J15</f>
        <v>-489.3296841329107</v>
      </c>
      <c r="L4" s="949"/>
      <c r="M4" s="949"/>
      <c r="N4" s="950">
        <f ca="1">SUM(G4:G15)</f>
        <v>0.2740849208134159</v>
      </c>
      <c r="O4" s="950"/>
      <c r="X4" s="945">
        <f ca="1">SUM(F4:F15)</f>
        <v>480</v>
      </c>
      <c r="Y4" s="945">
        <f ca="1">SUM(G4:G15)</f>
        <v>0.2740849208134159</v>
      </c>
    </row>
    <row r="5" spans="2:25" ht="9.75" customHeight="1">
      <c r="B5" s="954"/>
      <c r="C5" s="952"/>
      <c r="D5" s="287">
        <f t="shared" ref="D5:D68" ca="1" si="1">EDATE(D4,1)</f>
        <v>46260</v>
      </c>
      <c r="E5" s="288">
        <f>E4</f>
        <v>0</v>
      </c>
      <c r="F5" s="289">
        <f t="shared" ref="F5:F68" ca="1" si="2">IF(YEAR(D5)=2025,40000,IF(YEAR(D5)=2026,40000,IF(YEAR(D5)=2027,40000,IF(YEAR(D5)=2028,40000,IF(YEAR(D5)=2029,40000,IF(YEAR(D5)=2030,50000,IF(YEAR(D5)=2031,50000,IF(YEAR(D5)=2032,50000,IF(YEAR(D5)=2033,50000,IF(YEAR(D5)=2034,50000,IF(YEAR(D5)&gt;=2035,60000,0)))))))))))/1000</f>
        <v>40</v>
      </c>
      <c r="G5" s="290">
        <f ca="1">KTVCOI!P4</f>
        <v>4.1117706847482146E-3</v>
      </c>
      <c r="H5" s="290">
        <f t="shared" ref="H5:H15" ca="1" si="3">(H4-F5-G5)*(1+$P$3)</f>
        <v>-80.348961103829353</v>
      </c>
      <c r="I5" s="291"/>
      <c r="J5" s="292">
        <f t="shared" ref="J5:J68" ca="1" si="4">H5</f>
        <v>-80.348961103829353</v>
      </c>
      <c r="K5" s="949"/>
      <c r="L5" s="949"/>
      <c r="M5" s="949"/>
      <c r="N5" s="950"/>
      <c r="O5" s="950"/>
      <c r="X5" s="945"/>
      <c r="Y5" s="945"/>
    </row>
    <row r="6" spans="2:25" ht="9.75" customHeight="1">
      <c r="B6" s="954"/>
      <c r="C6" s="952"/>
      <c r="D6" s="287">
        <f t="shared" ca="1" si="1"/>
        <v>46291</v>
      </c>
      <c r="E6" s="288">
        <f t="shared" ref="E6:E69" si="5">E5</f>
        <v>0</v>
      </c>
      <c r="F6" s="289">
        <f t="shared" ca="1" si="2"/>
        <v>40</v>
      </c>
      <c r="G6" s="290">
        <f ca="1">KTVCOI!P5</f>
        <v>8.2357685131425086E-3</v>
      </c>
      <c r="H6" s="290">
        <f t="shared" ca="1" si="3"/>
        <v>-120.70273019467496</v>
      </c>
      <c r="I6" s="291"/>
      <c r="J6" s="292">
        <f t="shared" ca="1" si="4"/>
        <v>-120.70273019467496</v>
      </c>
      <c r="K6" s="949"/>
      <c r="L6" s="949"/>
      <c r="M6" s="949"/>
      <c r="N6" s="950"/>
      <c r="O6" s="950"/>
      <c r="X6" s="945"/>
      <c r="Y6" s="945"/>
    </row>
    <row r="7" spans="2:25" ht="9.75" customHeight="1">
      <c r="B7" s="954"/>
      <c r="C7" s="952"/>
      <c r="D7" s="287">
        <f t="shared" ca="1" si="1"/>
        <v>46321</v>
      </c>
      <c r="E7" s="288">
        <f t="shared" si="5"/>
        <v>0</v>
      </c>
      <c r="F7" s="289">
        <f t="shared" ca="1" si="2"/>
        <v>40</v>
      </c>
      <c r="G7" s="290">
        <f ca="1">KTVCOI!P6</f>
        <v>1.2372029844954183E-2</v>
      </c>
      <c r="H7" s="290">
        <f t="shared" ca="1" si="3"/>
        <v>-161.17649900563256</v>
      </c>
      <c r="I7" s="291"/>
      <c r="J7" s="292">
        <f t="shared" ca="1" si="4"/>
        <v>-161.17649900563256</v>
      </c>
      <c r="K7" s="949"/>
      <c r="L7" s="949"/>
      <c r="M7" s="949"/>
      <c r="N7" s="950"/>
      <c r="O7" s="950"/>
      <c r="X7" s="945"/>
      <c r="Y7" s="945"/>
    </row>
    <row r="8" spans="2:25" ht="9.75" customHeight="1">
      <c r="B8" s="954"/>
      <c r="C8" s="952"/>
      <c r="D8" s="287">
        <f t="shared" ca="1" si="1"/>
        <v>46352</v>
      </c>
      <c r="E8" s="288">
        <f t="shared" si="5"/>
        <v>0</v>
      </c>
      <c r="F8" s="289">
        <f t="shared" ca="1" si="2"/>
        <v>40</v>
      </c>
      <c r="G8" s="290">
        <f ca="1">KTVCOI!P7</f>
        <v>1.6520591148077336E-2</v>
      </c>
      <c r="H8" s="290">
        <f t="shared" ca="1" si="3"/>
        <v>-201.77062437902819</v>
      </c>
      <c r="I8" s="291"/>
      <c r="J8" s="292">
        <f t="shared" ca="1" si="4"/>
        <v>-201.77062437902819</v>
      </c>
      <c r="K8" s="949"/>
      <c r="L8" s="949"/>
      <c r="M8" s="949"/>
      <c r="N8" s="950"/>
      <c r="O8" s="950"/>
      <c r="X8" s="945"/>
      <c r="Y8" s="945"/>
    </row>
    <row r="9" spans="2:25" ht="9.75" customHeight="1">
      <c r="B9" s="954"/>
      <c r="C9" s="952"/>
      <c r="D9" s="287">
        <f t="shared" ca="1" si="1"/>
        <v>46382</v>
      </c>
      <c r="E9" s="288">
        <f t="shared" si="5"/>
        <v>0</v>
      </c>
      <c r="F9" s="289">
        <f t="shared" ca="1" si="2"/>
        <v>40</v>
      </c>
      <c r="G9" s="290">
        <f ca="1">KTVCOI!P8</f>
        <v>2.0681488998850389E-2</v>
      </c>
      <c r="H9" s="290">
        <f t="shared" ca="1" si="3"/>
        <v>-242.48546421832745</v>
      </c>
      <c r="I9" s="291"/>
      <c r="J9" s="292">
        <f t="shared" ca="1" si="4"/>
        <v>-242.48546421832745</v>
      </c>
      <c r="K9" s="949"/>
      <c r="L9" s="949"/>
      <c r="M9" s="949"/>
      <c r="N9" s="950"/>
      <c r="O9" s="950"/>
      <c r="X9" s="945"/>
      <c r="Y9" s="945"/>
    </row>
    <row r="10" spans="2:25" ht="9.75" customHeight="1">
      <c r="B10" s="954"/>
      <c r="C10" s="952"/>
      <c r="D10" s="287">
        <f t="shared" ca="1" si="1"/>
        <v>46413</v>
      </c>
      <c r="E10" s="288">
        <f t="shared" si="5"/>
        <v>0</v>
      </c>
      <c r="F10" s="289">
        <f t="shared" ca="1" si="2"/>
        <v>40</v>
      </c>
      <c r="G10" s="290">
        <f ca="1">KTVCOI!P9</f>
        <v>2.4854760082378562E-2</v>
      </c>
      <c r="H10" s="290">
        <f t="shared" ca="1" si="3"/>
        <v>-283.32137749129095</v>
      </c>
      <c r="I10" s="291"/>
      <c r="J10" s="292">
        <f t="shared" ca="1" si="4"/>
        <v>-283.32137749129095</v>
      </c>
      <c r="K10" s="949"/>
      <c r="L10" s="949"/>
      <c r="M10" s="949"/>
      <c r="N10" s="950"/>
      <c r="O10" s="950"/>
      <c r="X10" s="945"/>
      <c r="Y10" s="945"/>
    </row>
    <row r="11" spans="2:25" ht="9.75" customHeight="1">
      <c r="B11" s="954"/>
      <c r="C11" s="952"/>
      <c r="D11" s="287">
        <f t="shared" ca="1" si="1"/>
        <v>46444</v>
      </c>
      <c r="E11" s="288">
        <f t="shared" si="5"/>
        <v>0</v>
      </c>
      <c r="F11" s="289">
        <f t="shared" ca="1" si="2"/>
        <v>40</v>
      </c>
      <c r="G11" s="290">
        <f ca="1">KTVCOI!P10</f>
        <v>2.9040441192857317E-2</v>
      </c>
      <c r="H11" s="290">
        <f t="shared" ca="1" si="3"/>
        <v>-324.27872423313909</v>
      </c>
      <c r="I11" s="291"/>
      <c r="J11" s="292">
        <f t="shared" ca="1" si="4"/>
        <v>-324.27872423313909</v>
      </c>
      <c r="K11" s="949"/>
      <c r="L11" s="949"/>
      <c r="M11" s="949"/>
      <c r="N11" s="950"/>
      <c r="O11" s="950"/>
      <c r="X11" s="945"/>
      <c r="Y11" s="945"/>
    </row>
    <row r="12" spans="2:25" ht="9.75" customHeight="1">
      <c r="B12" s="954"/>
      <c r="C12" s="952"/>
      <c r="D12" s="287">
        <f t="shared" ca="1" si="1"/>
        <v>46472</v>
      </c>
      <c r="E12" s="288">
        <f t="shared" si="5"/>
        <v>0</v>
      </c>
      <c r="F12" s="289">
        <f t="shared" ca="1" si="2"/>
        <v>40</v>
      </c>
      <c r="G12" s="290">
        <f ca="1">KTVCOI!P11</f>
        <v>3.3238569233896752E-2</v>
      </c>
      <c r="H12" s="290">
        <f t="shared" ca="1" si="3"/>
        <v>-365.35786554972663</v>
      </c>
      <c r="I12" s="291"/>
      <c r="J12" s="292">
        <f t="shared" ca="1" si="4"/>
        <v>-365.35786554972663</v>
      </c>
      <c r="K12" s="949"/>
      <c r="L12" s="949"/>
      <c r="M12" s="949"/>
      <c r="N12" s="950"/>
      <c r="O12" s="950"/>
      <c r="X12" s="945"/>
      <c r="Y12" s="945"/>
    </row>
    <row r="13" spans="2:25" ht="9.75" customHeight="1">
      <c r="B13" s="954"/>
      <c r="C13" s="952"/>
      <c r="D13" s="287">
        <f t="shared" ca="1" si="1"/>
        <v>46503</v>
      </c>
      <c r="E13" s="288">
        <f t="shared" si="5"/>
        <v>0</v>
      </c>
      <c r="F13" s="289">
        <f t="shared" ca="1" si="2"/>
        <v>40</v>
      </c>
      <c r="G13" s="290">
        <f ca="1">KTVCOI!P12</f>
        <v>3.744918121884698E-2</v>
      </c>
      <c r="H13" s="290">
        <f t="shared" ca="1" si="3"/>
        <v>-406.55916362072622</v>
      </c>
      <c r="I13" s="291"/>
      <c r="J13" s="292">
        <f t="shared" ca="1" si="4"/>
        <v>-406.55916362072622</v>
      </c>
      <c r="K13" s="949"/>
      <c r="L13" s="949"/>
      <c r="M13" s="949"/>
      <c r="N13" s="950"/>
      <c r="O13" s="950"/>
      <c r="X13" s="945"/>
      <c r="Y13" s="945"/>
    </row>
    <row r="14" spans="2:25" ht="9.75" customHeight="1">
      <c r="B14" s="954"/>
      <c r="C14" s="952"/>
      <c r="D14" s="287">
        <f t="shared" ca="1" si="1"/>
        <v>46533</v>
      </c>
      <c r="E14" s="288">
        <f t="shared" si="5"/>
        <v>0</v>
      </c>
      <c r="F14" s="289">
        <f t="shared" ca="1" si="2"/>
        <v>40</v>
      </c>
      <c r="G14" s="290">
        <f ca="1">KTVCOI!P13</f>
        <v>4.1672314271124444E-2</v>
      </c>
      <c r="H14" s="290">
        <f t="shared" ca="1" si="3"/>
        <v>-447.88298170282167</v>
      </c>
      <c r="I14" s="291"/>
      <c r="J14" s="292">
        <f t="shared" ca="1" si="4"/>
        <v>-447.88298170282167</v>
      </c>
      <c r="K14" s="949"/>
      <c r="L14" s="949"/>
      <c r="M14" s="949"/>
      <c r="N14" s="950"/>
      <c r="O14" s="950"/>
      <c r="X14" s="945"/>
      <c r="Y14" s="945"/>
    </row>
    <row r="15" spans="2:25" ht="9.75" customHeight="1">
      <c r="B15" s="954"/>
      <c r="C15" s="952"/>
      <c r="D15" s="287">
        <f t="shared" ca="1" si="1"/>
        <v>46564</v>
      </c>
      <c r="E15" s="288">
        <f t="shared" si="5"/>
        <v>0</v>
      </c>
      <c r="F15" s="289">
        <f t="shared" ca="1" si="2"/>
        <v>40</v>
      </c>
      <c r="G15" s="290">
        <f ca="1">KTVCOI!P14</f>
        <v>4.5908005624539228E-2</v>
      </c>
      <c r="H15" s="290">
        <f t="shared" ca="1" si="3"/>
        <v>-489.3296841329107</v>
      </c>
      <c r="I15" s="291"/>
      <c r="J15" s="293">
        <f t="shared" ca="1" si="4"/>
        <v>-489.3296841329107</v>
      </c>
      <c r="K15" s="949"/>
      <c r="L15" s="949"/>
      <c r="M15" s="949"/>
      <c r="N15" s="950"/>
      <c r="O15" s="950"/>
      <c r="X15" s="945"/>
      <c r="Y15" s="945"/>
    </row>
    <row r="16" spans="2:25" ht="9.75" customHeight="1">
      <c r="B16" s="955">
        <v>2</v>
      </c>
      <c r="C16" s="947">
        <f ca="1">C4+1</f>
        <v>31</v>
      </c>
      <c r="D16" s="294">
        <f t="shared" ca="1" si="1"/>
        <v>46594</v>
      </c>
      <c r="E16" s="359">
        <f>E15</f>
        <v>0</v>
      </c>
      <c r="F16" s="360">
        <f t="shared" ca="1" si="2"/>
        <v>40</v>
      </c>
      <c r="G16" s="290">
        <f ca="1">KTVCOI!P15</f>
        <v>5.1379616833955623E-2</v>
      </c>
      <c r="H16" s="295">
        <f ca="1">(H15+KTVBVGTTKcamket!F8-F16-G16)*(1+Q3)</f>
        <v>-530.68666026530059</v>
      </c>
      <c r="I16" s="324"/>
      <c r="J16" s="296">
        <f t="shared" ca="1" si="4"/>
        <v>-530.68666026530059</v>
      </c>
      <c r="K16" s="949">
        <f ca="1">J27</f>
        <v>-992.6930567584925</v>
      </c>
      <c r="L16" s="949"/>
      <c r="M16" s="949"/>
      <c r="N16" s="950">
        <f ca="1">SUM(G16:G27)</f>
        <v>0.90563021965211399</v>
      </c>
      <c r="O16" s="950"/>
      <c r="X16" s="945">
        <f t="shared" ref="X16:Y16" ca="1" si="6">SUM(F16:F27)</f>
        <v>480</v>
      </c>
      <c r="Y16" s="945">
        <f t="shared" ca="1" si="6"/>
        <v>0.90563021965211399</v>
      </c>
    </row>
    <row r="17" spans="2:25" ht="9.75" customHeight="1">
      <c r="B17" s="955"/>
      <c r="C17" s="947"/>
      <c r="D17" s="294">
        <f t="shared" ca="1" si="1"/>
        <v>46625</v>
      </c>
      <c r="E17" s="359">
        <f t="shared" si="5"/>
        <v>0</v>
      </c>
      <c r="F17" s="360">
        <f t="shared" ca="1" si="2"/>
        <v>40</v>
      </c>
      <c r="G17" s="290">
        <f ca="1">KTVCOI!P16</f>
        <v>5.5722099327856565E-2</v>
      </c>
      <c r="H17" s="295">
        <f ca="1">(H16-F17-G17)*(1+$Q$3)</f>
        <v>-572.14998705002699</v>
      </c>
      <c r="I17" s="324"/>
      <c r="J17" s="296">
        <f t="shared" ca="1" si="4"/>
        <v>-572.14998705002699</v>
      </c>
      <c r="K17" s="949"/>
      <c r="L17" s="949"/>
      <c r="M17" s="949"/>
      <c r="N17" s="950"/>
      <c r="O17" s="950"/>
      <c r="X17" s="945"/>
      <c r="Y17" s="945"/>
    </row>
    <row r="18" spans="2:25" ht="9.75" customHeight="1">
      <c r="B18" s="955"/>
      <c r="C18" s="947"/>
      <c r="D18" s="294">
        <f t="shared" ca="1" si="1"/>
        <v>46656</v>
      </c>
      <c r="E18" s="359">
        <f t="shared" si="5"/>
        <v>0</v>
      </c>
      <c r="F18" s="360">
        <f t="shared" ca="1" si="2"/>
        <v>40</v>
      </c>
      <c r="G18" s="290">
        <f ca="1">KTVCOI!P17</f>
        <v>6.0075748640252835E-2</v>
      </c>
      <c r="H18" s="295">
        <f t="shared" ref="H18:H27" ca="1" si="7">(H17-F18-G18)*(1+$Q$3)</f>
        <v>-613.7199379708477</v>
      </c>
      <c r="I18" s="324"/>
      <c r="J18" s="296">
        <f t="shared" ca="1" si="4"/>
        <v>-613.7199379708477</v>
      </c>
      <c r="K18" s="949"/>
      <c r="L18" s="949"/>
      <c r="M18" s="949"/>
      <c r="N18" s="950"/>
      <c r="O18" s="950"/>
      <c r="X18" s="945"/>
      <c r="Y18" s="945"/>
    </row>
    <row r="19" spans="2:25" ht="9.75" customHeight="1">
      <c r="B19" s="955"/>
      <c r="C19" s="947"/>
      <c r="D19" s="294">
        <f t="shared" ca="1" si="1"/>
        <v>46686</v>
      </c>
      <c r="E19" s="359">
        <f t="shared" si="5"/>
        <v>0</v>
      </c>
      <c r="F19" s="360">
        <f t="shared" ca="1" si="2"/>
        <v>40</v>
      </c>
      <c r="G19" s="290">
        <f ca="1">KTVCOI!P18</f>
        <v>6.4440593486939007E-2</v>
      </c>
      <c r="H19" s="295">
        <f t="shared" ca="1" si="7"/>
        <v>-655.3967872147922</v>
      </c>
      <c r="I19" s="324"/>
      <c r="J19" s="296">
        <f t="shared" ca="1" si="4"/>
        <v>-655.3967872147922</v>
      </c>
      <c r="K19" s="949"/>
      <c r="L19" s="949"/>
      <c r="M19" s="949"/>
      <c r="N19" s="950"/>
      <c r="O19" s="950"/>
      <c r="X19" s="945"/>
      <c r="Y19" s="945"/>
    </row>
    <row r="20" spans="2:25" ht="9.75" customHeight="1">
      <c r="B20" s="955"/>
      <c r="C20" s="947"/>
      <c r="D20" s="294">
        <f t="shared" ca="1" si="1"/>
        <v>46717</v>
      </c>
      <c r="E20" s="359">
        <f t="shared" si="5"/>
        <v>0</v>
      </c>
      <c r="F20" s="360">
        <f t="shared" ca="1" si="2"/>
        <v>40</v>
      </c>
      <c r="G20" s="290">
        <f ca="1">KTVCOI!P19</f>
        <v>6.8816662657553193E-2</v>
      </c>
      <c r="H20" s="295">
        <f t="shared" ca="1" si="7"/>
        <v>-697.18080967396963</v>
      </c>
      <c r="I20" s="324"/>
      <c r="J20" s="296">
        <f t="shared" ca="1" si="4"/>
        <v>-697.18080967396963</v>
      </c>
      <c r="K20" s="949"/>
      <c r="L20" s="949"/>
      <c r="M20" s="949"/>
      <c r="N20" s="950"/>
      <c r="O20" s="950"/>
      <c r="X20" s="945"/>
      <c r="Y20" s="945"/>
    </row>
    <row r="21" spans="2:25" ht="9.75" customHeight="1">
      <c r="B21" s="955"/>
      <c r="C21" s="947"/>
      <c r="D21" s="294">
        <f t="shared" ca="1" si="1"/>
        <v>46747</v>
      </c>
      <c r="E21" s="359">
        <f t="shared" si="5"/>
        <v>0</v>
      </c>
      <c r="F21" s="360">
        <f t="shared" ca="1" si="2"/>
        <v>40</v>
      </c>
      <c r="G21" s="290">
        <f ca="1">KTVCOI!P20</f>
        <v>7.3203985015766818E-2</v>
      </c>
      <c r="H21" s="295">
        <f t="shared" ca="1" si="7"/>
        <v>-739.07228094738207</v>
      </c>
      <c r="I21" s="324"/>
      <c r="J21" s="296">
        <f t="shared" ca="1" si="4"/>
        <v>-739.07228094738207</v>
      </c>
      <c r="K21" s="949"/>
      <c r="L21" s="949"/>
      <c r="M21" s="949"/>
      <c r="N21" s="950"/>
      <c r="O21" s="950"/>
      <c r="X21" s="945"/>
      <c r="Y21" s="945"/>
    </row>
    <row r="22" spans="2:25" ht="9.75" customHeight="1">
      <c r="B22" s="955"/>
      <c r="C22" s="947"/>
      <c r="D22" s="294">
        <f t="shared" ca="1" si="1"/>
        <v>46778</v>
      </c>
      <c r="E22" s="359">
        <f t="shared" si="5"/>
        <v>0</v>
      </c>
      <c r="F22" s="360">
        <f t="shared" ca="1" si="2"/>
        <v>40</v>
      </c>
      <c r="G22" s="290">
        <f ca="1">KTVCOI!P21</f>
        <v>7.7602589499475114E-2</v>
      </c>
      <c r="H22" s="295">
        <f t="shared" ca="1" si="7"/>
        <v>-781.07147734274258</v>
      </c>
      <c r="I22" s="324"/>
      <c r="J22" s="296">
        <f t="shared" ca="1" si="4"/>
        <v>-781.07147734274258</v>
      </c>
      <c r="K22" s="949"/>
      <c r="L22" s="949"/>
      <c r="M22" s="949"/>
      <c r="N22" s="950"/>
      <c r="O22" s="950"/>
      <c r="X22" s="945"/>
      <c r="Y22" s="945"/>
    </row>
    <row r="23" spans="2:25" ht="9.75" customHeight="1">
      <c r="B23" s="955"/>
      <c r="C23" s="947"/>
      <c r="D23" s="294">
        <f t="shared" ca="1" si="1"/>
        <v>46809</v>
      </c>
      <c r="E23" s="359">
        <f t="shared" si="5"/>
        <v>0</v>
      </c>
      <c r="F23" s="360">
        <f t="shared" ca="1" si="2"/>
        <v>40</v>
      </c>
      <c r="G23" s="290">
        <f ca="1">KTVCOI!P22</f>
        <v>8.2012505120987969E-2</v>
      </c>
      <c r="H23" s="295">
        <f t="shared" ca="1" si="7"/>
        <v>-823.1786758782971</v>
      </c>
      <c r="I23" s="324"/>
      <c r="J23" s="296">
        <f t="shared" ca="1" si="4"/>
        <v>-823.1786758782971</v>
      </c>
      <c r="K23" s="949"/>
      <c r="L23" s="949"/>
      <c r="M23" s="949"/>
      <c r="N23" s="950"/>
      <c r="O23" s="950"/>
      <c r="X23" s="945"/>
      <c r="Y23" s="945"/>
    </row>
    <row r="24" spans="2:25" ht="9.75" customHeight="1">
      <c r="B24" s="955"/>
      <c r="C24" s="947"/>
      <c r="D24" s="294">
        <f t="shared" ca="1" si="1"/>
        <v>46838</v>
      </c>
      <c r="E24" s="359">
        <f t="shared" si="5"/>
        <v>0</v>
      </c>
      <c r="F24" s="360">
        <f t="shared" ca="1" si="2"/>
        <v>40</v>
      </c>
      <c r="G24" s="290">
        <f ca="1">KTVCOI!P23</f>
        <v>8.6433760967221177E-2</v>
      </c>
      <c r="H24" s="295">
        <f t="shared" ca="1" si="7"/>
        <v>-865.39415428465202</v>
      </c>
      <c r="I24" s="324"/>
      <c r="J24" s="296">
        <f t="shared" ca="1" si="4"/>
        <v>-865.39415428465202</v>
      </c>
      <c r="K24" s="949"/>
      <c r="L24" s="949"/>
      <c r="M24" s="949"/>
      <c r="N24" s="950"/>
      <c r="O24" s="950"/>
      <c r="X24" s="945"/>
      <c r="Y24" s="945"/>
    </row>
    <row r="25" spans="2:25" ht="9.75" customHeight="1">
      <c r="B25" s="955"/>
      <c r="C25" s="947"/>
      <c r="D25" s="294">
        <f t="shared" ca="1" si="1"/>
        <v>46869</v>
      </c>
      <c r="E25" s="359">
        <f t="shared" si="5"/>
        <v>0</v>
      </c>
      <c r="F25" s="360">
        <f t="shared" ca="1" si="2"/>
        <v>40</v>
      </c>
      <c r="G25" s="290">
        <f ca="1">KTVCOI!P24</f>
        <v>9.086638619988846E-2</v>
      </c>
      <c r="H25" s="295">
        <f t="shared" ca="1" si="7"/>
        <v>-907.71819100660616</v>
      </c>
      <c r="I25" s="324"/>
      <c r="J25" s="296">
        <f t="shared" ca="1" si="4"/>
        <v>-907.71819100660616</v>
      </c>
      <c r="K25" s="949"/>
      <c r="L25" s="949"/>
      <c r="M25" s="949"/>
      <c r="N25" s="950"/>
      <c r="O25" s="950"/>
      <c r="X25" s="945"/>
      <c r="Y25" s="945"/>
    </row>
    <row r="26" spans="2:25" ht="9.75" customHeight="1">
      <c r="B26" s="955"/>
      <c r="C26" s="947"/>
      <c r="D26" s="294">
        <f t="shared" ca="1" si="1"/>
        <v>46899</v>
      </c>
      <c r="E26" s="359">
        <f t="shared" si="5"/>
        <v>0</v>
      </c>
      <c r="F26" s="360">
        <f t="shared" ca="1" si="2"/>
        <v>40</v>
      </c>
      <c r="G26" s="290">
        <f ca="1">KTVCOI!P25</f>
        <v>9.531041005569367E-2</v>
      </c>
      <c r="H26" s="295">
        <f t="shared" ca="1" si="7"/>
        <v>-950.15106520498716</v>
      </c>
      <c r="I26" s="324"/>
      <c r="J26" s="296">
        <f t="shared" ca="1" si="4"/>
        <v>-950.15106520498716</v>
      </c>
      <c r="K26" s="949"/>
      <c r="L26" s="949"/>
      <c r="M26" s="949"/>
      <c r="N26" s="950"/>
      <c r="O26" s="950"/>
      <c r="X26" s="945"/>
      <c r="Y26" s="945"/>
    </row>
    <row r="27" spans="2:25" ht="9.75" customHeight="1">
      <c r="B27" s="955"/>
      <c r="C27" s="947"/>
      <c r="D27" s="294">
        <f t="shared" ca="1" si="1"/>
        <v>46930</v>
      </c>
      <c r="E27" s="359">
        <f t="shared" si="5"/>
        <v>0</v>
      </c>
      <c r="F27" s="360">
        <f t="shared" ca="1" si="2"/>
        <v>40</v>
      </c>
      <c r="G27" s="290">
        <f ca="1">KTVCOI!P26</f>
        <v>9.976586184652364E-2</v>
      </c>
      <c r="H27" s="295">
        <f t="shared" ca="1" si="7"/>
        <v>-992.6930567584925</v>
      </c>
      <c r="I27" s="324"/>
      <c r="J27" s="297">
        <f t="shared" ca="1" si="4"/>
        <v>-992.6930567584925</v>
      </c>
      <c r="K27" s="949"/>
      <c r="L27" s="949"/>
      <c r="M27" s="949"/>
      <c r="N27" s="950"/>
      <c r="O27" s="950"/>
      <c r="X27" s="945"/>
      <c r="Y27" s="945"/>
    </row>
    <row r="28" spans="2:25" ht="9.75" customHeight="1">
      <c r="B28" s="954">
        <v>3</v>
      </c>
      <c r="C28" s="952">
        <f ca="1">C16+1</f>
        <v>32</v>
      </c>
      <c r="D28" s="287">
        <f t="shared" ca="1" si="1"/>
        <v>46960</v>
      </c>
      <c r="E28" s="359">
        <f t="shared" si="5"/>
        <v>0</v>
      </c>
      <c r="F28" s="289">
        <f t="shared" ca="1" si="2"/>
        <v>40</v>
      </c>
      <c r="G28" s="290">
        <f ca="1">KTVCOI!P27</f>
        <v>0.10836899202946877</v>
      </c>
      <c r="H28" s="290">
        <f ca="1">(H27+KTVBVGTTKcamket!F9-F28-G28)*(1+$R$3)</f>
        <v>-1035.3485926876426</v>
      </c>
      <c r="I28" s="291"/>
      <c r="J28" s="292">
        <f t="shared" ca="1" si="4"/>
        <v>-1035.3485926876426</v>
      </c>
      <c r="K28" s="949">
        <f ca="1">J39</f>
        <v>-1511.8734025299057</v>
      </c>
      <c r="L28" s="949"/>
      <c r="M28" s="949"/>
      <c r="N28" s="950">
        <f t="shared" ref="N28" ca="1" si="8">SUM(G28:G39)</f>
        <v>1.6104150615685178</v>
      </c>
      <c r="O28" s="950"/>
      <c r="X28" s="945">
        <f t="shared" ref="X28:Y28" ca="1" si="9">SUM(F28:F39)</f>
        <v>480</v>
      </c>
      <c r="Y28" s="945">
        <f t="shared" ca="1" si="9"/>
        <v>1.6104150615685178</v>
      </c>
    </row>
    <row r="29" spans="2:25" ht="9.75" customHeight="1">
      <c r="B29" s="954"/>
      <c r="C29" s="952"/>
      <c r="D29" s="287">
        <f t="shared" ca="1" si="1"/>
        <v>46991</v>
      </c>
      <c r="E29" s="359">
        <f t="shared" si="5"/>
        <v>0</v>
      </c>
      <c r="F29" s="289">
        <f t="shared" ca="1" si="2"/>
        <v>40</v>
      </c>
      <c r="G29" s="290">
        <f ca="1">KTVCOI!P28</f>
        <v>0.11302555470173431</v>
      </c>
      <c r="H29" s="290">
        <f ca="1">(H28-F29-G29)*(1+$R$3)</f>
        <v>-1078.1139967226884</v>
      </c>
      <c r="I29" s="291"/>
      <c r="J29" s="292">
        <f t="shared" ca="1" si="4"/>
        <v>-1078.1139967226884</v>
      </c>
      <c r="K29" s="949"/>
      <c r="L29" s="949"/>
      <c r="M29" s="949"/>
      <c r="N29" s="950"/>
      <c r="O29" s="950"/>
      <c r="X29" s="945"/>
      <c r="Y29" s="945"/>
    </row>
    <row r="30" spans="2:25" ht="9.75" customHeight="1">
      <c r="B30" s="954"/>
      <c r="C30" s="952"/>
      <c r="D30" s="287">
        <f t="shared" ca="1" si="1"/>
        <v>47022</v>
      </c>
      <c r="E30" s="359">
        <f t="shared" si="5"/>
        <v>0</v>
      </c>
      <c r="F30" s="289">
        <f t="shared" ca="1" si="2"/>
        <v>40</v>
      </c>
      <c r="G30" s="290">
        <f ca="1">KTVCOI!P29</f>
        <v>0.1176941113088935</v>
      </c>
      <c r="H30" s="290">
        <f t="shared" ref="H30:H39" ca="1" si="10">(H29-F30-G30)*(1+$R$3)</f>
        <v>-1120.9895518515334</v>
      </c>
      <c r="I30" s="291"/>
      <c r="J30" s="292">
        <f t="shared" ca="1" si="4"/>
        <v>-1120.9895518515334</v>
      </c>
      <c r="K30" s="949"/>
      <c r="L30" s="949"/>
      <c r="M30" s="949"/>
      <c r="N30" s="950"/>
      <c r="O30" s="950"/>
      <c r="X30" s="945"/>
      <c r="Y30" s="945"/>
    </row>
    <row r="31" spans="2:25" ht="9.75" customHeight="1">
      <c r="B31" s="954"/>
      <c r="C31" s="952"/>
      <c r="D31" s="287">
        <f t="shared" ca="1" si="1"/>
        <v>47052</v>
      </c>
      <c r="E31" s="359">
        <f t="shared" si="5"/>
        <v>0</v>
      </c>
      <c r="F31" s="289">
        <f t="shared" ca="1" si="2"/>
        <v>40</v>
      </c>
      <c r="G31" s="290">
        <f ca="1">KTVCOI!P30</f>
        <v>0.12237469274379241</v>
      </c>
      <c r="H31" s="290">
        <f t="shared" ca="1" si="10"/>
        <v>-1163.9755417909746</v>
      </c>
      <c r="I31" s="291"/>
      <c r="J31" s="292">
        <f t="shared" ca="1" si="4"/>
        <v>-1163.9755417909746</v>
      </c>
      <c r="K31" s="949"/>
      <c r="L31" s="949"/>
      <c r="M31" s="949"/>
      <c r="N31" s="950"/>
      <c r="O31" s="950"/>
      <c r="X31" s="945"/>
      <c r="Y31" s="945"/>
    </row>
    <row r="32" spans="2:25" ht="9.75" customHeight="1">
      <c r="B32" s="954"/>
      <c r="C32" s="952"/>
      <c r="D32" s="287">
        <f t="shared" ca="1" si="1"/>
        <v>47083</v>
      </c>
      <c r="E32" s="359">
        <f t="shared" si="5"/>
        <v>0</v>
      </c>
      <c r="F32" s="289">
        <f t="shared" ca="1" si="2"/>
        <v>40</v>
      </c>
      <c r="G32" s="290">
        <f ca="1">KTVCOI!P31</f>
        <v>0.12706732997884806</v>
      </c>
      <c r="H32" s="290">
        <f t="shared" ca="1" si="10"/>
        <v>-1207.0722509885804</v>
      </c>
      <c r="I32" s="291"/>
      <c r="J32" s="292">
        <f t="shared" ca="1" si="4"/>
        <v>-1207.0722509885804</v>
      </c>
      <c r="K32" s="949"/>
      <c r="L32" s="949"/>
      <c r="M32" s="949"/>
      <c r="N32" s="950"/>
      <c r="O32" s="950"/>
      <c r="X32" s="945"/>
      <c r="Y32" s="945"/>
    </row>
    <row r="33" spans="2:25" ht="9.75" customHeight="1">
      <c r="B33" s="954"/>
      <c r="C33" s="952"/>
      <c r="D33" s="287">
        <f t="shared" ca="1" si="1"/>
        <v>47113</v>
      </c>
      <c r="E33" s="359">
        <f t="shared" si="5"/>
        <v>0</v>
      </c>
      <c r="F33" s="289">
        <f t="shared" ca="1" si="2"/>
        <v>40</v>
      </c>
      <c r="G33" s="290">
        <f ca="1">KTVCOI!P32</f>
        <v>0.13177205406625336</v>
      </c>
      <c r="H33" s="290">
        <f t="shared" ca="1" si="10"/>
        <v>-1250.2799646245724</v>
      </c>
      <c r="I33" s="291"/>
      <c r="J33" s="292">
        <f t="shared" ca="1" si="4"/>
        <v>-1250.2799646245724</v>
      </c>
      <c r="K33" s="949"/>
      <c r="L33" s="949"/>
      <c r="M33" s="949"/>
      <c r="N33" s="950"/>
      <c r="O33" s="950"/>
      <c r="X33" s="945"/>
      <c r="Y33" s="945"/>
    </row>
    <row r="34" spans="2:25" ht="9.75" customHeight="1">
      <c r="B34" s="954"/>
      <c r="C34" s="952"/>
      <c r="D34" s="287">
        <f t="shared" ca="1" si="1"/>
        <v>47144</v>
      </c>
      <c r="E34" s="359">
        <f t="shared" si="5"/>
        <v>0</v>
      </c>
      <c r="F34" s="289">
        <f t="shared" ca="1" si="2"/>
        <v>40</v>
      </c>
      <c r="G34" s="290">
        <f ca="1">KTVCOI!P33</f>
        <v>0.13648889613818249</v>
      </c>
      <c r="H34" s="290">
        <f t="shared" ca="1" si="10"/>
        <v>-1293.598968613712</v>
      </c>
      <c r="I34" s="291"/>
      <c r="J34" s="292">
        <f t="shared" ca="1" si="4"/>
        <v>-1293.598968613712</v>
      </c>
      <c r="K34" s="949"/>
      <c r="L34" s="949"/>
      <c r="M34" s="949"/>
      <c r="N34" s="950"/>
      <c r="O34" s="950"/>
      <c r="X34" s="945"/>
      <c r="Y34" s="945"/>
    </row>
    <row r="35" spans="2:25" ht="9.75" customHeight="1">
      <c r="B35" s="954"/>
      <c r="C35" s="952"/>
      <c r="D35" s="287">
        <f t="shared" ca="1" si="1"/>
        <v>47175</v>
      </c>
      <c r="E35" s="359">
        <f t="shared" si="5"/>
        <v>0</v>
      </c>
      <c r="F35" s="289">
        <f t="shared" ca="1" si="2"/>
        <v>40</v>
      </c>
      <c r="G35" s="290">
        <f ca="1">KTVCOI!P34</f>
        <v>0.14121788740699689</v>
      </c>
      <c r="H35" s="290">
        <f t="shared" ca="1" si="10"/>
        <v>-1337.0295496071935</v>
      </c>
      <c r="I35" s="291"/>
      <c r="J35" s="292">
        <f t="shared" ca="1" si="4"/>
        <v>-1337.0295496071935</v>
      </c>
      <c r="K35" s="949"/>
      <c r="L35" s="949"/>
      <c r="M35" s="949"/>
      <c r="N35" s="950"/>
      <c r="O35" s="950"/>
      <c r="X35" s="945"/>
      <c r="Y35" s="945"/>
    </row>
    <row r="36" spans="2:25" ht="9.75" customHeight="1">
      <c r="B36" s="954"/>
      <c r="C36" s="952"/>
      <c r="D36" s="287">
        <f t="shared" ca="1" si="1"/>
        <v>47203</v>
      </c>
      <c r="E36" s="359">
        <f t="shared" si="5"/>
        <v>0</v>
      </c>
      <c r="F36" s="289">
        <f t="shared" ca="1" si="2"/>
        <v>40</v>
      </c>
      <c r="G36" s="290">
        <f ca="1">KTVCOI!P35</f>
        <v>0.14595905916545196</v>
      </c>
      <c r="H36" s="290">
        <f t="shared" ca="1" si="10"/>
        <v>-1380.5719949945399</v>
      </c>
      <c r="I36" s="291"/>
      <c r="J36" s="292">
        <f t="shared" ca="1" si="4"/>
        <v>-1380.5719949945399</v>
      </c>
      <c r="K36" s="949"/>
      <c r="L36" s="949"/>
      <c r="M36" s="949"/>
      <c r="N36" s="950"/>
      <c r="O36" s="950"/>
      <c r="X36" s="945"/>
      <c r="Y36" s="945"/>
    </row>
    <row r="37" spans="2:25" ht="9.75" customHeight="1">
      <c r="B37" s="954"/>
      <c r="C37" s="952"/>
      <c r="D37" s="287">
        <f t="shared" ca="1" si="1"/>
        <v>47234</v>
      </c>
      <c r="E37" s="359">
        <f t="shared" si="5"/>
        <v>0</v>
      </c>
      <c r="F37" s="289">
        <f t="shared" ca="1" si="2"/>
        <v>40</v>
      </c>
      <c r="G37" s="290">
        <f ca="1">KTVCOI!P36</f>
        <v>0.15071244278690393</v>
      </c>
      <c r="H37" s="290">
        <f t="shared" ca="1" si="10"/>
        <v>-1424.226592905505</v>
      </c>
      <c r="I37" s="291"/>
      <c r="J37" s="292">
        <f t="shared" ca="1" si="4"/>
        <v>-1424.226592905505</v>
      </c>
      <c r="K37" s="949"/>
      <c r="L37" s="949"/>
      <c r="M37" s="949"/>
      <c r="N37" s="950"/>
      <c r="O37" s="950"/>
      <c r="X37" s="945"/>
      <c r="Y37" s="945"/>
    </row>
    <row r="38" spans="2:25" ht="9.75" customHeight="1">
      <c r="B38" s="954"/>
      <c r="C38" s="952"/>
      <c r="D38" s="287">
        <f t="shared" ca="1" si="1"/>
        <v>47264</v>
      </c>
      <c r="E38" s="359">
        <f t="shared" si="5"/>
        <v>0</v>
      </c>
      <c r="F38" s="289">
        <f t="shared" ca="1" si="2"/>
        <v>40</v>
      </c>
      <c r="G38" s="290">
        <f ca="1">KTVCOI!P37</f>
        <v>0.15547806972551761</v>
      </c>
      <c r="H38" s="290">
        <f t="shared" ca="1" si="10"/>
        <v>-1467.99363221198</v>
      </c>
      <c r="I38" s="291"/>
      <c r="J38" s="292">
        <f t="shared" ca="1" si="4"/>
        <v>-1467.99363221198</v>
      </c>
      <c r="K38" s="949"/>
      <c r="L38" s="949"/>
      <c r="M38" s="949"/>
      <c r="N38" s="950"/>
      <c r="O38" s="950"/>
      <c r="X38" s="945"/>
      <c r="Y38" s="945"/>
    </row>
    <row r="39" spans="2:25" ht="9.75" customHeight="1">
      <c r="B39" s="954"/>
      <c r="C39" s="952"/>
      <c r="D39" s="287">
        <f t="shared" ca="1" si="1"/>
        <v>47295</v>
      </c>
      <c r="E39" s="359">
        <f t="shared" si="5"/>
        <v>0</v>
      </c>
      <c r="F39" s="289">
        <f t="shared" ca="1" si="2"/>
        <v>40</v>
      </c>
      <c r="G39" s="290">
        <f ca="1">KTVCOI!P38</f>
        <v>0.16025597151647447</v>
      </c>
      <c r="H39" s="290">
        <f t="shared" ca="1" si="10"/>
        <v>-1511.8734025299057</v>
      </c>
      <c r="I39" s="291"/>
      <c r="J39" s="293">
        <f t="shared" ca="1" si="4"/>
        <v>-1511.8734025299057</v>
      </c>
      <c r="K39" s="949"/>
      <c r="L39" s="949"/>
      <c r="M39" s="949"/>
      <c r="N39" s="950"/>
      <c r="O39" s="950"/>
      <c r="X39" s="945"/>
      <c r="Y39" s="945"/>
    </row>
    <row r="40" spans="2:25" ht="9.75" customHeight="1">
      <c r="B40" s="955">
        <v>4</v>
      </c>
      <c r="C40" s="947">
        <f ca="1">C28+1</f>
        <v>33</v>
      </c>
      <c r="D40" s="294">
        <f t="shared" ca="1" si="1"/>
        <v>47325</v>
      </c>
      <c r="E40" s="359">
        <f t="shared" si="5"/>
        <v>0</v>
      </c>
      <c r="F40" s="360">
        <f t="shared" ca="1" si="2"/>
        <v>40</v>
      </c>
      <c r="G40" s="290">
        <f ca="1">KTVCOI!P39</f>
        <v>0.17260554678883092</v>
      </c>
      <c r="H40" s="295">
        <f ca="1">(H39+KTVBVGTTKcamket!F10-F40-G40)*(1+S3)</f>
        <v>-1554.6093382433539</v>
      </c>
      <c r="I40" s="948"/>
      <c r="J40" s="296">
        <f t="shared" ca="1" si="4"/>
        <v>-1554.6093382433539</v>
      </c>
      <c r="K40" s="949">
        <f ca="1">J51</f>
        <v>-2090.0800671571092</v>
      </c>
      <c r="L40" s="949"/>
      <c r="M40" s="949"/>
      <c r="N40" s="950">
        <f t="shared" ref="N40" ca="1" si="11">SUM(G40:G51)</f>
        <v>2.4123786441312647</v>
      </c>
      <c r="O40" s="950"/>
      <c r="X40" s="945">
        <f t="shared" ref="X40:Y40" ca="1" si="12">SUM(F40:F51)</f>
        <v>540</v>
      </c>
      <c r="Y40" s="945">
        <f t="shared" ca="1" si="12"/>
        <v>2.4123786441312647</v>
      </c>
    </row>
    <row r="41" spans="2:25" ht="9.75" customHeight="1">
      <c r="B41" s="955"/>
      <c r="C41" s="946"/>
      <c r="D41" s="294">
        <f t="shared" ca="1" si="1"/>
        <v>47356</v>
      </c>
      <c r="E41" s="359">
        <f t="shared" si="5"/>
        <v>0</v>
      </c>
      <c r="F41" s="360">
        <f t="shared" ca="1" si="2"/>
        <v>40</v>
      </c>
      <c r="G41" s="290">
        <f ca="1">KTVCOI!P40</f>
        <v>0.17748456611611627</v>
      </c>
      <c r="H41" s="295">
        <f ca="1">(H40-F41-G41)*(1+$S$3)</f>
        <v>-1597.4207429065709</v>
      </c>
      <c r="I41" s="948"/>
      <c r="J41" s="296">
        <f t="shared" ca="1" si="4"/>
        <v>-1597.4207429065709</v>
      </c>
      <c r="K41" s="949"/>
      <c r="L41" s="949"/>
      <c r="M41" s="949"/>
      <c r="N41" s="950"/>
      <c r="O41" s="950"/>
      <c r="X41" s="945"/>
      <c r="Y41" s="945"/>
    </row>
    <row r="42" spans="2:25" ht="9.75" customHeight="1">
      <c r="B42" s="955"/>
      <c r="C42" s="946"/>
      <c r="D42" s="294">
        <f t="shared" ca="1" si="1"/>
        <v>47387</v>
      </c>
      <c r="E42" s="359">
        <f t="shared" si="5"/>
        <v>0</v>
      </c>
      <c r="F42" s="360">
        <f t="shared" ca="1" si="2"/>
        <v>40</v>
      </c>
      <c r="G42" s="290">
        <f ca="1">KTVCOI!P41</f>
        <v>0.18237220148183353</v>
      </c>
      <c r="H42" s="295">
        <f t="shared" ref="H42:H51" ca="1" si="13">(H41-F42-G42)*(1+$S$3)</f>
        <v>-1640.3077497929316</v>
      </c>
      <c r="I42" s="948"/>
      <c r="J42" s="296">
        <f t="shared" ca="1" si="4"/>
        <v>-1640.3077497929316</v>
      </c>
      <c r="K42" s="949"/>
      <c r="L42" s="949"/>
      <c r="M42" s="949"/>
      <c r="N42" s="950"/>
      <c r="O42" s="950"/>
      <c r="X42" s="945"/>
      <c r="Y42" s="945"/>
    </row>
    <row r="43" spans="2:25" ht="9.75" customHeight="1">
      <c r="B43" s="955"/>
      <c r="C43" s="946"/>
      <c r="D43" s="294">
        <f t="shared" ca="1" si="1"/>
        <v>47417</v>
      </c>
      <c r="E43" s="359">
        <f t="shared" si="5"/>
        <v>0</v>
      </c>
      <c r="F43" s="360">
        <f t="shared" ca="1" si="2"/>
        <v>40</v>
      </c>
      <c r="G43" s="290">
        <f ca="1">KTVCOI!P42</f>
        <v>0.18726846810135975</v>
      </c>
      <c r="H43" s="295">
        <f t="shared" ca="1" si="13"/>
        <v>-1683.2704924111631</v>
      </c>
      <c r="I43" s="948"/>
      <c r="J43" s="296">
        <f t="shared" ca="1" si="4"/>
        <v>-1683.2704924111631</v>
      </c>
      <c r="K43" s="949"/>
      <c r="L43" s="949"/>
      <c r="M43" s="949"/>
      <c r="N43" s="950"/>
      <c r="O43" s="950"/>
      <c r="X43" s="945"/>
      <c r="Y43" s="945"/>
    </row>
    <row r="44" spans="2:25" ht="9.75" customHeight="1">
      <c r="B44" s="955"/>
      <c r="C44" s="946"/>
      <c r="D44" s="294">
        <f t="shared" ca="1" si="1"/>
        <v>47448</v>
      </c>
      <c r="E44" s="359">
        <f t="shared" si="5"/>
        <v>0</v>
      </c>
      <c r="F44" s="360">
        <f t="shared" ca="1" si="2"/>
        <v>40</v>
      </c>
      <c r="G44" s="290">
        <f ca="1">KTVCOI!P43</f>
        <v>0.19217338121694116</v>
      </c>
      <c r="H44" s="295">
        <f t="shared" ca="1" si="13"/>
        <v>-1726.3091045057602</v>
      </c>
      <c r="I44" s="948"/>
      <c r="J44" s="296">
        <f t="shared" ca="1" si="4"/>
        <v>-1726.3091045057602</v>
      </c>
      <c r="K44" s="949"/>
      <c r="L44" s="949"/>
      <c r="M44" s="949"/>
      <c r="N44" s="950"/>
      <c r="O44" s="950"/>
      <c r="X44" s="945"/>
      <c r="Y44" s="945"/>
    </row>
    <row r="45" spans="2:25" ht="9.75" customHeight="1">
      <c r="B45" s="955"/>
      <c r="C45" s="946"/>
      <c r="D45" s="294">
        <f t="shared" ca="1" si="1"/>
        <v>47478</v>
      </c>
      <c r="E45" s="359">
        <f t="shared" si="5"/>
        <v>0</v>
      </c>
      <c r="F45" s="360">
        <f t="shared" ca="1" si="2"/>
        <v>40</v>
      </c>
      <c r="G45" s="290">
        <f ca="1">KTVCOI!P44</f>
        <v>0.19708695609774096</v>
      </c>
      <c r="H45" s="295">
        <f t="shared" ca="1" si="13"/>
        <v>-1769.4237200574028</v>
      </c>
      <c r="I45" s="948"/>
      <c r="J45" s="296">
        <f t="shared" ca="1" si="4"/>
        <v>-1769.4237200574028</v>
      </c>
      <c r="K45" s="949"/>
      <c r="L45" s="949"/>
      <c r="M45" s="949"/>
      <c r="N45" s="950"/>
      <c r="O45" s="950"/>
      <c r="X45" s="945"/>
      <c r="Y45" s="945"/>
    </row>
    <row r="46" spans="2:25" ht="9.75" customHeight="1">
      <c r="B46" s="955"/>
      <c r="C46" s="946"/>
      <c r="D46" s="294">
        <f t="shared" ca="1" si="1"/>
        <v>47509</v>
      </c>
      <c r="E46" s="359">
        <f t="shared" si="5"/>
        <v>0</v>
      </c>
      <c r="F46" s="360">
        <f t="shared" ca="1" si="2"/>
        <v>50</v>
      </c>
      <c r="G46" s="290">
        <f ca="1">KTVCOI!P45</f>
        <v>0.20200920803988684</v>
      </c>
      <c r="H46" s="295">
        <f t="shared" ca="1" si="13"/>
        <v>-1822.6309890963905</v>
      </c>
      <c r="I46" s="948"/>
      <c r="J46" s="296">
        <f t="shared" ca="1" si="4"/>
        <v>-1822.6309890963905</v>
      </c>
      <c r="K46" s="949"/>
      <c r="L46" s="949"/>
      <c r="M46" s="949"/>
      <c r="N46" s="950"/>
      <c r="O46" s="950"/>
      <c r="X46" s="945"/>
      <c r="Y46" s="945"/>
    </row>
    <row r="47" spans="2:25" ht="9.75" customHeight="1">
      <c r="B47" s="955"/>
      <c r="C47" s="946"/>
      <c r="D47" s="294">
        <f t="shared" ca="1" si="1"/>
        <v>47540</v>
      </c>
      <c r="E47" s="359">
        <f t="shared" si="5"/>
        <v>0</v>
      </c>
      <c r="F47" s="360">
        <f t="shared" ca="1" si="2"/>
        <v>50</v>
      </c>
      <c r="G47" s="290">
        <f ca="1">KTVCOI!P46</f>
        <v>0.20808370458850459</v>
      </c>
      <c r="H47" s="295">
        <f t="shared" ca="1" si="13"/>
        <v>-1875.9322187951227</v>
      </c>
      <c r="I47" s="948"/>
      <c r="J47" s="296">
        <f t="shared" ca="1" si="4"/>
        <v>-1875.9322187951227</v>
      </c>
      <c r="K47" s="949"/>
      <c r="L47" s="949"/>
      <c r="M47" s="949"/>
      <c r="N47" s="950"/>
      <c r="O47" s="950"/>
      <c r="X47" s="945"/>
      <c r="Y47" s="945"/>
    </row>
    <row r="48" spans="2:25" ht="9.75" customHeight="1">
      <c r="B48" s="955"/>
      <c r="C48" s="946"/>
      <c r="D48" s="294">
        <f t="shared" ca="1" si="1"/>
        <v>47568</v>
      </c>
      <c r="E48" s="359">
        <f t="shared" si="5"/>
        <v>0</v>
      </c>
      <c r="F48" s="360">
        <f t="shared" ca="1" si="2"/>
        <v>50</v>
      </c>
      <c r="G48" s="290">
        <f ca="1">KTVCOI!P47</f>
        <v>0.21416892831244319</v>
      </c>
      <c r="H48" s="295">
        <f t="shared" ca="1" si="13"/>
        <v>-1929.3275750821604</v>
      </c>
      <c r="I48" s="948"/>
      <c r="J48" s="296">
        <f t="shared" ca="1" si="4"/>
        <v>-1929.3275750821604</v>
      </c>
      <c r="K48" s="949"/>
      <c r="L48" s="949"/>
      <c r="M48" s="949"/>
      <c r="N48" s="950"/>
      <c r="O48" s="950"/>
      <c r="X48" s="945"/>
      <c r="Y48" s="945"/>
    </row>
    <row r="49" spans="2:25" ht="9.75" customHeight="1">
      <c r="B49" s="955"/>
      <c r="C49" s="946"/>
      <c r="D49" s="294">
        <f t="shared" ca="1" si="1"/>
        <v>47599</v>
      </c>
      <c r="E49" s="359">
        <f t="shared" si="5"/>
        <v>0</v>
      </c>
      <c r="F49" s="360">
        <f t="shared" ca="1" si="2"/>
        <v>50</v>
      </c>
      <c r="G49" s="290">
        <f ca="1">KTVCOI!P48</f>
        <v>0.22026489815521333</v>
      </c>
      <c r="H49" s="295">
        <f t="shared" ca="1" si="13"/>
        <v>-1982.8172241790835</v>
      </c>
      <c r="I49" s="948"/>
      <c r="J49" s="296">
        <f t="shared" ca="1" si="4"/>
        <v>-1982.8172241790835</v>
      </c>
      <c r="K49" s="949"/>
      <c r="L49" s="949"/>
      <c r="M49" s="949"/>
      <c r="N49" s="950"/>
      <c r="O49" s="950"/>
      <c r="X49" s="945"/>
      <c r="Y49" s="945"/>
    </row>
    <row r="50" spans="2:25" ht="9.75" customHeight="1">
      <c r="B50" s="955"/>
      <c r="C50" s="946"/>
      <c r="D50" s="294">
        <f t="shared" ca="1" si="1"/>
        <v>47629</v>
      </c>
      <c r="E50" s="359">
        <f t="shared" si="5"/>
        <v>0</v>
      </c>
      <c r="F50" s="360">
        <f t="shared" ca="1" si="2"/>
        <v>50</v>
      </c>
      <c r="G50" s="290">
        <f ca="1">KTVCOI!P49</f>
        <v>0.22637163309377872</v>
      </c>
      <c r="H50" s="295">
        <f t="shared" ca="1" si="13"/>
        <v>-2036.4013326010092</v>
      </c>
      <c r="I50" s="948"/>
      <c r="J50" s="296">
        <f t="shared" ca="1" si="4"/>
        <v>-2036.4013326010092</v>
      </c>
      <c r="K50" s="949"/>
      <c r="L50" s="949"/>
      <c r="M50" s="949"/>
      <c r="N50" s="950"/>
      <c r="O50" s="950"/>
      <c r="X50" s="945"/>
      <c r="Y50" s="945"/>
    </row>
    <row r="51" spans="2:25" ht="9.75" customHeight="1">
      <c r="B51" s="955"/>
      <c r="C51" s="946"/>
      <c r="D51" s="294">
        <f t="shared" ca="1" si="1"/>
        <v>47660</v>
      </c>
      <c r="E51" s="359">
        <f t="shared" si="5"/>
        <v>0</v>
      </c>
      <c r="F51" s="360">
        <f t="shared" ca="1" si="2"/>
        <v>50</v>
      </c>
      <c r="G51" s="290">
        <f ca="1">KTVCOI!P50</f>
        <v>0.23248915213861523</v>
      </c>
      <c r="H51" s="295">
        <f t="shared" ca="1" si="13"/>
        <v>-2090.0800671571092</v>
      </c>
      <c r="I51" s="948"/>
      <c r="J51" s="297">
        <f ca="1">H51+I40</f>
        <v>-2090.0800671571092</v>
      </c>
      <c r="K51" s="949"/>
      <c r="L51" s="949"/>
      <c r="M51" s="949"/>
      <c r="N51" s="950"/>
      <c r="O51" s="950"/>
      <c r="X51" s="945"/>
      <c r="Y51" s="945"/>
    </row>
    <row r="52" spans="2:25" ht="9.75" customHeight="1">
      <c r="B52" s="954">
        <v>5</v>
      </c>
      <c r="C52" s="952">
        <f ca="1">C40+1</f>
        <v>34</v>
      </c>
      <c r="D52" s="287">
        <f t="shared" ca="1" si="1"/>
        <v>47690</v>
      </c>
      <c r="E52" s="359">
        <f t="shared" si="5"/>
        <v>0</v>
      </c>
      <c r="F52" s="289">
        <f t="shared" ca="1" si="2"/>
        <v>50</v>
      </c>
      <c r="G52" s="290">
        <f ca="1">KTVCOI!P51</f>
        <v>0.25080960805885305</v>
      </c>
      <c r="H52" s="290">
        <f ca="1">(J51+KTVBVGTTKcamket!F11-F52-G52)*(1+T3)</f>
        <v>-2143.8658072211556</v>
      </c>
      <c r="I52" s="953"/>
      <c r="J52" s="292">
        <f t="shared" ca="1" si="4"/>
        <v>-2143.8658072211556</v>
      </c>
      <c r="K52" s="949">
        <f ca="1">J63</f>
        <v>-2741.8358092798862</v>
      </c>
      <c r="L52" s="949"/>
      <c r="M52" s="949"/>
      <c r="N52" s="950">
        <f t="shared" ref="N52" ca="1" si="14">SUM(G52:G63)</f>
        <v>3.4382242426968466</v>
      </c>
      <c r="O52" s="950"/>
      <c r="X52" s="945">
        <f t="shared" ref="X52:Y52" ca="1" si="15">SUM(F52:F63)</f>
        <v>600</v>
      </c>
      <c r="Y52" s="945">
        <f t="shared" ca="1" si="15"/>
        <v>3.4382242426968466</v>
      </c>
    </row>
    <row r="53" spans="2:25" ht="9.75" customHeight="1">
      <c r="B53" s="954"/>
      <c r="C53" s="951"/>
      <c r="D53" s="287">
        <f t="shared" ca="1" si="1"/>
        <v>47721</v>
      </c>
      <c r="E53" s="359">
        <f t="shared" si="5"/>
        <v>0</v>
      </c>
      <c r="F53" s="289">
        <f t="shared" ca="1" si="2"/>
        <v>50</v>
      </c>
      <c r="G53" s="290">
        <f ca="1">KTVCOI!P52</f>
        <v>0.25726389686653867</v>
      </c>
      <c r="H53" s="290">
        <f ca="1">(H52-F53-G53)*(1+$T$3)</f>
        <v>-2197.7468437563921</v>
      </c>
      <c r="I53" s="953"/>
      <c r="J53" s="292">
        <f t="shared" ca="1" si="4"/>
        <v>-2197.7468437563921</v>
      </c>
      <c r="K53" s="949"/>
      <c r="L53" s="949"/>
      <c r="M53" s="949"/>
      <c r="N53" s="950"/>
      <c r="O53" s="950"/>
      <c r="X53" s="945"/>
      <c r="Y53" s="945"/>
    </row>
    <row r="54" spans="2:25" ht="9.75" customHeight="1">
      <c r="B54" s="954"/>
      <c r="C54" s="951"/>
      <c r="D54" s="287">
        <f t="shared" ca="1" si="1"/>
        <v>47752</v>
      </c>
      <c r="E54" s="359">
        <f t="shared" si="5"/>
        <v>0</v>
      </c>
      <c r="F54" s="289">
        <f t="shared" ca="1" si="2"/>
        <v>50</v>
      </c>
      <c r="G54" s="290">
        <f ca="1">KTVCOI!P53</f>
        <v>0.26372962125076704</v>
      </c>
      <c r="H54" s="290">
        <f t="shared" ref="H54:H63" ca="1" si="16">(H53-F54-G54)*(1+$T$3)</f>
        <v>-2251.7233456071522</v>
      </c>
      <c r="I54" s="953"/>
      <c r="J54" s="292">
        <f t="shared" ca="1" si="4"/>
        <v>-2251.7233456071522</v>
      </c>
      <c r="K54" s="949"/>
      <c r="L54" s="949"/>
      <c r="M54" s="949"/>
      <c r="N54" s="950"/>
      <c r="O54" s="950"/>
      <c r="X54" s="945"/>
      <c r="Y54" s="945"/>
    </row>
    <row r="55" spans="2:25" ht="9.75" customHeight="1">
      <c r="B55" s="954"/>
      <c r="C55" s="951"/>
      <c r="D55" s="287">
        <f t="shared" ca="1" si="1"/>
        <v>47782</v>
      </c>
      <c r="E55" s="359">
        <f t="shared" si="5"/>
        <v>0</v>
      </c>
      <c r="F55" s="289">
        <f t="shared" ca="1" si="2"/>
        <v>50</v>
      </c>
      <c r="G55" s="290">
        <f ca="1">KTVCOI!P54</f>
        <v>0.27020680147285825</v>
      </c>
      <c r="H55" s="290">
        <f t="shared" ca="1" si="16"/>
        <v>-2305.795481916924</v>
      </c>
      <c r="I55" s="953"/>
      <c r="J55" s="292">
        <f t="shared" ca="1" si="4"/>
        <v>-2305.795481916924</v>
      </c>
      <c r="K55" s="949"/>
      <c r="L55" s="949"/>
      <c r="M55" s="949"/>
      <c r="N55" s="950"/>
      <c r="O55" s="950"/>
      <c r="X55" s="945"/>
      <c r="Y55" s="945"/>
    </row>
    <row r="56" spans="2:25" ht="9.75" customHeight="1">
      <c r="B56" s="954"/>
      <c r="C56" s="951"/>
      <c r="D56" s="287">
        <f t="shared" ca="1" si="1"/>
        <v>47813</v>
      </c>
      <c r="E56" s="359">
        <f t="shared" si="5"/>
        <v>0</v>
      </c>
      <c r="F56" s="289">
        <f t="shared" ca="1" si="2"/>
        <v>50</v>
      </c>
      <c r="G56" s="290">
        <f ca="1">KTVCOI!P55</f>
        <v>0.27669545783003086</v>
      </c>
      <c r="H56" s="290">
        <f t="shared" ca="1" si="16"/>
        <v>-2359.9634221288807</v>
      </c>
      <c r="I56" s="953"/>
      <c r="J56" s="292">
        <f t="shared" ca="1" si="4"/>
        <v>-2359.9634221288807</v>
      </c>
      <c r="K56" s="949"/>
      <c r="L56" s="949"/>
      <c r="M56" s="949"/>
      <c r="N56" s="950"/>
      <c r="O56" s="950"/>
      <c r="X56" s="945"/>
      <c r="Y56" s="945"/>
    </row>
    <row r="57" spans="2:25" ht="9.75" customHeight="1">
      <c r="B57" s="954"/>
      <c r="C57" s="951"/>
      <c r="D57" s="287">
        <f t="shared" ca="1" si="1"/>
        <v>47843</v>
      </c>
      <c r="E57" s="359">
        <f t="shared" si="5"/>
        <v>0</v>
      </c>
      <c r="F57" s="289">
        <f t="shared" ca="1" si="2"/>
        <v>50</v>
      </c>
      <c r="G57" s="290">
        <f ca="1">KTVCOI!P56</f>
        <v>0.28319561065546567</v>
      </c>
      <c r="H57" s="290">
        <f t="shared" ca="1" si="16"/>
        <v>-2414.2273359864112</v>
      </c>
      <c r="I57" s="953"/>
      <c r="J57" s="292">
        <f t="shared" ca="1" si="4"/>
        <v>-2414.2273359864112</v>
      </c>
      <c r="K57" s="949"/>
      <c r="L57" s="949"/>
      <c r="M57" s="949"/>
      <c r="N57" s="950"/>
      <c r="O57" s="950"/>
      <c r="X57" s="945"/>
      <c r="Y57" s="945"/>
    </row>
    <row r="58" spans="2:25" ht="9.75" customHeight="1">
      <c r="B58" s="954"/>
      <c r="C58" s="951"/>
      <c r="D58" s="287">
        <f t="shared" ca="1" si="1"/>
        <v>47874</v>
      </c>
      <c r="E58" s="359">
        <f t="shared" si="5"/>
        <v>0</v>
      </c>
      <c r="F58" s="289">
        <f t="shared" ca="1" si="2"/>
        <v>50</v>
      </c>
      <c r="G58" s="290">
        <f ca="1">KTVCOI!P57</f>
        <v>0.28970728031836934</v>
      </c>
      <c r="H58" s="290">
        <f t="shared" ca="1" si="16"/>
        <v>-2468.5873935336526</v>
      </c>
      <c r="I58" s="953"/>
      <c r="J58" s="292">
        <f t="shared" ca="1" si="4"/>
        <v>-2468.5873935336526</v>
      </c>
      <c r="K58" s="949"/>
      <c r="L58" s="949"/>
      <c r="M58" s="949"/>
      <c r="N58" s="950"/>
      <c r="O58" s="950"/>
      <c r="X58" s="945"/>
      <c r="Y58" s="945"/>
    </row>
    <row r="59" spans="2:25" ht="9.75" customHeight="1">
      <c r="B59" s="954"/>
      <c r="C59" s="951"/>
      <c r="D59" s="287">
        <f t="shared" ca="1" si="1"/>
        <v>47905</v>
      </c>
      <c r="E59" s="359">
        <f t="shared" si="5"/>
        <v>0</v>
      </c>
      <c r="F59" s="289">
        <f t="shared" ca="1" si="2"/>
        <v>50</v>
      </c>
      <c r="G59" s="290">
        <f ca="1">KTVCOI!P58</f>
        <v>0.29623048722403827</v>
      </c>
      <c r="H59" s="290">
        <f t="shared" ca="1" si="16"/>
        <v>-2523.0437651160223</v>
      </c>
      <c r="I59" s="953"/>
      <c r="J59" s="292">
        <f t="shared" ca="1" si="4"/>
        <v>-2523.0437651160223</v>
      </c>
      <c r="K59" s="949"/>
      <c r="L59" s="949"/>
      <c r="M59" s="949"/>
      <c r="N59" s="950"/>
      <c r="O59" s="950"/>
      <c r="X59" s="945"/>
      <c r="Y59" s="945"/>
    </row>
    <row r="60" spans="2:25" ht="9.75" customHeight="1">
      <c r="B60" s="954"/>
      <c r="C60" s="951"/>
      <c r="D60" s="287">
        <f t="shared" ca="1" si="1"/>
        <v>47933</v>
      </c>
      <c r="E60" s="359">
        <f t="shared" si="5"/>
        <v>0</v>
      </c>
      <c r="F60" s="289">
        <f t="shared" ca="1" si="2"/>
        <v>50</v>
      </c>
      <c r="G60" s="290">
        <f ca="1">KTVCOI!P59</f>
        <v>0.30276525181392272</v>
      </c>
      <c r="H60" s="290">
        <f t="shared" ca="1" si="16"/>
        <v>-2577.5966213807533</v>
      </c>
      <c r="I60" s="953"/>
      <c r="J60" s="292">
        <f t="shared" ca="1" si="4"/>
        <v>-2577.5966213807533</v>
      </c>
      <c r="K60" s="949"/>
      <c r="L60" s="949"/>
      <c r="M60" s="949"/>
      <c r="N60" s="950"/>
      <c r="O60" s="950"/>
      <c r="X60" s="945"/>
      <c r="Y60" s="945"/>
    </row>
    <row r="61" spans="2:25" ht="9.75" customHeight="1">
      <c r="B61" s="954"/>
      <c r="C61" s="951"/>
      <c r="D61" s="287">
        <f t="shared" ca="1" si="1"/>
        <v>47964</v>
      </c>
      <c r="E61" s="359">
        <f t="shared" si="5"/>
        <v>0</v>
      </c>
      <c r="F61" s="289">
        <f t="shared" ca="1" si="2"/>
        <v>50</v>
      </c>
      <c r="G61" s="290">
        <f ca="1">KTVCOI!P60</f>
        <v>0.30931159456569041</v>
      </c>
      <c r="H61" s="290">
        <f t="shared" ca="1" si="16"/>
        <v>-2632.2461332774265</v>
      </c>
      <c r="I61" s="953"/>
      <c r="J61" s="292">
        <f t="shared" ca="1" si="4"/>
        <v>-2632.2461332774265</v>
      </c>
      <c r="K61" s="949"/>
      <c r="L61" s="949"/>
      <c r="M61" s="949"/>
      <c r="N61" s="950"/>
      <c r="O61" s="950"/>
      <c r="X61" s="945"/>
      <c r="Y61" s="945"/>
    </row>
    <row r="62" spans="2:25" ht="9.75" customHeight="1">
      <c r="B62" s="954"/>
      <c r="C62" s="951"/>
      <c r="D62" s="287">
        <f t="shared" ca="1" si="1"/>
        <v>47994</v>
      </c>
      <c r="E62" s="359">
        <f t="shared" si="5"/>
        <v>0</v>
      </c>
      <c r="F62" s="289">
        <f t="shared" ca="1" si="2"/>
        <v>50</v>
      </c>
      <c r="G62" s="290">
        <f ca="1">KTVCOI!P61</f>
        <v>0.31586953599329115</v>
      </c>
      <c r="H62" s="290">
        <f t="shared" ca="1" si="16"/>
        <v>-2686.9924720585082</v>
      </c>
      <c r="I62" s="953"/>
      <c r="J62" s="292">
        <f t="shared" ca="1" si="4"/>
        <v>-2686.9924720585082</v>
      </c>
      <c r="K62" s="949"/>
      <c r="L62" s="949"/>
      <c r="M62" s="949"/>
      <c r="N62" s="950"/>
      <c r="O62" s="950"/>
      <c r="X62" s="945"/>
      <c r="Y62" s="945"/>
    </row>
    <row r="63" spans="2:25" ht="9.75" customHeight="1">
      <c r="B63" s="954"/>
      <c r="C63" s="951"/>
      <c r="D63" s="287">
        <f t="shared" ca="1" si="1"/>
        <v>48025</v>
      </c>
      <c r="E63" s="359">
        <f t="shared" si="5"/>
        <v>0</v>
      </c>
      <c r="F63" s="289">
        <f t="shared" ca="1" si="2"/>
        <v>50</v>
      </c>
      <c r="G63" s="290">
        <f ca="1">KTVCOI!P62</f>
        <v>0.32243909664702097</v>
      </c>
      <c r="H63" s="290">
        <f t="shared" ca="1" si="16"/>
        <v>-2741.8358092798862</v>
      </c>
      <c r="I63" s="953"/>
      <c r="J63" s="293">
        <f ca="1">H63+I52</f>
        <v>-2741.8358092798862</v>
      </c>
      <c r="K63" s="949"/>
      <c r="L63" s="949"/>
      <c r="M63" s="949"/>
      <c r="N63" s="950"/>
      <c r="O63" s="950"/>
      <c r="X63" s="945"/>
      <c r="Y63" s="945"/>
    </row>
    <row r="64" spans="2:25" ht="9.75" customHeight="1">
      <c r="B64" s="946">
        <f>B52+1</f>
        <v>6</v>
      </c>
      <c r="C64" s="947">
        <f ca="1">C52+1</f>
        <v>35</v>
      </c>
      <c r="D64" s="294">
        <f t="shared" ca="1" si="1"/>
        <v>48055</v>
      </c>
      <c r="E64" s="359">
        <f t="shared" si="5"/>
        <v>0</v>
      </c>
      <c r="F64" s="360">
        <f t="shared" ca="1" si="2"/>
        <v>50</v>
      </c>
      <c r="G64" s="290">
        <f ca="1">KTVCOI!P63</f>
        <v>0.3472992025087856</v>
      </c>
      <c r="H64" s="295">
        <f ca="1">(J63+KTVBVGTTKcamket!F12-F64-G64)*(1+U3)</f>
        <v>-2795.6495695136528</v>
      </c>
      <c r="I64" s="948"/>
      <c r="J64" s="296">
        <f t="shared" ca="1" si="4"/>
        <v>-2795.6495695136528</v>
      </c>
      <c r="K64" s="949">
        <f ca="1">J75</f>
        <v>-3392.4830100443837</v>
      </c>
      <c r="L64" s="949"/>
      <c r="M64" s="949"/>
      <c r="N64" s="950">
        <f t="shared" ref="N64" ca="1" si="17">SUM(G64:G75)</f>
        <v>4.6195317307817962</v>
      </c>
      <c r="O64" s="950"/>
      <c r="X64" s="945">
        <f t="shared" ref="X64:Y64" ca="1" si="18">SUM(F64:F75)</f>
        <v>600</v>
      </c>
      <c r="Y64" s="945">
        <f t="shared" ca="1" si="18"/>
        <v>4.6195317307817962</v>
      </c>
    </row>
    <row r="65" spans="2:25" ht="9.75" customHeight="1">
      <c r="B65" s="946"/>
      <c r="C65" s="946"/>
      <c r="D65" s="294">
        <f t="shared" ca="1" si="1"/>
        <v>48086</v>
      </c>
      <c r="E65" s="359">
        <f t="shared" si="5"/>
        <v>0</v>
      </c>
      <c r="F65" s="360">
        <f t="shared" ca="1" si="2"/>
        <v>50</v>
      </c>
      <c r="G65" s="290">
        <f ca="1">KTVCOI!P64</f>
        <v>0.3541156121383961</v>
      </c>
      <c r="H65" s="295">
        <f ca="1">(H64-F65-G65)*(1+$U$3)</f>
        <v>-2849.5369637418439</v>
      </c>
      <c r="I65" s="948"/>
      <c r="J65" s="296">
        <f t="shared" ca="1" si="4"/>
        <v>-2849.5369637418439</v>
      </c>
      <c r="K65" s="949"/>
      <c r="L65" s="949"/>
      <c r="M65" s="949"/>
      <c r="N65" s="950"/>
      <c r="O65" s="950"/>
      <c r="X65" s="945"/>
      <c r="Y65" s="945"/>
    </row>
    <row r="66" spans="2:25" ht="9.75" customHeight="1">
      <c r="B66" s="946"/>
      <c r="C66" s="946"/>
      <c r="D66" s="294">
        <f t="shared" ca="1" si="1"/>
        <v>48117</v>
      </c>
      <c r="E66" s="359">
        <f t="shared" si="5"/>
        <v>0</v>
      </c>
      <c r="F66" s="360">
        <f t="shared" ca="1" si="2"/>
        <v>50</v>
      </c>
      <c r="G66" s="290">
        <f ca="1">KTVCOI!P65</f>
        <v>0.36094134874063361</v>
      </c>
      <c r="H66" s="295">
        <f t="shared" ref="H66:H75" ca="1" si="19">(H65-F66-G66)*(1+$U$3)</f>
        <v>-2903.4980927187116</v>
      </c>
      <c r="I66" s="948"/>
      <c r="J66" s="296">
        <f t="shared" ca="1" si="4"/>
        <v>-2903.4980927187116</v>
      </c>
      <c r="K66" s="949"/>
      <c r="L66" s="949"/>
      <c r="M66" s="949"/>
      <c r="N66" s="950"/>
      <c r="O66" s="950"/>
      <c r="X66" s="945"/>
      <c r="Y66" s="945"/>
    </row>
    <row r="67" spans="2:25" ht="9.75" customHeight="1">
      <c r="B67" s="946"/>
      <c r="C67" s="946"/>
      <c r="D67" s="294">
        <f t="shared" ca="1" si="1"/>
        <v>48147</v>
      </c>
      <c r="E67" s="359">
        <f t="shared" si="5"/>
        <v>0</v>
      </c>
      <c r="F67" s="360">
        <f t="shared" ca="1" si="2"/>
        <v>50</v>
      </c>
      <c r="G67" s="290">
        <f ca="1">KTVCOI!P66</f>
        <v>0.36777642507770342</v>
      </c>
      <c r="H67" s="295">
        <f t="shared" ca="1" si="19"/>
        <v>-2957.5330573363703</v>
      </c>
      <c r="I67" s="948"/>
      <c r="J67" s="296">
        <f t="shared" ca="1" si="4"/>
        <v>-2957.5330573363703</v>
      </c>
      <c r="K67" s="949"/>
      <c r="L67" s="949"/>
      <c r="M67" s="949"/>
      <c r="N67" s="950"/>
      <c r="O67" s="950"/>
      <c r="X67" s="945"/>
      <c r="Y67" s="945"/>
    </row>
    <row r="68" spans="2:25" ht="9.75" customHeight="1">
      <c r="B68" s="946"/>
      <c r="C68" s="946"/>
      <c r="D68" s="294">
        <f t="shared" ca="1" si="1"/>
        <v>48178</v>
      </c>
      <c r="E68" s="359">
        <f t="shared" si="5"/>
        <v>0</v>
      </c>
      <c r="F68" s="360">
        <f t="shared" ca="1" si="2"/>
        <v>50</v>
      </c>
      <c r="G68" s="290">
        <f ca="1">KTVCOI!P67</f>
        <v>0.37462085392927363</v>
      </c>
      <c r="H68" s="295">
        <f t="shared" ca="1" si="19"/>
        <v>-3011.6419586249863</v>
      </c>
      <c r="I68" s="948"/>
      <c r="J68" s="296">
        <f t="shared" ca="1" si="4"/>
        <v>-3011.6419586249863</v>
      </c>
      <c r="K68" s="949"/>
      <c r="L68" s="949"/>
      <c r="M68" s="949"/>
      <c r="N68" s="950"/>
      <c r="O68" s="950"/>
      <c r="X68" s="945"/>
      <c r="Y68" s="945"/>
    </row>
    <row r="69" spans="2:25" ht="9.75" customHeight="1">
      <c r="B69" s="946"/>
      <c r="C69" s="946"/>
      <c r="D69" s="294">
        <f t="shared" ref="D69:D132" ca="1" si="20">EDATE(D68,1)</f>
        <v>48208</v>
      </c>
      <c r="E69" s="359">
        <f t="shared" si="5"/>
        <v>0</v>
      </c>
      <c r="F69" s="360">
        <f t="shared" ref="F69:F132" ca="1" si="21">IF(YEAR(D69)=2025,40000,IF(YEAR(D69)=2026,40000,IF(YEAR(D69)=2027,40000,IF(YEAR(D69)=2028,40000,IF(YEAR(D69)=2029,40000,IF(YEAR(D69)=2030,50000,IF(YEAR(D69)=2031,50000,IF(YEAR(D69)=2032,50000,IF(YEAR(D69)=2033,50000,IF(YEAR(D69)=2034,50000,IF(YEAR(D69)&gt;=2035,60000,0)))))))))))/1000</f>
        <v>50</v>
      </c>
      <c r="G69" s="290">
        <f ca="1">KTVCOI!P68</f>
        <v>0.3814746480924982</v>
      </c>
      <c r="H69" s="295">
        <f t="shared" ca="1" si="19"/>
        <v>-3065.824897752967</v>
      </c>
      <c r="I69" s="948"/>
      <c r="J69" s="296">
        <f t="shared" ref="J69:J132" ca="1" si="22">H69</f>
        <v>-3065.824897752967</v>
      </c>
      <c r="K69" s="949"/>
      <c r="L69" s="949"/>
      <c r="M69" s="949"/>
      <c r="N69" s="950"/>
      <c r="O69" s="950"/>
      <c r="X69" s="945"/>
      <c r="Y69" s="945"/>
    </row>
    <row r="70" spans="2:25" ht="9.75" customHeight="1">
      <c r="B70" s="946"/>
      <c r="C70" s="946"/>
      <c r="D70" s="294">
        <f t="shared" ca="1" si="20"/>
        <v>48239</v>
      </c>
      <c r="E70" s="359">
        <f t="shared" ref="E70:E133" si="23">E69</f>
        <v>0</v>
      </c>
      <c r="F70" s="360">
        <f t="shared" ca="1" si="21"/>
        <v>50</v>
      </c>
      <c r="G70" s="290">
        <f ca="1">KTVCOI!P69</f>
        <v>0.38833782038204245</v>
      </c>
      <c r="H70" s="295">
        <f t="shared" ca="1" si="19"/>
        <v>-3120.0819760271497</v>
      </c>
      <c r="I70" s="948"/>
      <c r="J70" s="296">
        <f t="shared" ca="1" si="22"/>
        <v>-3120.0819760271497</v>
      </c>
      <c r="K70" s="949"/>
      <c r="L70" s="949"/>
      <c r="M70" s="949"/>
      <c r="N70" s="950"/>
      <c r="O70" s="950"/>
      <c r="X70" s="945"/>
      <c r="Y70" s="945"/>
    </row>
    <row r="71" spans="2:25" ht="9.75" customHeight="1">
      <c r="B71" s="946"/>
      <c r="C71" s="946"/>
      <c r="D71" s="294">
        <f t="shared" ca="1" si="20"/>
        <v>48270</v>
      </c>
      <c r="E71" s="359">
        <f t="shared" si="23"/>
        <v>0</v>
      </c>
      <c r="F71" s="360">
        <f t="shared" ca="1" si="21"/>
        <v>50</v>
      </c>
      <c r="G71" s="290">
        <f ca="1">KTVCOI!P70</f>
        <v>0.39521038363010558</v>
      </c>
      <c r="H71" s="295">
        <f t="shared" ca="1" si="19"/>
        <v>-3174.4132948929914</v>
      </c>
      <c r="I71" s="948"/>
      <c r="J71" s="296">
        <f t="shared" ca="1" si="22"/>
        <v>-3174.4132948929914</v>
      </c>
      <c r="K71" s="949"/>
      <c r="L71" s="949"/>
      <c r="M71" s="949"/>
      <c r="N71" s="950"/>
      <c r="O71" s="950"/>
      <c r="X71" s="945"/>
      <c r="Y71" s="945"/>
    </row>
    <row r="72" spans="2:25" ht="9.75" customHeight="1">
      <c r="B72" s="946"/>
      <c r="C72" s="946"/>
      <c r="D72" s="294">
        <f t="shared" ca="1" si="20"/>
        <v>48299</v>
      </c>
      <c r="E72" s="359">
        <f t="shared" si="23"/>
        <v>0</v>
      </c>
      <c r="F72" s="360">
        <f t="shared" ca="1" si="21"/>
        <v>50</v>
      </c>
      <c r="G72" s="290">
        <f ca="1">KTVCOI!P71</f>
        <v>0.40209235068644555</v>
      </c>
      <c r="H72" s="295">
        <f t="shared" ca="1" si="19"/>
        <v>-3228.8189559347575</v>
      </c>
      <c r="I72" s="948"/>
      <c r="J72" s="296">
        <f t="shared" ca="1" si="22"/>
        <v>-3228.8189559347575</v>
      </c>
      <c r="K72" s="949"/>
      <c r="L72" s="949"/>
      <c r="M72" s="949"/>
      <c r="N72" s="950"/>
      <c r="O72" s="950"/>
      <c r="X72" s="945"/>
      <c r="Y72" s="945"/>
    </row>
    <row r="73" spans="2:25" ht="9.75" customHeight="1">
      <c r="B73" s="946"/>
      <c r="C73" s="946"/>
      <c r="D73" s="294">
        <f t="shared" ca="1" si="20"/>
        <v>48330</v>
      </c>
      <c r="E73" s="359">
        <f t="shared" si="23"/>
        <v>0</v>
      </c>
      <c r="F73" s="360">
        <f t="shared" ca="1" si="21"/>
        <v>50</v>
      </c>
      <c r="G73" s="290">
        <f ca="1">KTVCOI!P72</f>
        <v>0.40898373441840263</v>
      </c>
      <c r="H73" s="295">
        <f t="shared" ca="1" si="19"/>
        <v>-3283.2990608757127</v>
      </c>
      <c r="I73" s="948"/>
      <c r="J73" s="296">
        <f t="shared" ca="1" si="22"/>
        <v>-3283.2990608757127</v>
      </c>
      <c r="K73" s="949"/>
      <c r="L73" s="949"/>
      <c r="M73" s="949"/>
      <c r="N73" s="950"/>
      <c r="O73" s="950"/>
      <c r="X73" s="945"/>
      <c r="Y73" s="945"/>
    </row>
    <row r="74" spans="2:25" ht="9.75" customHeight="1">
      <c r="B74" s="946"/>
      <c r="C74" s="946"/>
      <c r="D74" s="294">
        <f t="shared" ca="1" si="20"/>
        <v>48360</v>
      </c>
      <c r="E74" s="359">
        <f t="shared" si="23"/>
        <v>0</v>
      </c>
      <c r="F74" s="360">
        <f t="shared" ca="1" si="21"/>
        <v>50</v>
      </c>
      <c r="G74" s="290">
        <f ca="1">KTVCOI!P73</f>
        <v>0.41588454771092365</v>
      </c>
      <c r="H74" s="295">
        <f t="shared" ca="1" si="19"/>
        <v>-3337.8537115783101</v>
      </c>
      <c r="I74" s="948"/>
      <c r="J74" s="296">
        <f t="shared" ca="1" si="22"/>
        <v>-3337.8537115783101</v>
      </c>
      <c r="K74" s="949"/>
      <c r="L74" s="949"/>
      <c r="M74" s="949"/>
      <c r="N74" s="950"/>
      <c r="O74" s="950"/>
      <c r="X74" s="945"/>
      <c r="Y74" s="945"/>
    </row>
    <row r="75" spans="2:25" ht="9.75" customHeight="1">
      <c r="B75" s="946"/>
      <c r="C75" s="946"/>
      <c r="D75" s="294">
        <f t="shared" ca="1" si="20"/>
        <v>48391</v>
      </c>
      <c r="E75" s="359">
        <f t="shared" si="23"/>
        <v>0</v>
      </c>
      <c r="F75" s="360">
        <f t="shared" ca="1" si="21"/>
        <v>50</v>
      </c>
      <c r="G75" s="290">
        <f ca="1">KTVCOI!P74</f>
        <v>0.42279480346658599</v>
      </c>
      <c r="H75" s="295">
        <f t="shared" ca="1" si="19"/>
        <v>-3392.4830100443837</v>
      </c>
      <c r="I75" s="948"/>
      <c r="J75" s="297">
        <f ca="1">H75+I64</f>
        <v>-3392.4830100443837</v>
      </c>
      <c r="K75" s="949"/>
      <c r="L75" s="949"/>
      <c r="M75" s="949"/>
      <c r="N75" s="950"/>
      <c r="O75" s="950"/>
      <c r="X75" s="945"/>
      <c r="Y75" s="945"/>
    </row>
    <row r="76" spans="2:25" ht="9.75" customHeight="1">
      <c r="B76" s="951">
        <f>B64+1</f>
        <v>7</v>
      </c>
      <c r="C76" s="952">
        <f ca="1">C64+1</f>
        <v>36</v>
      </c>
      <c r="D76" s="287">
        <f t="shared" ca="1" si="20"/>
        <v>48421</v>
      </c>
      <c r="E76" s="359">
        <f t="shared" si="23"/>
        <v>0</v>
      </c>
      <c r="F76" s="289">
        <f t="shared" ca="1" si="21"/>
        <v>50</v>
      </c>
      <c r="G76" s="290">
        <f ca="1">KTVCOI!P75</f>
        <v>0.45798520635599188</v>
      </c>
      <c r="H76" s="290">
        <f ca="1">(J75+KTVBVGTTKcamket!F13-F76-G76)*(1+$U$3)</f>
        <v>-3447.2153642048033</v>
      </c>
      <c r="I76" s="953"/>
      <c r="J76" s="292">
        <f t="shared" ca="1" si="22"/>
        <v>-3447.2153642048033</v>
      </c>
      <c r="K76" s="949">
        <f ca="1">J87</f>
        <v>-4054.2670915954509</v>
      </c>
      <c r="L76" s="949"/>
      <c r="M76" s="949"/>
      <c r="N76" s="950">
        <f t="shared" ref="N76" ca="1" si="24">SUM(G76:G87)</f>
        <v>5.9857325220498145</v>
      </c>
      <c r="O76" s="950"/>
      <c r="X76" s="945">
        <f t="shared" ref="X76:Y76" ca="1" si="25">SUM(F76:F87)</f>
        <v>600</v>
      </c>
      <c r="Y76" s="945">
        <f t="shared" ca="1" si="25"/>
        <v>5.9857325220498145</v>
      </c>
    </row>
    <row r="77" spans="2:25" ht="9.75" customHeight="1">
      <c r="B77" s="951"/>
      <c r="C77" s="951"/>
      <c r="D77" s="287">
        <f t="shared" ca="1" si="20"/>
        <v>48452</v>
      </c>
      <c r="E77" s="359">
        <f t="shared" si="23"/>
        <v>0</v>
      </c>
      <c r="F77" s="289">
        <f t="shared" ca="1" si="21"/>
        <v>50</v>
      </c>
      <c r="G77" s="290">
        <f ca="1">KTVCOI!P76</f>
        <v>0.46537407416764848</v>
      </c>
      <c r="H77" s="290">
        <f ca="1">(H76-F77-G77)*(1+$U$3)</f>
        <v>-3502.0230659516055</v>
      </c>
      <c r="I77" s="953"/>
      <c r="J77" s="292">
        <f t="shared" ca="1" si="22"/>
        <v>-3502.0230659516055</v>
      </c>
      <c r="K77" s="949"/>
      <c r="L77" s="949"/>
      <c r="M77" s="949"/>
      <c r="N77" s="950"/>
      <c r="O77" s="950"/>
      <c r="X77" s="945"/>
      <c r="Y77" s="945"/>
    </row>
    <row r="78" spans="2:25" ht="9.75" customHeight="1">
      <c r="B78" s="951"/>
      <c r="C78" s="951"/>
      <c r="D78" s="287">
        <f t="shared" ca="1" si="20"/>
        <v>48483</v>
      </c>
      <c r="E78" s="359">
        <f t="shared" si="23"/>
        <v>0</v>
      </c>
      <c r="F78" s="289">
        <f t="shared" ca="1" si="21"/>
        <v>50</v>
      </c>
      <c r="G78" s="290">
        <f ca="1">KTVCOI!P77</f>
        <v>0.47277311390346677</v>
      </c>
      <c r="H78" s="290">
        <f t="shared" ref="H78:H87" ca="1" si="26">(H77-F78-G78)*(1+$U$3)</f>
        <v>-3556.9062190124459</v>
      </c>
      <c r="I78" s="953"/>
      <c r="J78" s="292">
        <f t="shared" ca="1" si="22"/>
        <v>-3556.9062190124459</v>
      </c>
      <c r="K78" s="949"/>
      <c r="L78" s="949"/>
      <c r="M78" s="949"/>
      <c r="N78" s="950"/>
      <c r="O78" s="950"/>
      <c r="X78" s="945"/>
      <c r="Y78" s="945"/>
    </row>
    <row r="79" spans="2:25" ht="9.75" customHeight="1">
      <c r="B79" s="951"/>
      <c r="C79" s="951"/>
      <c r="D79" s="287">
        <f t="shared" ca="1" si="20"/>
        <v>48513</v>
      </c>
      <c r="E79" s="359">
        <f t="shared" si="23"/>
        <v>0</v>
      </c>
      <c r="F79" s="289">
        <f t="shared" ca="1" si="21"/>
        <v>50</v>
      </c>
      <c r="G79" s="290">
        <f ca="1">KTVCOI!P78</f>
        <v>0.48018233956668027</v>
      </c>
      <c r="H79" s="290">
        <f t="shared" ca="1" si="26"/>
        <v>-3611.8649272577773</v>
      </c>
      <c r="I79" s="953"/>
      <c r="J79" s="292">
        <f t="shared" ca="1" si="22"/>
        <v>-3611.8649272577773</v>
      </c>
      <c r="K79" s="949"/>
      <c r="L79" s="949"/>
      <c r="M79" s="949"/>
      <c r="N79" s="950"/>
      <c r="O79" s="950"/>
      <c r="X79" s="945"/>
      <c r="Y79" s="945"/>
    </row>
    <row r="80" spans="2:25" ht="9.75" customHeight="1">
      <c r="B80" s="951"/>
      <c r="C80" s="951"/>
      <c r="D80" s="287">
        <f t="shared" ca="1" si="20"/>
        <v>48544</v>
      </c>
      <c r="E80" s="359">
        <f t="shared" si="23"/>
        <v>0</v>
      </c>
      <c r="F80" s="289">
        <f t="shared" ca="1" si="21"/>
        <v>50</v>
      </c>
      <c r="G80" s="290">
        <f ca="1">KTVCOI!P79</f>
        <v>0.48760176517979992</v>
      </c>
      <c r="H80" s="290">
        <f t="shared" ca="1" si="26"/>
        <v>-3666.8992947010461</v>
      </c>
      <c r="I80" s="953"/>
      <c r="J80" s="292">
        <f t="shared" ca="1" si="22"/>
        <v>-3666.8992947010461</v>
      </c>
      <c r="K80" s="949"/>
      <c r="L80" s="949"/>
      <c r="M80" s="949"/>
      <c r="N80" s="950"/>
      <c r="O80" s="950"/>
      <c r="X80" s="945"/>
      <c r="Y80" s="945"/>
    </row>
    <row r="81" spans="2:25" ht="9.75" customHeight="1">
      <c r="B81" s="951"/>
      <c r="C81" s="951"/>
      <c r="D81" s="287">
        <f t="shared" ca="1" si="20"/>
        <v>48574</v>
      </c>
      <c r="E81" s="359">
        <f t="shared" si="23"/>
        <v>0</v>
      </c>
      <c r="F81" s="289">
        <f t="shared" ca="1" si="21"/>
        <v>50</v>
      </c>
      <c r="G81" s="290">
        <f ca="1">KTVCOI!P80</f>
        <v>0.49503140478464119</v>
      </c>
      <c r="H81" s="290">
        <f t="shared" ca="1" si="26"/>
        <v>-3722.0094254988894</v>
      </c>
      <c r="I81" s="953"/>
      <c r="J81" s="292">
        <f t="shared" ca="1" si="22"/>
        <v>-3722.0094254988894</v>
      </c>
      <c r="K81" s="949"/>
      <c r="L81" s="949"/>
      <c r="M81" s="949"/>
      <c r="N81" s="950"/>
      <c r="O81" s="950"/>
      <c r="X81" s="945"/>
      <c r="Y81" s="945"/>
    </row>
    <row r="82" spans="2:25" ht="9.75" customHeight="1">
      <c r="B82" s="951"/>
      <c r="C82" s="951"/>
      <c r="D82" s="287">
        <f t="shared" ca="1" si="20"/>
        <v>48605</v>
      </c>
      <c r="E82" s="359">
        <f t="shared" si="23"/>
        <v>0</v>
      </c>
      <c r="F82" s="289">
        <f t="shared" ca="1" si="21"/>
        <v>50</v>
      </c>
      <c r="G82" s="290">
        <f ca="1">KTVCOI!P81</f>
        <v>0.50247127244235013</v>
      </c>
      <c r="H82" s="290">
        <f t="shared" ca="1" si="26"/>
        <v>-3777.1954239513325</v>
      </c>
      <c r="I82" s="953"/>
      <c r="J82" s="292">
        <f t="shared" ca="1" si="22"/>
        <v>-3777.1954239513325</v>
      </c>
      <c r="K82" s="949"/>
      <c r="L82" s="949"/>
      <c r="M82" s="949"/>
      <c r="N82" s="950"/>
      <c r="O82" s="950"/>
      <c r="X82" s="945"/>
      <c r="Y82" s="945"/>
    </row>
    <row r="83" spans="2:25" ht="9.75" customHeight="1">
      <c r="B83" s="951"/>
      <c r="C83" s="951"/>
      <c r="D83" s="287">
        <f t="shared" ca="1" si="20"/>
        <v>48636</v>
      </c>
      <c r="E83" s="359">
        <f t="shared" si="23"/>
        <v>0</v>
      </c>
      <c r="F83" s="289">
        <f t="shared" ca="1" si="21"/>
        <v>50</v>
      </c>
      <c r="G83" s="290">
        <f ca="1">KTVCOI!P82</f>
        <v>0.50992138223342998</v>
      </c>
      <c r="H83" s="290">
        <f t="shared" ca="1" si="26"/>
        <v>-3832.4573945019852</v>
      </c>
      <c r="I83" s="953"/>
      <c r="J83" s="292">
        <f t="shared" ca="1" si="22"/>
        <v>-3832.4573945019852</v>
      </c>
      <c r="K83" s="949"/>
      <c r="L83" s="949"/>
      <c r="M83" s="949"/>
      <c r="N83" s="950"/>
      <c r="O83" s="950"/>
      <c r="X83" s="945"/>
      <c r="Y83" s="945"/>
    </row>
    <row r="84" spans="2:25" ht="9.75" customHeight="1">
      <c r="B84" s="951"/>
      <c r="C84" s="951"/>
      <c r="D84" s="287">
        <f t="shared" ca="1" si="20"/>
        <v>48664</v>
      </c>
      <c r="E84" s="359">
        <f t="shared" si="23"/>
        <v>0</v>
      </c>
      <c r="F84" s="289">
        <f t="shared" ca="1" si="21"/>
        <v>50</v>
      </c>
      <c r="G84" s="290">
        <f ca="1">KTVCOI!P83</f>
        <v>0.51738174825776795</v>
      </c>
      <c r="H84" s="290">
        <f t="shared" ca="1" si="26"/>
        <v>-3887.7954417382398</v>
      </c>
      <c r="I84" s="953"/>
      <c r="J84" s="292">
        <f t="shared" ca="1" si="22"/>
        <v>-3887.7954417382398</v>
      </c>
      <c r="K84" s="949"/>
      <c r="L84" s="949"/>
      <c r="M84" s="949"/>
      <c r="N84" s="950"/>
      <c r="O84" s="950"/>
      <c r="X84" s="945"/>
      <c r="Y84" s="945"/>
    </row>
    <row r="85" spans="2:25" ht="9.75" customHeight="1">
      <c r="B85" s="951"/>
      <c r="C85" s="951"/>
      <c r="D85" s="287">
        <f t="shared" ca="1" si="20"/>
        <v>48695</v>
      </c>
      <c r="E85" s="359">
        <f t="shared" si="23"/>
        <v>0</v>
      </c>
      <c r="F85" s="289">
        <f t="shared" ca="1" si="21"/>
        <v>50</v>
      </c>
      <c r="G85" s="290">
        <f ca="1">KTVCOI!P84</f>
        <v>0.52485238463466244</v>
      </c>
      <c r="H85" s="290">
        <f t="shared" ca="1" si="26"/>
        <v>-3943.2096703914713</v>
      </c>
      <c r="I85" s="953"/>
      <c r="J85" s="292">
        <f t="shared" ca="1" si="22"/>
        <v>-3943.2096703914713</v>
      </c>
      <c r="K85" s="949"/>
      <c r="L85" s="949"/>
      <c r="M85" s="949"/>
      <c r="N85" s="950"/>
      <c r="O85" s="950"/>
      <c r="X85" s="945"/>
      <c r="Y85" s="945"/>
    </row>
    <row r="86" spans="2:25" ht="9.75" customHeight="1">
      <c r="B86" s="951"/>
      <c r="C86" s="951"/>
      <c r="D86" s="287">
        <f t="shared" ca="1" si="20"/>
        <v>48725</v>
      </c>
      <c r="E86" s="359">
        <f t="shared" si="23"/>
        <v>0</v>
      </c>
      <c r="F86" s="289">
        <f t="shared" ca="1" si="21"/>
        <v>50</v>
      </c>
      <c r="G86" s="290">
        <f ca="1">KTVCOI!P85</f>
        <v>0.53233330550284863</v>
      </c>
      <c r="H86" s="290">
        <f t="shared" ca="1" si="26"/>
        <v>-3998.7001853372317</v>
      </c>
      <c r="I86" s="953"/>
      <c r="J86" s="292">
        <f t="shared" ca="1" si="22"/>
        <v>-3998.7001853372317</v>
      </c>
      <c r="K86" s="949"/>
      <c r="L86" s="949"/>
      <c r="M86" s="949"/>
      <c r="N86" s="950"/>
      <c r="O86" s="950"/>
      <c r="X86" s="945"/>
      <c r="Y86" s="945"/>
    </row>
    <row r="87" spans="2:25" ht="9.75" customHeight="1">
      <c r="B87" s="951"/>
      <c r="C87" s="951"/>
      <c r="D87" s="287">
        <f t="shared" ca="1" si="20"/>
        <v>48756</v>
      </c>
      <c r="E87" s="359">
        <f t="shared" si="23"/>
        <v>0</v>
      </c>
      <c r="F87" s="289">
        <f t="shared" ca="1" si="21"/>
        <v>50</v>
      </c>
      <c r="G87" s="290">
        <f ca="1">KTVCOI!P86</f>
        <v>0.53982452502052636</v>
      </c>
      <c r="H87" s="290">
        <f t="shared" ca="1" si="26"/>
        <v>-4054.2670915954509</v>
      </c>
      <c r="I87" s="953"/>
      <c r="J87" s="293">
        <f ca="1">H87+I76</f>
        <v>-4054.2670915954509</v>
      </c>
      <c r="K87" s="949"/>
      <c r="L87" s="949"/>
      <c r="M87" s="949"/>
      <c r="N87" s="950"/>
      <c r="O87" s="950"/>
      <c r="X87" s="945"/>
      <c r="Y87" s="945"/>
    </row>
    <row r="88" spans="2:25" ht="9.75" customHeight="1">
      <c r="B88" s="946">
        <f>B76+1</f>
        <v>8</v>
      </c>
      <c r="C88" s="947">
        <f ca="1">C76+1</f>
        <v>37</v>
      </c>
      <c r="D88" s="294">
        <f t="shared" ca="1" si="20"/>
        <v>48786</v>
      </c>
      <c r="E88" s="359">
        <f t="shared" si="23"/>
        <v>0</v>
      </c>
      <c r="F88" s="360">
        <f t="shared" ca="1" si="21"/>
        <v>50</v>
      </c>
      <c r="G88" s="290">
        <f ca="1">KTVCOI!P87</f>
        <v>0.58786872828134029</v>
      </c>
      <c r="H88" s="295">
        <f ca="1">(J87+KTVBVGTTKcamket!F14-F88-G88)*(1+U3)</f>
        <v>-4109.9510873347799</v>
      </c>
      <c r="I88" s="948"/>
      <c r="J88" s="296">
        <f t="shared" ca="1" si="22"/>
        <v>-4109.9510873347799</v>
      </c>
      <c r="K88" s="949">
        <f ca="1">J99</f>
        <v>-4727.5948731326234</v>
      </c>
      <c r="L88" s="949"/>
      <c r="M88" s="949"/>
      <c r="N88" s="950">
        <f t="shared" ref="N88" ca="1" si="27">SUM(G88:G99)</f>
        <v>7.5897914456429341</v>
      </c>
      <c r="O88" s="950"/>
      <c r="X88" s="945">
        <f t="shared" ref="X88:Y88" ca="1" si="28">SUM(F88:F99)</f>
        <v>600</v>
      </c>
      <c r="Y88" s="945">
        <f t="shared" ca="1" si="28"/>
        <v>7.5897914456429341</v>
      </c>
    </row>
    <row r="89" spans="2:25" ht="9.75" customHeight="1">
      <c r="B89" s="946"/>
      <c r="C89" s="946"/>
      <c r="D89" s="294">
        <f t="shared" ca="1" si="20"/>
        <v>48817</v>
      </c>
      <c r="E89" s="359">
        <f t="shared" si="23"/>
        <v>0</v>
      </c>
      <c r="F89" s="360">
        <f t="shared" ca="1" si="21"/>
        <v>50</v>
      </c>
      <c r="G89" s="290">
        <f ca="1">KTVCOI!P88</f>
        <v>0.59594290766354308</v>
      </c>
      <c r="H89" s="295">
        <f ca="1">(H88-F89-G89)*(1+$U$3)</f>
        <v>-4165.7122982741994</v>
      </c>
      <c r="I89" s="948"/>
      <c r="J89" s="296">
        <f t="shared" ca="1" si="22"/>
        <v>-4165.7122982741994</v>
      </c>
      <c r="K89" s="949"/>
      <c r="L89" s="949"/>
      <c r="M89" s="949"/>
      <c r="N89" s="950"/>
      <c r="O89" s="950"/>
      <c r="X89" s="945"/>
      <c r="Y89" s="945"/>
    </row>
    <row r="90" spans="2:25" ht="9.75" customHeight="1">
      <c r="B90" s="946"/>
      <c r="C90" s="946"/>
      <c r="D90" s="294">
        <f t="shared" ca="1" si="20"/>
        <v>48848</v>
      </c>
      <c r="E90" s="359">
        <f t="shared" si="23"/>
        <v>0</v>
      </c>
      <c r="F90" s="360">
        <f t="shared" ca="1" si="21"/>
        <v>50</v>
      </c>
      <c r="G90" s="290">
        <f ca="1">KTVCOI!P89</f>
        <v>0.60402828324975888</v>
      </c>
      <c r="H90" s="295">
        <f t="shared" ref="H90:H99" ca="1" si="29">(H89-F90-G90)*(1+$U$3)</f>
        <v>-4221.5508314855351</v>
      </c>
      <c r="I90" s="948"/>
      <c r="J90" s="296">
        <f t="shared" ca="1" si="22"/>
        <v>-4221.5508314855351</v>
      </c>
      <c r="K90" s="949"/>
      <c r="L90" s="949"/>
      <c r="M90" s="949"/>
      <c r="N90" s="950"/>
      <c r="O90" s="950"/>
      <c r="X90" s="945"/>
      <c r="Y90" s="945"/>
    </row>
    <row r="91" spans="2:25" ht="9.75" customHeight="1">
      <c r="B91" s="946"/>
      <c r="C91" s="946"/>
      <c r="D91" s="294">
        <f t="shared" ca="1" si="20"/>
        <v>48878</v>
      </c>
      <c r="E91" s="359">
        <f t="shared" si="23"/>
        <v>0</v>
      </c>
      <c r="F91" s="360">
        <f t="shared" ca="1" si="21"/>
        <v>50</v>
      </c>
      <c r="G91" s="290">
        <f ca="1">KTVCOI!P90</f>
        <v>0.61212487056540255</v>
      </c>
      <c r="H91" s="295">
        <f t="shared" ca="1" si="29"/>
        <v>-4277.4667941890866</v>
      </c>
      <c r="I91" s="948"/>
      <c r="J91" s="296">
        <f t="shared" ca="1" si="22"/>
        <v>-4277.4667941890866</v>
      </c>
      <c r="K91" s="949"/>
      <c r="L91" s="949"/>
      <c r="M91" s="949"/>
      <c r="N91" s="950"/>
      <c r="O91" s="950"/>
      <c r="X91" s="945"/>
      <c r="Y91" s="945"/>
    </row>
    <row r="92" spans="2:25" ht="9.75" customHeight="1">
      <c r="B92" s="946"/>
      <c r="C92" s="946"/>
      <c r="D92" s="294">
        <f t="shared" ca="1" si="20"/>
        <v>48909</v>
      </c>
      <c r="E92" s="359">
        <f t="shared" si="23"/>
        <v>0</v>
      </c>
      <c r="F92" s="360">
        <f t="shared" ca="1" si="21"/>
        <v>50</v>
      </c>
      <c r="G92" s="290">
        <f ca="1">KTVCOI!P91</f>
        <v>0.62023268515741758</v>
      </c>
      <c r="H92" s="295">
        <f t="shared" ca="1" si="29"/>
        <v>-4333.4602937538311</v>
      </c>
      <c r="I92" s="948"/>
      <c r="J92" s="296">
        <f t="shared" ca="1" si="22"/>
        <v>-4333.4602937538311</v>
      </c>
      <c r="K92" s="949"/>
      <c r="L92" s="949"/>
      <c r="M92" s="949"/>
      <c r="N92" s="950"/>
      <c r="O92" s="950"/>
      <c r="X92" s="945"/>
      <c r="Y92" s="945"/>
    </row>
    <row r="93" spans="2:25" ht="9.75" customHeight="1">
      <c r="B93" s="946"/>
      <c r="C93" s="946"/>
      <c r="D93" s="294">
        <f t="shared" ca="1" si="20"/>
        <v>48939</v>
      </c>
      <c r="E93" s="359">
        <f t="shared" si="23"/>
        <v>0</v>
      </c>
      <c r="F93" s="360">
        <f t="shared" ca="1" si="21"/>
        <v>50</v>
      </c>
      <c r="G93" s="290">
        <f ca="1">KTVCOI!P92</f>
        <v>0.62835174259430548</v>
      </c>
      <c r="H93" s="295">
        <f t="shared" ca="1" si="29"/>
        <v>-4389.5314376976339</v>
      </c>
      <c r="I93" s="948"/>
      <c r="J93" s="296">
        <f t="shared" ca="1" si="22"/>
        <v>-4389.5314376976339</v>
      </c>
      <c r="K93" s="949"/>
      <c r="L93" s="949"/>
      <c r="M93" s="949"/>
      <c r="N93" s="950"/>
      <c r="O93" s="950"/>
      <c r="X93" s="945"/>
      <c r="Y93" s="945"/>
    </row>
    <row r="94" spans="2:25" ht="9.75" customHeight="1">
      <c r="B94" s="946"/>
      <c r="C94" s="946"/>
      <c r="D94" s="294">
        <f t="shared" ca="1" si="20"/>
        <v>48970</v>
      </c>
      <c r="E94" s="359">
        <f t="shared" si="23"/>
        <v>0</v>
      </c>
      <c r="F94" s="360">
        <f t="shared" ca="1" si="21"/>
        <v>50</v>
      </c>
      <c r="G94" s="290">
        <f ca="1">KTVCOI!P93</f>
        <v>0.63648205846615691</v>
      </c>
      <c r="H94" s="295">
        <f t="shared" ca="1" si="29"/>
        <v>-4445.6803336874491</v>
      </c>
      <c r="I94" s="948"/>
      <c r="J94" s="296">
        <f t="shared" ca="1" si="22"/>
        <v>-4445.6803336874491</v>
      </c>
      <c r="K94" s="949"/>
      <c r="L94" s="949"/>
      <c r="M94" s="949"/>
      <c r="N94" s="950"/>
      <c r="O94" s="950"/>
      <c r="X94" s="945"/>
      <c r="Y94" s="945"/>
    </row>
    <row r="95" spans="2:25" ht="9.75" customHeight="1">
      <c r="B95" s="946"/>
      <c r="C95" s="946"/>
      <c r="D95" s="294">
        <f t="shared" ca="1" si="20"/>
        <v>49001</v>
      </c>
      <c r="E95" s="359">
        <f t="shared" si="23"/>
        <v>0</v>
      </c>
      <c r="F95" s="360">
        <f t="shared" ca="1" si="21"/>
        <v>50</v>
      </c>
      <c r="G95" s="290">
        <f ca="1">KTVCOI!P94</f>
        <v>0.64462364838468011</v>
      </c>
      <c r="H95" s="295">
        <f t="shared" ca="1" si="29"/>
        <v>-4501.9070895395298</v>
      </c>
      <c r="I95" s="948"/>
      <c r="J95" s="296">
        <f t="shared" ca="1" si="22"/>
        <v>-4501.9070895395298</v>
      </c>
      <c r="K95" s="949"/>
      <c r="L95" s="949"/>
      <c r="M95" s="949"/>
      <c r="N95" s="950"/>
      <c r="O95" s="950"/>
      <c r="X95" s="945"/>
      <c r="Y95" s="945"/>
    </row>
    <row r="96" spans="2:25" ht="9.75" customHeight="1">
      <c r="B96" s="946"/>
      <c r="C96" s="946"/>
      <c r="D96" s="294">
        <f t="shared" ca="1" si="20"/>
        <v>49029</v>
      </c>
      <c r="E96" s="359">
        <f t="shared" si="23"/>
        <v>0</v>
      </c>
      <c r="F96" s="360">
        <f t="shared" ca="1" si="21"/>
        <v>50</v>
      </c>
      <c r="G96" s="290">
        <f ca="1">KTVCOI!P95</f>
        <v>0.65277652798323182</v>
      </c>
      <c r="H96" s="295">
        <f t="shared" ca="1" si="29"/>
        <v>-4558.2118132196356</v>
      </c>
      <c r="I96" s="948"/>
      <c r="J96" s="296">
        <f t="shared" ca="1" si="22"/>
        <v>-4558.2118132196356</v>
      </c>
      <c r="K96" s="949"/>
      <c r="L96" s="949"/>
      <c r="M96" s="949"/>
      <c r="N96" s="950"/>
      <c r="O96" s="950"/>
      <c r="X96" s="945"/>
      <c r="Y96" s="945"/>
    </row>
    <row r="97" spans="2:25" ht="9.75" customHeight="1">
      <c r="B97" s="946"/>
      <c r="C97" s="946"/>
      <c r="D97" s="294">
        <f t="shared" ca="1" si="20"/>
        <v>49060</v>
      </c>
      <c r="E97" s="359">
        <f t="shared" si="23"/>
        <v>0</v>
      </c>
      <c r="F97" s="360">
        <f t="shared" ca="1" si="21"/>
        <v>50</v>
      </c>
      <c r="G97" s="290">
        <f ca="1">KTVCOI!P96</f>
        <v>0.66094071291684708</v>
      </c>
      <c r="H97" s="295">
        <f t="shared" ca="1" si="29"/>
        <v>-4614.5946128432379</v>
      </c>
      <c r="I97" s="948"/>
      <c r="J97" s="296">
        <f t="shared" ca="1" si="22"/>
        <v>-4614.5946128432379</v>
      </c>
      <c r="K97" s="949"/>
      <c r="L97" s="949"/>
      <c r="M97" s="949"/>
      <c r="N97" s="950"/>
      <c r="O97" s="950"/>
      <c r="X97" s="945"/>
      <c r="Y97" s="945"/>
    </row>
    <row r="98" spans="2:25" ht="9.75" customHeight="1">
      <c r="B98" s="946"/>
      <c r="C98" s="946"/>
      <c r="D98" s="294">
        <f t="shared" ca="1" si="20"/>
        <v>49090</v>
      </c>
      <c r="E98" s="359">
        <f t="shared" si="23"/>
        <v>0</v>
      </c>
      <c r="F98" s="360">
        <f t="shared" ca="1" si="21"/>
        <v>50</v>
      </c>
      <c r="G98" s="290">
        <f ca="1">KTVCOI!P97</f>
        <v>0.66911621886226946</v>
      </c>
      <c r="H98" s="295">
        <f t="shared" ca="1" si="29"/>
        <v>-4671.0555966757274</v>
      </c>
      <c r="I98" s="948"/>
      <c r="J98" s="296">
        <f t="shared" ca="1" si="22"/>
        <v>-4671.0555966757274</v>
      </c>
      <c r="K98" s="949"/>
      <c r="L98" s="949"/>
      <c r="M98" s="949"/>
      <c r="N98" s="950"/>
      <c r="O98" s="950"/>
      <c r="X98" s="945"/>
      <c r="Y98" s="945"/>
    </row>
    <row r="99" spans="2:25" ht="9.75" customHeight="1">
      <c r="B99" s="946"/>
      <c r="C99" s="946"/>
      <c r="D99" s="294">
        <f t="shared" ca="1" si="20"/>
        <v>49121</v>
      </c>
      <c r="E99" s="359">
        <f t="shared" si="23"/>
        <v>0</v>
      </c>
      <c r="F99" s="360">
        <f t="shared" ca="1" si="21"/>
        <v>50</v>
      </c>
      <c r="G99" s="290">
        <f ca="1">KTVCOI!P98</f>
        <v>0.67730306151798059</v>
      </c>
      <c r="H99" s="295">
        <f t="shared" ca="1" si="29"/>
        <v>-4727.5948731326234</v>
      </c>
      <c r="I99" s="948"/>
      <c r="J99" s="297">
        <f ca="1">H99+I88</f>
        <v>-4727.5948731326234</v>
      </c>
      <c r="K99" s="949"/>
      <c r="L99" s="949"/>
      <c r="M99" s="949"/>
      <c r="N99" s="950"/>
      <c r="O99" s="950"/>
      <c r="X99" s="945"/>
      <c r="Y99" s="945"/>
    </row>
    <row r="100" spans="2:25" ht="9.75" customHeight="1">
      <c r="B100" s="951">
        <f>B88+1</f>
        <v>9</v>
      </c>
      <c r="C100" s="952">
        <f ca="1">C88+1</f>
        <v>38</v>
      </c>
      <c r="D100" s="287">
        <f t="shared" ca="1" si="20"/>
        <v>49151</v>
      </c>
      <c r="E100" s="359">
        <f t="shared" si="23"/>
        <v>0</v>
      </c>
      <c r="F100" s="289">
        <f t="shared" ca="1" si="21"/>
        <v>50</v>
      </c>
      <c r="G100" s="290">
        <f ca="1">KTVCOI!P99</f>
        <v>0.74065653012411092</v>
      </c>
      <c r="H100" s="290">
        <f ca="1">(J99+KTVBVGTTKcamket!F15-F100-G100)*(1+$U$3)</f>
        <v>-4784.267774527897</v>
      </c>
      <c r="I100" s="953"/>
      <c r="J100" s="292">
        <f t="shared" ca="1" si="22"/>
        <v>-4784.267774527897</v>
      </c>
      <c r="K100" s="949">
        <f ca="1">J111</f>
        <v>-5473.2094407052455</v>
      </c>
      <c r="L100" s="949"/>
      <c r="M100" s="949"/>
      <c r="N100" s="950">
        <f t="shared" ref="N100" ca="1" si="30">SUM(G100:G111)</f>
        <v>9.5001892965913441</v>
      </c>
      <c r="O100" s="950"/>
      <c r="X100" s="945">
        <f t="shared" ref="X100:Y100" ca="1" si="31">SUM(F100:F111)</f>
        <v>660</v>
      </c>
      <c r="Y100" s="945">
        <f t="shared" ca="1" si="31"/>
        <v>9.5001892965913441</v>
      </c>
    </row>
    <row r="101" spans="2:25" ht="9.75" customHeight="1">
      <c r="B101" s="951"/>
      <c r="C101" s="951"/>
      <c r="D101" s="287">
        <f t="shared" ca="1" si="20"/>
        <v>49182</v>
      </c>
      <c r="E101" s="359">
        <f t="shared" si="23"/>
        <v>0</v>
      </c>
      <c r="F101" s="289">
        <f t="shared" ca="1" si="21"/>
        <v>50</v>
      </c>
      <c r="G101" s="290">
        <f ca="1">KTVCOI!P100</f>
        <v>0.74953528467603714</v>
      </c>
      <c r="H101" s="290">
        <f ca="1">(H100-F101-G101)*(1+$U$3)</f>
        <v>-4841.0199244115256</v>
      </c>
      <c r="I101" s="953"/>
      <c r="J101" s="292">
        <f t="shared" ca="1" si="22"/>
        <v>-4841.0199244115256</v>
      </c>
      <c r="K101" s="949"/>
      <c r="L101" s="949"/>
      <c r="M101" s="949"/>
      <c r="N101" s="950"/>
      <c r="O101" s="950"/>
      <c r="X101" s="945"/>
      <c r="Y101" s="945"/>
    </row>
    <row r="102" spans="2:25" ht="9.75" customHeight="1">
      <c r="B102" s="951"/>
      <c r="C102" s="951"/>
      <c r="D102" s="287">
        <f t="shared" ca="1" si="20"/>
        <v>49213</v>
      </c>
      <c r="E102" s="359">
        <f t="shared" si="23"/>
        <v>0</v>
      </c>
      <c r="F102" s="289">
        <f t="shared" ca="1" si="21"/>
        <v>50</v>
      </c>
      <c r="G102" s="290">
        <f ca="1">KTVCOI!P101</f>
        <v>0.75842645482447235</v>
      </c>
      <c r="H102" s="290">
        <f t="shared" ref="H102:H111" ca="1" si="32">(H101-F102-G102)*(1+$U$3)</f>
        <v>-4897.8514336005428</v>
      </c>
      <c r="I102" s="953"/>
      <c r="J102" s="292">
        <f t="shared" ca="1" si="22"/>
        <v>-4897.8514336005428</v>
      </c>
      <c r="K102" s="949"/>
      <c r="L102" s="949"/>
      <c r="M102" s="949"/>
      <c r="N102" s="950"/>
      <c r="O102" s="950"/>
      <c r="X102" s="945"/>
      <c r="Y102" s="945"/>
    </row>
    <row r="103" spans="2:25" ht="9.75" customHeight="1">
      <c r="B103" s="951"/>
      <c r="C103" s="951"/>
      <c r="D103" s="287">
        <f t="shared" ca="1" si="20"/>
        <v>49243</v>
      </c>
      <c r="E103" s="359">
        <f t="shared" si="23"/>
        <v>0</v>
      </c>
      <c r="F103" s="289">
        <f t="shared" ca="1" si="21"/>
        <v>50</v>
      </c>
      <c r="G103" s="290">
        <f ca="1">KTVCOI!P102</f>
        <v>0.76733005793075171</v>
      </c>
      <c r="H103" s="290">
        <f t="shared" ca="1" si="32"/>
        <v>-4954.7624130669465</v>
      </c>
      <c r="I103" s="953"/>
      <c r="J103" s="292">
        <f t="shared" ca="1" si="22"/>
        <v>-4954.7624130669465</v>
      </c>
      <c r="K103" s="949"/>
      <c r="L103" s="949"/>
      <c r="M103" s="949"/>
      <c r="N103" s="950"/>
      <c r="O103" s="950"/>
      <c r="X103" s="945"/>
      <c r="Y103" s="945"/>
    </row>
    <row r="104" spans="2:25" ht="9.75" customHeight="1">
      <c r="B104" s="951"/>
      <c r="C104" s="951"/>
      <c r="D104" s="287">
        <f t="shared" ca="1" si="20"/>
        <v>49274</v>
      </c>
      <c r="E104" s="359">
        <f t="shared" si="23"/>
        <v>0</v>
      </c>
      <c r="F104" s="289">
        <f t="shared" ca="1" si="21"/>
        <v>50</v>
      </c>
      <c r="G104" s="290">
        <f ca="1">KTVCOI!P103</f>
        <v>0.77624611138048827</v>
      </c>
      <c r="H104" s="290">
        <f t="shared" ca="1" si="32"/>
        <v>-5011.7529739379088</v>
      </c>
      <c r="I104" s="953"/>
      <c r="J104" s="292">
        <f t="shared" ca="1" si="22"/>
        <v>-5011.7529739379088</v>
      </c>
      <c r="K104" s="949"/>
      <c r="L104" s="949"/>
      <c r="M104" s="949"/>
      <c r="N104" s="950"/>
      <c r="O104" s="950"/>
      <c r="X104" s="945"/>
      <c r="Y104" s="945"/>
    </row>
    <row r="105" spans="2:25" ht="9.75" customHeight="1">
      <c r="B105" s="951"/>
      <c r="C105" s="951"/>
      <c r="D105" s="287">
        <f t="shared" ca="1" si="20"/>
        <v>49304</v>
      </c>
      <c r="E105" s="359">
        <f t="shared" si="23"/>
        <v>0</v>
      </c>
      <c r="F105" s="289">
        <f t="shared" ca="1" si="21"/>
        <v>50</v>
      </c>
      <c r="G105" s="290">
        <f ca="1">KTVCOI!P104</f>
        <v>0.78517463258360565</v>
      </c>
      <c r="H105" s="290">
        <f t="shared" ca="1" si="32"/>
        <v>-5068.8232274959983</v>
      </c>
      <c r="I105" s="953"/>
      <c r="J105" s="292">
        <f t="shared" ca="1" si="22"/>
        <v>-5068.8232274959983</v>
      </c>
      <c r="K105" s="949"/>
      <c r="L105" s="949"/>
      <c r="M105" s="949"/>
      <c r="N105" s="950"/>
      <c r="O105" s="950"/>
      <c r="X105" s="945"/>
      <c r="Y105" s="945"/>
    </row>
    <row r="106" spans="2:25" ht="9.75" customHeight="1">
      <c r="B106" s="951"/>
      <c r="C106" s="951"/>
      <c r="D106" s="287">
        <f t="shared" ca="1" si="20"/>
        <v>49335</v>
      </c>
      <c r="E106" s="359">
        <f t="shared" si="23"/>
        <v>0</v>
      </c>
      <c r="F106" s="289">
        <f t="shared" ca="1" si="21"/>
        <v>60</v>
      </c>
      <c r="G106" s="290">
        <f ca="1">KTVCOI!P105</f>
        <v>0.79411563897437298</v>
      </c>
      <c r="H106" s="290">
        <f t="shared" ca="1" si="32"/>
        <v>-5135.9857000565598</v>
      </c>
      <c r="I106" s="953"/>
      <c r="J106" s="292">
        <f t="shared" ca="1" si="22"/>
        <v>-5135.9857000565598</v>
      </c>
      <c r="K106" s="949"/>
      <c r="L106" s="949"/>
      <c r="M106" s="949"/>
      <c r="N106" s="950"/>
      <c r="O106" s="950"/>
      <c r="X106" s="945"/>
      <c r="Y106" s="945"/>
    </row>
    <row r="107" spans="2:25" ht="9.75" customHeight="1">
      <c r="B107" s="951"/>
      <c r="C107" s="951"/>
      <c r="D107" s="287">
        <f t="shared" ca="1" si="20"/>
        <v>49366</v>
      </c>
      <c r="E107" s="359">
        <f t="shared" si="23"/>
        <v>0</v>
      </c>
      <c r="F107" s="289">
        <f t="shared" ca="1" si="21"/>
        <v>60</v>
      </c>
      <c r="G107" s="290">
        <f ca="1">KTVCOI!P106</f>
        <v>0.80463775967552775</v>
      </c>
      <c r="H107" s="290">
        <f t="shared" ca="1" si="32"/>
        <v>-5203.2420891855963</v>
      </c>
      <c r="I107" s="953"/>
      <c r="J107" s="292">
        <f t="shared" ca="1" si="22"/>
        <v>-5203.2420891855963</v>
      </c>
      <c r="K107" s="949"/>
      <c r="L107" s="949"/>
      <c r="M107" s="949"/>
      <c r="N107" s="950"/>
      <c r="O107" s="950"/>
      <c r="X107" s="945"/>
      <c r="Y107" s="945"/>
    </row>
    <row r="108" spans="2:25" ht="9.75" customHeight="1">
      <c r="B108" s="951"/>
      <c r="C108" s="951"/>
      <c r="D108" s="287">
        <f t="shared" ca="1" si="20"/>
        <v>49394</v>
      </c>
      <c r="E108" s="359">
        <f t="shared" si="23"/>
        <v>0</v>
      </c>
      <c r="F108" s="289">
        <f t="shared" ca="1" si="21"/>
        <v>60</v>
      </c>
      <c r="G108" s="290">
        <f ca="1">KTVCOI!P107</f>
        <v>0.8151745939724101</v>
      </c>
      <c r="H108" s="290">
        <f t="shared" ca="1" si="32"/>
        <v>-5270.5925262112369</v>
      </c>
      <c r="I108" s="953"/>
      <c r="J108" s="292">
        <f t="shared" ca="1" si="22"/>
        <v>-5270.5925262112369</v>
      </c>
      <c r="K108" s="949"/>
      <c r="L108" s="949"/>
      <c r="M108" s="949"/>
      <c r="N108" s="950"/>
      <c r="O108" s="950"/>
      <c r="X108" s="945"/>
      <c r="Y108" s="945"/>
    </row>
    <row r="109" spans="2:25" ht="9.75" customHeight="1">
      <c r="B109" s="951"/>
      <c r="C109" s="951"/>
      <c r="D109" s="287">
        <f t="shared" ca="1" si="20"/>
        <v>49425</v>
      </c>
      <c r="E109" s="359">
        <f t="shared" si="23"/>
        <v>0</v>
      </c>
      <c r="F109" s="289">
        <f t="shared" ca="1" si="21"/>
        <v>60</v>
      </c>
      <c r="G109" s="290">
        <f ca="1">KTVCOI!P108</f>
        <v>0.82572616243976027</v>
      </c>
      <c r="H109" s="290">
        <f t="shared" ca="1" si="32"/>
        <v>-5338.0371426452521</v>
      </c>
      <c r="I109" s="953"/>
      <c r="J109" s="292">
        <f t="shared" ca="1" si="22"/>
        <v>-5338.0371426452521</v>
      </c>
      <c r="K109" s="949"/>
      <c r="L109" s="949"/>
      <c r="M109" s="949"/>
      <c r="N109" s="950"/>
      <c r="O109" s="950"/>
      <c r="X109" s="945"/>
      <c r="Y109" s="945"/>
    </row>
    <row r="110" spans="2:25" ht="9.75" customHeight="1">
      <c r="B110" s="951"/>
      <c r="C110" s="951"/>
      <c r="D110" s="287">
        <f t="shared" ca="1" si="20"/>
        <v>49455</v>
      </c>
      <c r="E110" s="359">
        <f t="shared" si="23"/>
        <v>0</v>
      </c>
      <c r="F110" s="289">
        <f t="shared" ca="1" si="21"/>
        <v>60</v>
      </c>
      <c r="G110" s="290">
        <f ca="1">KTVCOI!P109</f>
        <v>0.83629248568108938</v>
      </c>
      <c r="H110" s="290">
        <f t="shared" ca="1" si="32"/>
        <v>-5405.5760701833124</v>
      </c>
      <c r="I110" s="953"/>
      <c r="J110" s="292">
        <f t="shared" ca="1" si="22"/>
        <v>-5405.5760701833124</v>
      </c>
      <c r="K110" s="949"/>
      <c r="L110" s="949"/>
      <c r="M110" s="949"/>
      <c r="N110" s="950"/>
      <c r="O110" s="950"/>
      <c r="X110" s="945"/>
      <c r="Y110" s="945"/>
    </row>
    <row r="111" spans="2:25" ht="9.75" customHeight="1">
      <c r="B111" s="951"/>
      <c r="C111" s="951"/>
      <c r="D111" s="287">
        <f t="shared" ca="1" si="20"/>
        <v>49486</v>
      </c>
      <c r="E111" s="359">
        <f t="shared" si="23"/>
        <v>0</v>
      </c>
      <c r="F111" s="289">
        <f t="shared" ca="1" si="21"/>
        <v>60</v>
      </c>
      <c r="G111" s="290">
        <f ca="1">KTVCOI!P110</f>
        <v>0.84687358432871884</v>
      </c>
      <c r="H111" s="290">
        <f t="shared" ca="1" si="32"/>
        <v>-5473.2094407052455</v>
      </c>
      <c r="I111" s="953"/>
      <c r="J111" s="293">
        <f ca="1">H111+I100</f>
        <v>-5473.2094407052455</v>
      </c>
      <c r="K111" s="949"/>
      <c r="L111" s="949"/>
      <c r="M111" s="949"/>
      <c r="N111" s="950"/>
      <c r="O111" s="950"/>
      <c r="X111" s="945"/>
      <c r="Y111" s="945"/>
    </row>
    <row r="112" spans="2:25" ht="9.75" customHeight="1">
      <c r="B112" s="946">
        <f>B100+1</f>
        <v>10</v>
      </c>
      <c r="C112" s="947">
        <f ca="1">C100+1</f>
        <v>39</v>
      </c>
      <c r="D112" s="294">
        <f t="shared" ca="1" si="20"/>
        <v>49516</v>
      </c>
      <c r="E112" s="359">
        <f t="shared" si="23"/>
        <v>0</v>
      </c>
      <c r="F112" s="360">
        <f t="shared" ca="1" si="21"/>
        <v>60</v>
      </c>
      <c r="G112" s="290">
        <f ca="1">KTVCOI!P111</f>
        <v>0.92588459705263715</v>
      </c>
      <c r="H112" s="295">
        <f ca="1">(J111+KTVBVGTTKcamket!F16-F112-G112)*(1+$U$3)</f>
        <v>-5541.0058863298291</v>
      </c>
      <c r="I112" s="948">
        <f ca="1">IF(COUNTIF(KTVBVGTTKcamket!$E$7:E16,0)&gt;0,0,50%*'Tinh phi QL'!H12/1000)</f>
        <v>0</v>
      </c>
      <c r="J112" s="296">
        <f t="shared" ca="1" si="22"/>
        <v>-5541.0058863298291</v>
      </c>
      <c r="K112" s="949">
        <f ca="1">J123</f>
        <v>-6293.1095770247539</v>
      </c>
      <c r="L112" s="949"/>
      <c r="M112" s="949"/>
      <c r="N112" s="950">
        <f t="shared" ref="N112" ca="1" si="33">SUM(G112:G123)</f>
        <v>11.871133639480286</v>
      </c>
      <c r="O112" s="950"/>
      <c r="X112" s="945">
        <f t="shared" ref="X112:Y112" ca="1" si="34">SUM(F112:F123)</f>
        <v>720</v>
      </c>
      <c r="Y112" s="945">
        <f t="shared" ca="1" si="34"/>
        <v>11.871133639480286</v>
      </c>
    </row>
    <row r="113" spans="2:25" ht="9.75" customHeight="1">
      <c r="B113" s="946"/>
      <c r="C113" s="946"/>
      <c r="D113" s="294">
        <f t="shared" ca="1" si="20"/>
        <v>49547</v>
      </c>
      <c r="E113" s="359">
        <f t="shared" si="23"/>
        <v>0</v>
      </c>
      <c r="F113" s="360">
        <f t="shared" ca="1" si="21"/>
        <v>60</v>
      </c>
      <c r="G113" s="290">
        <f ca="1">KTVCOI!P112</f>
        <v>0.93735349577079596</v>
      </c>
      <c r="H113" s="295">
        <f ca="1">(H112-F113-G113)*(1+$U$3)</f>
        <v>-5608.8979835460887</v>
      </c>
      <c r="I113" s="948"/>
      <c r="J113" s="296">
        <f t="shared" ca="1" si="22"/>
        <v>-5608.8979835460887</v>
      </c>
      <c r="K113" s="949"/>
      <c r="L113" s="949"/>
      <c r="M113" s="949"/>
      <c r="N113" s="950"/>
      <c r="O113" s="950"/>
      <c r="X113" s="945"/>
      <c r="Y113" s="945"/>
    </row>
    <row r="114" spans="2:25" ht="9.75" customHeight="1">
      <c r="B114" s="946"/>
      <c r="C114" s="946"/>
      <c r="D114" s="294">
        <f t="shared" ca="1" si="20"/>
        <v>49578</v>
      </c>
      <c r="E114" s="359">
        <f t="shared" si="23"/>
        <v>0</v>
      </c>
      <c r="F114" s="360">
        <f t="shared" ca="1" si="21"/>
        <v>60</v>
      </c>
      <c r="G114" s="290">
        <f ca="1">KTVCOI!P113</f>
        <v>0.94883857554987994</v>
      </c>
      <c r="H114" s="295">
        <f t="shared" ref="H114:H123" ca="1" si="35">(H113-F114-G114)*(1+$U$3)</f>
        <v>-5676.8858673054519</v>
      </c>
      <c r="I114" s="948"/>
      <c r="J114" s="296">
        <f t="shared" ca="1" si="22"/>
        <v>-5676.8858673054519</v>
      </c>
      <c r="K114" s="949"/>
      <c r="L114" s="949"/>
      <c r="M114" s="949"/>
      <c r="N114" s="950"/>
      <c r="O114" s="950"/>
      <c r="X114" s="945"/>
      <c r="Y114" s="945"/>
    </row>
    <row r="115" spans="2:25" ht="9.75" customHeight="1">
      <c r="B115" s="946"/>
      <c r="C115" s="946"/>
      <c r="D115" s="294">
        <f t="shared" ca="1" si="20"/>
        <v>49608</v>
      </c>
      <c r="E115" s="359">
        <f t="shared" si="23"/>
        <v>0</v>
      </c>
      <c r="F115" s="360">
        <f t="shared" ca="1" si="21"/>
        <v>60</v>
      </c>
      <c r="G115" s="290">
        <f ca="1">KTVCOI!P114</f>
        <v>0.9603398592191722</v>
      </c>
      <c r="H115" s="295">
        <f t="shared" ca="1" si="35"/>
        <v>-5744.9696727497412</v>
      </c>
      <c r="I115" s="948"/>
      <c r="J115" s="296">
        <f t="shared" ca="1" si="22"/>
        <v>-5744.9696727497412</v>
      </c>
      <c r="K115" s="949"/>
      <c r="L115" s="949"/>
      <c r="M115" s="949"/>
      <c r="N115" s="950"/>
      <c r="O115" s="950"/>
      <c r="X115" s="945"/>
      <c r="Y115" s="945"/>
    </row>
    <row r="116" spans="2:25" ht="9.75" customHeight="1">
      <c r="B116" s="946"/>
      <c r="C116" s="946"/>
      <c r="D116" s="294">
        <f t="shared" ca="1" si="20"/>
        <v>49639</v>
      </c>
      <c r="E116" s="359">
        <f t="shared" si="23"/>
        <v>0</v>
      </c>
      <c r="F116" s="360">
        <f t="shared" ca="1" si="21"/>
        <v>60</v>
      </c>
      <c r="G116" s="290">
        <f ca="1">KTVCOI!P115</f>
        <v>0.97185736964016456</v>
      </c>
      <c r="H116" s="295">
        <f t="shared" ca="1" si="35"/>
        <v>-5813.1495352114471</v>
      </c>
      <c r="I116" s="948"/>
      <c r="J116" s="296">
        <f t="shared" ca="1" si="22"/>
        <v>-5813.1495352114471</v>
      </c>
      <c r="K116" s="949"/>
      <c r="L116" s="949"/>
      <c r="M116" s="949"/>
      <c r="N116" s="950"/>
      <c r="O116" s="950"/>
      <c r="X116" s="945"/>
      <c r="Y116" s="945"/>
    </row>
    <row r="117" spans="2:25" ht="9.75" customHeight="1">
      <c r="B117" s="946"/>
      <c r="C117" s="946"/>
      <c r="D117" s="294">
        <f t="shared" ca="1" si="20"/>
        <v>49669</v>
      </c>
      <c r="E117" s="359">
        <f t="shared" si="23"/>
        <v>0</v>
      </c>
      <c r="F117" s="360">
        <f t="shared" ca="1" si="21"/>
        <v>60</v>
      </c>
      <c r="G117" s="290">
        <f ca="1">KTVCOI!P116</f>
        <v>0.98339112970660303</v>
      </c>
      <c r="H117" s="295">
        <f t="shared" ca="1" si="35"/>
        <v>-5881.4255902139967</v>
      </c>
      <c r="I117" s="948"/>
      <c r="J117" s="296">
        <f t="shared" ca="1" si="22"/>
        <v>-5881.4255902139967</v>
      </c>
      <c r="K117" s="949"/>
      <c r="L117" s="949"/>
      <c r="M117" s="949"/>
      <c r="N117" s="950"/>
      <c r="O117" s="950"/>
      <c r="X117" s="945"/>
      <c r="Y117" s="945"/>
    </row>
    <row r="118" spans="2:25" ht="9.75" customHeight="1">
      <c r="B118" s="946"/>
      <c r="C118" s="946"/>
      <c r="D118" s="294">
        <f t="shared" ca="1" si="20"/>
        <v>49700</v>
      </c>
      <c r="E118" s="359">
        <f t="shared" si="23"/>
        <v>0</v>
      </c>
      <c r="F118" s="360">
        <f t="shared" ca="1" si="21"/>
        <v>60</v>
      </c>
      <c r="G118" s="290">
        <f ca="1">KTVCOI!P117</f>
        <v>0.99494116234453445</v>
      </c>
      <c r="H118" s="295">
        <f t="shared" ca="1" si="35"/>
        <v>-5949.7979734720211</v>
      </c>
      <c r="I118" s="948"/>
      <c r="J118" s="296">
        <f t="shared" ca="1" si="22"/>
        <v>-5949.7979734720211</v>
      </c>
      <c r="K118" s="949"/>
      <c r="L118" s="949"/>
      <c r="M118" s="949"/>
      <c r="N118" s="950"/>
      <c r="O118" s="950"/>
      <c r="X118" s="945"/>
      <c r="Y118" s="945"/>
    </row>
    <row r="119" spans="2:25" ht="9.75" customHeight="1">
      <c r="B119" s="946"/>
      <c r="C119" s="946"/>
      <c r="D119" s="294">
        <f t="shared" ca="1" si="20"/>
        <v>49731</v>
      </c>
      <c r="E119" s="359">
        <f t="shared" si="23"/>
        <v>0</v>
      </c>
      <c r="F119" s="360">
        <f t="shared" ca="1" si="21"/>
        <v>60</v>
      </c>
      <c r="G119" s="290">
        <f ca="1">KTVCOI!P118</f>
        <v>1.0065074905123501</v>
      </c>
      <c r="H119" s="295">
        <f t="shared" ca="1" si="35"/>
        <v>-6018.2668208916266</v>
      </c>
      <c r="I119" s="948"/>
      <c r="J119" s="296">
        <f t="shared" ca="1" si="22"/>
        <v>-6018.2668208916266</v>
      </c>
      <c r="K119" s="949"/>
      <c r="L119" s="949"/>
      <c r="M119" s="949"/>
      <c r="N119" s="950"/>
      <c r="O119" s="950"/>
      <c r="X119" s="945"/>
      <c r="Y119" s="945"/>
    </row>
    <row r="120" spans="2:25" ht="9.75" customHeight="1">
      <c r="B120" s="946"/>
      <c r="C120" s="946"/>
      <c r="D120" s="294">
        <f t="shared" ca="1" si="20"/>
        <v>49760</v>
      </c>
      <c r="E120" s="359">
        <f t="shared" si="23"/>
        <v>0</v>
      </c>
      <c r="F120" s="360">
        <f t="shared" ca="1" si="21"/>
        <v>60</v>
      </c>
      <c r="G120" s="290">
        <f ca="1">KTVCOI!P119</f>
        <v>1.0180901372008335</v>
      </c>
      <c r="H120" s="295">
        <f t="shared" ca="1" si="35"/>
        <v>-6086.8322685706644</v>
      </c>
      <c r="I120" s="948"/>
      <c r="J120" s="296">
        <f t="shared" ca="1" si="22"/>
        <v>-6086.8322685706644</v>
      </c>
      <c r="K120" s="949"/>
      <c r="L120" s="949"/>
      <c r="M120" s="949"/>
      <c r="N120" s="950"/>
      <c r="O120" s="950"/>
      <c r="X120" s="945"/>
      <c r="Y120" s="945"/>
    </row>
    <row r="121" spans="2:25" ht="9.75" customHeight="1">
      <c r="B121" s="946"/>
      <c r="C121" s="946"/>
      <c r="D121" s="294">
        <f t="shared" ca="1" si="20"/>
        <v>49791</v>
      </c>
      <c r="E121" s="359">
        <f t="shared" si="23"/>
        <v>0</v>
      </c>
      <c r="F121" s="360">
        <f t="shared" ca="1" si="21"/>
        <v>60</v>
      </c>
      <c r="G121" s="290">
        <f ca="1">KTVCOI!P120</f>
        <v>1.0296891254332039</v>
      </c>
      <c r="H121" s="295">
        <f t="shared" ca="1" si="35"/>
        <v>-6155.4944527990028</v>
      </c>
      <c r="I121" s="948"/>
      <c r="J121" s="296">
        <f t="shared" ca="1" si="22"/>
        <v>-6155.4944527990028</v>
      </c>
      <c r="K121" s="949"/>
      <c r="L121" s="949"/>
      <c r="M121" s="949"/>
      <c r="N121" s="950"/>
      <c r="O121" s="950"/>
      <c r="X121" s="945"/>
      <c r="Y121" s="945"/>
    </row>
    <row r="122" spans="2:25" ht="9.75" customHeight="1">
      <c r="B122" s="946"/>
      <c r="C122" s="946"/>
      <c r="D122" s="294">
        <f t="shared" ca="1" si="20"/>
        <v>49821</v>
      </c>
      <c r="E122" s="359">
        <f t="shared" si="23"/>
        <v>0</v>
      </c>
      <c r="F122" s="360">
        <f t="shared" ca="1" si="21"/>
        <v>60</v>
      </c>
      <c r="G122" s="290">
        <f ca="1">KTVCOI!P121</f>
        <v>1.0413044782651646</v>
      </c>
      <c r="H122" s="295">
        <f t="shared" ca="1" si="35"/>
        <v>-6224.2535100587957</v>
      </c>
      <c r="I122" s="948"/>
      <c r="J122" s="296">
        <f t="shared" ca="1" si="22"/>
        <v>-6224.2535100587957</v>
      </c>
      <c r="K122" s="949"/>
      <c r="L122" s="949"/>
      <c r="M122" s="949"/>
      <c r="N122" s="950"/>
      <c r="O122" s="950"/>
      <c r="X122" s="945"/>
      <c r="Y122" s="945"/>
    </row>
    <row r="123" spans="2:25" ht="9.75" customHeight="1">
      <c r="B123" s="946"/>
      <c r="C123" s="946"/>
      <c r="D123" s="294">
        <f t="shared" ca="1" si="20"/>
        <v>49852</v>
      </c>
      <c r="E123" s="359">
        <f t="shared" si="23"/>
        <v>0</v>
      </c>
      <c r="F123" s="360">
        <f t="shared" ca="1" si="21"/>
        <v>60</v>
      </c>
      <c r="G123" s="290">
        <f ca="1">KTVCOI!P122</f>
        <v>1.0529362187849463</v>
      </c>
      <c r="H123" s="295">
        <f t="shared" ca="1" si="35"/>
        <v>-6293.1095770247539</v>
      </c>
      <c r="I123" s="948"/>
      <c r="J123" s="297">
        <f ca="1">H123+I112</f>
        <v>-6293.1095770247539</v>
      </c>
      <c r="K123" s="949"/>
      <c r="L123" s="949"/>
      <c r="M123" s="949"/>
      <c r="N123" s="950"/>
      <c r="O123" s="950"/>
      <c r="X123" s="945"/>
      <c r="Y123" s="945"/>
    </row>
    <row r="124" spans="2:25" ht="9.75" customHeight="1">
      <c r="B124" s="951">
        <f>B112+1</f>
        <v>11</v>
      </c>
      <c r="C124" s="952">
        <f ca="1">C112+1</f>
        <v>40</v>
      </c>
      <c r="D124" s="287">
        <f t="shared" ca="1" si="20"/>
        <v>49882</v>
      </c>
      <c r="E124" s="359">
        <f t="shared" si="23"/>
        <v>0</v>
      </c>
      <c r="F124" s="289">
        <f t="shared" ca="1" si="21"/>
        <v>60</v>
      </c>
      <c r="G124" s="290">
        <f ca="1">KTVCOI!P123</f>
        <v>1.1589810137687255</v>
      </c>
      <c r="H124" s="290">
        <f ca="1">(J123+KTVBVGTTKcamket!F17-F124-G124)*(1+$V$3)</f>
        <v>-6359.5396659962071</v>
      </c>
      <c r="I124" s="953"/>
      <c r="J124" s="292">
        <f t="shared" ca="1" si="22"/>
        <v>-6359.5396659962071</v>
      </c>
      <c r="K124" s="949">
        <f ca="1">J135</f>
        <v>-7094.7308442159492</v>
      </c>
      <c r="L124" s="949"/>
      <c r="M124" s="949"/>
      <c r="N124" s="950">
        <f t="shared" ref="N124" ca="1" si="36">SUM(G124:G135)</f>
        <v>14.717964955455326</v>
      </c>
      <c r="O124" s="950"/>
      <c r="X124" s="945">
        <f t="shared" ref="X124:Y124" ca="1" si="37">SUM(F124:F135)</f>
        <v>720</v>
      </c>
      <c r="Y124" s="945">
        <f t="shared" ca="1" si="37"/>
        <v>14.717964955455326</v>
      </c>
    </row>
    <row r="125" spans="2:25" ht="9.75" customHeight="1">
      <c r="B125" s="951"/>
      <c r="C125" s="951"/>
      <c r="D125" s="287">
        <f t="shared" ca="1" si="20"/>
        <v>49913</v>
      </c>
      <c r="E125" s="359">
        <f t="shared" si="23"/>
        <v>0</v>
      </c>
      <c r="F125" s="289">
        <f t="shared" ca="1" si="21"/>
        <v>60</v>
      </c>
      <c r="G125" s="290">
        <f ca="1">KTVCOI!P124</f>
        <v>1.1712152218209682</v>
      </c>
      <c r="H125" s="290">
        <f ca="1">(H124-F125-G125)*(1+$V$3)</f>
        <v>-6426.0371056151953</v>
      </c>
      <c r="I125" s="953"/>
      <c r="J125" s="292">
        <f t="shared" ca="1" si="22"/>
        <v>-6426.0371056151953</v>
      </c>
      <c r="K125" s="949"/>
      <c r="L125" s="949"/>
      <c r="M125" s="949"/>
      <c r="N125" s="950"/>
      <c r="O125" s="950"/>
      <c r="X125" s="945"/>
      <c r="Y125" s="945"/>
    </row>
    <row r="126" spans="2:25" ht="9.75" customHeight="1">
      <c r="B126" s="951"/>
      <c r="C126" s="951"/>
      <c r="D126" s="287">
        <f t="shared" ca="1" si="20"/>
        <v>49944</v>
      </c>
      <c r="E126" s="359">
        <f t="shared" si="23"/>
        <v>0</v>
      </c>
      <c r="F126" s="289">
        <f t="shared" ca="1" si="21"/>
        <v>60</v>
      </c>
      <c r="G126" s="290">
        <f ca="1">KTVCOI!P125</f>
        <v>1.1834618336174649</v>
      </c>
      <c r="H126" s="290">
        <f t="shared" ref="H126:H135" ca="1" si="38">(H125-F126-G126)*(1+$V$3)</f>
        <v>-6492.6019641656821</v>
      </c>
      <c r="I126" s="953"/>
      <c r="J126" s="292">
        <f t="shared" ca="1" si="22"/>
        <v>-6492.6019641656821</v>
      </c>
      <c r="K126" s="949"/>
      <c r="L126" s="949"/>
      <c r="M126" s="949"/>
      <c r="N126" s="950"/>
      <c r="O126" s="950"/>
      <c r="X126" s="945"/>
      <c r="Y126" s="945"/>
    </row>
    <row r="127" spans="2:25" ht="9.75" customHeight="1">
      <c r="B127" s="951"/>
      <c r="C127" s="951"/>
      <c r="D127" s="287">
        <f t="shared" ca="1" si="20"/>
        <v>49974</v>
      </c>
      <c r="E127" s="359">
        <f t="shared" si="23"/>
        <v>0</v>
      </c>
      <c r="F127" s="289">
        <f t="shared" ca="1" si="21"/>
        <v>60</v>
      </c>
      <c r="G127" s="290">
        <f ca="1">KTVCOI!P126</f>
        <v>1.1957208617338464</v>
      </c>
      <c r="H127" s="290">
        <f t="shared" ca="1" si="38"/>
        <v>-6559.2343100008602</v>
      </c>
      <c r="I127" s="953"/>
      <c r="J127" s="292">
        <f t="shared" ca="1" si="22"/>
        <v>-6559.2343100008602</v>
      </c>
      <c r="K127" s="949"/>
      <c r="L127" s="949"/>
      <c r="M127" s="949"/>
      <c r="N127" s="950"/>
      <c r="O127" s="950"/>
      <c r="X127" s="945"/>
      <c r="Y127" s="945"/>
    </row>
    <row r="128" spans="2:25" ht="9.75" customHeight="1">
      <c r="B128" s="951"/>
      <c r="C128" s="951"/>
      <c r="D128" s="287">
        <f t="shared" ca="1" si="20"/>
        <v>50005</v>
      </c>
      <c r="E128" s="359">
        <f t="shared" si="23"/>
        <v>0</v>
      </c>
      <c r="F128" s="289">
        <f t="shared" ca="1" si="21"/>
        <v>60</v>
      </c>
      <c r="G128" s="290">
        <f ca="1">KTVCOI!P127</f>
        <v>1.2079923187584918</v>
      </c>
      <c r="H128" s="290">
        <f t="shared" ca="1" si="38"/>
        <v>-6625.9342115432228</v>
      </c>
      <c r="I128" s="953"/>
      <c r="J128" s="292">
        <f t="shared" ca="1" si="22"/>
        <v>-6625.9342115432228</v>
      </c>
      <c r="K128" s="949"/>
      <c r="L128" s="949"/>
      <c r="M128" s="949"/>
      <c r="N128" s="950"/>
      <c r="O128" s="950"/>
      <c r="X128" s="945"/>
      <c r="Y128" s="945"/>
    </row>
    <row r="129" spans="2:25" ht="9.75" customHeight="1">
      <c r="B129" s="951"/>
      <c r="C129" s="951"/>
      <c r="D129" s="287">
        <f t="shared" ca="1" si="20"/>
        <v>50035</v>
      </c>
      <c r="E129" s="359">
        <f t="shared" si="23"/>
        <v>0</v>
      </c>
      <c r="F129" s="289">
        <f t="shared" ca="1" si="21"/>
        <v>60</v>
      </c>
      <c r="G129" s="290">
        <f ca="1">KTVCOI!P128</f>
        <v>1.2202762172925434</v>
      </c>
      <c r="H129" s="290">
        <f t="shared" ca="1" si="38"/>
        <v>-6692.701737284634</v>
      </c>
      <c r="I129" s="953"/>
      <c r="J129" s="292">
        <f t="shared" ca="1" si="22"/>
        <v>-6692.701737284634</v>
      </c>
      <c r="K129" s="949"/>
      <c r="L129" s="949"/>
      <c r="M129" s="949"/>
      <c r="N129" s="950"/>
      <c r="O129" s="950"/>
      <c r="X129" s="945"/>
      <c r="Y129" s="945"/>
    </row>
    <row r="130" spans="2:25" ht="9.75" customHeight="1">
      <c r="B130" s="951"/>
      <c r="C130" s="951"/>
      <c r="D130" s="287">
        <f t="shared" ca="1" si="20"/>
        <v>50066</v>
      </c>
      <c r="E130" s="359">
        <f t="shared" si="23"/>
        <v>0</v>
      </c>
      <c r="F130" s="289">
        <f t="shared" ca="1" si="21"/>
        <v>60</v>
      </c>
      <c r="G130" s="290">
        <f ca="1">KTVCOI!P129</f>
        <v>1.2325725699499201</v>
      </c>
      <c r="H130" s="290">
        <f t="shared" ca="1" si="38"/>
        <v>-6759.5369557863987</v>
      </c>
      <c r="I130" s="953"/>
      <c r="J130" s="292">
        <f t="shared" ca="1" si="22"/>
        <v>-6759.5369557863987</v>
      </c>
      <c r="K130" s="949"/>
      <c r="L130" s="949"/>
      <c r="M130" s="949"/>
      <c r="N130" s="950"/>
      <c r="O130" s="950"/>
      <c r="X130" s="945"/>
      <c r="Y130" s="945"/>
    </row>
    <row r="131" spans="2:25" ht="9.75" customHeight="1">
      <c r="B131" s="951"/>
      <c r="C131" s="951"/>
      <c r="D131" s="287">
        <f t="shared" ca="1" si="20"/>
        <v>50097</v>
      </c>
      <c r="E131" s="359">
        <f t="shared" si="23"/>
        <v>0</v>
      </c>
      <c r="F131" s="289">
        <f t="shared" ca="1" si="21"/>
        <v>60</v>
      </c>
      <c r="G131" s="290">
        <f ca="1">KTVCOI!P130</f>
        <v>1.2448813893573285</v>
      </c>
      <c r="H131" s="290">
        <f t="shared" ca="1" si="38"/>
        <v>-6826.4399356793328</v>
      </c>
      <c r="I131" s="953"/>
      <c r="J131" s="292">
        <f t="shared" ca="1" si="22"/>
        <v>-6826.4399356793328</v>
      </c>
      <c r="K131" s="949"/>
      <c r="L131" s="949"/>
      <c r="M131" s="949"/>
      <c r="N131" s="950"/>
      <c r="O131" s="950"/>
      <c r="X131" s="945"/>
      <c r="Y131" s="945"/>
    </row>
    <row r="132" spans="2:25" ht="9.75" customHeight="1">
      <c r="B132" s="951"/>
      <c r="C132" s="951"/>
      <c r="D132" s="287">
        <f t="shared" ca="1" si="20"/>
        <v>50125</v>
      </c>
      <c r="E132" s="359">
        <f t="shared" si="23"/>
        <v>0</v>
      </c>
      <c r="F132" s="289">
        <f t="shared" ca="1" si="21"/>
        <v>60</v>
      </c>
      <c r="G132" s="290">
        <f ca="1">KTVCOI!P131</f>
        <v>1.2572026881542773</v>
      </c>
      <c r="H132" s="290">
        <f t="shared" ca="1" si="38"/>
        <v>-6893.4107456638358</v>
      </c>
      <c r="I132" s="953"/>
      <c r="J132" s="292">
        <f t="shared" ca="1" si="22"/>
        <v>-6893.4107456638358</v>
      </c>
      <c r="K132" s="949"/>
      <c r="L132" s="949"/>
      <c r="M132" s="949"/>
      <c r="N132" s="950"/>
      <c r="O132" s="950"/>
      <c r="X132" s="945"/>
      <c r="Y132" s="945"/>
    </row>
    <row r="133" spans="2:25" ht="9.75" customHeight="1">
      <c r="B133" s="951"/>
      <c r="C133" s="951"/>
      <c r="D133" s="287">
        <f t="shared" ref="D133:D196" ca="1" si="39">EDATE(D132,1)</f>
        <v>50156</v>
      </c>
      <c r="E133" s="359">
        <f t="shared" si="23"/>
        <v>0</v>
      </c>
      <c r="F133" s="289">
        <f t="shared" ref="F133:F196" ca="1" si="40">IF(YEAR(D133)=2025,40000,IF(YEAR(D133)=2026,40000,IF(YEAR(D133)=2027,40000,IF(YEAR(D133)=2028,40000,IF(YEAR(D133)=2029,40000,IF(YEAR(D133)=2030,50000,IF(YEAR(D133)=2031,50000,IF(YEAR(D133)=2032,50000,IF(YEAR(D133)=2033,50000,IF(YEAR(D133)=2034,50000,IF(YEAR(D133)&gt;=2035,60000,0)))))))))))/1000</f>
        <v>60</v>
      </c>
      <c r="G133" s="290">
        <f ca="1">KTVCOI!P132</f>
        <v>1.2695364789930896</v>
      </c>
      <c r="H133" s="290">
        <f t="shared" ca="1" si="38"/>
        <v>-6960.4494545099587</v>
      </c>
      <c r="I133" s="953"/>
      <c r="J133" s="292">
        <f t="shared" ref="J133:J196" ca="1" si="41">H133</f>
        <v>-6960.4494545099587</v>
      </c>
      <c r="K133" s="949"/>
      <c r="L133" s="949"/>
      <c r="M133" s="949"/>
      <c r="N133" s="950"/>
      <c r="O133" s="950"/>
      <c r="X133" s="945"/>
      <c r="Y133" s="945"/>
    </row>
    <row r="134" spans="2:25" ht="9.75" customHeight="1">
      <c r="B134" s="951"/>
      <c r="C134" s="951"/>
      <c r="D134" s="287">
        <f t="shared" ca="1" si="39"/>
        <v>50186</v>
      </c>
      <c r="E134" s="359">
        <f t="shared" ref="E134:E197" si="42">E133</f>
        <v>0</v>
      </c>
      <c r="F134" s="289">
        <f t="shared" ca="1" si="40"/>
        <v>60</v>
      </c>
      <c r="G134" s="290">
        <f ca="1">KTVCOI!P133</f>
        <v>1.2818827745389174</v>
      </c>
      <c r="H134" s="290">
        <f t="shared" ca="1" si="38"/>
        <v>-7027.556131057474</v>
      </c>
      <c r="I134" s="953"/>
      <c r="J134" s="292">
        <f t="shared" ca="1" si="41"/>
        <v>-7027.556131057474</v>
      </c>
      <c r="K134" s="949"/>
      <c r="L134" s="949"/>
      <c r="M134" s="949"/>
      <c r="N134" s="950"/>
      <c r="O134" s="950"/>
      <c r="X134" s="945"/>
      <c r="Y134" s="945"/>
    </row>
    <row r="135" spans="2:25" ht="9.75" customHeight="1">
      <c r="B135" s="951"/>
      <c r="C135" s="951"/>
      <c r="D135" s="287">
        <f t="shared" ca="1" si="39"/>
        <v>50217</v>
      </c>
      <c r="E135" s="359">
        <f t="shared" si="42"/>
        <v>0</v>
      </c>
      <c r="F135" s="289">
        <f t="shared" ca="1" si="40"/>
        <v>60</v>
      </c>
      <c r="G135" s="290">
        <f ca="1">KTVCOI!P134</f>
        <v>1.2942415874697515</v>
      </c>
      <c r="H135" s="290">
        <f t="shared" ca="1" si="38"/>
        <v>-7094.7308442159492</v>
      </c>
      <c r="I135" s="953"/>
      <c r="J135" s="293">
        <f ca="1">H135+I124</f>
        <v>-7094.7308442159492</v>
      </c>
      <c r="K135" s="949"/>
      <c r="L135" s="949"/>
      <c r="M135" s="949"/>
      <c r="N135" s="950"/>
      <c r="O135" s="950"/>
      <c r="X135" s="945"/>
      <c r="Y135" s="945"/>
    </row>
    <row r="136" spans="2:25" ht="9.75" customHeight="1">
      <c r="B136" s="946">
        <f>B124+1</f>
        <v>12</v>
      </c>
      <c r="C136" s="947">
        <f ca="1">C124+1</f>
        <v>41</v>
      </c>
      <c r="D136" s="294">
        <f t="shared" ca="1" si="39"/>
        <v>50247</v>
      </c>
      <c r="E136" s="359">
        <f t="shared" si="42"/>
        <v>0</v>
      </c>
      <c r="F136" s="360">
        <f t="shared" ca="1" si="40"/>
        <v>60</v>
      </c>
      <c r="G136" s="290">
        <f ca="1">KTVCOI!P135</f>
        <v>1.4130338931396766</v>
      </c>
      <c r="H136" s="295">
        <f ca="1">(J135+KTVBVGTTKcamket!F18-F136-G136)*(1+$V$3)</f>
        <v>-7162.0801722077258</v>
      </c>
      <c r="I136" s="948"/>
      <c r="J136" s="296">
        <f t="shared" ca="1" si="41"/>
        <v>-7162.0801722077258</v>
      </c>
      <c r="K136" s="949">
        <f ca="1">J147</f>
        <v>-7907.5118856054451</v>
      </c>
      <c r="L136" s="949"/>
      <c r="M136" s="949"/>
      <c r="N136" s="950">
        <f t="shared" ref="N136" ca="1" si="43">SUM(G136:G147)</f>
        <v>17.844756893513281</v>
      </c>
      <c r="O136" s="950"/>
      <c r="X136" s="945">
        <f t="shared" ref="X136:Y136" ca="1" si="44">SUM(F136:F147)</f>
        <v>720</v>
      </c>
      <c r="Y136" s="945">
        <f t="shared" ca="1" si="44"/>
        <v>17.844756893513281</v>
      </c>
    </row>
    <row r="137" spans="2:25" ht="9.75" customHeight="1">
      <c r="B137" s="946"/>
      <c r="C137" s="946"/>
      <c r="D137" s="294">
        <f t="shared" ca="1" si="39"/>
        <v>50278</v>
      </c>
      <c r="E137" s="359">
        <f t="shared" si="42"/>
        <v>0</v>
      </c>
      <c r="F137" s="360">
        <f t="shared" ca="1" si="40"/>
        <v>60</v>
      </c>
      <c r="G137" s="290">
        <f ca="1">KTVCOI!P136</f>
        <v>1.4264476342980388</v>
      </c>
      <c r="H137" s="295">
        <f ca="1">(H136-F137-G137)*(1+$V$3)</f>
        <v>-7229.498793902414</v>
      </c>
      <c r="I137" s="948"/>
      <c r="J137" s="296">
        <f t="shared" ca="1" si="41"/>
        <v>-7229.498793902414</v>
      </c>
      <c r="K137" s="949"/>
      <c r="L137" s="949"/>
      <c r="M137" s="949"/>
      <c r="N137" s="950"/>
      <c r="O137" s="950"/>
      <c r="X137" s="945"/>
      <c r="Y137" s="945"/>
    </row>
    <row r="138" spans="2:25" ht="9.75" customHeight="1">
      <c r="B138" s="946"/>
      <c r="C138" s="946"/>
      <c r="D138" s="294">
        <f t="shared" ca="1" si="39"/>
        <v>50309</v>
      </c>
      <c r="E138" s="359">
        <f t="shared" si="42"/>
        <v>0</v>
      </c>
      <c r="F138" s="360">
        <f t="shared" ca="1" si="40"/>
        <v>60</v>
      </c>
      <c r="G138" s="290">
        <f ca="1">KTVCOI!P137</f>
        <v>1.4398751764522311</v>
      </c>
      <c r="H138" s="295">
        <f t="shared" ref="H138:H147" ca="1" si="45">(H137-F138-G138)*(1+$V$3)</f>
        <v>-7296.9867805942276</v>
      </c>
      <c r="I138" s="948"/>
      <c r="J138" s="296">
        <f t="shared" ca="1" si="41"/>
        <v>-7296.9867805942276</v>
      </c>
      <c r="K138" s="949"/>
      <c r="L138" s="949"/>
      <c r="M138" s="949"/>
      <c r="N138" s="950"/>
      <c r="O138" s="950"/>
      <c r="X138" s="945"/>
      <c r="Y138" s="945"/>
    </row>
    <row r="139" spans="2:25" ht="9.75" customHeight="1">
      <c r="B139" s="946"/>
      <c r="C139" s="946"/>
      <c r="D139" s="294">
        <f t="shared" ca="1" si="39"/>
        <v>50339</v>
      </c>
      <c r="E139" s="359">
        <f t="shared" si="42"/>
        <v>0</v>
      </c>
      <c r="F139" s="360">
        <f t="shared" ca="1" si="40"/>
        <v>60</v>
      </c>
      <c r="G139" s="290">
        <f ca="1">KTVCOI!P138</f>
        <v>1.4533165338016838</v>
      </c>
      <c r="H139" s="295">
        <f t="shared" ca="1" si="45"/>
        <v>-7364.5442036507302</v>
      </c>
      <c r="I139" s="948"/>
      <c r="J139" s="296">
        <f t="shared" ca="1" si="41"/>
        <v>-7364.5442036507302</v>
      </c>
      <c r="K139" s="949"/>
      <c r="L139" s="949"/>
      <c r="M139" s="949"/>
      <c r="N139" s="950"/>
      <c r="O139" s="950"/>
      <c r="X139" s="945"/>
      <c r="Y139" s="945"/>
    </row>
    <row r="140" spans="2:25" ht="9.75" customHeight="1">
      <c r="B140" s="946"/>
      <c r="C140" s="946"/>
      <c r="D140" s="294">
        <f t="shared" ca="1" si="39"/>
        <v>50370</v>
      </c>
      <c r="E140" s="359">
        <f t="shared" si="42"/>
        <v>0</v>
      </c>
      <c r="F140" s="360">
        <f t="shared" ca="1" si="40"/>
        <v>60</v>
      </c>
      <c r="G140" s="290">
        <f ca="1">KTVCOI!P139</f>
        <v>1.4667717205604369</v>
      </c>
      <c r="H140" s="295">
        <f t="shared" ca="1" si="45"/>
        <v>-7432.1711345129143</v>
      </c>
      <c r="I140" s="948"/>
      <c r="J140" s="296">
        <f t="shared" ca="1" si="41"/>
        <v>-7432.1711345129143</v>
      </c>
      <c r="K140" s="949"/>
      <c r="L140" s="949"/>
      <c r="M140" s="949"/>
      <c r="N140" s="950"/>
      <c r="O140" s="950"/>
      <c r="X140" s="945"/>
      <c r="Y140" s="945"/>
    </row>
    <row r="141" spans="2:25" ht="9.75" customHeight="1">
      <c r="B141" s="946"/>
      <c r="C141" s="946"/>
      <c r="D141" s="294">
        <f t="shared" ca="1" si="39"/>
        <v>50400</v>
      </c>
      <c r="E141" s="359">
        <f t="shared" si="42"/>
        <v>0</v>
      </c>
      <c r="F141" s="360">
        <f t="shared" ca="1" si="40"/>
        <v>60</v>
      </c>
      <c r="G141" s="290">
        <f ca="1">KTVCOI!P140</f>
        <v>1.4802407509571553</v>
      </c>
      <c r="H141" s="295">
        <f t="shared" ca="1" si="45"/>
        <v>-7499.867644695275</v>
      </c>
      <c r="I141" s="948"/>
      <c r="J141" s="296">
        <f t="shared" ca="1" si="41"/>
        <v>-7499.867644695275</v>
      </c>
      <c r="K141" s="949"/>
      <c r="L141" s="949"/>
      <c r="M141" s="949"/>
      <c r="N141" s="950"/>
      <c r="O141" s="950"/>
      <c r="X141" s="945"/>
      <c r="Y141" s="945"/>
    </row>
    <row r="142" spans="2:25" ht="9.75" customHeight="1">
      <c r="B142" s="946"/>
      <c r="C142" s="946"/>
      <c r="D142" s="294">
        <f t="shared" ca="1" si="39"/>
        <v>50431</v>
      </c>
      <c r="E142" s="359">
        <f t="shared" si="42"/>
        <v>0</v>
      </c>
      <c r="F142" s="360">
        <f t="shared" ca="1" si="40"/>
        <v>60</v>
      </c>
      <c r="G142" s="290">
        <f ca="1">KTVCOI!P141</f>
        <v>1.4937236392351423</v>
      </c>
      <c r="H142" s="295">
        <f t="shared" ca="1" si="45"/>
        <v>-7567.6338057858884</v>
      </c>
      <c r="I142" s="948"/>
      <c r="J142" s="296">
        <f t="shared" ca="1" si="41"/>
        <v>-7567.6338057858884</v>
      </c>
      <c r="K142" s="949"/>
      <c r="L142" s="949"/>
      <c r="M142" s="949"/>
      <c r="N142" s="950"/>
      <c r="O142" s="950"/>
      <c r="X142" s="945"/>
      <c r="Y142" s="945"/>
    </row>
    <row r="143" spans="2:25" ht="9.75" customHeight="1">
      <c r="B143" s="946"/>
      <c r="C143" s="946"/>
      <c r="D143" s="294">
        <f t="shared" ca="1" si="39"/>
        <v>50462</v>
      </c>
      <c r="E143" s="359">
        <f t="shared" si="42"/>
        <v>0</v>
      </c>
      <c r="F143" s="360">
        <f t="shared" ca="1" si="40"/>
        <v>60</v>
      </c>
      <c r="G143" s="290">
        <f ca="1">KTVCOI!P142</f>
        <v>1.5072203996523561</v>
      </c>
      <c r="H143" s="295">
        <f t="shared" ca="1" si="45"/>
        <v>-7635.4696894464832</v>
      </c>
      <c r="I143" s="948"/>
      <c r="J143" s="296">
        <f t="shared" ca="1" si="41"/>
        <v>-7635.4696894464832</v>
      </c>
      <c r="K143" s="949"/>
      <c r="L143" s="949"/>
      <c r="M143" s="949"/>
      <c r="N143" s="950"/>
      <c r="O143" s="950"/>
      <c r="X143" s="945"/>
      <c r="Y143" s="945"/>
    </row>
    <row r="144" spans="2:25" ht="9.75" customHeight="1">
      <c r="B144" s="946"/>
      <c r="C144" s="946"/>
      <c r="D144" s="294">
        <f t="shared" ca="1" si="39"/>
        <v>50490</v>
      </c>
      <c r="E144" s="359">
        <f t="shared" si="42"/>
        <v>0</v>
      </c>
      <c r="F144" s="360">
        <f t="shared" ca="1" si="40"/>
        <v>60</v>
      </c>
      <c r="G144" s="290">
        <f ca="1">KTVCOI!P143</f>
        <v>1.5207310464814245</v>
      </c>
      <c r="H144" s="295">
        <f t="shared" ca="1" si="45"/>
        <v>-7703.375367412521</v>
      </c>
      <c r="I144" s="948"/>
      <c r="J144" s="296">
        <f t="shared" ca="1" si="41"/>
        <v>-7703.375367412521</v>
      </c>
      <c r="K144" s="949"/>
      <c r="L144" s="949"/>
      <c r="M144" s="949"/>
      <c r="N144" s="950"/>
      <c r="O144" s="950"/>
      <c r="X144" s="945"/>
      <c r="Y144" s="945"/>
    </row>
    <row r="145" spans="2:25" ht="9.75" customHeight="1">
      <c r="B145" s="946"/>
      <c r="C145" s="946"/>
      <c r="D145" s="294">
        <f t="shared" ca="1" si="39"/>
        <v>50521</v>
      </c>
      <c r="E145" s="359">
        <f t="shared" si="42"/>
        <v>0</v>
      </c>
      <c r="F145" s="360">
        <f t="shared" ca="1" si="40"/>
        <v>60</v>
      </c>
      <c r="G145" s="290">
        <f ca="1">KTVCOI!P144</f>
        <v>1.5342555940096607</v>
      </c>
      <c r="H145" s="295">
        <f t="shared" ca="1" si="45"/>
        <v>-7771.3509114932676</v>
      </c>
      <c r="I145" s="948"/>
      <c r="J145" s="296">
        <f t="shared" ca="1" si="41"/>
        <v>-7771.3509114932676</v>
      </c>
      <c r="K145" s="949"/>
      <c r="L145" s="949"/>
      <c r="M145" s="949"/>
      <c r="N145" s="950"/>
      <c r="O145" s="950"/>
      <c r="X145" s="945"/>
      <c r="Y145" s="945"/>
    </row>
    <row r="146" spans="2:25" ht="9.75" customHeight="1">
      <c r="B146" s="946"/>
      <c r="C146" s="946"/>
      <c r="D146" s="294">
        <f t="shared" ca="1" si="39"/>
        <v>50551</v>
      </c>
      <c r="E146" s="359">
        <f t="shared" si="42"/>
        <v>0</v>
      </c>
      <c r="F146" s="360">
        <f t="shared" ca="1" si="40"/>
        <v>60</v>
      </c>
      <c r="G146" s="290">
        <f ca="1">KTVCOI!P145</f>
        <v>1.547794056539076</v>
      </c>
      <c r="H146" s="295">
        <f t="shared" ca="1" si="45"/>
        <v>-7839.396393571873</v>
      </c>
      <c r="I146" s="948"/>
      <c r="J146" s="296">
        <f t="shared" ca="1" si="41"/>
        <v>-7839.396393571873</v>
      </c>
      <c r="K146" s="949"/>
      <c r="L146" s="949"/>
      <c r="M146" s="949"/>
      <c r="N146" s="950"/>
      <c r="O146" s="950"/>
      <c r="X146" s="945"/>
      <c r="Y146" s="945"/>
    </row>
    <row r="147" spans="2:25" ht="9.75" customHeight="1">
      <c r="B147" s="946"/>
      <c r="C147" s="946"/>
      <c r="D147" s="294">
        <f t="shared" ca="1" si="39"/>
        <v>50582</v>
      </c>
      <c r="E147" s="359">
        <f t="shared" si="42"/>
        <v>0</v>
      </c>
      <c r="F147" s="360">
        <f t="shared" ca="1" si="40"/>
        <v>60</v>
      </c>
      <c r="G147" s="290">
        <f ca="1">KTVCOI!P146</f>
        <v>1.5613464483863984</v>
      </c>
      <c r="H147" s="295">
        <f t="shared" ca="1" si="45"/>
        <v>-7907.5118856054451</v>
      </c>
      <c r="I147" s="948"/>
      <c r="J147" s="297">
        <f ca="1">H147+I136</f>
        <v>-7907.5118856054451</v>
      </c>
      <c r="K147" s="949"/>
      <c r="L147" s="949"/>
      <c r="M147" s="949"/>
      <c r="N147" s="950"/>
      <c r="O147" s="950"/>
      <c r="X147" s="945"/>
      <c r="Y147" s="945"/>
    </row>
    <row r="148" spans="2:25" ht="9.75" customHeight="1">
      <c r="B148" s="951">
        <f>B136+1</f>
        <v>13</v>
      </c>
      <c r="C148" s="952">
        <f ca="1">C136+1</f>
        <v>42</v>
      </c>
      <c r="D148" s="287">
        <f t="shared" ca="1" si="39"/>
        <v>50612</v>
      </c>
      <c r="E148" s="359">
        <f t="shared" si="42"/>
        <v>0</v>
      </c>
      <c r="F148" s="289">
        <f t="shared" ca="1" si="40"/>
        <v>60</v>
      </c>
      <c r="G148" s="290">
        <f ca="1">KTVCOI!P147</f>
        <v>1.7132942418811801</v>
      </c>
      <c r="H148" s="290">
        <f ca="1">(J147+KTVBVGTTKcamket!F19-F148-G148)*(1+$V$3)</f>
        <v>-7975.8359558758166</v>
      </c>
      <c r="I148" s="953"/>
      <c r="J148" s="292">
        <f t="shared" ca="1" si="41"/>
        <v>-7975.8359558758166</v>
      </c>
      <c r="K148" s="949">
        <f ca="1">J159</f>
        <v>-8732.1357801769627</v>
      </c>
      <c r="L148" s="949"/>
      <c r="M148" s="949"/>
      <c r="N148" s="950">
        <f t="shared" ref="N148" ca="1" si="46">SUM(G148:G159)</f>
        <v>21.539980989073818</v>
      </c>
      <c r="O148" s="950"/>
      <c r="X148" s="945">
        <f t="shared" ref="X148:Y148" ca="1" si="47">SUM(F148:F159)</f>
        <v>720</v>
      </c>
      <c r="Y148" s="945">
        <f t="shared" ca="1" si="47"/>
        <v>21.539980989073818</v>
      </c>
    </row>
    <row r="149" spans="2:25" ht="9.75" customHeight="1">
      <c r="B149" s="951"/>
      <c r="C149" s="951"/>
      <c r="D149" s="287">
        <f t="shared" ca="1" si="39"/>
        <v>50643</v>
      </c>
      <c r="E149" s="359">
        <f t="shared" si="42"/>
        <v>0</v>
      </c>
      <c r="F149" s="289">
        <f t="shared" ca="1" si="40"/>
        <v>60</v>
      </c>
      <c r="G149" s="290">
        <f ca="1">KTVCOI!P148</f>
        <v>1.7280977904397601</v>
      </c>
      <c r="H149" s="290">
        <f ca="1">(H148-F149-G149)*(1+$V$3)</f>
        <v>-8044.2315193952718</v>
      </c>
      <c r="I149" s="953"/>
      <c r="J149" s="292">
        <f t="shared" ca="1" si="41"/>
        <v>-8044.2315193952718</v>
      </c>
      <c r="K149" s="949"/>
      <c r="L149" s="949"/>
      <c r="M149" s="949"/>
      <c r="N149" s="950"/>
      <c r="O149" s="950"/>
      <c r="X149" s="945"/>
      <c r="Y149" s="945"/>
    </row>
    <row r="150" spans="2:25" ht="9.75" customHeight="1">
      <c r="B150" s="951"/>
      <c r="C150" s="951"/>
      <c r="D150" s="287">
        <f t="shared" ca="1" si="39"/>
        <v>50674</v>
      </c>
      <c r="E150" s="359">
        <f t="shared" si="42"/>
        <v>0</v>
      </c>
      <c r="F150" s="289">
        <f t="shared" ca="1" si="40"/>
        <v>60</v>
      </c>
      <c r="G150" s="290">
        <f ca="1">KTVCOI!P149</f>
        <v>1.7429168292023089</v>
      </c>
      <c r="H150" s="290">
        <f t="shared" ref="H150:H159" ca="1" si="48">(H149-F150-G150)*(1+$V$3)</f>
        <v>-8112.6986509732378</v>
      </c>
      <c r="I150" s="953"/>
      <c r="J150" s="292">
        <f t="shared" ca="1" si="41"/>
        <v>-8112.6986509732378</v>
      </c>
      <c r="K150" s="949"/>
      <c r="L150" s="949"/>
      <c r="M150" s="949"/>
      <c r="N150" s="950"/>
      <c r="O150" s="950"/>
      <c r="X150" s="945"/>
      <c r="Y150" s="945"/>
    </row>
    <row r="151" spans="2:25" ht="9.75" customHeight="1">
      <c r="B151" s="951"/>
      <c r="C151" s="951"/>
      <c r="D151" s="287">
        <f t="shared" ca="1" si="39"/>
        <v>50704</v>
      </c>
      <c r="E151" s="359">
        <f t="shared" si="42"/>
        <v>0</v>
      </c>
      <c r="F151" s="289">
        <f t="shared" ca="1" si="40"/>
        <v>60</v>
      </c>
      <c r="G151" s="290">
        <f ca="1">KTVCOI!P150</f>
        <v>1.757751374377535</v>
      </c>
      <c r="H151" s="290">
        <f t="shared" ca="1" si="48"/>
        <v>-8181.2374254974238</v>
      </c>
      <c r="I151" s="953"/>
      <c r="J151" s="292">
        <f t="shared" ca="1" si="41"/>
        <v>-8181.2374254974238</v>
      </c>
      <c r="K151" s="949"/>
      <c r="L151" s="949"/>
      <c r="M151" s="949"/>
      <c r="N151" s="950"/>
      <c r="O151" s="950"/>
      <c r="X151" s="945"/>
      <c r="Y151" s="945"/>
    </row>
    <row r="152" spans="2:25" ht="9.75" customHeight="1">
      <c r="B152" s="951"/>
      <c r="C152" s="951"/>
      <c r="D152" s="287">
        <f t="shared" ca="1" si="39"/>
        <v>50735</v>
      </c>
      <c r="E152" s="359">
        <f t="shared" si="42"/>
        <v>0</v>
      </c>
      <c r="F152" s="289">
        <f t="shared" ca="1" si="40"/>
        <v>60</v>
      </c>
      <c r="G152" s="290">
        <f ca="1">KTVCOI!P151</f>
        <v>1.7726014421911085</v>
      </c>
      <c r="H152" s="290">
        <f t="shared" ca="1" si="48"/>
        <v>-8249.8479179338992</v>
      </c>
      <c r="I152" s="953"/>
      <c r="J152" s="292">
        <f t="shared" ca="1" si="41"/>
        <v>-8249.8479179338992</v>
      </c>
      <c r="K152" s="949"/>
      <c r="L152" s="949"/>
      <c r="M152" s="949"/>
      <c r="N152" s="950"/>
      <c r="O152" s="950"/>
      <c r="X152" s="945"/>
      <c r="Y152" s="945"/>
    </row>
    <row r="153" spans="2:25" ht="9.75" customHeight="1">
      <c r="B153" s="951"/>
      <c r="C153" s="951"/>
      <c r="D153" s="287">
        <f t="shared" ca="1" si="39"/>
        <v>50765</v>
      </c>
      <c r="E153" s="359">
        <f t="shared" si="42"/>
        <v>0</v>
      </c>
      <c r="F153" s="289">
        <f t="shared" ca="1" si="40"/>
        <v>60</v>
      </c>
      <c r="G153" s="290">
        <f ca="1">KTVCOI!P152</f>
        <v>1.7874670488856781</v>
      </c>
      <c r="H153" s="290">
        <f t="shared" ca="1" si="48"/>
        <v>-8318.5302033271764</v>
      </c>
      <c r="I153" s="953"/>
      <c r="J153" s="292">
        <f t="shared" ca="1" si="41"/>
        <v>-8318.5302033271764</v>
      </c>
      <c r="K153" s="949"/>
      <c r="L153" s="949"/>
      <c r="M153" s="949"/>
      <c r="N153" s="950"/>
      <c r="O153" s="950"/>
      <c r="X153" s="945"/>
      <c r="Y153" s="945"/>
    </row>
    <row r="154" spans="2:25" ht="9.75" customHeight="1">
      <c r="B154" s="951"/>
      <c r="C154" s="951"/>
      <c r="D154" s="287">
        <f t="shared" ca="1" si="39"/>
        <v>50796</v>
      </c>
      <c r="E154" s="359">
        <f t="shared" si="42"/>
        <v>0</v>
      </c>
      <c r="F154" s="289">
        <f t="shared" ca="1" si="40"/>
        <v>60</v>
      </c>
      <c r="G154" s="290">
        <f ca="1">KTVCOI!P153</f>
        <v>1.8023482107208884</v>
      </c>
      <c r="H154" s="290">
        <f t="shared" ca="1" si="48"/>
        <v>-8387.2843568002936</v>
      </c>
      <c r="I154" s="953"/>
      <c r="J154" s="292">
        <f t="shared" ca="1" si="41"/>
        <v>-8387.2843568002936</v>
      </c>
      <c r="K154" s="949"/>
      <c r="L154" s="949"/>
      <c r="M154" s="949"/>
      <c r="N154" s="950"/>
      <c r="O154" s="950"/>
      <c r="X154" s="945"/>
      <c r="Y154" s="945"/>
    </row>
    <row r="155" spans="2:25" ht="9.75" customHeight="1">
      <c r="B155" s="951"/>
      <c r="C155" s="951"/>
      <c r="D155" s="287">
        <f t="shared" ca="1" si="39"/>
        <v>50827</v>
      </c>
      <c r="E155" s="359">
        <f t="shared" si="42"/>
        <v>0</v>
      </c>
      <c r="F155" s="289">
        <f t="shared" ca="1" si="40"/>
        <v>60</v>
      </c>
      <c r="G155" s="290">
        <f ca="1">KTVCOI!P154</f>
        <v>1.8172449439733969</v>
      </c>
      <c r="H155" s="290">
        <f t="shared" ca="1" si="48"/>
        <v>-8456.1104535548966</v>
      </c>
      <c r="I155" s="953"/>
      <c r="J155" s="292">
        <f t="shared" ca="1" si="41"/>
        <v>-8456.1104535548966</v>
      </c>
      <c r="K155" s="949"/>
      <c r="L155" s="949"/>
      <c r="M155" s="949"/>
      <c r="N155" s="950"/>
      <c r="O155" s="950"/>
      <c r="X155" s="945"/>
      <c r="Y155" s="945"/>
    </row>
    <row r="156" spans="2:25" ht="9.75" customHeight="1">
      <c r="B156" s="951"/>
      <c r="C156" s="951"/>
      <c r="D156" s="287">
        <f t="shared" ca="1" si="39"/>
        <v>50855</v>
      </c>
      <c r="E156" s="359">
        <f t="shared" si="42"/>
        <v>0</v>
      </c>
      <c r="F156" s="289">
        <f t="shared" ca="1" si="40"/>
        <v>60</v>
      </c>
      <c r="G156" s="290">
        <f ca="1">KTVCOI!P155</f>
        <v>1.8321572649368942</v>
      </c>
      <c r="H156" s="290">
        <f t="shared" ca="1" si="48"/>
        <v>-8525.0085688713207</v>
      </c>
      <c r="I156" s="953"/>
      <c r="J156" s="292">
        <f t="shared" ca="1" si="41"/>
        <v>-8525.0085688713207</v>
      </c>
      <c r="K156" s="949"/>
      <c r="L156" s="949"/>
      <c r="M156" s="949"/>
      <c r="N156" s="950"/>
      <c r="O156" s="950"/>
      <c r="X156" s="945"/>
      <c r="Y156" s="945"/>
    </row>
    <row r="157" spans="2:25" ht="9.75" customHeight="1">
      <c r="B157" s="951"/>
      <c r="C157" s="951"/>
      <c r="D157" s="287">
        <f t="shared" ca="1" si="39"/>
        <v>50886</v>
      </c>
      <c r="E157" s="359">
        <f t="shared" si="42"/>
        <v>0</v>
      </c>
      <c r="F157" s="289">
        <f t="shared" ca="1" si="40"/>
        <v>60</v>
      </c>
      <c r="G157" s="290">
        <f ca="1">KTVCOI!P156</f>
        <v>1.8470851899221195</v>
      </c>
      <c r="H157" s="290">
        <f t="shared" ca="1" si="48"/>
        <v>-8593.9787781086761</v>
      </c>
      <c r="I157" s="953"/>
      <c r="J157" s="292">
        <f t="shared" ca="1" si="41"/>
        <v>-8593.9787781086761</v>
      </c>
      <c r="K157" s="949"/>
      <c r="L157" s="949"/>
      <c r="M157" s="949"/>
      <c r="N157" s="950"/>
      <c r="O157" s="950"/>
      <c r="X157" s="945"/>
      <c r="Y157" s="945"/>
    </row>
    <row r="158" spans="2:25" ht="9.75" customHeight="1">
      <c r="B158" s="951"/>
      <c r="C158" s="951"/>
      <c r="D158" s="287">
        <f t="shared" ca="1" si="39"/>
        <v>50916</v>
      </c>
      <c r="E158" s="359">
        <f t="shared" si="42"/>
        <v>0</v>
      </c>
      <c r="F158" s="289">
        <f t="shared" ca="1" si="40"/>
        <v>60</v>
      </c>
      <c r="G158" s="290">
        <f ca="1">KTVCOI!P157</f>
        <v>1.8620287352568798</v>
      </c>
      <c r="H158" s="290">
        <f t="shared" ca="1" si="48"/>
        <v>-8663.0211567049228</v>
      </c>
      <c r="I158" s="953"/>
      <c r="J158" s="292">
        <f t="shared" ca="1" si="41"/>
        <v>-8663.0211567049228</v>
      </c>
      <c r="K158" s="949"/>
      <c r="L158" s="949"/>
      <c r="M158" s="949"/>
      <c r="N158" s="950"/>
      <c r="O158" s="950"/>
      <c r="X158" s="945"/>
      <c r="Y158" s="945"/>
    </row>
    <row r="159" spans="2:25" ht="9.75" customHeight="1">
      <c r="B159" s="951"/>
      <c r="C159" s="951"/>
      <c r="D159" s="287">
        <f t="shared" ca="1" si="39"/>
        <v>50947</v>
      </c>
      <c r="E159" s="359">
        <f t="shared" si="42"/>
        <v>0</v>
      </c>
      <c r="F159" s="289">
        <f t="shared" ca="1" si="40"/>
        <v>60</v>
      </c>
      <c r="G159" s="290">
        <f ca="1">KTVCOI!P158</f>
        <v>1.8769879172860666</v>
      </c>
      <c r="H159" s="290">
        <f t="shared" ca="1" si="48"/>
        <v>-8732.1357801769627</v>
      </c>
      <c r="I159" s="953"/>
      <c r="J159" s="293">
        <f ca="1">H159+I148</f>
        <v>-8732.1357801769627</v>
      </c>
      <c r="K159" s="949"/>
      <c r="L159" s="949"/>
      <c r="M159" s="949"/>
      <c r="N159" s="950"/>
      <c r="O159" s="950"/>
      <c r="X159" s="945"/>
      <c r="Y159" s="945"/>
    </row>
    <row r="160" spans="2:25" ht="9.75" customHeight="1">
      <c r="B160" s="946">
        <f>B148+1</f>
        <v>14</v>
      </c>
      <c r="C160" s="947">
        <f ca="1">C148+1</f>
        <v>43</v>
      </c>
      <c r="D160" s="294">
        <f t="shared" ca="1" si="39"/>
        <v>50977</v>
      </c>
      <c r="E160" s="359">
        <f t="shared" si="42"/>
        <v>0</v>
      </c>
      <c r="F160" s="360">
        <f t="shared" ca="1" si="40"/>
        <v>60</v>
      </c>
      <c r="G160" s="290">
        <f ca="1">KTVCOI!P159</f>
        <v>2.052051908341586</v>
      </c>
      <c r="H160" s="295">
        <f ca="1">(J159+KTVBVGTTKcamket!F20-F160-G160)*(1+$V$3)</f>
        <v>-8801.4829460767396</v>
      </c>
      <c r="I160" s="948"/>
      <c r="J160" s="296">
        <f t="shared" ca="1" si="41"/>
        <v>-8801.4829460767396</v>
      </c>
      <c r="K160" s="949">
        <f ca="1">J171</f>
        <v>-9569.1922984797002</v>
      </c>
      <c r="L160" s="949"/>
      <c r="M160" s="949"/>
      <c r="N160" s="950">
        <f t="shared" ref="N160" ca="1" si="49">SUM(G160:G171)</f>
        <v>25.704023936360215</v>
      </c>
      <c r="O160" s="950"/>
      <c r="X160" s="945">
        <f t="shared" ref="X160:Y160" ca="1" si="50">SUM(F160:F171)</f>
        <v>720</v>
      </c>
      <c r="Y160" s="945">
        <f t="shared" ca="1" si="50"/>
        <v>25.704023936360215</v>
      </c>
    </row>
    <row r="161" spans="2:25" ht="9.75" customHeight="1">
      <c r="B161" s="946"/>
      <c r="C161" s="946"/>
      <c r="D161" s="294">
        <f t="shared" ca="1" si="39"/>
        <v>51008</v>
      </c>
      <c r="E161" s="359">
        <f t="shared" si="42"/>
        <v>0</v>
      </c>
      <c r="F161" s="360">
        <f t="shared" ca="1" si="40"/>
        <v>60</v>
      </c>
      <c r="G161" s="290">
        <f ca="1">KTVCOI!P160</f>
        <v>2.0683484923280333</v>
      </c>
      <c r="H161" s="295">
        <f ca="1">(H160-F161-G161)*(1+$V$3)</f>
        <v>-8870.9039481963755</v>
      </c>
      <c r="I161" s="948"/>
      <c r="J161" s="296">
        <f t="shared" ca="1" si="41"/>
        <v>-8870.9039481963755</v>
      </c>
      <c r="K161" s="949"/>
      <c r="L161" s="949"/>
      <c r="M161" s="949"/>
      <c r="N161" s="950"/>
      <c r="O161" s="950"/>
      <c r="X161" s="945"/>
      <c r="Y161" s="945"/>
    </row>
    <row r="162" spans="2:25" ht="9.75" customHeight="1">
      <c r="B162" s="946"/>
      <c r="C162" s="946"/>
      <c r="D162" s="294">
        <f t="shared" ca="1" si="39"/>
        <v>51039</v>
      </c>
      <c r="E162" s="359">
        <f t="shared" si="42"/>
        <v>0</v>
      </c>
      <c r="F162" s="360">
        <f t="shared" ca="1" si="40"/>
        <v>60</v>
      </c>
      <c r="G162" s="290">
        <f ca="1">KTVCOI!P161</f>
        <v>2.0846624278261481</v>
      </c>
      <c r="H162" s="295">
        <f t="shared" ref="H162:H171" ca="1" si="51">(H161-F162-G162)*(1+$V$3)</f>
        <v>-8940.3988651517338</v>
      </c>
      <c r="I162" s="948"/>
      <c r="J162" s="296">
        <f t="shared" ca="1" si="41"/>
        <v>-8940.3988651517338</v>
      </c>
      <c r="K162" s="949"/>
      <c r="L162" s="949"/>
      <c r="M162" s="949"/>
      <c r="N162" s="950"/>
      <c r="O162" s="950"/>
      <c r="X162" s="945"/>
      <c r="Y162" s="945"/>
    </row>
    <row r="163" spans="2:25" ht="9.75" customHeight="1">
      <c r="B163" s="946"/>
      <c r="C163" s="946"/>
      <c r="D163" s="294">
        <f t="shared" ca="1" si="39"/>
        <v>51069</v>
      </c>
      <c r="E163" s="359">
        <f t="shared" si="42"/>
        <v>0</v>
      </c>
      <c r="F163" s="360">
        <f t="shared" ca="1" si="40"/>
        <v>60</v>
      </c>
      <c r="G163" s="290">
        <f ca="1">KTVCOI!P162</f>
        <v>2.100993733310657</v>
      </c>
      <c r="H163" s="295">
        <f t="shared" ca="1" si="51"/>
        <v>-9009.9677756423862</v>
      </c>
      <c r="I163" s="948"/>
      <c r="J163" s="296">
        <f t="shared" ca="1" si="41"/>
        <v>-9009.9677756423862</v>
      </c>
      <c r="K163" s="949"/>
      <c r="L163" s="949"/>
      <c r="M163" s="949"/>
      <c r="N163" s="950"/>
      <c r="O163" s="950"/>
      <c r="X163" s="945"/>
      <c r="Y163" s="945"/>
    </row>
    <row r="164" spans="2:25" ht="9.75" customHeight="1">
      <c r="B164" s="946"/>
      <c r="C164" s="946"/>
      <c r="D164" s="294">
        <f t="shared" ca="1" si="39"/>
        <v>51100</v>
      </c>
      <c r="E164" s="359">
        <f t="shared" si="42"/>
        <v>0</v>
      </c>
      <c r="F164" s="360">
        <f t="shared" ca="1" si="40"/>
        <v>60</v>
      </c>
      <c r="G164" s="290">
        <f ca="1">KTVCOI!P163</f>
        <v>2.1173424272759607</v>
      </c>
      <c r="H164" s="295">
        <f t="shared" ca="1" si="51"/>
        <v>-9079.610758451694</v>
      </c>
      <c r="I164" s="948"/>
      <c r="J164" s="296">
        <f t="shared" ca="1" si="41"/>
        <v>-9079.610758451694</v>
      </c>
      <c r="K164" s="949"/>
      <c r="L164" s="949"/>
      <c r="M164" s="949"/>
      <c r="N164" s="950"/>
      <c r="O164" s="950"/>
      <c r="X164" s="945"/>
      <c r="Y164" s="945"/>
    </row>
    <row r="165" spans="2:25" ht="9.75" customHeight="1">
      <c r="B165" s="946"/>
      <c r="C165" s="946"/>
      <c r="D165" s="294">
        <f t="shared" ca="1" si="39"/>
        <v>51130</v>
      </c>
      <c r="E165" s="359">
        <f t="shared" si="42"/>
        <v>0</v>
      </c>
      <c r="F165" s="360">
        <f t="shared" ca="1" si="40"/>
        <v>60</v>
      </c>
      <c r="G165" s="290">
        <f ca="1">KTVCOI!P164</f>
        <v>2.1337085282361481</v>
      </c>
      <c r="H165" s="295">
        <f t="shared" ca="1" si="51"/>
        <v>-9149.3278924469032</v>
      </c>
      <c r="I165" s="948"/>
      <c r="J165" s="296">
        <f t="shared" ca="1" si="41"/>
        <v>-9149.3278924469032</v>
      </c>
      <c r="K165" s="949"/>
      <c r="L165" s="949"/>
      <c r="M165" s="949"/>
      <c r="N165" s="950"/>
      <c r="O165" s="950"/>
      <c r="X165" s="945"/>
      <c r="Y165" s="945"/>
    </row>
    <row r="166" spans="2:25" ht="9.75" customHeight="1">
      <c r="B166" s="946"/>
      <c r="C166" s="946"/>
      <c r="D166" s="294">
        <f t="shared" ca="1" si="39"/>
        <v>51161</v>
      </c>
      <c r="E166" s="359">
        <f t="shared" si="42"/>
        <v>0</v>
      </c>
      <c r="F166" s="360">
        <f t="shared" ca="1" si="40"/>
        <v>60</v>
      </c>
      <c r="G166" s="290">
        <f ca="1">KTVCOI!P165</f>
        <v>2.1500920547250222</v>
      </c>
      <c r="H166" s="295">
        <f t="shared" ca="1" si="51"/>
        <v>-9219.1192565792317</v>
      </c>
      <c r="I166" s="948"/>
      <c r="J166" s="296">
        <f t="shared" ca="1" si="41"/>
        <v>-9219.1192565792317</v>
      </c>
      <c r="K166" s="949"/>
      <c r="L166" s="949"/>
      <c r="M166" s="949"/>
      <c r="N166" s="950"/>
      <c r="O166" s="950"/>
      <c r="X166" s="945"/>
      <c r="Y166" s="945"/>
    </row>
    <row r="167" spans="2:25" ht="9.75" customHeight="1">
      <c r="B167" s="946"/>
      <c r="C167" s="946"/>
      <c r="D167" s="294">
        <f t="shared" ca="1" si="39"/>
        <v>51192</v>
      </c>
      <c r="E167" s="359">
        <f t="shared" si="42"/>
        <v>0</v>
      </c>
      <c r="F167" s="360">
        <f t="shared" ca="1" si="40"/>
        <v>60</v>
      </c>
      <c r="G167" s="290">
        <f ca="1">KTVCOI!P166</f>
        <v>2.1664930252961194</v>
      </c>
      <c r="H167" s="295">
        <f t="shared" ca="1" si="51"/>
        <v>-9288.9849298839617</v>
      </c>
      <c r="I167" s="948"/>
      <c r="J167" s="296">
        <f t="shared" ca="1" si="41"/>
        <v>-9288.9849298839617</v>
      </c>
      <c r="K167" s="949"/>
      <c r="L167" s="949"/>
      <c r="M167" s="949"/>
      <c r="N167" s="950"/>
      <c r="O167" s="950"/>
      <c r="X167" s="945"/>
      <c r="Y167" s="945"/>
    </row>
    <row r="168" spans="2:25" ht="9.75" customHeight="1">
      <c r="B168" s="946"/>
      <c r="C168" s="946"/>
      <c r="D168" s="294">
        <f t="shared" ca="1" si="39"/>
        <v>51221</v>
      </c>
      <c r="E168" s="359">
        <f t="shared" si="42"/>
        <v>0</v>
      </c>
      <c r="F168" s="360">
        <f t="shared" ca="1" si="40"/>
        <v>60</v>
      </c>
      <c r="G168" s="290">
        <f ca="1">KTVCOI!P167</f>
        <v>2.1829114585227307</v>
      </c>
      <c r="H168" s="295">
        <f t="shared" ca="1" si="51"/>
        <v>-9358.9249914805278</v>
      </c>
      <c r="I168" s="948"/>
      <c r="J168" s="296">
        <f t="shared" ca="1" si="41"/>
        <v>-9358.9249914805278</v>
      </c>
      <c r="K168" s="949"/>
      <c r="L168" s="949"/>
      <c r="M168" s="949"/>
      <c r="N168" s="950"/>
      <c r="O168" s="950"/>
      <c r="X168" s="945"/>
      <c r="Y168" s="945"/>
    </row>
    <row r="169" spans="2:25" ht="9.75" customHeight="1">
      <c r="B169" s="946"/>
      <c r="C169" s="946"/>
      <c r="D169" s="294">
        <f t="shared" ca="1" si="39"/>
        <v>51252</v>
      </c>
      <c r="E169" s="359">
        <f t="shared" si="42"/>
        <v>0</v>
      </c>
      <c r="F169" s="360">
        <f t="shared" ca="1" si="40"/>
        <v>60</v>
      </c>
      <c r="G169" s="290">
        <f ca="1">KTVCOI!P168</f>
        <v>2.199347372997924</v>
      </c>
      <c r="H169" s="295">
        <f t="shared" ca="1" si="51"/>
        <v>-9428.9395205725996</v>
      </c>
      <c r="I169" s="948"/>
      <c r="J169" s="296">
        <f t="shared" ca="1" si="41"/>
        <v>-9428.9395205725996</v>
      </c>
      <c r="K169" s="949"/>
      <c r="L169" s="949"/>
      <c r="M169" s="949"/>
      <c r="N169" s="950"/>
      <c r="O169" s="950"/>
      <c r="X169" s="945"/>
      <c r="Y169" s="945"/>
    </row>
    <row r="170" spans="2:25" ht="9.75" customHeight="1">
      <c r="B170" s="946"/>
      <c r="C170" s="946"/>
      <c r="D170" s="294">
        <f t="shared" ca="1" si="39"/>
        <v>51282</v>
      </c>
      <c r="E170" s="359">
        <f t="shared" si="42"/>
        <v>0</v>
      </c>
      <c r="F170" s="360">
        <f t="shared" ca="1" si="40"/>
        <v>60</v>
      </c>
      <c r="G170" s="290">
        <f ca="1">KTVCOI!P169</f>
        <v>2.2158007873345609</v>
      </c>
      <c r="H170" s="295">
        <f t="shared" ca="1" si="51"/>
        <v>-9499.0285964481827</v>
      </c>
      <c r="I170" s="948"/>
      <c r="J170" s="296">
        <f t="shared" ca="1" si="41"/>
        <v>-9499.0285964481827</v>
      </c>
      <c r="K170" s="949"/>
      <c r="L170" s="949"/>
      <c r="M170" s="949"/>
      <c r="N170" s="950"/>
      <c r="O170" s="950"/>
      <c r="X170" s="945"/>
      <c r="Y170" s="945"/>
    </row>
    <row r="171" spans="2:25" ht="9.75" customHeight="1">
      <c r="B171" s="946"/>
      <c r="C171" s="946"/>
      <c r="D171" s="294">
        <f t="shared" ca="1" si="39"/>
        <v>51313</v>
      </c>
      <c r="E171" s="359">
        <f t="shared" si="42"/>
        <v>0</v>
      </c>
      <c r="F171" s="360">
        <f t="shared" ca="1" si="40"/>
        <v>60</v>
      </c>
      <c r="G171" s="290">
        <f ca="1">KTVCOI!P170</f>
        <v>2.2322717201653228</v>
      </c>
      <c r="H171" s="295">
        <f t="shared" ca="1" si="51"/>
        <v>-9569.1922984797002</v>
      </c>
      <c r="I171" s="948"/>
      <c r="J171" s="297">
        <f ca="1">H171+I160</f>
        <v>-9569.1922984797002</v>
      </c>
      <c r="K171" s="949"/>
      <c r="L171" s="949"/>
      <c r="M171" s="949"/>
      <c r="N171" s="950"/>
      <c r="O171" s="950"/>
      <c r="X171" s="945"/>
      <c r="Y171" s="945"/>
    </row>
    <row r="172" spans="2:25" ht="9.75" customHeight="1">
      <c r="B172" s="951">
        <f>B160+1</f>
        <v>15</v>
      </c>
      <c r="C172" s="952">
        <f ca="1">C160+1</f>
        <v>44</v>
      </c>
      <c r="D172" s="287">
        <f t="shared" ca="1" si="39"/>
        <v>51343</v>
      </c>
      <c r="E172" s="359">
        <f t="shared" si="42"/>
        <v>0</v>
      </c>
      <c r="F172" s="289">
        <f t="shared" ca="1" si="40"/>
        <v>60</v>
      </c>
      <c r="G172" s="290">
        <f ca="1">KTVCOI!P171</f>
        <v>2.4401440361123234</v>
      </c>
      <c r="H172" s="290">
        <f ca="1">(J171+KTVBVGTTKcamket!F20-F172-G172)*(1+$V$3)</f>
        <v>-9639.622248730253</v>
      </c>
      <c r="I172" s="953"/>
      <c r="J172" s="292">
        <f t="shared" ca="1" si="41"/>
        <v>-9639.622248730253</v>
      </c>
      <c r="K172" s="949">
        <f ca="1">J183</f>
        <v>-10419.412303263989</v>
      </c>
      <c r="L172" s="949"/>
      <c r="M172" s="949"/>
      <c r="N172" s="950">
        <f t="shared" ref="N172" ca="1" si="52">SUM(G172:G183)</f>
        <v>30.47136095121887</v>
      </c>
      <c r="O172" s="950"/>
      <c r="X172" s="945">
        <f t="shared" ref="X172:Y172" ca="1" si="53">SUM(F172:F183)</f>
        <v>720</v>
      </c>
      <c r="Y172" s="945">
        <f t="shared" ca="1" si="53"/>
        <v>30.47136095121887</v>
      </c>
    </row>
    <row r="173" spans="2:25" ht="9.75" customHeight="1">
      <c r="B173" s="951"/>
      <c r="C173" s="951"/>
      <c r="D173" s="287">
        <f t="shared" ca="1" si="39"/>
        <v>51374</v>
      </c>
      <c r="E173" s="359">
        <f t="shared" si="42"/>
        <v>0</v>
      </c>
      <c r="F173" s="289">
        <f t="shared" ca="1" si="40"/>
        <v>60</v>
      </c>
      <c r="G173" s="290">
        <f ca="1">KTVCOI!P172</f>
        <v>2.4581036734262147</v>
      </c>
      <c r="H173" s="290">
        <f ca="1">(H172-F173-G173)*(1+$V$3)</f>
        <v>-9710.1285978444484</v>
      </c>
      <c r="I173" s="953"/>
      <c r="J173" s="292">
        <f t="shared" ca="1" si="41"/>
        <v>-9710.1285978444484</v>
      </c>
      <c r="K173" s="949"/>
      <c r="L173" s="949"/>
      <c r="M173" s="949"/>
      <c r="N173" s="950"/>
      <c r="O173" s="950"/>
      <c r="X173" s="945"/>
      <c r="Y173" s="945"/>
    </row>
    <row r="174" spans="2:25" ht="9.75" customHeight="1">
      <c r="B174" s="951"/>
      <c r="C174" s="951"/>
      <c r="D174" s="287">
        <f t="shared" ca="1" si="39"/>
        <v>51405</v>
      </c>
      <c r="E174" s="359">
        <f t="shared" si="42"/>
        <v>0</v>
      </c>
      <c r="F174" s="289">
        <f t="shared" ca="1" si="40"/>
        <v>60</v>
      </c>
      <c r="G174" s="290">
        <f ca="1">KTVCOI!P173</f>
        <v>2.4760827924503341</v>
      </c>
      <c r="H174" s="290">
        <f t="shared" ref="H174:H183" ca="1" si="54">(H173-F174-G174)*(1+$V$3)</f>
        <v>-9780.7114286959259</v>
      </c>
      <c r="I174" s="953"/>
      <c r="J174" s="292">
        <f t="shared" ca="1" si="41"/>
        <v>-9780.7114286959259</v>
      </c>
      <c r="K174" s="949"/>
      <c r="L174" s="949"/>
      <c r="M174" s="949"/>
      <c r="N174" s="950"/>
      <c r="O174" s="950"/>
      <c r="X174" s="945"/>
      <c r="Y174" s="945"/>
    </row>
    <row r="175" spans="2:25" ht="9.75" customHeight="1">
      <c r="B175" s="951"/>
      <c r="C175" s="951"/>
      <c r="D175" s="287">
        <f t="shared" ca="1" si="39"/>
        <v>51435</v>
      </c>
      <c r="E175" s="359">
        <f t="shared" si="42"/>
        <v>0</v>
      </c>
      <c r="F175" s="289">
        <f t="shared" ca="1" si="40"/>
        <v>60</v>
      </c>
      <c r="G175" s="290">
        <f ca="1">KTVCOI!P174</f>
        <v>2.4940814143174612</v>
      </c>
      <c r="H175" s="290">
        <f t="shared" ca="1" si="54"/>
        <v>-9851.3708242482226</v>
      </c>
      <c r="I175" s="953"/>
      <c r="J175" s="292">
        <f t="shared" ca="1" si="41"/>
        <v>-9851.3708242482226</v>
      </c>
      <c r="K175" s="949"/>
      <c r="L175" s="949"/>
      <c r="M175" s="949"/>
      <c r="N175" s="950"/>
      <c r="O175" s="950"/>
      <c r="X175" s="945"/>
      <c r="Y175" s="945"/>
    </row>
    <row r="176" spans="2:25" ht="9.75" customHeight="1">
      <c r="B176" s="951"/>
      <c r="C176" s="951"/>
      <c r="D176" s="287">
        <f t="shared" ca="1" si="39"/>
        <v>51466</v>
      </c>
      <c r="E176" s="359">
        <f t="shared" si="42"/>
        <v>0</v>
      </c>
      <c r="F176" s="289">
        <f t="shared" ca="1" si="40"/>
        <v>60</v>
      </c>
      <c r="G176" s="290">
        <f ca="1">KTVCOI!P175</f>
        <v>2.5120995601832967</v>
      </c>
      <c r="H176" s="290">
        <f t="shared" ca="1" si="54"/>
        <v>-9922.1068675548704</v>
      </c>
      <c r="I176" s="953"/>
      <c r="J176" s="292">
        <f t="shared" ca="1" si="41"/>
        <v>-9922.1068675548704</v>
      </c>
      <c r="K176" s="949"/>
      <c r="L176" s="949"/>
      <c r="M176" s="949"/>
      <c r="N176" s="950"/>
      <c r="O176" s="950"/>
      <c r="X176" s="945"/>
      <c r="Y176" s="945"/>
    </row>
    <row r="177" spans="2:25" ht="9.75" customHeight="1">
      <c r="B177" s="951"/>
      <c r="C177" s="951"/>
      <c r="D177" s="287">
        <f t="shared" ca="1" si="39"/>
        <v>51496</v>
      </c>
      <c r="E177" s="359">
        <f t="shared" si="42"/>
        <v>0</v>
      </c>
      <c r="F177" s="289">
        <f t="shared" ca="1" si="40"/>
        <v>60</v>
      </c>
      <c r="G177" s="290">
        <f ca="1">KTVCOI!P176</f>
        <v>2.5301372512264919</v>
      </c>
      <c r="H177" s="290">
        <f t="shared" ca="1" si="54"/>
        <v>-9992.919641759494</v>
      </c>
      <c r="I177" s="953"/>
      <c r="J177" s="292">
        <f t="shared" ca="1" si="41"/>
        <v>-9992.919641759494</v>
      </c>
      <c r="K177" s="949"/>
      <c r="L177" s="949"/>
      <c r="M177" s="949"/>
      <c r="N177" s="950"/>
      <c r="O177" s="950"/>
      <c r="X177" s="945"/>
      <c r="Y177" s="945"/>
    </row>
    <row r="178" spans="2:25" ht="9.75" customHeight="1">
      <c r="B178" s="951"/>
      <c r="C178" s="951"/>
      <c r="D178" s="287">
        <f t="shared" ca="1" si="39"/>
        <v>51527</v>
      </c>
      <c r="E178" s="359">
        <f t="shared" si="42"/>
        <v>0</v>
      </c>
      <c r="F178" s="289">
        <f t="shared" ca="1" si="40"/>
        <v>60</v>
      </c>
      <c r="G178" s="290">
        <f ca="1">KTVCOI!P177</f>
        <v>2.5481945086486708</v>
      </c>
      <c r="H178" s="290">
        <f t="shared" ca="1" si="54"/>
        <v>-10063.809230095909</v>
      </c>
      <c r="I178" s="953"/>
      <c r="J178" s="292">
        <f t="shared" ca="1" si="41"/>
        <v>-10063.809230095909</v>
      </c>
      <c r="K178" s="949"/>
      <c r="L178" s="949"/>
      <c r="M178" s="949"/>
      <c r="N178" s="950"/>
      <c r="O178" s="950"/>
      <c r="X178" s="945"/>
      <c r="Y178" s="945"/>
    </row>
    <row r="179" spans="2:25" ht="9.75" customHeight="1">
      <c r="B179" s="951"/>
      <c r="C179" s="951"/>
      <c r="D179" s="287">
        <f t="shared" ca="1" si="39"/>
        <v>51558</v>
      </c>
      <c r="E179" s="359">
        <f t="shared" si="42"/>
        <v>0</v>
      </c>
      <c r="F179" s="289">
        <f t="shared" ca="1" si="40"/>
        <v>60</v>
      </c>
      <c r="G179" s="290">
        <f ca="1">KTVCOI!P178</f>
        <v>2.5662713536744568</v>
      </c>
      <c r="H179" s="290">
        <f t="shared" ca="1" si="54"/>
        <v>-10134.775715888218</v>
      </c>
      <c r="I179" s="953"/>
      <c r="J179" s="292">
        <f t="shared" ca="1" si="41"/>
        <v>-10134.775715888218</v>
      </c>
      <c r="K179" s="949"/>
      <c r="L179" s="949"/>
      <c r="M179" s="949"/>
      <c r="N179" s="950"/>
      <c r="O179" s="950"/>
      <c r="X179" s="945"/>
      <c r="Y179" s="945"/>
    </row>
    <row r="180" spans="2:25" ht="9.75" customHeight="1">
      <c r="B180" s="951"/>
      <c r="C180" s="951"/>
      <c r="D180" s="287">
        <f t="shared" ca="1" si="39"/>
        <v>51586</v>
      </c>
      <c r="E180" s="359">
        <f t="shared" si="42"/>
        <v>0</v>
      </c>
      <c r="F180" s="289">
        <f t="shared" ca="1" si="40"/>
        <v>60</v>
      </c>
      <c r="G180" s="290">
        <f ca="1">KTVCOI!P179</f>
        <v>2.5843678075514958</v>
      </c>
      <c r="H180" s="290">
        <f t="shared" ca="1" si="54"/>
        <v>-10205.819182550906</v>
      </c>
      <c r="I180" s="953"/>
      <c r="J180" s="292">
        <f t="shared" ca="1" si="41"/>
        <v>-10205.819182550906</v>
      </c>
      <c r="K180" s="949"/>
      <c r="L180" s="949"/>
      <c r="M180" s="949"/>
      <c r="N180" s="950"/>
      <c r="O180" s="950"/>
      <c r="X180" s="945"/>
      <c r="Y180" s="945"/>
    </row>
    <row r="181" spans="2:25" ht="9.75" customHeight="1">
      <c r="B181" s="951"/>
      <c r="C181" s="951"/>
      <c r="D181" s="287">
        <f t="shared" ca="1" si="39"/>
        <v>51617</v>
      </c>
      <c r="E181" s="359">
        <f t="shared" si="42"/>
        <v>0</v>
      </c>
      <c r="F181" s="289">
        <f t="shared" ca="1" si="40"/>
        <v>60</v>
      </c>
      <c r="G181" s="290">
        <f ca="1">KTVCOI!P180</f>
        <v>2.6024838915504809</v>
      </c>
      <c r="H181" s="290">
        <f t="shared" ca="1" si="54"/>
        <v>-10276.939713588949</v>
      </c>
      <c r="I181" s="953"/>
      <c r="J181" s="292">
        <f t="shared" ca="1" si="41"/>
        <v>-10276.939713588949</v>
      </c>
      <c r="K181" s="949"/>
      <c r="L181" s="949"/>
      <c r="M181" s="949"/>
      <c r="N181" s="950"/>
      <c r="O181" s="950"/>
      <c r="X181" s="945"/>
      <c r="Y181" s="945"/>
    </row>
    <row r="182" spans="2:25" ht="9.75" customHeight="1">
      <c r="B182" s="951"/>
      <c r="C182" s="951"/>
      <c r="D182" s="287">
        <f t="shared" ca="1" si="39"/>
        <v>51647</v>
      </c>
      <c r="E182" s="359">
        <f t="shared" si="42"/>
        <v>0</v>
      </c>
      <c r="F182" s="289">
        <f t="shared" ca="1" si="40"/>
        <v>60</v>
      </c>
      <c r="G182" s="290">
        <f ca="1">KTVCOI!P181</f>
        <v>2.620619626965182</v>
      </c>
      <c r="H182" s="290">
        <f t="shared" ca="1" si="54"/>
        <v>-10348.137392597897</v>
      </c>
      <c r="I182" s="953"/>
      <c r="J182" s="292">
        <f t="shared" ca="1" si="41"/>
        <v>-10348.137392597897</v>
      </c>
      <c r="K182" s="949"/>
      <c r="L182" s="949"/>
      <c r="M182" s="949"/>
      <c r="N182" s="950"/>
      <c r="O182" s="950"/>
      <c r="X182" s="945"/>
      <c r="Y182" s="945"/>
    </row>
    <row r="183" spans="2:25" ht="9.75" customHeight="1">
      <c r="B183" s="951"/>
      <c r="C183" s="951"/>
      <c r="D183" s="287">
        <f t="shared" ca="1" si="39"/>
        <v>51678</v>
      </c>
      <c r="E183" s="359">
        <f t="shared" si="42"/>
        <v>0</v>
      </c>
      <c r="F183" s="289">
        <f t="shared" ca="1" si="40"/>
        <v>60</v>
      </c>
      <c r="G183" s="290">
        <f ca="1">KTVCOI!P182</f>
        <v>2.6387750351124639</v>
      </c>
      <c r="H183" s="290">
        <f t="shared" ca="1" si="54"/>
        <v>-10419.412303263989</v>
      </c>
      <c r="I183" s="953"/>
      <c r="J183" s="293">
        <f ca="1">H183+I172</f>
        <v>-10419.412303263989</v>
      </c>
      <c r="K183" s="949"/>
      <c r="L183" s="949"/>
      <c r="M183" s="949"/>
      <c r="N183" s="950"/>
      <c r="O183" s="950"/>
      <c r="X183" s="945"/>
      <c r="Y183" s="945"/>
    </row>
    <row r="184" spans="2:25" ht="9.75" customHeight="1">
      <c r="B184" s="946">
        <f>B172+1</f>
        <v>16</v>
      </c>
      <c r="C184" s="947">
        <f ca="1">C172+1</f>
        <v>45</v>
      </c>
      <c r="D184" s="294">
        <f t="shared" ca="1" si="39"/>
        <v>51708</v>
      </c>
      <c r="E184" s="359">
        <f t="shared" si="42"/>
        <v>0</v>
      </c>
      <c r="F184" s="360">
        <f t="shared" ca="1" si="40"/>
        <v>60</v>
      </c>
      <c r="G184" s="290">
        <f ca="1">KTVCOI!P183</f>
        <v>2.8740212269836505</v>
      </c>
      <c r="H184" s="295">
        <f ca="1">(J183+KTVBVGTTKcamket!F21-F184-G184)*(1+$W$3)</f>
        <v>-10486.643966522764</v>
      </c>
      <c r="I184" s="948"/>
      <c r="J184" s="296">
        <f t="shared" ca="1" si="41"/>
        <v>-10486.643966522764</v>
      </c>
      <c r="K184" s="949">
        <f ca="1">J195</f>
        <v>-11229.268457829079</v>
      </c>
      <c r="L184" s="949"/>
      <c r="M184" s="949"/>
      <c r="N184" s="950">
        <f t="shared" ref="N184" ca="1" si="55">SUM(G184:G195)</f>
        <v>35.715033424548388</v>
      </c>
      <c r="O184" s="950"/>
      <c r="X184" s="945">
        <f t="shared" ref="X184:Y184" ca="1" si="56">SUM(F184:F195)</f>
        <v>720</v>
      </c>
      <c r="Y184" s="945">
        <f t="shared" ca="1" si="56"/>
        <v>35.715033424548388</v>
      </c>
    </row>
    <row r="185" spans="2:25" ht="9.75" customHeight="1">
      <c r="B185" s="946"/>
      <c r="C185" s="946"/>
      <c r="D185" s="294">
        <f t="shared" ca="1" si="39"/>
        <v>51739</v>
      </c>
      <c r="E185" s="359">
        <f t="shared" si="42"/>
        <v>0</v>
      </c>
      <c r="F185" s="360">
        <f t="shared" ca="1" si="40"/>
        <v>60</v>
      </c>
      <c r="G185" s="290">
        <f ca="1">KTVCOI!P184</f>
        <v>2.8925659607658623</v>
      </c>
      <c r="H185" s="295">
        <f ca="1">(H184-F185-G185)*(1+$W$3)</f>
        <v>-10553.922131425095</v>
      </c>
      <c r="I185" s="948"/>
      <c r="J185" s="296">
        <f t="shared" ca="1" si="41"/>
        <v>-10553.922131425095</v>
      </c>
      <c r="K185" s="949"/>
      <c r="L185" s="949"/>
      <c r="M185" s="949"/>
      <c r="N185" s="950"/>
      <c r="O185" s="950"/>
      <c r="X185" s="945"/>
      <c r="Y185" s="945"/>
    </row>
    <row r="186" spans="2:25" ht="9.75" customHeight="1">
      <c r="B186" s="946"/>
      <c r="C186" s="946"/>
      <c r="D186" s="294">
        <f t="shared" ca="1" si="39"/>
        <v>51770</v>
      </c>
      <c r="E186" s="359">
        <f t="shared" si="42"/>
        <v>0</v>
      </c>
      <c r="F186" s="360">
        <f t="shared" ca="1" si="40"/>
        <v>60</v>
      </c>
      <c r="G186" s="290">
        <f ca="1">KTVCOI!P185</f>
        <v>2.9111235212514219</v>
      </c>
      <c r="H186" s="295">
        <f t="shared" ref="H186:H243" ca="1" si="57">(H185-F186-G186)*(1+$W$3)</f>
        <v>-10621.24683013444</v>
      </c>
      <c r="I186" s="948"/>
      <c r="J186" s="296">
        <f t="shared" ca="1" si="41"/>
        <v>-10621.24683013444</v>
      </c>
      <c r="K186" s="949"/>
      <c r="L186" s="949"/>
      <c r="M186" s="949"/>
      <c r="N186" s="950"/>
      <c r="O186" s="950"/>
      <c r="X186" s="945"/>
      <c r="Y186" s="945"/>
    </row>
    <row r="187" spans="2:25" ht="9.75" customHeight="1">
      <c r="B187" s="946"/>
      <c r="C187" s="946"/>
      <c r="D187" s="294">
        <f t="shared" ca="1" si="39"/>
        <v>51800</v>
      </c>
      <c r="E187" s="359">
        <f t="shared" si="42"/>
        <v>0</v>
      </c>
      <c r="F187" s="360">
        <f t="shared" ca="1" si="40"/>
        <v>60</v>
      </c>
      <c r="G187" s="290">
        <f ca="1">KTVCOI!P186</f>
        <v>2.9296939173120831</v>
      </c>
      <c r="H187" s="295">
        <f t="shared" ca="1" si="57"/>
        <v>-10688.618094836505</v>
      </c>
      <c r="I187" s="948"/>
      <c r="J187" s="296">
        <f t="shared" ca="1" si="41"/>
        <v>-10688.618094836505</v>
      </c>
      <c r="K187" s="949"/>
      <c r="L187" s="949"/>
      <c r="M187" s="949"/>
      <c r="N187" s="950"/>
      <c r="O187" s="950"/>
      <c r="X187" s="945"/>
      <c r="Y187" s="945"/>
    </row>
    <row r="188" spans="2:25" ht="9.75" customHeight="1">
      <c r="B188" s="946"/>
      <c r="C188" s="946"/>
      <c r="D188" s="294">
        <f t="shared" ca="1" si="39"/>
        <v>51831</v>
      </c>
      <c r="E188" s="359">
        <f t="shared" si="42"/>
        <v>0</v>
      </c>
      <c r="F188" s="360">
        <f t="shared" ca="1" si="40"/>
        <v>60</v>
      </c>
      <c r="G188" s="290">
        <f ca="1">KTVCOI!P187</f>
        <v>2.9482771578257361</v>
      </c>
      <c r="H188" s="295">
        <f t="shared" ca="1" si="57"/>
        <v>-10756.035957739259</v>
      </c>
      <c r="I188" s="948"/>
      <c r="J188" s="296">
        <f t="shared" ca="1" si="41"/>
        <v>-10756.035957739259</v>
      </c>
      <c r="K188" s="949"/>
      <c r="L188" s="949"/>
      <c r="M188" s="949"/>
      <c r="N188" s="950"/>
      <c r="O188" s="950"/>
      <c r="X188" s="945"/>
      <c r="Y188" s="945"/>
    </row>
    <row r="189" spans="2:25" ht="9.75" customHeight="1">
      <c r="B189" s="946"/>
      <c r="C189" s="946"/>
      <c r="D189" s="294">
        <f t="shared" ca="1" si="39"/>
        <v>51861</v>
      </c>
      <c r="E189" s="359">
        <f t="shared" si="42"/>
        <v>0</v>
      </c>
      <c r="F189" s="360">
        <f t="shared" ca="1" si="40"/>
        <v>60</v>
      </c>
      <c r="G189" s="290">
        <f ca="1">KTVCOI!P188</f>
        <v>2.9668732516764122</v>
      </c>
      <c r="H189" s="295">
        <f t="shared" ca="1" si="57"/>
        <v>-10823.500451072943</v>
      </c>
      <c r="I189" s="948"/>
      <c r="J189" s="296">
        <f t="shared" ca="1" si="41"/>
        <v>-10823.500451072943</v>
      </c>
      <c r="K189" s="949"/>
      <c r="L189" s="949"/>
      <c r="M189" s="949"/>
      <c r="N189" s="950"/>
      <c r="O189" s="950"/>
      <c r="X189" s="945"/>
      <c r="Y189" s="945"/>
    </row>
    <row r="190" spans="2:25" ht="9.75" customHeight="1">
      <c r="B190" s="946"/>
      <c r="C190" s="946"/>
      <c r="D190" s="294">
        <f t="shared" ca="1" si="39"/>
        <v>51892</v>
      </c>
      <c r="E190" s="359">
        <f t="shared" si="42"/>
        <v>0</v>
      </c>
      <c r="F190" s="360">
        <f t="shared" ca="1" si="40"/>
        <v>60</v>
      </c>
      <c r="G190" s="290">
        <f ca="1">KTVCOI!P189</f>
        <v>2.9854822077542864</v>
      </c>
      <c r="H190" s="295">
        <f t="shared" ca="1" si="57"/>
        <v>-10891.011607090095</v>
      </c>
      <c r="I190" s="948"/>
      <c r="J190" s="296">
        <f t="shared" ca="1" si="41"/>
        <v>-10891.011607090095</v>
      </c>
      <c r="K190" s="949"/>
      <c r="L190" s="949"/>
      <c r="M190" s="949"/>
      <c r="N190" s="950"/>
      <c r="O190" s="950"/>
      <c r="X190" s="945"/>
      <c r="Y190" s="945"/>
    </row>
    <row r="191" spans="2:25" ht="9.75" customHeight="1">
      <c r="B191" s="946"/>
      <c r="C191" s="946"/>
      <c r="D191" s="294">
        <f t="shared" ca="1" si="39"/>
        <v>51923</v>
      </c>
      <c r="E191" s="359">
        <f t="shared" si="42"/>
        <v>0</v>
      </c>
      <c r="F191" s="360">
        <f t="shared" ca="1" si="40"/>
        <v>60</v>
      </c>
      <c r="G191" s="290">
        <f ca="1">KTVCOI!P190</f>
        <v>3.0041040349556849</v>
      </c>
      <c r="H191" s="295">
        <f t="shared" ca="1" si="57"/>
        <v>-10958.56945806556</v>
      </c>
      <c r="I191" s="948"/>
      <c r="J191" s="296">
        <f t="shared" ca="1" si="41"/>
        <v>-10958.56945806556</v>
      </c>
      <c r="K191" s="949"/>
      <c r="L191" s="949"/>
      <c r="M191" s="949"/>
      <c r="N191" s="950"/>
      <c r="O191" s="950"/>
      <c r="X191" s="945"/>
      <c r="Y191" s="945"/>
    </row>
    <row r="192" spans="2:25" ht="9.75" customHeight="1">
      <c r="B192" s="946"/>
      <c r="C192" s="946"/>
      <c r="D192" s="294">
        <f t="shared" ca="1" si="39"/>
        <v>51951</v>
      </c>
      <c r="E192" s="359">
        <f t="shared" si="42"/>
        <v>0</v>
      </c>
      <c r="F192" s="360">
        <f t="shared" ca="1" si="40"/>
        <v>60</v>
      </c>
      <c r="G192" s="290">
        <f ca="1">KTVCOI!P191</f>
        <v>3.0227387421830838</v>
      </c>
      <c r="H192" s="295">
        <f t="shared" ca="1" si="57"/>
        <v>-11026.174036296507</v>
      </c>
      <c r="I192" s="948"/>
      <c r="J192" s="296">
        <f t="shared" ca="1" si="41"/>
        <v>-11026.174036296507</v>
      </c>
      <c r="K192" s="949"/>
      <c r="L192" s="949"/>
      <c r="M192" s="949"/>
      <c r="N192" s="950"/>
      <c r="O192" s="950"/>
      <c r="X192" s="945"/>
      <c r="Y192" s="945"/>
    </row>
    <row r="193" spans="2:25" ht="9.75" customHeight="1">
      <c r="B193" s="946"/>
      <c r="C193" s="946"/>
      <c r="D193" s="294">
        <f t="shared" ca="1" si="39"/>
        <v>51982</v>
      </c>
      <c r="E193" s="359">
        <f t="shared" si="42"/>
        <v>0</v>
      </c>
      <c r="F193" s="360">
        <f t="shared" ca="1" si="40"/>
        <v>60</v>
      </c>
      <c r="G193" s="290">
        <f ca="1">KTVCOI!P192</f>
        <v>3.0413863383451196</v>
      </c>
      <c r="H193" s="295">
        <f t="shared" ca="1" si="57"/>
        <v>-11093.82537410244</v>
      </c>
      <c r="I193" s="948"/>
      <c r="J193" s="296">
        <f t="shared" ca="1" si="41"/>
        <v>-11093.82537410244</v>
      </c>
      <c r="K193" s="949"/>
      <c r="L193" s="949"/>
      <c r="M193" s="949"/>
      <c r="N193" s="950"/>
      <c r="O193" s="950"/>
      <c r="X193" s="945"/>
      <c r="Y193" s="945"/>
    </row>
    <row r="194" spans="2:25" ht="9.75" customHeight="1">
      <c r="B194" s="946"/>
      <c r="C194" s="946"/>
      <c r="D194" s="294">
        <f t="shared" ca="1" si="39"/>
        <v>52012</v>
      </c>
      <c r="E194" s="359">
        <f t="shared" si="42"/>
        <v>0</v>
      </c>
      <c r="F194" s="360">
        <f t="shared" ca="1" si="40"/>
        <v>60</v>
      </c>
      <c r="G194" s="290">
        <f ca="1">KTVCOI!P193</f>
        <v>3.0600468323565901</v>
      </c>
      <c r="H194" s="295">
        <f t="shared" ca="1" si="57"/>
        <v>-11161.523503825221</v>
      </c>
      <c r="I194" s="948"/>
      <c r="J194" s="296">
        <f t="shared" ca="1" si="41"/>
        <v>-11161.523503825221</v>
      </c>
      <c r="K194" s="949"/>
      <c r="L194" s="949"/>
      <c r="M194" s="949"/>
      <c r="N194" s="950"/>
      <c r="O194" s="950"/>
      <c r="X194" s="945"/>
      <c r="Y194" s="945"/>
    </row>
    <row r="195" spans="2:25" ht="9.75" customHeight="1">
      <c r="B195" s="946"/>
      <c r="C195" s="946"/>
      <c r="D195" s="294">
        <f t="shared" ca="1" si="39"/>
        <v>52043</v>
      </c>
      <c r="E195" s="359">
        <f t="shared" si="42"/>
        <v>0</v>
      </c>
      <c r="F195" s="360">
        <f t="shared" ca="1" si="40"/>
        <v>60</v>
      </c>
      <c r="G195" s="290">
        <f ca="1">KTVCOI!P194</f>
        <v>3.0787202331384567</v>
      </c>
      <c r="H195" s="295">
        <f t="shared" ca="1" si="57"/>
        <v>-11229.268457829079</v>
      </c>
      <c r="I195" s="948"/>
      <c r="J195" s="297">
        <f ca="1">H195+I184</f>
        <v>-11229.268457829079</v>
      </c>
      <c r="K195" s="949"/>
      <c r="L195" s="949"/>
      <c r="M195" s="949"/>
      <c r="N195" s="950"/>
      <c r="O195" s="950"/>
      <c r="X195" s="945"/>
      <c r="Y195" s="945"/>
    </row>
    <row r="196" spans="2:25" ht="9.75" customHeight="1">
      <c r="B196" s="951">
        <f>B184+1</f>
        <v>17</v>
      </c>
      <c r="C196" s="952">
        <f ca="1">C184+1</f>
        <v>46</v>
      </c>
      <c r="D196" s="287">
        <f t="shared" ca="1" si="39"/>
        <v>52073</v>
      </c>
      <c r="E196" s="359">
        <f t="shared" si="42"/>
        <v>0</v>
      </c>
      <c r="F196" s="289">
        <f t="shared" ca="1" si="40"/>
        <v>60</v>
      </c>
      <c r="G196" s="290">
        <f ca="1">KTVCOI!P195</f>
        <v>3.3500650899190085</v>
      </c>
      <c r="H196" s="290">
        <f ca="1">(J195+KTVBVGTTKcamket!F23-F196-G196)*(1+$W$3)</f>
        <v>-11297.313032074837</v>
      </c>
      <c r="I196" s="953"/>
      <c r="J196" s="292">
        <f t="shared" ca="1" si="41"/>
        <v>-11297.313032074837</v>
      </c>
      <c r="K196" s="949">
        <f ca="1">J207</f>
        <v>-12049.018302145498</v>
      </c>
      <c r="L196" s="949"/>
      <c r="M196" s="949"/>
      <c r="N196" s="950">
        <f t="shared" ref="N196" ca="1" si="58">SUM(G196:G207)</f>
        <v>41.543773364425306</v>
      </c>
      <c r="O196" s="950"/>
      <c r="X196" s="945">
        <f t="shared" ref="X196:Y196" ca="1" si="59">SUM(F196:F207)</f>
        <v>720</v>
      </c>
      <c r="Y196" s="945">
        <f t="shared" ca="1" si="59"/>
        <v>41.543773364425306</v>
      </c>
    </row>
    <row r="197" spans="2:25" ht="9.75" customHeight="1">
      <c r="B197" s="951"/>
      <c r="C197" s="951"/>
      <c r="D197" s="287">
        <f t="shared" ref="D197:D243" ca="1" si="60">EDATE(D196,1)</f>
        <v>52104</v>
      </c>
      <c r="E197" s="359">
        <f t="shared" si="42"/>
        <v>0</v>
      </c>
      <c r="F197" s="289">
        <f t="shared" ref="F197:F243" ca="1" si="61">IF(YEAR(D197)=2025,40000,IF(YEAR(D197)=2026,40000,IF(YEAR(D197)=2027,40000,IF(YEAR(D197)=2028,40000,IF(YEAR(D197)=2029,40000,IF(YEAR(D197)=2030,50000,IF(YEAR(D197)=2031,50000,IF(YEAR(D197)=2032,50000,IF(YEAR(D197)=2033,50000,IF(YEAR(D197)=2034,50000,IF(YEAR(D197)&gt;=2035,60000,0)))))))))))/1000</f>
        <v>60</v>
      </c>
      <c r="G197" s="290">
        <f ca="1">KTVCOI!P196</f>
        <v>3.3703650545689929</v>
      </c>
      <c r="H197" s="290">
        <f t="shared" ca="1" si="57"/>
        <v>-11365.406201863858</v>
      </c>
      <c r="I197" s="953"/>
      <c r="J197" s="292">
        <f t="shared" ref="J197:J242" ca="1" si="62">H197</f>
        <v>-11365.406201863858</v>
      </c>
      <c r="K197" s="949"/>
      <c r="L197" s="949"/>
      <c r="M197" s="949"/>
      <c r="N197" s="950"/>
      <c r="O197" s="950"/>
      <c r="X197" s="945"/>
      <c r="Y197" s="945"/>
    </row>
    <row r="198" spans="2:25" ht="9.75" customHeight="1">
      <c r="B198" s="951"/>
      <c r="C198" s="951"/>
      <c r="D198" s="287">
        <f t="shared" ca="1" si="60"/>
        <v>52135</v>
      </c>
      <c r="E198" s="359">
        <f t="shared" ref="E198:E243" si="63">E197</f>
        <v>0</v>
      </c>
      <c r="F198" s="289">
        <f t="shared" ca="1" si="61"/>
        <v>60</v>
      </c>
      <c r="G198" s="290">
        <f ca="1">KTVCOI!P197</f>
        <v>3.3906795168893837</v>
      </c>
      <c r="H198" s="290">
        <f t="shared" ca="1" si="57"/>
        <v>-11433.54800190173</v>
      </c>
      <c r="I198" s="953"/>
      <c r="J198" s="292">
        <f t="shared" ca="1" si="62"/>
        <v>-11433.54800190173</v>
      </c>
      <c r="K198" s="949"/>
      <c r="L198" s="949"/>
      <c r="M198" s="949"/>
      <c r="N198" s="950"/>
      <c r="O198" s="950"/>
      <c r="X198" s="945"/>
      <c r="Y198" s="945"/>
    </row>
    <row r="199" spans="2:25" ht="9.75" customHeight="1">
      <c r="B199" s="951"/>
      <c r="C199" s="951"/>
      <c r="D199" s="287">
        <f t="shared" ca="1" si="60"/>
        <v>52165</v>
      </c>
      <c r="E199" s="359">
        <f t="shared" si="63"/>
        <v>0</v>
      </c>
      <c r="F199" s="289">
        <f t="shared" ca="1" si="61"/>
        <v>60</v>
      </c>
      <c r="G199" s="290">
        <f ca="1">KTVCOI!P198</f>
        <v>3.4110084872340161</v>
      </c>
      <c r="H199" s="290">
        <f t="shared" ca="1" si="57"/>
        <v>-11501.738466918823</v>
      </c>
      <c r="I199" s="953"/>
      <c r="J199" s="292">
        <f t="shared" ca="1" si="62"/>
        <v>-11501.738466918823</v>
      </c>
      <c r="K199" s="949"/>
      <c r="L199" s="949"/>
      <c r="M199" s="949"/>
      <c r="N199" s="950"/>
      <c r="O199" s="950"/>
      <c r="X199" s="945"/>
      <c r="Y199" s="945"/>
    </row>
    <row r="200" spans="2:25" ht="9.75" customHeight="1">
      <c r="B200" s="951"/>
      <c r="C200" s="951"/>
      <c r="D200" s="287">
        <f t="shared" ca="1" si="60"/>
        <v>52196</v>
      </c>
      <c r="E200" s="359">
        <f t="shared" si="63"/>
        <v>0</v>
      </c>
      <c r="F200" s="289">
        <f t="shared" ca="1" si="61"/>
        <v>60</v>
      </c>
      <c r="G200" s="290">
        <f ca="1">KTVCOI!P199</f>
        <v>3.4313519759641156</v>
      </c>
      <c r="H200" s="290">
        <f t="shared" ca="1" si="57"/>
        <v>-11569.977631670314</v>
      </c>
      <c r="I200" s="953"/>
      <c r="J200" s="292">
        <f t="shared" ca="1" si="62"/>
        <v>-11569.977631670314</v>
      </c>
      <c r="K200" s="949"/>
      <c r="L200" s="949"/>
      <c r="M200" s="949"/>
      <c r="N200" s="950"/>
      <c r="O200" s="950"/>
      <c r="X200" s="945"/>
      <c r="Y200" s="945"/>
    </row>
    <row r="201" spans="2:25" ht="9.75" customHeight="1">
      <c r="B201" s="951"/>
      <c r="C201" s="951"/>
      <c r="D201" s="287">
        <f t="shared" ca="1" si="60"/>
        <v>52226</v>
      </c>
      <c r="E201" s="359">
        <f t="shared" si="63"/>
        <v>0</v>
      </c>
      <c r="F201" s="289">
        <f t="shared" ca="1" si="61"/>
        <v>60</v>
      </c>
      <c r="G201" s="290">
        <f ca="1">KTVCOI!P200</f>
        <v>3.45170999344831</v>
      </c>
      <c r="H201" s="290">
        <f t="shared" ca="1" si="57"/>
        <v>-11638.265530936198</v>
      </c>
      <c r="I201" s="953"/>
      <c r="J201" s="292">
        <f t="shared" ca="1" si="62"/>
        <v>-11638.265530936198</v>
      </c>
      <c r="K201" s="949"/>
      <c r="L201" s="949"/>
      <c r="M201" s="949"/>
      <c r="N201" s="950"/>
      <c r="O201" s="950"/>
      <c r="X201" s="945"/>
      <c r="Y201" s="945"/>
    </row>
    <row r="202" spans="2:25" ht="9.75" customHeight="1">
      <c r="B202" s="951"/>
      <c r="C202" s="951"/>
      <c r="D202" s="287">
        <f t="shared" ca="1" si="60"/>
        <v>52257</v>
      </c>
      <c r="E202" s="359">
        <f t="shared" si="63"/>
        <v>0</v>
      </c>
      <c r="F202" s="289">
        <f t="shared" ca="1" si="61"/>
        <v>60</v>
      </c>
      <c r="G202" s="290">
        <f ca="1">KTVCOI!P201</f>
        <v>3.4720825500626322</v>
      </c>
      <c r="H202" s="290">
        <f t="shared" ca="1" si="57"/>
        <v>-11706.60219952131</v>
      </c>
      <c r="I202" s="953"/>
      <c r="J202" s="292">
        <f t="shared" ca="1" si="62"/>
        <v>-11706.60219952131</v>
      </c>
      <c r="K202" s="949"/>
      <c r="L202" s="949"/>
      <c r="M202" s="949"/>
      <c r="N202" s="950"/>
      <c r="O202" s="950"/>
      <c r="X202" s="945"/>
      <c r="Y202" s="945"/>
    </row>
    <row r="203" spans="2:25" ht="9.75" customHeight="1">
      <c r="B203" s="951"/>
      <c r="C203" s="951"/>
      <c r="D203" s="287">
        <f t="shared" ca="1" si="60"/>
        <v>52288</v>
      </c>
      <c r="E203" s="359">
        <f t="shared" si="63"/>
        <v>0</v>
      </c>
      <c r="F203" s="289">
        <f t="shared" ca="1" si="61"/>
        <v>60</v>
      </c>
      <c r="G203" s="290">
        <f ca="1">KTVCOI!P202</f>
        <v>3.4924696561905244</v>
      </c>
      <c r="H203" s="290">
        <f t="shared" ca="1" si="57"/>
        <v>-11774.987672255344</v>
      </c>
      <c r="I203" s="953"/>
      <c r="J203" s="292">
        <f t="shared" ca="1" si="62"/>
        <v>-11774.987672255344</v>
      </c>
      <c r="K203" s="949"/>
      <c r="L203" s="949"/>
      <c r="M203" s="949"/>
      <c r="N203" s="950"/>
      <c r="O203" s="950"/>
      <c r="X203" s="945"/>
      <c r="Y203" s="945"/>
    </row>
    <row r="204" spans="2:25" ht="9.75" customHeight="1">
      <c r="B204" s="951"/>
      <c r="C204" s="951"/>
      <c r="D204" s="287">
        <f t="shared" ca="1" si="60"/>
        <v>52316</v>
      </c>
      <c r="E204" s="359">
        <f t="shared" si="63"/>
        <v>0</v>
      </c>
      <c r="F204" s="289">
        <f t="shared" ca="1" si="61"/>
        <v>60</v>
      </c>
      <c r="G204" s="290">
        <f ca="1">KTVCOI!P203</f>
        <v>3.512871322222844</v>
      </c>
      <c r="H204" s="290">
        <f t="shared" ca="1" si="57"/>
        <v>-11843.421983992863</v>
      </c>
      <c r="I204" s="953"/>
      <c r="J204" s="292">
        <f t="shared" ca="1" si="62"/>
        <v>-11843.421983992863</v>
      </c>
      <c r="K204" s="949"/>
      <c r="L204" s="949"/>
      <c r="M204" s="949"/>
      <c r="N204" s="950"/>
      <c r="O204" s="950"/>
      <c r="X204" s="945"/>
      <c r="Y204" s="945"/>
    </row>
    <row r="205" spans="2:25" ht="9.75" customHeight="1">
      <c r="B205" s="951"/>
      <c r="C205" s="951"/>
      <c r="D205" s="287">
        <f t="shared" ca="1" si="60"/>
        <v>52347</v>
      </c>
      <c r="E205" s="359">
        <f t="shared" si="63"/>
        <v>0</v>
      </c>
      <c r="F205" s="289">
        <f t="shared" ca="1" si="61"/>
        <v>60</v>
      </c>
      <c r="G205" s="290">
        <f ca="1">KTVCOI!P204</f>
        <v>3.5332875585578711</v>
      </c>
      <c r="H205" s="290">
        <f t="shared" ca="1" si="57"/>
        <v>-11911.905169613328</v>
      </c>
      <c r="I205" s="953"/>
      <c r="J205" s="292">
        <f t="shared" ca="1" si="62"/>
        <v>-11911.905169613328</v>
      </c>
      <c r="K205" s="949"/>
      <c r="L205" s="949"/>
      <c r="M205" s="949"/>
      <c r="N205" s="950"/>
      <c r="O205" s="950"/>
      <c r="X205" s="945"/>
      <c r="Y205" s="945"/>
    </row>
    <row r="206" spans="2:25" ht="9.75" customHeight="1">
      <c r="B206" s="951"/>
      <c r="C206" s="951"/>
      <c r="D206" s="287">
        <f t="shared" ca="1" si="60"/>
        <v>52377</v>
      </c>
      <c r="E206" s="359">
        <f t="shared" si="63"/>
        <v>0</v>
      </c>
      <c r="F206" s="289">
        <f t="shared" ca="1" si="61"/>
        <v>60</v>
      </c>
      <c r="G206" s="290">
        <f ca="1">KTVCOI!P205</f>
        <v>3.55371837560131</v>
      </c>
      <c r="H206" s="290">
        <f t="shared" ca="1" si="57"/>
        <v>-11980.437264021108</v>
      </c>
      <c r="I206" s="953"/>
      <c r="J206" s="292">
        <f t="shared" ca="1" si="62"/>
        <v>-11980.437264021108</v>
      </c>
      <c r="K206" s="949"/>
      <c r="L206" s="949"/>
      <c r="M206" s="949"/>
      <c r="N206" s="950"/>
      <c r="O206" s="950"/>
      <c r="X206" s="945"/>
      <c r="Y206" s="945"/>
    </row>
    <row r="207" spans="2:25" ht="9.75" customHeight="1">
      <c r="B207" s="951"/>
      <c r="C207" s="951"/>
      <c r="D207" s="287">
        <f t="shared" ca="1" si="60"/>
        <v>52408</v>
      </c>
      <c r="E207" s="359">
        <f t="shared" si="63"/>
        <v>0</v>
      </c>
      <c r="F207" s="289">
        <f t="shared" ca="1" si="61"/>
        <v>60</v>
      </c>
      <c r="G207" s="290">
        <f ca="1">KTVCOI!P206</f>
        <v>3.5741637837662972</v>
      </c>
      <c r="H207" s="290">
        <f t="shared" ca="1" si="57"/>
        <v>-12049.018302145498</v>
      </c>
      <c r="I207" s="953"/>
      <c r="J207" s="293">
        <f ca="1">H207+I196</f>
        <v>-12049.018302145498</v>
      </c>
      <c r="K207" s="949"/>
      <c r="L207" s="949"/>
      <c r="M207" s="949"/>
      <c r="N207" s="950"/>
      <c r="O207" s="950"/>
      <c r="X207" s="945"/>
      <c r="Y207" s="945"/>
    </row>
    <row r="208" spans="2:25" ht="9.75" customHeight="1">
      <c r="B208" s="946">
        <f>B196+1</f>
        <v>18</v>
      </c>
      <c r="C208" s="947">
        <f ca="1">C196+1</f>
        <v>47</v>
      </c>
      <c r="D208" s="294">
        <f t="shared" ca="1" si="60"/>
        <v>52438</v>
      </c>
      <c r="E208" s="359">
        <f t="shared" si="63"/>
        <v>0</v>
      </c>
      <c r="F208" s="360">
        <f t="shared" ca="1" si="61"/>
        <v>60</v>
      </c>
      <c r="G208" s="290">
        <f ca="1">KTVCOI!P207</f>
        <v>3.8858084024419228</v>
      </c>
      <c r="H208" s="295">
        <f ca="1">(J207+KTVBVGTTKcamket!F24-F208-G208)*(1+$W$3)</f>
        <v>-12117.939624599474</v>
      </c>
      <c r="I208" s="948"/>
      <c r="J208" s="296">
        <f t="shared" ca="1" si="62"/>
        <v>-12117.939624599474</v>
      </c>
      <c r="K208" s="949">
        <f ca="1">J219</f>
        <v>-12879.441058331984</v>
      </c>
      <c r="L208" s="949"/>
      <c r="M208" s="949"/>
      <c r="N208" s="950">
        <f t="shared" ref="N208" ca="1" si="64">SUM(G208:G219)</f>
        <v>48.100307685331003</v>
      </c>
      <c r="O208" s="950"/>
      <c r="X208" s="945">
        <f t="shared" ref="X208:Y208" ca="1" si="65">SUM(F208:F219)</f>
        <v>720</v>
      </c>
      <c r="Y208" s="945">
        <f t="shared" ca="1" si="65"/>
        <v>48.100307685331003</v>
      </c>
    </row>
    <row r="209" spans="2:25" ht="9.75" customHeight="1">
      <c r="B209" s="946"/>
      <c r="C209" s="946"/>
      <c r="D209" s="294">
        <f t="shared" ca="1" si="60"/>
        <v>52469</v>
      </c>
      <c r="E209" s="359">
        <f t="shared" si="63"/>
        <v>0</v>
      </c>
      <c r="F209" s="360">
        <f t="shared" ca="1" si="61"/>
        <v>60</v>
      </c>
      <c r="G209" s="290">
        <f ca="1">KTVCOI!P208</f>
        <v>3.9080355289333304</v>
      </c>
      <c r="H209" s="295">
        <f t="shared" ca="1" si="57"/>
        <v>-12186.91183503695</v>
      </c>
      <c r="I209" s="948"/>
      <c r="J209" s="296">
        <f t="shared" ca="1" si="62"/>
        <v>-12186.91183503695</v>
      </c>
      <c r="K209" s="949"/>
      <c r="L209" s="949"/>
      <c r="M209" s="949"/>
      <c r="N209" s="950"/>
      <c r="O209" s="950"/>
      <c r="X209" s="945"/>
      <c r="Y209" s="945"/>
    </row>
    <row r="210" spans="2:25" ht="9.75" customHeight="1">
      <c r="B210" s="946"/>
      <c r="C210" s="946"/>
      <c r="D210" s="294">
        <f t="shared" ca="1" si="60"/>
        <v>52500</v>
      </c>
      <c r="E210" s="359">
        <f t="shared" si="63"/>
        <v>0</v>
      </c>
      <c r="F210" s="360">
        <f t="shared" ca="1" si="61"/>
        <v>60</v>
      </c>
      <c r="G210" s="290">
        <f ca="1">KTVCOI!P209</f>
        <v>3.9302790667994163</v>
      </c>
      <c r="H210" s="295">
        <f t="shared" ca="1" si="57"/>
        <v>-12255.934971031013</v>
      </c>
      <c r="I210" s="948"/>
      <c r="J210" s="296">
        <f t="shared" ca="1" si="62"/>
        <v>-12255.934971031013</v>
      </c>
      <c r="K210" s="949"/>
      <c r="L210" s="949"/>
      <c r="M210" s="949"/>
      <c r="N210" s="950"/>
      <c r="O210" s="950"/>
      <c r="X210" s="945"/>
      <c r="Y210" s="945"/>
    </row>
    <row r="211" spans="2:25" ht="9.75" customHeight="1">
      <c r="B211" s="946"/>
      <c r="C211" s="946"/>
      <c r="D211" s="294">
        <f t="shared" ca="1" si="60"/>
        <v>52530</v>
      </c>
      <c r="E211" s="359">
        <f t="shared" si="63"/>
        <v>0</v>
      </c>
      <c r="F211" s="360">
        <f t="shared" ca="1" si="61"/>
        <v>60</v>
      </c>
      <c r="G211" s="290">
        <f ca="1">KTVCOI!P210</f>
        <v>3.9525390281575015</v>
      </c>
      <c r="H211" s="295">
        <f t="shared" ca="1" si="57"/>
        <v>-12325.009070182494</v>
      </c>
      <c r="I211" s="948"/>
      <c r="J211" s="296">
        <f t="shared" ca="1" si="62"/>
        <v>-12325.009070182494</v>
      </c>
      <c r="K211" s="949"/>
      <c r="L211" s="949"/>
      <c r="M211" s="949"/>
      <c r="N211" s="950"/>
      <c r="O211" s="950"/>
      <c r="X211" s="945"/>
      <c r="Y211" s="945"/>
    </row>
    <row r="212" spans="2:25" ht="9.75" customHeight="1">
      <c r="B212" s="946"/>
      <c r="C212" s="946"/>
      <c r="D212" s="294">
        <f t="shared" ca="1" si="60"/>
        <v>52561</v>
      </c>
      <c r="E212" s="359">
        <f t="shared" si="63"/>
        <v>0</v>
      </c>
      <c r="F212" s="360">
        <f t="shared" ca="1" si="61"/>
        <v>60</v>
      </c>
      <c r="G212" s="290">
        <f ca="1">KTVCOI!P211</f>
        <v>3.9748154251338548</v>
      </c>
      <c r="H212" s="295">
        <f t="shared" ca="1" si="57"/>
        <v>-12394.134170119984</v>
      </c>
      <c r="I212" s="948"/>
      <c r="J212" s="296">
        <f t="shared" ca="1" si="62"/>
        <v>-12394.134170119984</v>
      </c>
      <c r="K212" s="949"/>
      <c r="L212" s="949"/>
      <c r="M212" s="949"/>
      <c r="N212" s="950"/>
      <c r="O212" s="950"/>
      <c r="X212" s="945"/>
      <c r="Y212" s="945"/>
    </row>
    <row r="213" spans="2:25" ht="9.75" customHeight="1">
      <c r="B213" s="946"/>
      <c r="C213" s="946"/>
      <c r="D213" s="294">
        <f t="shared" ca="1" si="60"/>
        <v>52591</v>
      </c>
      <c r="E213" s="359">
        <f t="shared" si="63"/>
        <v>0</v>
      </c>
      <c r="F213" s="360">
        <f t="shared" ca="1" si="61"/>
        <v>60</v>
      </c>
      <c r="G213" s="290">
        <f ca="1">KTVCOI!P212</f>
        <v>3.9971082698636948</v>
      </c>
      <c r="H213" s="295">
        <f t="shared" ca="1" si="57"/>
        <v>-12463.310308499857</v>
      </c>
      <c r="I213" s="948"/>
      <c r="J213" s="296">
        <f t="shared" ca="1" si="62"/>
        <v>-12463.310308499857</v>
      </c>
      <c r="K213" s="949"/>
      <c r="L213" s="949"/>
      <c r="M213" s="949"/>
      <c r="N213" s="950"/>
      <c r="O213" s="950"/>
      <c r="X213" s="945"/>
      <c r="Y213" s="945"/>
    </row>
    <row r="214" spans="2:25" ht="9.75" customHeight="1">
      <c r="B214" s="946"/>
      <c r="C214" s="946"/>
      <c r="D214" s="294">
        <f t="shared" ca="1" si="60"/>
        <v>52622</v>
      </c>
      <c r="E214" s="359">
        <f t="shared" si="63"/>
        <v>0</v>
      </c>
      <c r="F214" s="360">
        <f t="shared" ca="1" si="61"/>
        <v>60</v>
      </c>
      <c r="G214" s="290">
        <f ca="1">KTVCOI!P213</f>
        <v>4.0194175744912037</v>
      </c>
      <c r="H214" s="295">
        <f t="shared" ca="1" si="57"/>
        <v>-12532.537523006291</v>
      </c>
      <c r="I214" s="948"/>
      <c r="J214" s="296">
        <f t="shared" ca="1" si="62"/>
        <v>-12532.537523006291</v>
      </c>
      <c r="K214" s="949"/>
      <c r="L214" s="949"/>
      <c r="M214" s="949"/>
      <c r="N214" s="950"/>
      <c r="O214" s="950"/>
      <c r="X214" s="945"/>
      <c r="Y214" s="945"/>
    </row>
    <row r="215" spans="2:25" ht="9.75" customHeight="1">
      <c r="B215" s="946"/>
      <c r="C215" s="946"/>
      <c r="D215" s="294">
        <f t="shared" ca="1" si="60"/>
        <v>52653</v>
      </c>
      <c r="E215" s="359">
        <f t="shared" si="63"/>
        <v>0</v>
      </c>
      <c r="F215" s="360">
        <f t="shared" ca="1" si="61"/>
        <v>60</v>
      </c>
      <c r="G215" s="290">
        <f ca="1">KTVCOI!P214</f>
        <v>4.0417433511695284</v>
      </c>
      <c r="H215" s="295">
        <f t="shared" ca="1" si="57"/>
        <v>-12601.815851351292</v>
      </c>
      <c r="I215" s="948"/>
      <c r="J215" s="296">
        <f t="shared" ca="1" si="62"/>
        <v>-12601.815851351292</v>
      </c>
      <c r="K215" s="949"/>
      <c r="L215" s="949"/>
      <c r="M215" s="949"/>
      <c r="N215" s="950"/>
      <c r="O215" s="950"/>
      <c r="X215" s="945"/>
      <c r="Y215" s="945"/>
    </row>
    <row r="216" spans="2:25" ht="9.75" customHeight="1">
      <c r="B216" s="946"/>
      <c r="C216" s="946"/>
      <c r="D216" s="294">
        <f t="shared" ca="1" si="60"/>
        <v>52682</v>
      </c>
      <c r="E216" s="359">
        <f t="shared" si="63"/>
        <v>0</v>
      </c>
      <c r="F216" s="360">
        <f t="shared" ca="1" si="61"/>
        <v>60</v>
      </c>
      <c r="G216" s="290">
        <f ca="1">KTVCOI!P215</f>
        <v>4.0640856120607909</v>
      </c>
      <c r="H216" s="295">
        <f t="shared" ca="1" si="57"/>
        <v>-12671.145331274703</v>
      </c>
      <c r="I216" s="948"/>
      <c r="J216" s="296">
        <f t="shared" ca="1" si="62"/>
        <v>-12671.145331274703</v>
      </c>
      <c r="K216" s="949"/>
      <c r="L216" s="949"/>
      <c r="M216" s="949"/>
      <c r="N216" s="950"/>
      <c r="O216" s="950"/>
      <c r="X216" s="945"/>
      <c r="Y216" s="945"/>
    </row>
    <row r="217" spans="2:25" ht="9.75" customHeight="1">
      <c r="B217" s="946"/>
      <c r="C217" s="946"/>
      <c r="D217" s="294">
        <f t="shared" ca="1" si="60"/>
        <v>52713</v>
      </c>
      <c r="E217" s="359">
        <f t="shared" si="63"/>
        <v>0</v>
      </c>
      <c r="F217" s="360">
        <f t="shared" ca="1" si="61"/>
        <v>60</v>
      </c>
      <c r="G217" s="290">
        <f ca="1">KTVCOI!P216</f>
        <v>4.0864443693360917</v>
      </c>
      <c r="H217" s="295">
        <f t="shared" ca="1" si="57"/>
        <v>-12740.52600054424</v>
      </c>
      <c r="I217" s="948"/>
      <c r="J217" s="296">
        <f t="shared" ca="1" si="62"/>
        <v>-12740.52600054424</v>
      </c>
      <c r="K217" s="949"/>
      <c r="L217" s="949"/>
      <c r="M217" s="949"/>
      <c r="N217" s="950"/>
      <c r="O217" s="950"/>
      <c r="X217" s="945"/>
      <c r="Y217" s="945"/>
    </row>
    <row r="218" spans="2:25" ht="9.75" customHeight="1">
      <c r="B218" s="946"/>
      <c r="C218" s="946"/>
      <c r="D218" s="294">
        <f t="shared" ca="1" si="60"/>
        <v>52743</v>
      </c>
      <c r="E218" s="359">
        <f t="shared" si="63"/>
        <v>0</v>
      </c>
      <c r="F218" s="360">
        <f t="shared" ca="1" si="61"/>
        <v>60</v>
      </c>
      <c r="G218" s="290">
        <f ca="1">KTVCOI!P217</f>
        <v>4.1088196351755171</v>
      </c>
      <c r="H218" s="295">
        <f t="shared" ca="1" si="57"/>
        <v>-12809.957896955499</v>
      </c>
      <c r="I218" s="948"/>
      <c r="J218" s="296">
        <f t="shared" ca="1" si="62"/>
        <v>-12809.957896955499</v>
      </c>
      <c r="K218" s="949"/>
      <c r="L218" s="949"/>
      <c r="M218" s="949"/>
      <c r="N218" s="950"/>
      <c r="O218" s="950"/>
      <c r="X218" s="945"/>
      <c r="Y218" s="945"/>
    </row>
    <row r="219" spans="2:25" ht="9.75" customHeight="1">
      <c r="B219" s="946"/>
      <c r="C219" s="946"/>
      <c r="D219" s="294">
        <f t="shared" ca="1" si="60"/>
        <v>52774</v>
      </c>
      <c r="E219" s="359">
        <f t="shared" si="63"/>
        <v>0</v>
      </c>
      <c r="F219" s="360">
        <f t="shared" ca="1" si="61"/>
        <v>60</v>
      </c>
      <c r="G219" s="290">
        <f ca="1">KTVCOI!P218</f>
        <v>4.1312114217681488</v>
      </c>
      <c r="H219" s="295">
        <f t="shared" ca="1" si="57"/>
        <v>-12879.441058331984</v>
      </c>
      <c r="I219" s="948"/>
      <c r="J219" s="297">
        <f ca="1">H219+I208</f>
        <v>-12879.441058331984</v>
      </c>
      <c r="K219" s="949"/>
      <c r="L219" s="949"/>
      <c r="M219" s="949"/>
      <c r="N219" s="950"/>
      <c r="O219" s="950"/>
      <c r="X219" s="945"/>
      <c r="Y219" s="945"/>
    </row>
    <row r="220" spans="2:25" ht="9.75" customHeight="1">
      <c r="B220" s="951">
        <f>B208+1</f>
        <v>19</v>
      </c>
      <c r="C220" s="952">
        <f ca="1">C208+1</f>
        <v>48</v>
      </c>
      <c r="D220" s="287">
        <f t="shared" ca="1" si="60"/>
        <v>52804</v>
      </c>
      <c r="E220" s="359">
        <f t="shared" si="63"/>
        <v>0</v>
      </c>
      <c r="F220" s="289">
        <f t="shared" ca="1" si="61"/>
        <v>60</v>
      </c>
      <c r="G220" s="290">
        <f ca="1">KTVCOI!P219</f>
        <v>4.4863386353189743</v>
      </c>
      <c r="H220" s="290">
        <f ca="1">(J219+KTVBVGTTKcamket!F25-F220-G220)*(1+$W$3)</f>
        <v>-12949.308379735317</v>
      </c>
      <c r="I220" s="953"/>
      <c r="J220" s="292">
        <f t="shared" ca="1" si="62"/>
        <v>-12949.308379735317</v>
      </c>
      <c r="K220" s="949">
        <f ca="1">J231</f>
        <v>-13721.38178675615</v>
      </c>
      <c r="L220" s="949"/>
      <c r="M220" s="949"/>
      <c r="N220" s="950">
        <f t="shared" ref="N220" ca="1" si="66">SUM(G220:G231)</f>
        <v>55.446412002658143</v>
      </c>
      <c r="O220" s="950"/>
      <c r="X220" s="945">
        <f t="shared" ref="X220:Y220" ca="1" si="67">SUM(F220:F231)</f>
        <v>720</v>
      </c>
      <c r="Y220" s="945">
        <f t="shared" ca="1" si="67"/>
        <v>55.446412002658143</v>
      </c>
    </row>
    <row r="221" spans="2:25" ht="9.75" customHeight="1">
      <c r="B221" s="951"/>
      <c r="C221" s="951"/>
      <c r="D221" s="287">
        <f t="shared" ca="1" si="60"/>
        <v>52835</v>
      </c>
      <c r="E221" s="359">
        <f t="shared" si="63"/>
        <v>0</v>
      </c>
      <c r="F221" s="289">
        <f t="shared" ca="1" si="61"/>
        <v>60</v>
      </c>
      <c r="G221" s="290">
        <f ca="1">KTVCOI!P220</f>
        <v>4.5106757522744685</v>
      </c>
      <c r="H221" s="290">
        <f t="shared" ca="1" si="57"/>
        <v>-13019.229093255577</v>
      </c>
      <c r="I221" s="953"/>
      <c r="J221" s="292">
        <f t="shared" ca="1" si="62"/>
        <v>-13019.229093255577</v>
      </c>
      <c r="K221" s="949"/>
      <c r="L221" s="949"/>
      <c r="M221" s="949"/>
      <c r="N221" s="950"/>
      <c r="O221" s="950"/>
      <c r="X221" s="945"/>
      <c r="Y221" s="945"/>
    </row>
    <row r="222" spans="2:25" ht="9.75" customHeight="1">
      <c r="B222" s="951"/>
      <c r="C222" s="951"/>
      <c r="D222" s="287">
        <f t="shared" ca="1" si="60"/>
        <v>52866</v>
      </c>
      <c r="E222" s="359">
        <f t="shared" si="63"/>
        <v>0</v>
      </c>
      <c r="F222" s="289">
        <f t="shared" ca="1" si="61"/>
        <v>60</v>
      </c>
      <c r="G222" s="290">
        <f ca="1">KTVCOI!P221</f>
        <v>4.5350314674840257</v>
      </c>
      <c r="H222" s="290">
        <f t="shared" ca="1" si="57"/>
        <v>-13089.203239694642</v>
      </c>
      <c r="I222" s="953"/>
      <c r="J222" s="292">
        <f t="shared" ca="1" si="62"/>
        <v>-13089.203239694642</v>
      </c>
      <c r="K222" s="949"/>
      <c r="L222" s="949"/>
      <c r="M222" s="949"/>
      <c r="N222" s="950"/>
      <c r="O222" s="950"/>
      <c r="X222" s="945"/>
      <c r="Y222" s="945"/>
    </row>
    <row r="223" spans="2:25" ht="9.75" customHeight="1">
      <c r="B223" s="951"/>
      <c r="C223" s="951"/>
      <c r="D223" s="287">
        <f t="shared" ca="1" si="60"/>
        <v>52896</v>
      </c>
      <c r="E223" s="359">
        <f t="shared" si="63"/>
        <v>0</v>
      </c>
      <c r="F223" s="289">
        <f t="shared" ca="1" si="61"/>
        <v>60</v>
      </c>
      <c r="G223" s="290">
        <f ca="1">KTVCOI!P222</f>
        <v>4.5594057951602993</v>
      </c>
      <c r="H223" s="290">
        <f t="shared" ca="1" si="57"/>
        <v>-13159.230859885574</v>
      </c>
      <c r="I223" s="953"/>
      <c r="J223" s="292">
        <f t="shared" ca="1" si="62"/>
        <v>-13159.230859885574</v>
      </c>
      <c r="K223" s="949"/>
      <c r="L223" s="949"/>
      <c r="M223" s="949"/>
      <c r="N223" s="950"/>
      <c r="O223" s="950"/>
      <c r="X223" s="945"/>
      <c r="Y223" s="945"/>
    </row>
    <row r="224" spans="2:25" ht="9.75" customHeight="1">
      <c r="B224" s="951"/>
      <c r="C224" s="951"/>
      <c r="D224" s="287">
        <f t="shared" ca="1" si="60"/>
        <v>52927</v>
      </c>
      <c r="E224" s="359">
        <f t="shared" si="63"/>
        <v>0</v>
      </c>
      <c r="F224" s="289">
        <f t="shared" ca="1" si="61"/>
        <v>60</v>
      </c>
      <c r="G224" s="290">
        <f ca="1">KTVCOI!P223</f>
        <v>4.5837987495268075</v>
      </c>
      <c r="H224" s="290">
        <f t="shared" ca="1" si="57"/>
        <v>-13229.311994692642</v>
      </c>
      <c r="I224" s="953"/>
      <c r="J224" s="292">
        <f t="shared" ca="1" si="62"/>
        <v>-13229.311994692642</v>
      </c>
      <c r="K224" s="949"/>
      <c r="L224" s="949"/>
      <c r="M224" s="949"/>
      <c r="N224" s="950"/>
      <c r="O224" s="950"/>
      <c r="X224" s="945"/>
      <c r="Y224" s="945"/>
    </row>
    <row r="225" spans="2:25" ht="9.75" customHeight="1">
      <c r="B225" s="951"/>
      <c r="C225" s="951"/>
      <c r="D225" s="287">
        <f t="shared" ca="1" si="60"/>
        <v>52957</v>
      </c>
      <c r="E225" s="359">
        <f t="shared" si="63"/>
        <v>0</v>
      </c>
      <c r="F225" s="289">
        <f t="shared" ca="1" si="61"/>
        <v>60</v>
      </c>
      <c r="G225" s="290">
        <f ca="1">KTVCOI!P224</f>
        <v>4.6082103448179366</v>
      </c>
      <c r="H225" s="290">
        <f t="shared" ca="1" si="57"/>
        <v>-13299.446685011337</v>
      </c>
      <c r="I225" s="953"/>
      <c r="J225" s="292">
        <f t="shared" ca="1" si="62"/>
        <v>-13299.446685011337</v>
      </c>
      <c r="K225" s="949"/>
      <c r="L225" s="949"/>
      <c r="M225" s="949"/>
      <c r="N225" s="950"/>
      <c r="O225" s="950"/>
      <c r="X225" s="945"/>
      <c r="Y225" s="945"/>
    </row>
    <row r="226" spans="2:25" ht="9.75" customHeight="1">
      <c r="B226" s="951"/>
      <c r="C226" s="951"/>
      <c r="D226" s="287">
        <f t="shared" ca="1" si="60"/>
        <v>52988</v>
      </c>
      <c r="E226" s="359">
        <f t="shared" si="63"/>
        <v>0</v>
      </c>
      <c r="F226" s="289">
        <f t="shared" ca="1" si="61"/>
        <v>60</v>
      </c>
      <c r="G226" s="290">
        <f ca="1">KTVCOI!P225</f>
        <v>4.6326405952789491</v>
      </c>
      <c r="H226" s="290">
        <f t="shared" ca="1" si="57"/>
        <v>-13369.634971768406</v>
      </c>
      <c r="I226" s="953"/>
      <c r="J226" s="292">
        <f t="shared" ca="1" si="62"/>
        <v>-13369.634971768406</v>
      </c>
      <c r="K226" s="949"/>
      <c r="L226" s="949"/>
      <c r="M226" s="949"/>
      <c r="N226" s="950"/>
      <c r="O226" s="950"/>
      <c r="X226" s="945"/>
      <c r="Y226" s="945"/>
    </row>
    <row r="227" spans="2:25" ht="9.75" customHeight="1">
      <c r="B227" s="951"/>
      <c r="C227" s="951"/>
      <c r="D227" s="287">
        <f t="shared" ca="1" si="60"/>
        <v>53019</v>
      </c>
      <c r="E227" s="359">
        <f t="shared" si="63"/>
        <v>0</v>
      </c>
      <c r="F227" s="289">
        <f t="shared" ca="1" si="61"/>
        <v>60</v>
      </c>
      <c r="G227" s="290">
        <f ca="1">KTVCOI!P226</f>
        <v>4.6570895151659943</v>
      </c>
      <c r="H227" s="290">
        <f t="shared" ca="1" si="57"/>
        <v>-13439.876895921872</v>
      </c>
      <c r="I227" s="953"/>
      <c r="J227" s="292">
        <f t="shared" ca="1" si="62"/>
        <v>-13439.876895921872</v>
      </c>
      <c r="K227" s="949"/>
      <c r="L227" s="949"/>
      <c r="M227" s="949"/>
      <c r="N227" s="950"/>
      <c r="O227" s="950"/>
      <c r="X227" s="945"/>
      <c r="Y227" s="945"/>
    </row>
    <row r="228" spans="2:25" ht="9.75" customHeight="1">
      <c r="B228" s="951"/>
      <c r="C228" s="951"/>
      <c r="D228" s="287">
        <f t="shared" ca="1" si="60"/>
        <v>53047</v>
      </c>
      <c r="E228" s="359">
        <f t="shared" si="63"/>
        <v>0</v>
      </c>
      <c r="F228" s="289">
        <f t="shared" ca="1" si="61"/>
        <v>60</v>
      </c>
      <c r="G228" s="290">
        <f ca="1">KTVCOI!P227</f>
        <v>4.6815571187461185</v>
      </c>
      <c r="H228" s="290">
        <f t="shared" ca="1" si="57"/>
        <v>-13510.172498461057</v>
      </c>
      <c r="I228" s="953"/>
      <c r="J228" s="292">
        <f t="shared" ca="1" si="62"/>
        <v>-13510.172498461057</v>
      </c>
      <c r="K228" s="949"/>
      <c r="L228" s="949"/>
      <c r="M228" s="949"/>
      <c r="N228" s="950"/>
      <c r="O228" s="950"/>
      <c r="X228" s="945"/>
      <c r="Y228" s="945"/>
    </row>
    <row r="229" spans="2:25" ht="9.75" customHeight="1">
      <c r="B229" s="951"/>
      <c r="C229" s="951"/>
      <c r="D229" s="287">
        <f t="shared" ca="1" si="60"/>
        <v>53078</v>
      </c>
      <c r="E229" s="359">
        <f t="shared" si="63"/>
        <v>0</v>
      </c>
      <c r="F229" s="289">
        <f t="shared" ca="1" si="61"/>
        <v>60</v>
      </c>
      <c r="G229" s="290">
        <f ca="1">KTVCOI!P228</f>
        <v>4.7060434202972674</v>
      </c>
      <c r="H229" s="290">
        <f t="shared" ca="1" si="57"/>
        <v>-13580.521820406608</v>
      </c>
      <c r="I229" s="953"/>
      <c r="J229" s="292">
        <f t="shared" ca="1" si="62"/>
        <v>-13580.521820406608</v>
      </c>
      <c r="K229" s="949"/>
      <c r="L229" s="949"/>
      <c r="M229" s="949"/>
      <c r="N229" s="950"/>
      <c r="O229" s="950"/>
      <c r="X229" s="945"/>
      <c r="Y229" s="945"/>
    </row>
    <row r="230" spans="2:25" ht="9.75" customHeight="1">
      <c r="B230" s="951"/>
      <c r="C230" s="951"/>
      <c r="D230" s="287">
        <f t="shared" ca="1" si="60"/>
        <v>53108</v>
      </c>
      <c r="E230" s="359">
        <f t="shared" si="63"/>
        <v>0</v>
      </c>
      <c r="F230" s="289">
        <f t="shared" ca="1" si="61"/>
        <v>60</v>
      </c>
      <c r="G230" s="290">
        <f ca="1">KTVCOI!P229</f>
        <v>4.7305484341083011</v>
      </c>
      <c r="H230" s="290">
        <f t="shared" ca="1" si="57"/>
        <v>-13650.924902810517</v>
      </c>
      <c r="I230" s="953"/>
      <c r="J230" s="292">
        <f t="shared" ca="1" si="62"/>
        <v>-13650.924902810517</v>
      </c>
      <c r="K230" s="949"/>
      <c r="L230" s="949"/>
      <c r="M230" s="949"/>
      <c r="N230" s="950"/>
      <c r="O230" s="950"/>
      <c r="X230" s="945"/>
      <c r="Y230" s="945"/>
    </row>
    <row r="231" spans="2:25" ht="9.75" customHeight="1">
      <c r="B231" s="951"/>
      <c r="C231" s="951"/>
      <c r="D231" s="287">
        <f t="shared" ca="1" si="60"/>
        <v>53139</v>
      </c>
      <c r="E231" s="359">
        <f t="shared" si="63"/>
        <v>0</v>
      </c>
      <c r="F231" s="289">
        <f t="shared" ca="1" si="61"/>
        <v>60</v>
      </c>
      <c r="G231" s="290">
        <f ca="1">KTVCOI!P230</f>
        <v>4.7550721744789968</v>
      </c>
      <c r="H231" s="290">
        <f t="shared" ca="1" si="57"/>
        <v>-13721.38178675615</v>
      </c>
      <c r="I231" s="953"/>
      <c r="J231" s="293">
        <f ca="1">H231+I220</f>
        <v>-13721.38178675615</v>
      </c>
      <c r="K231" s="949"/>
      <c r="L231" s="949"/>
      <c r="M231" s="949"/>
      <c r="N231" s="950"/>
      <c r="O231" s="950"/>
      <c r="X231" s="945"/>
      <c r="Y231" s="945"/>
    </row>
    <row r="232" spans="2:25" ht="9.75" customHeight="1">
      <c r="B232" s="946">
        <f>B220+1</f>
        <v>20</v>
      </c>
      <c r="C232" s="947">
        <f ca="1">C220+1</f>
        <v>49</v>
      </c>
      <c r="D232" s="294">
        <f t="shared" ca="1" si="60"/>
        <v>53169</v>
      </c>
      <c r="E232" s="359">
        <f t="shared" si="63"/>
        <v>0</v>
      </c>
      <c r="F232" s="360">
        <f t="shared" ca="1" si="61"/>
        <v>60</v>
      </c>
      <c r="G232" s="290">
        <f ca="1">KTVCOI!P231</f>
        <v>5.1683871396781491</v>
      </c>
      <c r="H232" s="295">
        <f ca="1">(J231+KTVBVGTTKcamket!F26-F232-G232)*(1+$W$3)</f>
        <v>-13792.281447460718</v>
      </c>
      <c r="I232" s="948">
        <f ca="1">IF(COUNTIF(KTVBVGTTKcamket!$E$7:E26,0)&gt;0,0,'Tinh phi QL'!H12/1000)</f>
        <v>0</v>
      </c>
      <c r="J232" s="296">
        <f t="shared" ca="1" si="62"/>
        <v>-13792.281447460718</v>
      </c>
      <c r="K232" s="949">
        <f ca="1">J243</f>
        <v>-14575.89611504512</v>
      </c>
      <c r="L232" s="949"/>
      <c r="M232" s="949"/>
      <c r="N232" s="950">
        <f t="shared" ref="N232" ca="1" si="68">SUM(G232:G243)</f>
        <v>63.787875889549007</v>
      </c>
      <c r="O232" s="950"/>
      <c r="X232" s="945">
        <f t="shared" ref="X232:Y232" ca="1" si="69">SUM(F232:F243)</f>
        <v>720</v>
      </c>
      <c r="Y232" s="945">
        <f t="shared" ca="1" si="69"/>
        <v>63.787875889549007</v>
      </c>
    </row>
    <row r="233" spans="2:25" ht="9.75" customHeight="1">
      <c r="B233" s="946"/>
      <c r="C233" s="946"/>
      <c r="D233" s="294">
        <f t="shared" ca="1" si="60"/>
        <v>53200</v>
      </c>
      <c r="E233" s="359">
        <f t="shared" si="63"/>
        <v>0</v>
      </c>
      <c r="F233" s="360">
        <f t="shared" ca="1" si="61"/>
        <v>60</v>
      </c>
      <c r="G233" s="290">
        <f ca="1">KTVCOI!P232</f>
        <v>5.1950926785435367</v>
      </c>
      <c r="H233" s="295">
        <f t="shared" ca="1" si="57"/>
        <v>-13863.237298847482</v>
      </c>
      <c r="I233" s="948"/>
      <c r="J233" s="296">
        <f t="shared" ca="1" si="62"/>
        <v>-13863.237298847482</v>
      </c>
      <c r="K233" s="949"/>
      <c r="L233" s="949"/>
      <c r="M233" s="949"/>
      <c r="N233" s="950"/>
      <c r="O233" s="950"/>
      <c r="X233" s="945"/>
      <c r="Y233" s="945"/>
    </row>
    <row r="234" spans="2:25" ht="9.75" customHeight="1">
      <c r="B234" s="946"/>
      <c r="C234" s="946"/>
      <c r="D234" s="294">
        <f t="shared" ca="1" si="60"/>
        <v>53231</v>
      </c>
      <c r="E234" s="359">
        <f t="shared" si="63"/>
        <v>0</v>
      </c>
      <c r="F234" s="360">
        <f t="shared" ca="1" si="61"/>
        <v>60</v>
      </c>
      <c r="G234" s="290">
        <f ca="1">KTVCOI!P233</f>
        <v>5.2218193825658838</v>
      </c>
      <c r="H234" s="295">
        <f t="shared" ca="1" si="57"/>
        <v>-13934.249385449697</v>
      </c>
      <c r="I234" s="948"/>
      <c r="J234" s="296">
        <f t="shared" ca="1" si="62"/>
        <v>-13934.249385449697</v>
      </c>
      <c r="K234" s="949"/>
      <c r="L234" s="949"/>
      <c r="M234" s="949"/>
      <c r="N234" s="950"/>
      <c r="O234" s="950"/>
      <c r="X234" s="945"/>
      <c r="Y234" s="945"/>
    </row>
    <row r="235" spans="2:25" ht="9.75" customHeight="1">
      <c r="B235" s="946"/>
      <c r="C235" s="946"/>
      <c r="D235" s="294">
        <f t="shared" ca="1" si="60"/>
        <v>53261</v>
      </c>
      <c r="E235" s="359">
        <f t="shared" si="63"/>
        <v>0</v>
      </c>
      <c r="F235" s="360">
        <f t="shared" ca="1" si="61"/>
        <v>60</v>
      </c>
      <c r="G235" s="290">
        <f ca="1">KTVCOI!P234</f>
        <v>5.2485672685193849</v>
      </c>
      <c r="H235" s="295">
        <f t="shared" ca="1" si="57"/>
        <v>-14005.317751835915</v>
      </c>
      <c r="I235" s="948"/>
      <c r="J235" s="296">
        <f t="shared" ca="1" si="62"/>
        <v>-14005.317751835915</v>
      </c>
      <c r="K235" s="949"/>
      <c r="L235" s="949"/>
      <c r="M235" s="949"/>
      <c r="N235" s="950"/>
      <c r="O235" s="950"/>
      <c r="X235" s="945"/>
      <c r="Y235" s="945"/>
    </row>
    <row r="236" spans="2:25" ht="9.75" customHeight="1">
      <c r="B236" s="946"/>
      <c r="C236" s="946"/>
      <c r="D236" s="294">
        <f t="shared" ca="1" si="60"/>
        <v>53292</v>
      </c>
      <c r="E236" s="359">
        <f t="shared" si="63"/>
        <v>0</v>
      </c>
      <c r="F236" s="360">
        <f t="shared" ca="1" si="61"/>
        <v>60</v>
      </c>
      <c r="G236" s="290">
        <f ca="1">KTVCOI!P235</f>
        <v>5.2753363531915278</v>
      </c>
      <c r="H236" s="295">
        <f t="shared" ca="1" si="57"/>
        <v>-14076.442442610009</v>
      </c>
      <c r="I236" s="948"/>
      <c r="J236" s="296">
        <f t="shared" ca="1" si="62"/>
        <v>-14076.442442610009</v>
      </c>
      <c r="K236" s="949"/>
      <c r="L236" s="949"/>
      <c r="M236" s="949"/>
      <c r="N236" s="950"/>
      <c r="O236" s="950"/>
      <c r="X236" s="945"/>
      <c r="Y236" s="945"/>
    </row>
    <row r="237" spans="2:25" ht="9.75" customHeight="1">
      <c r="B237" s="946"/>
      <c r="C237" s="946"/>
      <c r="D237" s="294">
        <f t="shared" ca="1" si="60"/>
        <v>53322</v>
      </c>
      <c r="E237" s="359">
        <f t="shared" si="63"/>
        <v>0</v>
      </c>
      <c r="F237" s="360">
        <f t="shared" ca="1" si="61"/>
        <v>60</v>
      </c>
      <c r="G237" s="290">
        <f ca="1">KTVCOI!P236</f>
        <v>5.3021266533831026</v>
      </c>
      <c r="H237" s="295">
        <f t="shared" ca="1" si="57"/>
        <v>-14147.623502411201</v>
      </c>
      <c r="I237" s="948"/>
      <c r="J237" s="296">
        <f t="shared" ca="1" si="62"/>
        <v>-14147.623502411201</v>
      </c>
      <c r="K237" s="949"/>
      <c r="L237" s="949"/>
      <c r="M237" s="949"/>
      <c r="N237" s="950"/>
      <c r="O237" s="950"/>
      <c r="X237" s="945"/>
      <c r="Y237" s="945"/>
    </row>
    <row r="238" spans="2:25" ht="9.75" customHeight="1">
      <c r="B238" s="946"/>
      <c r="C238" s="946"/>
      <c r="D238" s="294">
        <f t="shared" ca="1" si="60"/>
        <v>53353</v>
      </c>
      <c r="E238" s="359">
        <f t="shared" si="63"/>
        <v>0</v>
      </c>
      <c r="F238" s="360">
        <f t="shared" ca="1" si="61"/>
        <v>60</v>
      </c>
      <c r="G238" s="290">
        <f ca="1">KTVCOI!P237</f>
        <v>5.3289381859082185</v>
      </c>
      <c r="H238" s="295">
        <f t="shared" ca="1" si="57"/>
        <v>-14218.860975914093</v>
      </c>
      <c r="I238" s="948"/>
      <c r="J238" s="296">
        <f t="shared" ca="1" si="62"/>
        <v>-14218.860975914093</v>
      </c>
      <c r="K238" s="949"/>
      <c r="L238" s="949"/>
      <c r="M238" s="949"/>
      <c r="N238" s="950"/>
      <c r="O238" s="950"/>
      <c r="X238" s="945"/>
      <c r="Y238" s="945"/>
    </row>
    <row r="239" spans="2:25" ht="9.75" customHeight="1">
      <c r="B239" s="946"/>
      <c r="C239" s="946"/>
      <c r="D239" s="294">
        <f t="shared" ca="1" si="60"/>
        <v>53384</v>
      </c>
      <c r="E239" s="359">
        <f t="shared" si="63"/>
        <v>0</v>
      </c>
      <c r="F239" s="360">
        <f t="shared" ca="1" si="61"/>
        <v>60</v>
      </c>
      <c r="G239" s="290">
        <f ca="1">KTVCOI!P238</f>
        <v>5.3557709675943075</v>
      </c>
      <c r="H239" s="295">
        <f t="shared" ca="1" si="57"/>
        <v>-14290.154907828693</v>
      </c>
      <c r="I239" s="948"/>
      <c r="J239" s="296">
        <f t="shared" ca="1" si="62"/>
        <v>-14290.154907828693</v>
      </c>
      <c r="K239" s="949"/>
      <c r="L239" s="949"/>
      <c r="M239" s="949"/>
      <c r="N239" s="950"/>
      <c r="O239" s="950"/>
      <c r="X239" s="945"/>
      <c r="Y239" s="945"/>
    </row>
    <row r="240" spans="2:25" ht="9.75" customHeight="1">
      <c r="B240" s="946"/>
      <c r="C240" s="946"/>
      <c r="D240" s="294">
        <f t="shared" ca="1" si="60"/>
        <v>53412</v>
      </c>
      <c r="E240" s="359">
        <f t="shared" si="63"/>
        <v>0</v>
      </c>
      <c r="F240" s="360">
        <f t="shared" ca="1" si="61"/>
        <v>60</v>
      </c>
      <c r="G240" s="290">
        <f ca="1">KTVCOI!P239</f>
        <v>5.3826250152821409</v>
      </c>
      <c r="H240" s="295">
        <f t="shared" ca="1" si="57"/>
        <v>-14361.505342900442</v>
      </c>
      <c r="I240" s="948"/>
      <c r="J240" s="296">
        <f t="shared" ca="1" si="62"/>
        <v>-14361.505342900442</v>
      </c>
      <c r="K240" s="949"/>
      <c r="L240" s="949"/>
      <c r="M240" s="949"/>
      <c r="N240" s="950"/>
      <c r="O240" s="950"/>
      <c r="X240" s="945"/>
      <c r="Y240" s="945"/>
    </row>
    <row r="241" spans="2:25" ht="9.75" customHeight="1">
      <c r="B241" s="946"/>
      <c r="C241" s="946"/>
      <c r="D241" s="294">
        <f t="shared" ca="1" si="60"/>
        <v>53443</v>
      </c>
      <c r="E241" s="359">
        <f t="shared" si="63"/>
        <v>0</v>
      </c>
      <c r="F241" s="360">
        <f t="shared" ca="1" si="61"/>
        <v>60</v>
      </c>
      <c r="G241" s="290">
        <f ca="1">KTVCOI!P240</f>
        <v>5.4095003458258324</v>
      </c>
      <c r="H241" s="295">
        <f t="shared" ca="1" si="57"/>
        <v>-14432.912325910247</v>
      </c>
      <c r="I241" s="948"/>
      <c r="J241" s="296">
        <f t="shared" ca="1" si="62"/>
        <v>-14432.912325910247</v>
      </c>
      <c r="K241" s="949"/>
      <c r="L241" s="949"/>
      <c r="M241" s="949"/>
      <c r="N241" s="950"/>
      <c r="O241" s="950"/>
      <c r="X241" s="945"/>
      <c r="Y241" s="945"/>
    </row>
    <row r="242" spans="2:25" ht="9.75" customHeight="1">
      <c r="B242" s="946"/>
      <c r="C242" s="946"/>
      <c r="D242" s="294">
        <f t="shared" ca="1" si="60"/>
        <v>53473</v>
      </c>
      <c r="E242" s="359">
        <f t="shared" si="63"/>
        <v>0</v>
      </c>
      <c r="F242" s="360">
        <f t="shared" ca="1" si="61"/>
        <v>60</v>
      </c>
      <c r="G242" s="290">
        <f ca="1">KTVCOI!P241</f>
        <v>5.4363969760928592</v>
      </c>
      <c r="H242" s="295">
        <f t="shared" ca="1" si="57"/>
        <v>-14504.375901674501</v>
      </c>
      <c r="I242" s="948"/>
      <c r="J242" s="296">
        <f t="shared" ca="1" si="62"/>
        <v>-14504.375901674501</v>
      </c>
      <c r="K242" s="949"/>
      <c r="L242" s="949"/>
      <c r="M242" s="949"/>
      <c r="N242" s="950"/>
      <c r="O242" s="950"/>
      <c r="X242" s="945"/>
      <c r="Y242" s="945"/>
    </row>
    <row r="243" spans="2:25" ht="9.75" customHeight="1">
      <c r="B243" s="946"/>
      <c r="C243" s="946"/>
      <c r="D243" s="294">
        <f t="shared" ca="1" si="60"/>
        <v>53504</v>
      </c>
      <c r="E243" s="359">
        <f t="shared" si="63"/>
        <v>0</v>
      </c>
      <c r="F243" s="360">
        <f t="shared" ca="1" si="61"/>
        <v>60</v>
      </c>
      <c r="G243" s="290">
        <f ca="1">KTVCOI!P242</f>
        <v>5.4633149229640603</v>
      </c>
      <c r="H243" s="295">
        <f t="shared" ca="1" si="57"/>
        <v>-14575.89611504512</v>
      </c>
      <c r="I243" s="948"/>
      <c r="J243" s="297">
        <f ca="1">H243+I232</f>
        <v>-14575.89611504512</v>
      </c>
      <c r="K243" s="949"/>
      <c r="L243" s="949"/>
      <c r="M243" s="949"/>
      <c r="N243" s="950"/>
      <c r="O243" s="950"/>
      <c r="X243" s="945"/>
      <c r="Y243" s="945"/>
    </row>
  </sheetData>
  <sheetProtection selectLockedCells="1"/>
  <mergeCells count="138">
    <mergeCell ref="B2:I2"/>
    <mergeCell ref="B4:B15"/>
    <mergeCell ref="C4:C15"/>
    <mergeCell ref="K4:M15"/>
    <mergeCell ref="N4:O15"/>
    <mergeCell ref="B16:B27"/>
    <mergeCell ref="C16:C27"/>
    <mergeCell ref="K16:M27"/>
    <mergeCell ref="N16:O27"/>
    <mergeCell ref="B28:B39"/>
    <mergeCell ref="C28:C39"/>
    <mergeCell ref="K28:M39"/>
    <mergeCell ref="N28:O39"/>
    <mergeCell ref="B40:B51"/>
    <mergeCell ref="C40:C51"/>
    <mergeCell ref="I40:I51"/>
    <mergeCell ref="K40:M51"/>
    <mergeCell ref="N40:O51"/>
    <mergeCell ref="B52:B63"/>
    <mergeCell ref="C52:C63"/>
    <mergeCell ref="I52:I63"/>
    <mergeCell ref="K52:M63"/>
    <mergeCell ref="N52:O63"/>
    <mergeCell ref="B64:B75"/>
    <mergeCell ref="C64:C75"/>
    <mergeCell ref="I64:I75"/>
    <mergeCell ref="K64:M75"/>
    <mergeCell ref="N64:O75"/>
    <mergeCell ref="B76:B87"/>
    <mergeCell ref="C76:C87"/>
    <mergeCell ref="I76:I87"/>
    <mergeCell ref="K76:M87"/>
    <mergeCell ref="N76:O87"/>
    <mergeCell ref="B88:B99"/>
    <mergeCell ref="C88:C99"/>
    <mergeCell ref="I88:I99"/>
    <mergeCell ref="K88:M99"/>
    <mergeCell ref="N88:O99"/>
    <mergeCell ref="B100:B111"/>
    <mergeCell ref="C100:C111"/>
    <mergeCell ref="I100:I111"/>
    <mergeCell ref="K100:M111"/>
    <mergeCell ref="N100:O111"/>
    <mergeCell ref="B112:B123"/>
    <mergeCell ref="C112:C123"/>
    <mergeCell ref="I112:I123"/>
    <mergeCell ref="K112:M123"/>
    <mergeCell ref="N112:O123"/>
    <mergeCell ref="B160:B171"/>
    <mergeCell ref="C160:C171"/>
    <mergeCell ref="I160:I171"/>
    <mergeCell ref="K160:M171"/>
    <mergeCell ref="N160:O171"/>
    <mergeCell ref="B124:B135"/>
    <mergeCell ref="C124:C135"/>
    <mergeCell ref="I124:I135"/>
    <mergeCell ref="K124:M135"/>
    <mergeCell ref="N124:O135"/>
    <mergeCell ref="B136:B147"/>
    <mergeCell ref="C136:C147"/>
    <mergeCell ref="I136:I147"/>
    <mergeCell ref="K136:M147"/>
    <mergeCell ref="N136:O147"/>
    <mergeCell ref="B232:B243"/>
    <mergeCell ref="C232:C243"/>
    <mergeCell ref="I232:I243"/>
    <mergeCell ref="K232:M243"/>
    <mergeCell ref="N232:O243"/>
    <mergeCell ref="B196:B207"/>
    <mergeCell ref="C196:C207"/>
    <mergeCell ref="I196:I207"/>
    <mergeCell ref="K196:M207"/>
    <mergeCell ref="N196:O207"/>
    <mergeCell ref="B208:B219"/>
    <mergeCell ref="C208:C219"/>
    <mergeCell ref="I208:I219"/>
    <mergeCell ref="K208:M219"/>
    <mergeCell ref="N208:O219"/>
    <mergeCell ref="X28:X39"/>
    <mergeCell ref="X40:X51"/>
    <mergeCell ref="X52:X63"/>
    <mergeCell ref="X64:X75"/>
    <mergeCell ref="B220:B231"/>
    <mergeCell ref="C220:C231"/>
    <mergeCell ref="I220:I231"/>
    <mergeCell ref="K220:M231"/>
    <mergeCell ref="N220:O231"/>
    <mergeCell ref="B172:B183"/>
    <mergeCell ref="C172:C183"/>
    <mergeCell ref="I172:I183"/>
    <mergeCell ref="K172:M183"/>
    <mergeCell ref="N172:O183"/>
    <mergeCell ref="B184:B195"/>
    <mergeCell ref="C184:C195"/>
    <mergeCell ref="I184:I195"/>
    <mergeCell ref="K184:M195"/>
    <mergeCell ref="N184:O195"/>
    <mergeCell ref="B148:B159"/>
    <mergeCell ref="C148:C159"/>
    <mergeCell ref="I148:I159"/>
    <mergeCell ref="K148:M159"/>
    <mergeCell ref="N148:O159"/>
    <mergeCell ref="X220:X231"/>
    <mergeCell ref="X232:X243"/>
    <mergeCell ref="Y4:Y15"/>
    <mergeCell ref="Y16:Y27"/>
    <mergeCell ref="Y28:Y39"/>
    <mergeCell ref="Y40:Y51"/>
    <mergeCell ref="Y52:Y63"/>
    <mergeCell ref="Y64:Y75"/>
    <mergeCell ref="Y76:Y87"/>
    <mergeCell ref="Y88:Y99"/>
    <mergeCell ref="X148:X159"/>
    <mergeCell ref="X160:X171"/>
    <mergeCell ref="X172:X183"/>
    <mergeCell ref="X184:X195"/>
    <mergeCell ref="X196:X207"/>
    <mergeCell ref="X208:X219"/>
    <mergeCell ref="X76:X87"/>
    <mergeCell ref="X88:X99"/>
    <mergeCell ref="X100:X111"/>
    <mergeCell ref="X112:X123"/>
    <mergeCell ref="X124:X135"/>
    <mergeCell ref="X136:X147"/>
    <mergeCell ref="X4:X15"/>
    <mergeCell ref="X16:X27"/>
    <mergeCell ref="Y172:Y183"/>
    <mergeCell ref="Y184:Y195"/>
    <mergeCell ref="Y196:Y207"/>
    <mergeCell ref="Y208:Y219"/>
    <mergeCell ref="Y220:Y231"/>
    <mergeCell ref="Y232:Y243"/>
    <mergeCell ref="Y100:Y111"/>
    <mergeCell ref="Y112:Y123"/>
    <mergeCell ref="Y124:Y135"/>
    <mergeCell ref="Y136:Y147"/>
    <mergeCell ref="Y148:Y159"/>
    <mergeCell ref="Y160:Y171"/>
  </mergeCells>
  <conditionalFormatting sqref="H1:J52 H53:H63 J53:J63 H64:J1048576">
    <cfRule type="cellIs" dxfId="181" priority="1" operator="lessThan">
      <formula>0</formula>
    </cfRule>
  </conditionalFormatting>
  <pageMargins left="0.75" right="0.75" top="1" bottom="1" header="0.5" footer="0.5"/>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DFBC9-C4BF-4414-8157-D9DB0534E991}">
  <dimension ref="B1:Y243"/>
  <sheetViews>
    <sheetView showGridLines="0" zoomScaleNormal="100" workbookViewId="0">
      <pane ySplit="3" topLeftCell="A218" activePane="bottomLeft" state="frozen"/>
      <selection pane="bottomLeft" activeCell="AF227" sqref="AF227"/>
    </sheetView>
  </sheetViews>
  <sheetFormatPr defaultColWidth="7.796875" defaultRowHeight="9.75" customHeight="1"/>
  <cols>
    <col min="1" max="1" width="2.19921875" style="277" customWidth="1"/>
    <col min="2" max="2" width="5.796875" style="270" customWidth="1"/>
    <col min="3" max="3" width="6.796875" style="270" customWidth="1"/>
    <col min="4" max="4" width="9.19921875" style="270" customWidth="1"/>
    <col min="5" max="5" width="14.296875" style="271" customWidth="1"/>
    <col min="6" max="6" width="11.5" style="299" customWidth="1"/>
    <col min="7" max="7" width="13.796875" style="272" customWidth="1"/>
    <col min="8" max="8" width="14.796875" style="271" customWidth="1"/>
    <col min="9" max="9" width="17.296875" style="273" customWidth="1"/>
    <col min="10" max="10" width="15.796875" style="300" customWidth="1"/>
    <col min="11" max="11" width="2.19921875" style="318" hidden="1" customWidth="1"/>
    <col min="12" max="12" width="2.69921875" style="318" hidden="1" customWidth="1"/>
    <col min="13" max="13" width="8.19921875" style="319" hidden="1" customWidth="1"/>
    <col min="14" max="15" width="0" style="298" hidden="1" customWidth="1"/>
    <col min="16" max="23" width="8.19921875" style="277" hidden="1" customWidth="1"/>
    <col min="24" max="16384" width="7.796875" style="277"/>
  </cols>
  <sheetData>
    <row r="1" spans="2:25" ht="9.75" customHeight="1">
      <c r="F1" s="271"/>
      <c r="J1" s="274" t="s">
        <v>681</v>
      </c>
      <c r="N1" s="275" t="s">
        <v>682</v>
      </c>
      <c r="O1" s="275" t="s">
        <v>683</v>
      </c>
      <c r="P1" s="276">
        <v>1</v>
      </c>
      <c r="Q1" s="276">
        <v>2</v>
      </c>
      <c r="R1" s="314">
        <v>3</v>
      </c>
      <c r="S1" s="314">
        <v>4</v>
      </c>
      <c r="T1" s="314">
        <v>5</v>
      </c>
      <c r="U1" s="322" t="s">
        <v>682</v>
      </c>
      <c r="V1" s="322" t="s">
        <v>702</v>
      </c>
      <c r="W1" s="314" t="s">
        <v>703</v>
      </c>
    </row>
    <row r="2" spans="2:25" ht="12" customHeight="1">
      <c r="B2" s="956" t="s">
        <v>805</v>
      </c>
      <c r="C2" s="956"/>
      <c r="D2" s="956"/>
      <c r="E2" s="956"/>
      <c r="F2" s="956"/>
      <c r="G2" s="956"/>
      <c r="H2" s="956"/>
      <c r="I2" s="956"/>
      <c r="J2" s="274"/>
      <c r="N2" s="278">
        <v>0.02</v>
      </c>
      <c r="O2" s="279">
        <v>0.01</v>
      </c>
      <c r="P2" s="315">
        <v>3.5000000000000003E-2</v>
      </c>
      <c r="Q2" s="315">
        <v>0.03</v>
      </c>
      <c r="R2" s="315">
        <v>0.03</v>
      </c>
      <c r="S2" s="315">
        <v>0.02</v>
      </c>
      <c r="T2" s="315">
        <v>0.02</v>
      </c>
      <c r="U2" s="315">
        <v>1.4999999999999999E-2</v>
      </c>
      <c r="V2" s="315">
        <v>0.01</v>
      </c>
      <c r="W2" s="323">
        <v>5.0000000000000001E-3</v>
      </c>
    </row>
    <row r="3" spans="2:25" s="286" customFormat="1" ht="39" customHeight="1">
      <c r="B3" s="280" t="s">
        <v>670</v>
      </c>
      <c r="C3" s="280" t="s">
        <v>1</v>
      </c>
      <c r="D3" s="280" t="s">
        <v>671</v>
      </c>
      <c r="E3" s="281" t="s">
        <v>678</v>
      </c>
      <c r="F3" s="281" t="s">
        <v>684</v>
      </c>
      <c r="G3" s="282" t="s">
        <v>685</v>
      </c>
      <c r="H3" s="281" t="s">
        <v>686</v>
      </c>
      <c r="I3" s="283" t="s">
        <v>804</v>
      </c>
      <c r="J3" s="284" t="s">
        <v>688</v>
      </c>
      <c r="K3" s="320"/>
      <c r="L3" s="320"/>
      <c r="M3" s="321"/>
      <c r="N3" s="285">
        <f t="shared" ref="N3:W3" si="0">(1+N2)^(1/12)-1</f>
        <v>1.6515813019202241E-3</v>
      </c>
      <c r="O3" s="285">
        <f t="shared" si="0"/>
        <v>8.295381143461622E-4</v>
      </c>
      <c r="P3" s="316">
        <f t="shared" si="0"/>
        <v>2.8708987190766422E-3</v>
      </c>
      <c r="Q3" s="316">
        <f t="shared" si="0"/>
        <v>2.4662697723036864E-3</v>
      </c>
      <c r="R3" s="316">
        <f t="shared" si="0"/>
        <v>2.4662697723036864E-3</v>
      </c>
      <c r="S3" s="316">
        <f t="shared" si="0"/>
        <v>1.6515813019202241E-3</v>
      </c>
      <c r="T3" s="316">
        <f t="shared" si="0"/>
        <v>1.6515813019202241E-3</v>
      </c>
      <c r="U3" s="316">
        <f t="shared" si="0"/>
        <v>1.2414877164492744E-3</v>
      </c>
      <c r="V3" s="316">
        <f t="shared" si="0"/>
        <v>8.295381143461622E-4</v>
      </c>
      <c r="W3" s="316">
        <f t="shared" si="0"/>
        <v>4.1571484472902043E-4</v>
      </c>
      <c r="X3" s="286" t="s">
        <v>673</v>
      </c>
      <c r="Y3" s="286" t="s">
        <v>812</v>
      </c>
    </row>
    <row r="4" spans="2:25" ht="9.75" customHeight="1">
      <c r="B4" s="954">
        <v>1</v>
      </c>
      <c r="C4" s="952">
        <f ca="1">'Tinh phi QL'!I8</f>
        <v>30</v>
      </c>
      <c r="D4" s="287">
        <f ca="1">'Hoach dinh tai chinh'!J3</f>
        <v>46229</v>
      </c>
      <c r="E4" s="288">
        <f>'Tinh phi QL'!E12/1000</f>
        <v>0</v>
      </c>
      <c r="F4" s="289">
        <f ca="1">IF(YEAR(D4)=2025,40000,IF(YEAR(D4)=2026,40000,IF(YEAR(D4)=2027,40000,IF(YEAR(D4)=2028,40000,IF(YEAR(D4)=2029,40000,IF(YEAR(D4)=2030,50000,IF(YEAR(D4)=2031,50000,IF(YEAR(D4)=2032,50000,IF(YEAR(D4)=2033,50000,IF(YEAR(D4)=2034,50000,IF(YEAR(D4)&gt;=2035,60000,0)))))))))))/1000</f>
        <v>40</v>
      </c>
      <c r="G4" s="290">
        <f ca="1">KTVCOI!P3</f>
        <v>0</v>
      </c>
      <c r="H4" s="290">
        <f ca="1">(KTVTDGTTKcamket!F7-KTVTD20namcamket!F4-G4)*(1+KTVTD20namcamket!P3)</f>
        <v>-40.114835948763066</v>
      </c>
      <c r="I4" s="291"/>
      <c r="J4" s="292">
        <f ca="1">H4</f>
        <v>-40.114835948763066</v>
      </c>
      <c r="K4" s="949">
        <f ca="1">J15</f>
        <v>-489.3296841329107</v>
      </c>
      <c r="L4" s="949"/>
      <c r="M4" s="949"/>
      <c r="N4" s="950">
        <f ca="1">SUM(G4:G15)</f>
        <v>0.2740849208134159</v>
      </c>
      <c r="O4" s="950"/>
      <c r="X4" s="945">
        <f ca="1">SUM(F4:F15)</f>
        <v>480</v>
      </c>
      <c r="Y4" s="945">
        <f ca="1">SUM(G4:G15)</f>
        <v>0.2740849208134159</v>
      </c>
    </row>
    <row r="5" spans="2:25" ht="9.75" customHeight="1">
      <c r="B5" s="954"/>
      <c r="C5" s="952"/>
      <c r="D5" s="287">
        <f t="shared" ref="D5:D68" ca="1" si="1">EDATE(D4,1)</f>
        <v>46260</v>
      </c>
      <c r="E5" s="288">
        <f>E4</f>
        <v>0</v>
      </c>
      <c r="F5" s="289">
        <f t="shared" ref="F5:F68" ca="1" si="2">IF(YEAR(D5)=2025,40000,IF(YEAR(D5)=2026,40000,IF(YEAR(D5)=2027,40000,IF(YEAR(D5)=2028,40000,IF(YEAR(D5)=2029,40000,IF(YEAR(D5)=2030,50000,IF(YEAR(D5)=2031,50000,IF(YEAR(D5)=2032,50000,IF(YEAR(D5)=2033,50000,IF(YEAR(D5)=2034,50000,IF(YEAR(D5)&gt;=2035,60000,0)))))))))))/1000</f>
        <v>40</v>
      </c>
      <c r="G5" s="290">
        <f ca="1">KTVCOI!P4</f>
        <v>4.1117706847482146E-3</v>
      </c>
      <c r="H5" s="290">
        <f t="shared" ref="H5:H15" ca="1" si="3">(H4-F5-G5)*(1+$P$3)</f>
        <v>-80.348961103829353</v>
      </c>
      <c r="I5" s="291"/>
      <c r="J5" s="292">
        <f t="shared" ref="J5:J68" ca="1" si="4">H5</f>
        <v>-80.348961103829353</v>
      </c>
      <c r="K5" s="949"/>
      <c r="L5" s="949"/>
      <c r="M5" s="949"/>
      <c r="N5" s="950"/>
      <c r="O5" s="950"/>
      <c r="X5" s="1004"/>
      <c r="Y5" s="1004"/>
    </row>
    <row r="6" spans="2:25" ht="9.75" customHeight="1">
      <c r="B6" s="954"/>
      <c r="C6" s="952"/>
      <c r="D6" s="287">
        <f t="shared" ca="1" si="1"/>
        <v>46291</v>
      </c>
      <c r="E6" s="288">
        <f t="shared" ref="E6:E69" si="5">E5</f>
        <v>0</v>
      </c>
      <c r="F6" s="289">
        <f t="shared" ca="1" si="2"/>
        <v>40</v>
      </c>
      <c r="G6" s="290">
        <f ca="1">KTVCOI!P5</f>
        <v>8.2357685131425086E-3</v>
      </c>
      <c r="H6" s="290">
        <f t="shared" ca="1" si="3"/>
        <v>-120.70273019467496</v>
      </c>
      <c r="I6" s="291"/>
      <c r="J6" s="292">
        <f t="shared" ca="1" si="4"/>
        <v>-120.70273019467496</v>
      </c>
      <c r="K6" s="949"/>
      <c r="L6" s="949"/>
      <c r="M6" s="949"/>
      <c r="N6" s="950"/>
      <c r="O6" s="950"/>
      <c r="X6" s="1004"/>
      <c r="Y6" s="1004"/>
    </row>
    <row r="7" spans="2:25" ht="9.75" customHeight="1">
      <c r="B7" s="954"/>
      <c r="C7" s="952"/>
      <c r="D7" s="287">
        <f t="shared" ca="1" si="1"/>
        <v>46321</v>
      </c>
      <c r="E7" s="288">
        <f t="shared" si="5"/>
        <v>0</v>
      </c>
      <c r="F7" s="289">
        <f t="shared" ca="1" si="2"/>
        <v>40</v>
      </c>
      <c r="G7" s="290">
        <f ca="1">KTVCOI!P6</f>
        <v>1.2372029844954183E-2</v>
      </c>
      <c r="H7" s="290">
        <f t="shared" ca="1" si="3"/>
        <v>-161.17649900563256</v>
      </c>
      <c r="I7" s="291"/>
      <c r="J7" s="292">
        <f t="shared" ca="1" si="4"/>
        <v>-161.17649900563256</v>
      </c>
      <c r="K7" s="949"/>
      <c r="L7" s="949"/>
      <c r="M7" s="949"/>
      <c r="N7" s="950"/>
      <c r="O7" s="950"/>
      <c r="X7" s="1004"/>
      <c r="Y7" s="1004"/>
    </row>
    <row r="8" spans="2:25" ht="9.75" customHeight="1">
      <c r="B8" s="954"/>
      <c r="C8" s="952"/>
      <c r="D8" s="287">
        <f t="shared" ca="1" si="1"/>
        <v>46352</v>
      </c>
      <c r="E8" s="288">
        <f t="shared" si="5"/>
        <v>0</v>
      </c>
      <c r="F8" s="289">
        <f t="shared" ca="1" si="2"/>
        <v>40</v>
      </c>
      <c r="G8" s="290">
        <f ca="1">KTVCOI!P7</f>
        <v>1.6520591148077336E-2</v>
      </c>
      <c r="H8" s="290">
        <f t="shared" ca="1" si="3"/>
        <v>-201.77062437902819</v>
      </c>
      <c r="I8" s="291"/>
      <c r="J8" s="292">
        <f t="shared" ca="1" si="4"/>
        <v>-201.77062437902819</v>
      </c>
      <c r="K8" s="949"/>
      <c r="L8" s="949"/>
      <c r="M8" s="949"/>
      <c r="N8" s="950"/>
      <c r="O8" s="950"/>
      <c r="X8" s="1004"/>
      <c r="Y8" s="1004"/>
    </row>
    <row r="9" spans="2:25" ht="9.75" customHeight="1">
      <c r="B9" s="954"/>
      <c r="C9" s="952"/>
      <c r="D9" s="287">
        <f t="shared" ca="1" si="1"/>
        <v>46382</v>
      </c>
      <c r="E9" s="288">
        <f t="shared" si="5"/>
        <v>0</v>
      </c>
      <c r="F9" s="289">
        <f t="shared" ca="1" si="2"/>
        <v>40</v>
      </c>
      <c r="G9" s="290">
        <f ca="1">KTVCOI!P8</f>
        <v>2.0681488998850389E-2</v>
      </c>
      <c r="H9" s="290">
        <f t="shared" ca="1" si="3"/>
        <v>-242.48546421832745</v>
      </c>
      <c r="I9" s="291"/>
      <c r="J9" s="292">
        <f t="shared" ca="1" si="4"/>
        <v>-242.48546421832745</v>
      </c>
      <c r="K9" s="949"/>
      <c r="L9" s="949"/>
      <c r="M9" s="949"/>
      <c r="N9" s="950"/>
      <c r="O9" s="950"/>
      <c r="X9" s="1004"/>
      <c r="Y9" s="1004"/>
    </row>
    <row r="10" spans="2:25" ht="9.75" customHeight="1">
      <c r="B10" s="954"/>
      <c r="C10" s="952"/>
      <c r="D10" s="287">
        <f t="shared" ca="1" si="1"/>
        <v>46413</v>
      </c>
      <c r="E10" s="288">
        <f t="shared" si="5"/>
        <v>0</v>
      </c>
      <c r="F10" s="289">
        <f t="shared" ca="1" si="2"/>
        <v>40</v>
      </c>
      <c r="G10" s="290">
        <f ca="1">KTVCOI!P9</f>
        <v>2.4854760082378562E-2</v>
      </c>
      <c r="H10" s="290">
        <f t="shared" ca="1" si="3"/>
        <v>-283.32137749129095</v>
      </c>
      <c r="I10" s="291"/>
      <c r="J10" s="292">
        <f t="shared" ca="1" si="4"/>
        <v>-283.32137749129095</v>
      </c>
      <c r="K10" s="949"/>
      <c r="L10" s="949"/>
      <c r="M10" s="949"/>
      <c r="N10" s="950"/>
      <c r="O10" s="950"/>
      <c r="X10" s="1004"/>
      <c r="Y10" s="1004"/>
    </row>
    <row r="11" spans="2:25" ht="9.75" customHeight="1">
      <c r="B11" s="954"/>
      <c r="C11" s="952"/>
      <c r="D11" s="287">
        <f t="shared" ca="1" si="1"/>
        <v>46444</v>
      </c>
      <c r="E11" s="288">
        <f t="shared" si="5"/>
        <v>0</v>
      </c>
      <c r="F11" s="289">
        <f t="shared" ca="1" si="2"/>
        <v>40</v>
      </c>
      <c r="G11" s="290">
        <f ca="1">KTVCOI!P10</f>
        <v>2.9040441192857317E-2</v>
      </c>
      <c r="H11" s="290">
        <f t="shared" ca="1" si="3"/>
        <v>-324.27872423313909</v>
      </c>
      <c r="I11" s="291"/>
      <c r="J11" s="292">
        <f t="shared" ca="1" si="4"/>
        <v>-324.27872423313909</v>
      </c>
      <c r="K11" s="949"/>
      <c r="L11" s="949"/>
      <c r="M11" s="949"/>
      <c r="N11" s="950"/>
      <c r="O11" s="950"/>
      <c r="X11" s="1004"/>
      <c r="Y11" s="1004"/>
    </row>
    <row r="12" spans="2:25" ht="9.75" customHeight="1">
      <c r="B12" s="954"/>
      <c r="C12" s="952"/>
      <c r="D12" s="287">
        <f t="shared" ca="1" si="1"/>
        <v>46472</v>
      </c>
      <c r="E12" s="288">
        <f t="shared" si="5"/>
        <v>0</v>
      </c>
      <c r="F12" s="289">
        <f t="shared" ca="1" si="2"/>
        <v>40</v>
      </c>
      <c r="G12" s="290">
        <f ca="1">KTVCOI!P11</f>
        <v>3.3238569233896752E-2</v>
      </c>
      <c r="H12" s="290">
        <f t="shared" ca="1" si="3"/>
        <v>-365.35786554972663</v>
      </c>
      <c r="I12" s="291"/>
      <c r="J12" s="292">
        <f t="shared" ca="1" si="4"/>
        <v>-365.35786554972663</v>
      </c>
      <c r="K12" s="949"/>
      <c r="L12" s="949"/>
      <c r="M12" s="949"/>
      <c r="N12" s="950"/>
      <c r="O12" s="950"/>
      <c r="X12" s="1004"/>
      <c r="Y12" s="1004"/>
    </row>
    <row r="13" spans="2:25" ht="9.75" customHeight="1">
      <c r="B13" s="954"/>
      <c r="C13" s="952"/>
      <c r="D13" s="287">
        <f t="shared" ca="1" si="1"/>
        <v>46503</v>
      </c>
      <c r="E13" s="288">
        <f t="shared" si="5"/>
        <v>0</v>
      </c>
      <c r="F13" s="289">
        <f t="shared" ca="1" si="2"/>
        <v>40</v>
      </c>
      <c r="G13" s="290">
        <f ca="1">KTVCOI!P12</f>
        <v>3.744918121884698E-2</v>
      </c>
      <c r="H13" s="290">
        <f t="shared" ca="1" si="3"/>
        <v>-406.55916362072622</v>
      </c>
      <c r="I13" s="291"/>
      <c r="J13" s="292">
        <f t="shared" ca="1" si="4"/>
        <v>-406.55916362072622</v>
      </c>
      <c r="K13" s="949"/>
      <c r="L13" s="949"/>
      <c r="M13" s="949"/>
      <c r="N13" s="950"/>
      <c r="O13" s="950"/>
      <c r="X13" s="1004"/>
      <c r="Y13" s="1004"/>
    </row>
    <row r="14" spans="2:25" ht="9.75" customHeight="1">
      <c r="B14" s="954"/>
      <c r="C14" s="952"/>
      <c r="D14" s="287">
        <f t="shared" ca="1" si="1"/>
        <v>46533</v>
      </c>
      <c r="E14" s="288">
        <f t="shared" si="5"/>
        <v>0</v>
      </c>
      <c r="F14" s="289">
        <f t="shared" ca="1" si="2"/>
        <v>40</v>
      </c>
      <c r="G14" s="290">
        <f ca="1">KTVCOI!P13</f>
        <v>4.1672314271124444E-2</v>
      </c>
      <c r="H14" s="290">
        <f t="shared" ca="1" si="3"/>
        <v>-447.88298170282167</v>
      </c>
      <c r="I14" s="291"/>
      <c r="J14" s="292">
        <f t="shared" ca="1" si="4"/>
        <v>-447.88298170282167</v>
      </c>
      <c r="K14" s="949"/>
      <c r="L14" s="949"/>
      <c r="M14" s="949"/>
      <c r="N14" s="950"/>
      <c r="O14" s="950"/>
      <c r="X14" s="1004"/>
      <c r="Y14" s="1004"/>
    </row>
    <row r="15" spans="2:25" ht="9.75" customHeight="1">
      <c r="B15" s="954"/>
      <c r="C15" s="952"/>
      <c r="D15" s="287">
        <f t="shared" ca="1" si="1"/>
        <v>46564</v>
      </c>
      <c r="E15" s="288">
        <f t="shared" si="5"/>
        <v>0</v>
      </c>
      <c r="F15" s="289">
        <f t="shared" ca="1" si="2"/>
        <v>40</v>
      </c>
      <c r="G15" s="290">
        <f ca="1">KTVCOI!P14</f>
        <v>4.5908005624539228E-2</v>
      </c>
      <c r="H15" s="290">
        <f t="shared" ca="1" si="3"/>
        <v>-489.3296841329107</v>
      </c>
      <c r="I15" s="291"/>
      <c r="J15" s="293">
        <f t="shared" ca="1" si="4"/>
        <v>-489.3296841329107</v>
      </c>
      <c r="K15" s="949"/>
      <c r="L15" s="949"/>
      <c r="M15" s="949"/>
      <c r="N15" s="950"/>
      <c r="O15" s="950"/>
      <c r="X15" s="1004"/>
      <c r="Y15" s="1004"/>
    </row>
    <row r="16" spans="2:25" ht="9.75" customHeight="1">
      <c r="B16" s="955">
        <v>2</v>
      </c>
      <c r="C16" s="947">
        <f ca="1">C4+1</f>
        <v>31</v>
      </c>
      <c r="D16" s="294">
        <f t="shared" ca="1" si="1"/>
        <v>46594</v>
      </c>
      <c r="E16" s="359">
        <f>E15</f>
        <v>0</v>
      </c>
      <c r="F16" s="360">
        <f t="shared" ca="1" si="2"/>
        <v>40</v>
      </c>
      <c r="G16" s="290">
        <f ca="1">KTVCOI!P15</f>
        <v>5.1379616833955623E-2</v>
      </c>
      <c r="H16" s="295">
        <f ca="1">(H15+KTVTDGTTKcamket!F8-F16-G16)*(1+Q3)</f>
        <v>-530.68666026530059</v>
      </c>
      <c r="I16" s="324"/>
      <c r="J16" s="296">
        <f t="shared" ca="1" si="4"/>
        <v>-530.68666026530059</v>
      </c>
      <c r="K16" s="949">
        <f ca="1">J27</f>
        <v>-992.6930567584925</v>
      </c>
      <c r="L16" s="949"/>
      <c r="M16" s="949"/>
      <c r="N16" s="950">
        <f ca="1">SUM(G16:G27)</f>
        <v>0.90563021965211399</v>
      </c>
      <c r="O16" s="950"/>
      <c r="X16" s="945">
        <f t="shared" ref="X16:Y16" ca="1" si="6">SUM(F16:F27)</f>
        <v>480</v>
      </c>
      <c r="Y16" s="945">
        <f t="shared" ca="1" si="6"/>
        <v>0.90563021965211399</v>
      </c>
    </row>
    <row r="17" spans="2:25" ht="9.75" customHeight="1">
      <c r="B17" s="955"/>
      <c r="C17" s="947"/>
      <c r="D17" s="294">
        <f t="shared" ca="1" si="1"/>
        <v>46625</v>
      </c>
      <c r="E17" s="359">
        <f t="shared" si="5"/>
        <v>0</v>
      </c>
      <c r="F17" s="360">
        <f t="shared" ca="1" si="2"/>
        <v>40</v>
      </c>
      <c r="G17" s="290">
        <f ca="1">KTVCOI!P16</f>
        <v>5.5722099327856565E-2</v>
      </c>
      <c r="H17" s="295">
        <f ca="1">(H16-F17-G17)*(1+$Q$3)</f>
        <v>-572.14998705002699</v>
      </c>
      <c r="I17" s="324"/>
      <c r="J17" s="296">
        <f t="shared" ca="1" si="4"/>
        <v>-572.14998705002699</v>
      </c>
      <c r="K17" s="949"/>
      <c r="L17" s="949"/>
      <c r="M17" s="949"/>
      <c r="N17" s="950"/>
      <c r="O17" s="950"/>
      <c r="X17" s="1004"/>
      <c r="Y17" s="1004"/>
    </row>
    <row r="18" spans="2:25" ht="9.75" customHeight="1">
      <c r="B18" s="955"/>
      <c r="C18" s="947"/>
      <c r="D18" s="294">
        <f t="shared" ca="1" si="1"/>
        <v>46656</v>
      </c>
      <c r="E18" s="359">
        <f t="shared" si="5"/>
        <v>0</v>
      </c>
      <c r="F18" s="360">
        <f t="shared" ca="1" si="2"/>
        <v>40</v>
      </c>
      <c r="G18" s="290">
        <f ca="1">KTVCOI!P17</f>
        <v>6.0075748640252835E-2</v>
      </c>
      <c r="H18" s="295">
        <f t="shared" ref="H18:H27" ca="1" si="7">(H17-F18-G18)*(1+$Q$3)</f>
        <v>-613.7199379708477</v>
      </c>
      <c r="I18" s="324"/>
      <c r="J18" s="296">
        <f t="shared" ca="1" si="4"/>
        <v>-613.7199379708477</v>
      </c>
      <c r="K18" s="949"/>
      <c r="L18" s="949"/>
      <c r="M18" s="949"/>
      <c r="N18" s="950"/>
      <c r="O18" s="950"/>
      <c r="X18" s="1004"/>
      <c r="Y18" s="1004"/>
    </row>
    <row r="19" spans="2:25" ht="9.75" customHeight="1">
      <c r="B19" s="955"/>
      <c r="C19" s="947"/>
      <c r="D19" s="294">
        <f t="shared" ca="1" si="1"/>
        <v>46686</v>
      </c>
      <c r="E19" s="359">
        <f t="shared" si="5"/>
        <v>0</v>
      </c>
      <c r="F19" s="360">
        <f t="shared" ca="1" si="2"/>
        <v>40</v>
      </c>
      <c r="G19" s="290">
        <f ca="1">KTVCOI!P18</f>
        <v>6.4440593486939007E-2</v>
      </c>
      <c r="H19" s="295">
        <f t="shared" ca="1" si="7"/>
        <v>-655.3967872147922</v>
      </c>
      <c r="I19" s="324"/>
      <c r="J19" s="296">
        <f t="shared" ca="1" si="4"/>
        <v>-655.3967872147922</v>
      </c>
      <c r="K19" s="949"/>
      <c r="L19" s="949"/>
      <c r="M19" s="949"/>
      <c r="N19" s="950"/>
      <c r="O19" s="950"/>
      <c r="X19" s="1004"/>
      <c r="Y19" s="1004"/>
    </row>
    <row r="20" spans="2:25" ht="9.75" customHeight="1">
      <c r="B20" s="955"/>
      <c r="C20" s="947"/>
      <c r="D20" s="294">
        <f t="shared" ca="1" si="1"/>
        <v>46717</v>
      </c>
      <c r="E20" s="359">
        <f t="shared" si="5"/>
        <v>0</v>
      </c>
      <c r="F20" s="360">
        <f t="shared" ca="1" si="2"/>
        <v>40</v>
      </c>
      <c r="G20" s="290">
        <f ca="1">KTVCOI!P19</f>
        <v>6.8816662657553193E-2</v>
      </c>
      <c r="H20" s="295">
        <f t="shared" ca="1" si="7"/>
        <v>-697.18080967396963</v>
      </c>
      <c r="I20" s="324"/>
      <c r="J20" s="296">
        <f t="shared" ca="1" si="4"/>
        <v>-697.18080967396963</v>
      </c>
      <c r="K20" s="949"/>
      <c r="L20" s="949"/>
      <c r="M20" s="949"/>
      <c r="N20" s="950"/>
      <c r="O20" s="950"/>
      <c r="X20" s="1004"/>
      <c r="Y20" s="1004"/>
    </row>
    <row r="21" spans="2:25" ht="9.75" customHeight="1">
      <c r="B21" s="955"/>
      <c r="C21" s="947"/>
      <c r="D21" s="294">
        <f t="shared" ca="1" si="1"/>
        <v>46747</v>
      </c>
      <c r="E21" s="359">
        <f t="shared" si="5"/>
        <v>0</v>
      </c>
      <c r="F21" s="360">
        <f t="shared" ca="1" si="2"/>
        <v>40</v>
      </c>
      <c r="G21" s="290">
        <f ca="1">KTVCOI!P20</f>
        <v>7.3203985015766818E-2</v>
      </c>
      <c r="H21" s="295">
        <f t="shared" ca="1" si="7"/>
        <v>-739.07228094738207</v>
      </c>
      <c r="I21" s="324"/>
      <c r="J21" s="296">
        <f t="shared" ca="1" si="4"/>
        <v>-739.07228094738207</v>
      </c>
      <c r="K21" s="949"/>
      <c r="L21" s="949"/>
      <c r="M21" s="949"/>
      <c r="N21" s="950"/>
      <c r="O21" s="950"/>
      <c r="X21" s="1004"/>
      <c r="Y21" s="1004"/>
    </row>
    <row r="22" spans="2:25" ht="9.75" customHeight="1">
      <c r="B22" s="955"/>
      <c r="C22" s="947"/>
      <c r="D22" s="294">
        <f t="shared" ca="1" si="1"/>
        <v>46778</v>
      </c>
      <c r="E22" s="359">
        <f t="shared" si="5"/>
        <v>0</v>
      </c>
      <c r="F22" s="360">
        <f t="shared" ca="1" si="2"/>
        <v>40</v>
      </c>
      <c r="G22" s="290">
        <f ca="1">KTVCOI!P21</f>
        <v>7.7602589499475114E-2</v>
      </c>
      <c r="H22" s="295">
        <f t="shared" ca="1" si="7"/>
        <v>-781.07147734274258</v>
      </c>
      <c r="I22" s="324"/>
      <c r="J22" s="296">
        <f t="shared" ca="1" si="4"/>
        <v>-781.07147734274258</v>
      </c>
      <c r="K22" s="949"/>
      <c r="L22" s="949"/>
      <c r="M22" s="949"/>
      <c r="N22" s="950"/>
      <c r="O22" s="950"/>
      <c r="X22" s="1004"/>
      <c r="Y22" s="1004"/>
    </row>
    <row r="23" spans="2:25" ht="9.75" customHeight="1">
      <c r="B23" s="955"/>
      <c r="C23" s="947"/>
      <c r="D23" s="294">
        <f t="shared" ca="1" si="1"/>
        <v>46809</v>
      </c>
      <c r="E23" s="359">
        <f t="shared" si="5"/>
        <v>0</v>
      </c>
      <c r="F23" s="360">
        <f t="shared" ca="1" si="2"/>
        <v>40</v>
      </c>
      <c r="G23" s="290">
        <f ca="1">KTVCOI!P22</f>
        <v>8.2012505120987969E-2</v>
      </c>
      <c r="H23" s="295">
        <f t="shared" ca="1" si="7"/>
        <v>-823.1786758782971</v>
      </c>
      <c r="I23" s="324"/>
      <c r="J23" s="296">
        <f t="shared" ca="1" si="4"/>
        <v>-823.1786758782971</v>
      </c>
      <c r="K23" s="949"/>
      <c r="L23" s="949"/>
      <c r="M23" s="949"/>
      <c r="N23" s="950"/>
      <c r="O23" s="950"/>
      <c r="X23" s="1004"/>
      <c r="Y23" s="1004"/>
    </row>
    <row r="24" spans="2:25" ht="9.75" customHeight="1">
      <c r="B24" s="955"/>
      <c r="C24" s="947"/>
      <c r="D24" s="294">
        <f t="shared" ca="1" si="1"/>
        <v>46838</v>
      </c>
      <c r="E24" s="359">
        <f t="shared" si="5"/>
        <v>0</v>
      </c>
      <c r="F24" s="360">
        <f t="shared" ca="1" si="2"/>
        <v>40</v>
      </c>
      <c r="G24" s="290">
        <f ca="1">KTVCOI!P23</f>
        <v>8.6433760967221177E-2</v>
      </c>
      <c r="H24" s="295">
        <f t="shared" ca="1" si="7"/>
        <v>-865.39415428465202</v>
      </c>
      <c r="I24" s="324"/>
      <c r="J24" s="296">
        <f t="shared" ca="1" si="4"/>
        <v>-865.39415428465202</v>
      </c>
      <c r="K24" s="949"/>
      <c r="L24" s="949"/>
      <c r="M24" s="949"/>
      <c r="N24" s="950"/>
      <c r="O24" s="950"/>
      <c r="X24" s="1004"/>
      <c r="Y24" s="1004"/>
    </row>
    <row r="25" spans="2:25" ht="9.75" customHeight="1">
      <c r="B25" s="955"/>
      <c r="C25" s="947"/>
      <c r="D25" s="294">
        <f t="shared" ca="1" si="1"/>
        <v>46869</v>
      </c>
      <c r="E25" s="359">
        <f t="shared" si="5"/>
        <v>0</v>
      </c>
      <c r="F25" s="360">
        <f t="shared" ca="1" si="2"/>
        <v>40</v>
      </c>
      <c r="G25" s="290">
        <f ca="1">KTVCOI!P24</f>
        <v>9.086638619988846E-2</v>
      </c>
      <c r="H25" s="295">
        <f t="shared" ca="1" si="7"/>
        <v>-907.71819100660616</v>
      </c>
      <c r="I25" s="324"/>
      <c r="J25" s="296">
        <f t="shared" ca="1" si="4"/>
        <v>-907.71819100660616</v>
      </c>
      <c r="K25" s="949"/>
      <c r="L25" s="949"/>
      <c r="M25" s="949"/>
      <c r="N25" s="950"/>
      <c r="O25" s="950"/>
      <c r="X25" s="1004"/>
      <c r="Y25" s="1004"/>
    </row>
    <row r="26" spans="2:25" ht="9.75" customHeight="1">
      <c r="B26" s="955"/>
      <c r="C26" s="947"/>
      <c r="D26" s="294">
        <f t="shared" ca="1" si="1"/>
        <v>46899</v>
      </c>
      <c r="E26" s="359">
        <f t="shared" si="5"/>
        <v>0</v>
      </c>
      <c r="F26" s="360">
        <f t="shared" ca="1" si="2"/>
        <v>40</v>
      </c>
      <c r="G26" s="290">
        <f ca="1">KTVCOI!P25</f>
        <v>9.531041005569367E-2</v>
      </c>
      <c r="H26" s="295">
        <f t="shared" ca="1" si="7"/>
        <v>-950.15106520498716</v>
      </c>
      <c r="I26" s="324"/>
      <c r="J26" s="296">
        <f t="shared" ca="1" si="4"/>
        <v>-950.15106520498716</v>
      </c>
      <c r="K26" s="949"/>
      <c r="L26" s="949"/>
      <c r="M26" s="949"/>
      <c r="N26" s="950"/>
      <c r="O26" s="950"/>
      <c r="X26" s="1004"/>
      <c r="Y26" s="1004"/>
    </row>
    <row r="27" spans="2:25" ht="9.75" customHeight="1">
      <c r="B27" s="955"/>
      <c r="C27" s="947"/>
      <c r="D27" s="294">
        <f t="shared" ca="1" si="1"/>
        <v>46930</v>
      </c>
      <c r="E27" s="359">
        <f t="shared" si="5"/>
        <v>0</v>
      </c>
      <c r="F27" s="360">
        <f t="shared" ca="1" si="2"/>
        <v>40</v>
      </c>
      <c r="G27" s="290">
        <f ca="1">KTVCOI!P26</f>
        <v>9.976586184652364E-2</v>
      </c>
      <c r="H27" s="295">
        <f t="shared" ca="1" si="7"/>
        <v>-992.6930567584925</v>
      </c>
      <c r="I27" s="324"/>
      <c r="J27" s="297">
        <f t="shared" ca="1" si="4"/>
        <v>-992.6930567584925</v>
      </c>
      <c r="K27" s="949"/>
      <c r="L27" s="949"/>
      <c r="M27" s="949"/>
      <c r="N27" s="950"/>
      <c r="O27" s="950"/>
      <c r="X27" s="1004"/>
      <c r="Y27" s="1004"/>
    </row>
    <row r="28" spans="2:25" ht="9.75" customHeight="1">
      <c r="B28" s="954">
        <v>3</v>
      </c>
      <c r="C28" s="952">
        <f ca="1">C16+1</f>
        <v>32</v>
      </c>
      <c r="D28" s="287">
        <f t="shared" ca="1" si="1"/>
        <v>46960</v>
      </c>
      <c r="E28" s="359">
        <f t="shared" si="5"/>
        <v>0</v>
      </c>
      <c r="F28" s="289">
        <f t="shared" ca="1" si="2"/>
        <v>40</v>
      </c>
      <c r="G28" s="290">
        <f ca="1">KTVCOI!P27</f>
        <v>0.10836899202946877</v>
      </c>
      <c r="H28" s="290">
        <f ca="1">(H27+KTVTDGTTKcamket!F9-F28-G28)*(1+$R$3)</f>
        <v>-1035.3485926876426</v>
      </c>
      <c r="I28" s="291"/>
      <c r="J28" s="292">
        <f t="shared" ca="1" si="4"/>
        <v>-1035.3485926876426</v>
      </c>
      <c r="K28" s="949">
        <f ca="1">J39</f>
        <v>-1511.8734025299057</v>
      </c>
      <c r="L28" s="949"/>
      <c r="M28" s="949"/>
      <c r="N28" s="950">
        <f t="shared" ref="N28" ca="1" si="8">SUM(G28:G39)</f>
        <v>1.6104150615685178</v>
      </c>
      <c r="O28" s="950"/>
      <c r="X28" s="945">
        <f t="shared" ref="X28:Y28" ca="1" si="9">SUM(F28:F39)</f>
        <v>480</v>
      </c>
      <c r="Y28" s="945">
        <f t="shared" ca="1" si="9"/>
        <v>1.6104150615685178</v>
      </c>
    </row>
    <row r="29" spans="2:25" ht="9.75" customHeight="1">
      <c r="B29" s="954"/>
      <c r="C29" s="952"/>
      <c r="D29" s="287">
        <f t="shared" ca="1" si="1"/>
        <v>46991</v>
      </c>
      <c r="E29" s="359">
        <f t="shared" si="5"/>
        <v>0</v>
      </c>
      <c r="F29" s="289">
        <f t="shared" ca="1" si="2"/>
        <v>40</v>
      </c>
      <c r="G29" s="290">
        <f ca="1">KTVCOI!P28</f>
        <v>0.11302555470173431</v>
      </c>
      <c r="H29" s="290">
        <f ca="1">(H28-F29-G29)*(1+$R$3)</f>
        <v>-1078.1139967226884</v>
      </c>
      <c r="I29" s="291"/>
      <c r="J29" s="292">
        <f t="shared" ca="1" si="4"/>
        <v>-1078.1139967226884</v>
      </c>
      <c r="K29" s="949"/>
      <c r="L29" s="949"/>
      <c r="M29" s="949"/>
      <c r="N29" s="950"/>
      <c r="O29" s="950"/>
      <c r="X29" s="1004"/>
      <c r="Y29" s="1004"/>
    </row>
    <row r="30" spans="2:25" ht="9.75" customHeight="1">
      <c r="B30" s="954"/>
      <c r="C30" s="952"/>
      <c r="D30" s="287">
        <f t="shared" ca="1" si="1"/>
        <v>47022</v>
      </c>
      <c r="E30" s="359">
        <f t="shared" si="5"/>
        <v>0</v>
      </c>
      <c r="F30" s="289">
        <f t="shared" ca="1" si="2"/>
        <v>40</v>
      </c>
      <c r="G30" s="290">
        <f ca="1">KTVCOI!P29</f>
        <v>0.1176941113088935</v>
      </c>
      <c r="H30" s="290">
        <f t="shared" ref="H30:H39" ca="1" si="10">(H29-F30-G30)*(1+$R$3)</f>
        <v>-1120.9895518515334</v>
      </c>
      <c r="I30" s="291"/>
      <c r="J30" s="292">
        <f t="shared" ca="1" si="4"/>
        <v>-1120.9895518515334</v>
      </c>
      <c r="K30" s="949"/>
      <c r="L30" s="949"/>
      <c r="M30" s="949"/>
      <c r="N30" s="950"/>
      <c r="O30" s="950"/>
      <c r="X30" s="1004"/>
      <c r="Y30" s="1004"/>
    </row>
    <row r="31" spans="2:25" ht="9.75" customHeight="1">
      <c r="B31" s="954"/>
      <c r="C31" s="952"/>
      <c r="D31" s="287">
        <f t="shared" ca="1" si="1"/>
        <v>47052</v>
      </c>
      <c r="E31" s="359">
        <f t="shared" si="5"/>
        <v>0</v>
      </c>
      <c r="F31" s="289">
        <f t="shared" ca="1" si="2"/>
        <v>40</v>
      </c>
      <c r="G31" s="290">
        <f ca="1">KTVCOI!P30</f>
        <v>0.12237469274379241</v>
      </c>
      <c r="H31" s="290">
        <f t="shared" ca="1" si="10"/>
        <v>-1163.9755417909746</v>
      </c>
      <c r="I31" s="291"/>
      <c r="J31" s="292">
        <f t="shared" ca="1" si="4"/>
        <v>-1163.9755417909746</v>
      </c>
      <c r="K31" s="949"/>
      <c r="L31" s="949"/>
      <c r="M31" s="949"/>
      <c r="N31" s="950"/>
      <c r="O31" s="950"/>
      <c r="X31" s="1004"/>
      <c r="Y31" s="1004"/>
    </row>
    <row r="32" spans="2:25" ht="9.75" customHeight="1">
      <c r="B32" s="954"/>
      <c r="C32" s="952"/>
      <c r="D32" s="287">
        <f t="shared" ca="1" si="1"/>
        <v>47083</v>
      </c>
      <c r="E32" s="359">
        <f t="shared" si="5"/>
        <v>0</v>
      </c>
      <c r="F32" s="289">
        <f t="shared" ca="1" si="2"/>
        <v>40</v>
      </c>
      <c r="G32" s="290">
        <f ca="1">KTVCOI!P31</f>
        <v>0.12706732997884806</v>
      </c>
      <c r="H32" s="290">
        <f t="shared" ca="1" si="10"/>
        <v>-1207.0722509885804</v>
      </c>
      <c r="I32" s="291"/>
      <c r="J32" s="292">
        <f t="shared" ca="1" si="4"/>
        <v>-1207.0722509885804</v>
      </c>
      <c r="K32" s="949"/>
      <c r="L32" s="949"/>
      <c r="M32" s="949"/>
      <c r="N32" s="950"/>
      <c r="O32" s="950"/>
      <c r="X32" s="1004"/>
      <c r="Y32" s="1004"/>
    </row>
    <row r="33" spans="2:25" ht="9.75" customHeight="1">
      <c r="B33" s="954"/>
      <c r="C33" s="952"/>
      <c r="D33" s="287">
        <f t="shared" ca="1" si="1"/>
        <v>47113</v>
      </c>
      <c r="E33" s="359">
        <f t="shared" si="5"/>
        <v>0</v>
      </c>
      <c r="F33" s="289">
        <f t="shared" ca="1" si="2"/>
        <v>40</v>
      </c>
      <c r="G33" s="290">
        <f ca="1">KTVCOI!P32</f>
        <v>0.13177205406625336</v>
      </c>
      <c r="H33" s="290">
        <f t="shared" ca="1" si="10"/>
        <v>-1250.2799646245724</v>
      </c>
      <c r="I33" s="291"/>
      <c r="J33" s="292">
        <f t="shared" ca="1" si="4"/>
        <v>-1250.2799646245724</v>
      </c>
      <c r="K33" s="949"/>
      <c r="L33" s="949"/>
      <c r="M33" s="949"/>
      <c r="N33" s="950"/>
      <c r="O33" s="950"/>
      <c r="X33" s="1004"/>
      <c r="Y33" s="1004"/>
    </row>
    <row r="34" spans="2:25" ht="9.75" customHeight="1">
      <c r="B34" s="954"/>
      <c r="C34" s="952"/>
      <c r="D34" s="287">
        <f t="shared" ca="1" si="1"/>
        <v>47144</v>
      </c>
      <c r="E34" s="359">
        <f t="shared" si="5"/>
        <v>0</v>
      </c>
      <c r="F34" s="289">
        <f t="shared" ca="1" si="2"/>
        <v>40</v>
      </c>
      <c r="G34" s="290">
        <f ca="1">KTVCOI!P33</f>
        <v>0.13648889613818249</v>
      </c>
      <c r="H34" s="290">
        <f t="shared" ca="1" si="10"/>
        <v>-1293.598968613712</v>
      </c>
      <c r="I34" s="291"/>
      <c r="J34" s="292">
        <f t="shared" ca="1" si="4"/>
        <v>-1293.598968613712</v>
      </c>
      <c r="K34" s="949"/>
      <c r="L34" s="949"/>
      <c r="M34" s="949"/>
      <c r="N34" s="950"/>
      <c r="O34" s="950"/>
      <c r="X34" s="1004"/>
      <c r="Y34" s="1004"/>
    </row>
    <row r="35" spans="2:25" ht="9.75" customHeight="1">
      <c r="B35" s="954"/>
      <c r="C35" s="952"/>
      <c r="D35" s="287">
        <f t="shared" ca="1" si="1"/>
        <v>47175</v>
      </c>
      <c r="E35" s="359">
        <f t="shared" si="5"/>
        <v>0</v>
      </c>
      <c r="F35" s="289">
        <f t="shared" ca="1" si="2"/>
        <v>40</v>
      </c>
      <c r="G35" s="290">
        <f ca="1">KTVCOI!P34</f>
        <v>0.14121788740699689</v>
      </c>
      <c r="H35" s="290">
        <f t="shared" ca="1" si="10"/>
        <v>-1337.0295496071935</v>
      </c>
      <c r="I35" s="291"/>
      <c r="J35" s="292">
        <f t="shared" ca="1" si="4"/>
        <v>-1337.0295496071935</v>
      </c>
      <c r="K35" s="949"/>
      <c r="L35" s="949"/>
      <c r="M35" s="949"/>
      <c r="N35" s="950"/>
      <c r="O35" s="950"/>
      <c r="X35" s="1004"/>
      <c r="Y35" s="1004"/>
    </row>
    <row r="36" spans="2:25" ht="9.75" customHeight="1">
      <c r="B36" s="954"/>
      <c r="C36" s="952"/>
      <c r="D36" s="287">
        <f t="shared" ca="1" si="1"/>
        <v>47203</v>
      </c>
      <c r="E36" s="359">
        <f t="shared" si="5"/>
        <v>0</v>
      </c>
      <c r="F36" s="289">
        <f t="shared" ca="1" si="2"/>
        <v>40</v>
      </c>
      <c r="G36" s="290">
        <f ca="1">KTVCOI!P35</f>
        <v>0.14595905916545196</v>
      </c>
      <c r="H36" s="290">
        <f t="shared" ca="1" si="10"/>
        <v>-1380.5719949945399</v>
      </c>
      <c r="I36" s="291"/>
      <c r="J36" s="292">
        <f t="shared" ca="1" si="4"/>
        <v>-1380.5719949945399</v>
      </c>
      <c r="K36" s="949"/>
      <c r="L36" s="949"/>
      <c r="M36" s="949"/>
      <c r="N36" s="950"/>
      <c r="O36" s="950"/>
      <c r="X36" s="1004"/>
      <c r="Y36" s="1004"/>
    </row>
    <row r="37" spans="2:25" ht="9.75" customHeight="1">
      <c r="B37" s="954"/>
      <c r="C37" s="952"/>
      <c r="D37" s="287">
        <f t="shared" ca="1" si="1"/>
        <v>47234</v>
      </c>
      <c r="E37" s="359">
        <f t="shared" si="5"/>
        <v>0</v>
      </c>
      <c r="F37" s="289">
        <f t="shared" ca="1" si="2"/>
        <v>40</v>
      </c>
      <c r="G37" s="290">
        <f ca="1">KTVCOI!P36</f>
        <v>0.15071244278690393</v>
      </c>
      <c r="H37" s="290">
        <f t="shared" ca="1" si="10"/>
        <v>-1424.226592905505</v>
      </c>
      <c r="I37" s="291"/>
      <c r="J37" s="292">
        <f t="shared" ca="1" si="4"/>
        <v>-1424.226592905505</v>
      </c>
      <c r="K37" s="949"/>
      <c r="L37" s="949"/>
      <c r="M37" s="949"/>
      <c r="N37" s="950"/>
      <c r="O37" s="950"/>
      <c r="X37" s="1004"/>
      <c r="Y37" s="1004"/>
    </row>
    <row r="38" spans="2:25" ht="9.75" customHeight="1">
      <c r="B38" s="954"/>
      <c r="C38" s="952"/>
      <c r="D38" s="287">
        <f t="shared" ca="1" si="1"/>
        <v>47264</v>
      </c>
      <c r="E38" s="359">
        <f t="shared" si="5"/>
        <v>0</v>
      </c>
      <c r="F38" s="289">
        <f t="shared" ca="1" si="2"/>
        <v>40</v>
      </c>
      <c r="G38" s="290">
        <f ca="1">KTVCOI!P37</f>
        <v>0.15547806972551761</v>
      </c>
      <c r="H38" s="290">
        <f t="shared" ca="1" si="10"/>
        <v>-1467.99363221198</v>
      </c>
      <c r="I38" s="291"/>
      <c r="J38" s="292">
        <f t="shared" ca="1" si="4"/>
        <v>-1467.99363221198</v>
      </c>
      <c r="K38" s="949"/>
      <c r="L38" s="949"/>
      <c r="M38" s="949"/>
      <c r="N38" s="950"/>
      <c r="O38" s="950"/>
      <c r="X38" s="1004"/>
      <c r="Y38" s="1004"/>
    </row>
    <row r="39" spans="2:25" ht="9.75" customHeight="1">
      <c r="B39" s="954"/>
      <c r="C39" s="952"/>
      <c r="D39" s="287">
        <f t="shared" ca="1" si="1"/>
        <v>47295</v>
      </c>
      <c r="E39" s="359">
        <f t="shared" si="5"/>
        <v>0</v>
      </c>
      <c r="F39" s="289">
        <f t="shared" ca="1" si="2"/>
        <v>40</v>
      </c>
      <c r="G39" s="290">
        <f ca="1">KTVCOI!P38</f>
        <v>0.16025597151647447</v>
      </c>
      <c r="H39" s="290">
        <f t="shared" ca="1" si="10"/>
        <v>-1511.8734025299057</v>
      </c>
      <c r="I39" s="291"/>
      <c r="J39" s="293">
        <f t="shared" ca="1" si="4"/>
        <v>-1511.8734025299057</v>
      </c>
      <c r="K39" s="949"/>
      <c r="L39" s="949"/>
      <c r="M39" s="949"/>
      <c r="N39" s="950"/>
      <c r="O39" s="950"/>
      <c r="X39" s="1004"/>
      <c r="Y39" s="1004"/>
    </row>
    <row r="40" spans="2:25" ht="9.75" customHeight="1">
      <c r="B40" s="955">
        <v>4</v>
      </c>
      <c r="C40" s="947">
        <f ca="1">C28+1</f>
        <v>33</v>
      </c>
      <c r="D40" s="294">
        <f t="shared" ca="1" si="1"/>
        <v>47325</v>
      </c>
      <c r="E40" s="359">
        <f t="shared" si="5"/>
        <v>0</v>
      </c>
      <c r="F40" s="360">
        <f t="shared" ca="1" si="2"/>
        <v>40</v>
      </c>
      <c r="G40" s="290">
        <f ca="1">KTVCOI!P39</f>
        <v>0.17260554678883092</v>
      </c>
      <c r="H40" s="295">
        <f ca="1">(H39+KTVTDGTTKcamket!F10-F40-G40)*(1+S3)</f>
        <v>-1554.6093382433539</v>
      </c>
      <c r="I40" s="948"/>
      <c r="J40" s="296">
        <f t="shared" ca="1" si="4"/>
        <v>-1554.6093382433539</v>
      </c>
      <c r="K40" s="949">
        <f ca="1">J51</f>
        <v>-2090.0800671571092</v>
      </c>
      <c r="L40" s="949"/>
      <c r="M40" s="949"/>
      <c r="N40" s="950">
        <f t="shared" ref="N40" ca="1" si="11">SUM(G40:G51)</f>
        <v>2.4123786441312647</v>
      </c>
      <c r="O40" s="950"/>
      <c r="X40" s="945">
        <f t="shared" ref="X40:Y40" ca="1" si="12">SUM(F40:F51)</f>
        <v>540</v>
      </c>
      <c r="Y40" s="945">
        <f t="shared" ca="1" si="12"/>
        <v>2.4123786441312647</v>
      </c>
    </row>
    <row r="41" spans="2:25" ht="9.75" customHeight="1">
      <c r="B41" s="955"/>
      <c r="C41" s="946"/>
      <c r="D41" s="294">
        <f t="shared" ca="1" si="1"/>
        <v>47356</v>
      </c>
      <c r="E41" s="359">
        <f t="shared" si="5"/>
        <v>0</v>
      </c>
      <c r="F41" s="360">
        <f t="shared" ca="1" si="2"/>
        <v>40</v>
      </c>
      <c r="G41" s="290">
        <f ca="1">KTVCOI!P40</f>
        <v>0.17748456611611627</v>
      </c>
      <c r="H41" s="295">
        <f ca="1">(H40-F41-G41)*(1+$S$3)</f>
        <v>-1597.4207429065709</v>
      </c>
      <c r="I41" s="948"/>
      <c r="J41" s="296">
        <f t="shared" ca="1" si="4"/>
        <v>-1597.4207429065709</v>
      </c>
      <c r="K41" s="949"/>
      <c r="L41" s="949"/>
      <c r="M41" s="949"/>
      <c r="N41" s="950"/>
      <c r="O41" s="950"/>
      <c r="X41" s="1004"/>
      <c r="Y41" s="1004"/>
    </row>
    <row r="42" spans="2:25" ht="9.75" customHeight="1">
      <c r="B42" s="955"/>
      <c r="C42" s="946"/>
      <c r="D42" s="294">
        <f t="shared" ca="1" si="1"/>
        <v>47387</v>
      </c>
      <c r="E42" s="359">
        <f t="shared" si="5"/>
        <v>0</v>
      </c>
      <c r="F42" s="360">
        <f t="shared" ca="1" si="2"/>
        <v>40</v>
      </c>
      <c r="G42" s="290">
        <f ca="1">KTVCOI!P41</f>
        <v>0.18237220148183353</v>
      </c>
      <c r="H42" s="295">
        <f t="shared" ref="H42:H51" ca="1" si="13">(H41-F42-G42)*(1+$S$3)</f>
        <v>-1640.3077497929316</v>
      </c>
      <c r="I42" s="948"/>
      <c r="J42" s="296">
        <f t="shared" ca="1" si="4"/>
        <v>-1640.3077497929316</v>
      </c>
      <c r="K42" s="949"/>
      <c r="L42" s="949"/>
      <c r="M42" s="949"/>
      <c r="N42" s="950"/>
      <c r="O42" s="950"/>
      <c r="X42" s="1004"/>
      <c r="Y42" s="1004"/>
    </row>
    <row r="43" spans="2:25" ht="9.75" customHeight="1">
      <c r="B43" s="955"/>
      <c r="C43" s="946"/>
      <c r="D43" s="294">
        <f t="shared" ca="1" si="1"/>
        <v>47417</v>
      </c>
      <c r="E43" s="359">
        <f t="shared" si="5"/>
        <v>0</v>
      </c>
      <c r="F43" s="360">
        <f t="shared" ca="1" si="2"/>
        <v>40</v>
      </c>
      <c r="G43" s="290">
        <f ca="1">KTVCOI!P42</f>
        <v>0.18726846810135975</v>
      </c>
      <c r="H43" s="295">
        <f t="shared" ca="1" si="13"/>
        <v>-1683.2704924111631</v>
      </c>
      <c r="I43" s="948"/>
      <c r="J43" s="296">
        <f t="shared" ca="1" si="4"/>
        <v>-1683.2704924111631</v>
      </c>
      <c r="K43" s="949"/>
      <c r="L43" s="949"/>
      <c r="M43" s="949"/>
      <c r="N43" s="950"/>
      <c r="O43" s="950"/>
      <c r="X43" s="1004"/>
      <c r="Y43" s="1004"/>
    </row>
    <row r="44" spans="2:25" ht="9.75" customHeight="1">
      <c r="B44" s="955"/>
      <c r="C44" s="946"/>
      <c r="D44" s="294">
        <f t="shared" ca="1" si="1"/>
        <v>47448</v>
      </c>
      <c r="E44" s="359">
        <f t="shared" si="5"/>
        <v>0</v>
      </c>
      <c r="F44" s="360">
        <f t="shared" ca="1" si="2"/>
        <v>40</v>
      </c>
      <c r="G44" s="290">
        <f ca="1">KTVCOI!P43</f>
        <v>0.19217338121694116</v>
      </c>
      <c r="H44" s="295">
        <f t="shared" ca="1" si="13"/>
        <v>-1726.3091045057602</v>
      </c>
      <c r="I44" s="948"/>
      <c r="J44" s="296">
        <f t="shared" ca="1" si="4"/>
        <v>-1726.3091045057602</v>
      </c>
      <c r="K44" s="949"/>
      <c r="L44" s="949"/>
      <c r="M44" s="949"/>
      <c r="N44" s="950"/>
      <c r="O44" s="950"/>
      <c r="X44" s="1004"/>
      <c r="Y44" s="1004"/>
    </row>
    <row r="45" spans="2:25" ht="9.75" customHeight="1">
      <c r="B45" s="955"/>
      <c r="C45" s="946"/>
      <c r="D45" s="294">
        <f t="shared" ca="1" si="1"/>
        <v>47478</v>
      </c>
      <c r="E45" s="359">
        <f t="shared" si="5"/>
        <v>0</v>
      </c>
      <c r="F45" s="360">
        <f t="shared" ca="1" si="2"/>
        <v>40</v>
      </c>
      <c r="G45" s="290">
        <f ca="1">KTVCOI!P44</f>
        <v>0.19708695609774096</v>
      </c>
      <c r="H45" s="295">
        <f t="shared" ca="1" si="13"/>
        <v>-1769.4237200574028</v>
      </c>
      <c r="I45" s="948"/>
      <c r="J45" s="296">
        <f t="shared" ca="1" si="4"/>
        <v>-1769.4237200574028</v>
      </c>
      <c r="K45" s="949"/>
      <c r="L45" s="949"/>
      <c r="M45" s="949"/>
      <c r="N45" s="950"/>
      <c r="O45" s="950"/>
      <c r="X45" s="1004"/>
      <c r="Y45" s="1004"/>
    </row>
    <row r="46" spans="2:25" ht="9.75" customHeight="1">
      <c r="B46" s="955"/>
      <c r="C46" s="946"/>
      <c r="D46" s="294">
        <f t="shared" ca="1" si="1"/>
        <v>47509</v>
      </c>
      <c r="E46" s="359">
        <f t="shared" si="5"/>
        <v>0</v>
      </c>
      <c r="F46" s="360">
        <f t="shared" ca="1" si="2"/>
        <v>50</v>
      </c>
      <c r="G46" s="290">
        <f ca="1">KTVCOI!P45</f>
        <v>0.20200920803988684</v>
      </c>
      <c r="H46" s="295">
        <f t="shared" ca="1" si="13"/>
        <v>-1822.6309890963905</v>
      </c>
      <c r="I46" s="948"/>
      <c r="J46" s="296">
        <f t="shared" ca="1" si="4"/>
        <v>-1822.6309890963905</v>
      </c>
      <c r="K46" s="949"/>
      <c r="L46" s="949"/>
      <c r="M46" s="949"/>
      <c r="N46" s="950"/>
      <c r="O46" s="950"/>
      <c r="X46" s="1004"/>
      <c r="Y46" s="1004"/>
    </row>
    <row r="47" spans="2:25" ht="9.75" customHeight="1">
      <c r="B47" s="955"/>
      <c r="C47" s="946"/>
      <c r="D47" s="294">
        <f t="shared" ca="1" si="1"/>
        <v>47540</v>
      </c>
      <c r="E47" s="359">
        <f t="shared" si="5"/>
        <v>0</v>
      </c>
      <c r="F47" s="360">
        <f t="shared" ca="1" si="2"/>
        <v>50</v>
      </c>
      <c r="G47" s="290">
        <f ca="1">KTVCOI!P46</f>
        <v>0.20808370458850459</v>
      </c>
      <c r="H47" s="295">
        <f t="shared" ca="1" si="13"/>
        <v>-1875.9322187951227</v>
      </c>
      <c r="I47" s="948"/>
      <c r="J47" s="296">
        <f t="shared" ca="1" si="4"/>
        <v>-1875.9322187951227</v>
      </c>
      <c r="K47" s="949"/>
      <c r="L47" s="949"/>
      <c r="M47" s="949"/>
      <c r="N47" s="950"/>
      <c r="O47" s="950"/>
      <c r="X47" s="1004"/>
      <c r="Y47" s="1004"/>
    </row>
    <row r="48" spans="2:25" ht="9.75" customHeight="1">
      <c r="B48" s="955"/>
      <c r="C48" s="946"/>
      <c r="D48" s="294">
        <f t="shared" ca="1" si="1"/>
        <v>47568</v>
      </c>
      <c r="E48" s="359">
        <f t="shared" si="5"/>
        <v>0</v>
      </c>
      <c r="F48" s="360">
        <f t="shared" ca="1" si="2"/>
        <v>50</v>
      </c>
      <c r="G48" s="290">
        <f ca="1">KTVCOI!P47</f>
        <v>0.21416892831244319</v>
      </c>
      <c r="H48" s="295">
        <f t="shared" ca="1" si="13"/>
        <v>-1929.3275750821604</v>
      </c>
      <c r="I48" s="948"/>
      <c r="J48" s="296">
        <f t="shared" ca="1" si="4"/>
        <v>-1929.3275750821604</v>
      </c>
      <c r="K48" s="949"/>
      <c r="L48" s="949"/>
      <c r="M48" s="949"/>
      <c r="N48" s="950"/>
      <c r="O48" s="950"/>
      <c r="X48" s="1004"/>
      <c r="Y48" s="1004"/>
    </row>
    <row r="49" spans="2:25" ht="9.75" customHeight="1">
      <c r="B49" s="955"/>
      <c r="C49" s="946"/>
      <c r="D49" s="294">
        <f t="shared" ca="1" si="1"/>
        <v>47599</v>
      </c>
      <c r="E49" s="359">
        <f t="shared" si="5"/>
        <v>0</v>
      </c>
      <c r="F49" s="360">
        <f t="shared" ca="1" si="2"/>
        <v>50</v>
      </c>
      <c r="G49" s="290">
        <f ca="1">KTVCOI!P48</f>
        <v>0.22026489815521333</v>
      </c>
      <c r="H49" s="295">
        <f t="shared" ca="1" si="13"/>
        <v>-1982.8172241790835</v>
      </c>
      <c r="I49" s="948"/>
      <c r="J49" s="296">
        <f t="shared" ca="1" si="4"/>
        <v>-1982.8172241790835</v>
      </c>
      <c r="K49" s="949"/>
      <c r="L49" s="949"/>
      <c r="M49" s="949"/>
      <c r="N49" s="950"/>
      <c r="O49" s="950"/>
      <c r="X49" s="1004"/>
      <c r="Y49" s="1004"/>
    </row>
    <row r="50" spans="2:25" ht="9.75" customHeight="1">
      <c r="B50" s="955"/>
      <c r="C50" s="946"/>
      <c r="D50" s="294">
        <f t="shared" ca="1" si="1"/>
        <v>47629</v>
      </c>
      <c r="E50" s="359">
        <f t="shared" si="5"/>
        <v>0</v>
      </c>
      <c r="F50" s="360">
        <f t="shared" ca="1" si="2"/>
        <v>50</v>
      </c>
      <c r="G50" s="290">
        <f ca="1">KTVCOI!P49</f>
        <v>0.22637163309377872</v>
      </c>
      <c r="H50" s="295">
        <f t="shared" ca="1" si="13"/>
        <v>-2036.4013326010092</v>
      </c>
      <c r="I50" s="948"/>
      <c r="J50" s="296">
        <f t="shared" ca="1" si="4"/>
        <v>-2036.4013326010092</v>
      </c>
      <c r="K50" s="949"/>
      <c r="L50" s="949"/>
      <c r="M50" s="949"/>
      <c r="N50" s="950"/>
      <c r="O50" s="950"/>
      <c r="X50" s="1004"/>
      <c r="Y50" s="1004"/>
    </row>
    <row r="51" spans="2:25" ht="9.75" customHeight="1">
      <c r="B51" s="955"/>
      <c r="C51" s="946"/>
      <c r="D51" s="294">
        <f t="shared" ca="1" si="1"/>
        <v>47660</v>
      </c>
      <c r="E51" s="359">
        <f t="shared" si="5"/>
        <v>0</v>
      </c>
      <c r="F51" s="360">
        <f t="shared" ca="1" si="2"/>
        <v>50</v>
      </c>
      <c r="G51" s="290">
        <f ca="1">KTVCOI!P50</f>
        <v>0.23248915213861523</v>
      </c>
      <c r="H51" s="295">
        <f t="shared" ca="1" si="13"/>
        <v>-2090.0800671571092</v>
      </c>
      <c r="I51" s="948"/>
      <c r="J51" s="297">
        <f ca="1">H51+I40</f>
        <v>-2090.0800671571092</v>
      </c>
      <c r="K51" s="949"/>
      <c r="L51" s="949"/>
      <c r="M51" s="949"/>
      <c r="N51" s="950"/>
      <c r="O51" s="950"/>
      <c r="X51" s="1004"/>
      <c r="Y51" s="1004"/>
    </row>
    <row r="52" spans="2:25" ht="9.75" customHeight="1">
      <c r="B52" s="954">
        <v>5</v>
      </c>
      <c r="C52" s="952">
        <f ca="1">C40+1</f>
        <v>34</v>
      </c>
      <c r="D52" s="287">
        <f t="shared" ca="1" si="1"/>
        <v>47690</v>
      </c>
      <c r="E52" s="359">
        <f t="shared" si="5"/>
        <v>0</v>
      </c>
      <c r="F52" s="289">
        <f t="shared" ca="1" si="2"/>
        <v>50</v>
      </c>
      <c r="G52" s="290">
        <f ca="1">KTVCOI!P51</f>
        <v>0.25080960805885305</v>
      </c>
      <c r="H52" s="290">
        <f ca="1">(J51+KTVTDGTTKcamket!F11-F52-G52)*(1+T3)</f>
        <v>-2143.8658072211556</v>
      </c>
      <c r="I52" s="953"/>
      <c r="J52" s="292">
        <f t="shared" ca="1" si="4"/>
        <v>-2143.8658072211556</v>
      </c>
      <c r="K52" s="949">
        <f ca="1">J63</f>
        <v>-2741.8358092798862</v>
      </c>
      <c r="L52" s="949"/>
      <c r="M52" s="949"/>
      <c r="N52" s="950">
        <f t="shared" ref="N52" ca="1" si="14">SUM(G52:G63)</f>
        <v>3.4382242426968466</v>
      </c>
      <c r="O52" s="950"/>
      <c r="X52" s="945">
        <f t="shared" ref="X52:Y52" ca="1" si="15">SUM(F52:F63)</f>
        <v>600</v>
      </c>
      <c r="Y52" s="945">
        <f t="shared" ca="1" si="15"/>
        <v>3.4382242426968466</v>
      </c>
    </row>
    <row r="53" spans="2:25" ht="9.75" customHeight="1">
      <c r="B53" s="954"/>
      <c r="C53" s="951"/>
      <c r="D53" s="287">
        <f t="shared" ca="1" si="1"/>
        <v>47721</v>
      </c>
      <c r="E53" s="359">
        <f t="shared" si="5"/>
        <v>0</v>
      </c>
      <c r="F53" s="289">
        <f t="shared" ca="1" si="2"/>
        <v>50</v>
      </c>
      <c r="G53" s="290">
        <f ca="1">KTVCOI!P52</f>
        <v>0.25726389686653867</v>
      </c>
      <c r="H53" s="290">
        <f ca="1">(H52-F53-G53)*(1+$T$3)</f>
        <v>-2197.7468437563921</v>
      </c>
      <c r="I53" s="953"/>
      <c r="J53" s="292">
        <f t="shared" ca="1" si="4"/>
        <v>-2197.7468437563921</v>
      </c>
      <c r="K53" s="949"/>
      <c r="L53" s="949"/>
      <c r="M53" s="949"/>
      <c r="N53" s="950"/>
      <c r="O53" s="950"/>
      <c r="X53" s="1004"/>
      <c r="Y53" s="1004"/>
    </row>
    <row r="54" spans="2:25" ht="9.75" customHeight="1">
      <c r="B54" s="954"/>
      <c r="C54" s="951"/>
      <c r="D54" s="287">
        <f t="shared" ca="1" si="1"/>
        <v>47752</v>
      </c>
      <c r="E54" s="359">
        <f t="shared" si="5"/>
        <v>0</v>
      </c>
      <c r="F54" s="289">
        <f t="shared" ca="1" si="2"/>
        <v>50</v>
      </c>
      <c r="G54" s="290">
        <f ca="1">KTVCOI!P53</f>
        <v>0.26372962125076704</v>
      </c>
      <c r="H54" s="290">
        <f t="shared" ref="H54:H63" ca="1" si="16">(H53-F54-G54)*(1+$T$3)</f>
        <v>-2251.7233456071522</v>
      </c>
      <c r="I54" s="953"/>
      <c r="J54" s="292">
        <f t="shared" ca="1" si="4"/>
        <v>-2251.7233456071522</v>
      </c>
      <c r="K54" s="949"/>
      <c r="L54" s="949"/>
      <c r="M54" s="949"/>
      <c r="N54" s="950"/>
      <c r="O54" s="950"/>
      <c r="X54" s="1004"/>
      <c r="Y54" s="1004"/>
    </row>
    <row r="55" spans="2:25" ht="9.75" customHeight="1">
      <c r="B55" s="954"/>
      <c r="C55" s="951"/>
      <c r="D55" s="287">
        <f t="shared" ca="1" si="1"/>
        <v>47782</v>
      </c>
      <c r="E55" s="359">
        <f t="shared" si="5"/>
        <v>0</v>
      </c>
      <c r="F55" s="289">
        <f t="shared" ca="1" si="2"/>
        <v>50</v>
      </c>
      <c r="G55" s="290">
        <f ca="1">KTVCOI!P54</f>
        <v>0.27020680147285825</v>
      </c>
      <c r="H55" s="290">
        <f t="shared" ca="1" si="16"/>
        <v>-2305.795481916924</v>
      </c>
      <c r="I55" s="953"/>
      <c r="J55" s="292">
        <f t="shared" ca="1" si="4"/>
        <v>-2305.795481916924</v>
      </c>
      <c r="K55" s="949"/>
      <c r="L55" s="949"/>
      <c r="M55" s="949"/>
      <c r="N55" s="950"/>
      <c r="O55" s="950"/>
      <c r="X55" s="1004"/>
      <c r="Y55" s="1004"/>
    </row>
    <row r="56" spans="2:25" ht="9.75" customHeight="1">
      <c r="B56" s="954"/>
      <c r="C56" s="951"/>
      <c r="D56" s="287">
        <f t="shared" ca="1" si="1"/>
        <v>47813</v>
      </c>
      <c r="E56" s="359">
        <f t="shared" si="5"/>
        <v>0</v>
      </c>
      <c r="F56" s="289">
        <f t="shared" ca="1" si="2"/>
        <v>50</v>
      </c>
      <c r="G56" s="290">
        <f ca="1">KTVCOI!P55</f>
        <v>0.27669545783003086</v>
      </c>
      <c r="H56" s="290">
        <f t="shared" ca="1" si="16"/>
        <v>-2359.9634221288807</v>
      </c>
      <c r="I56" s="953"/>
      <c r="J56" s="292">
        <f t="shared" ca="1" si="4"/>
        <v>-2359.9634221288807</v>
      </c>
      <c r="K56" s="949"/>
      <c r="L56" s="949"/>
      <c r="M56" s="949"/>
      <c r="N56" s="950"/>
      <c r="O56" s="950"/>
      <c r="X56" s="1004"/>
      <c r="Y56" s="1004"/>
    </row>
    <row r="57" spans="2:25" ht="9.75" customHeight="1">
      <c r="B57" s="954"/>
      <c r="C57" s="951"/>
      <c r="D57" s="287">
        <f t="shared" ca="1" si="1"/>
        <v>47843</v>
      </c>
      <c r="E57" s="359">
        <f t="shared" si="5"/>
        <v>0</v>
      </c>
      <c r="F57" s="289">
        <f t="shared" ca="1" si="2"/>
        <v>50</v>
      </c>
      <c r="G57" s="290">
        <f ca="1">KTVCOI!P56</f>
        <v>0.28319561065546567</v>
      </c>
      <c r="H57" s="290">
        <f t="shared" ca="1" si="16"/>
        <v>-2414.2273359864112</v>
      </c>
      <c r="I57" s="953"/>
      <c r="J57" s="292">
        <f t="shared" ca="1" si="4"/>
        <v>-2414.2273359864112</v>
      </c>
      <c r="K57" s="949"/>
      <c r="L57" s="949"/>
      <c r="M57" s="949"/>
      <c r="N57" s="950"/>
      <c r="O57" s="950"/>
      <c r="X57" s="1004"/>
      <c r="Y57" s="1004"/>
    </row>
    <row r="58" spans="2:25" ht="9.75" customHeight="1">
      <c r="B58" s="954"/>
      <c r="C58" s="951"/>
      <c r="D58" s="287">
        <f t="shared" ca="1" si="1"/>
        <v>47874</v>
      </c>
      <c r="E58" s="359">
        <f t="shared" si="5"/>
        <v>0</v>
      </c>
      <c r="F58" s="289">
        <f t="shared" ca="1" si="2"/>
        <v>50</v>
      </c>
      <c r="G58" s="290">
        <f ca="1">KTVCOI!P57</f>
        <v>0.28970728031836934</v>
      </c>
      <c r="H58" s="290">
        <f t="shared" ca="1" si="16"/>
        <v>-2468.5873935336526</v>
      </c>
      <c r="I58" s="953"/>
      <c r="J58" s="292">
        <f t="shared" ca="1" si="4"/>
        <v>-2468.5873935336526</v>
      </c>
      <c r="K58" s="949"/>
      <c r="L58" s="949"/>
      <c r="M58" s="949"/>
      <c r="N58" s="950"/>
      <c r="O58" s="950"/>
      <c r="X58" s="1004"/>
      <c r="Y58" s="1004"/>
    </row>
    <row r="59" spans="2:25" ht="9.75" customHeight="1">
      <c r="B59" s="954"/>
      <c r="C59" s="951"/>
      <c r="D59" s="287">
        <f t="shared" ca="1" si="1"/>
        <v>47905</v>
      </c>
      <c r="E59" s="359">
        <f t="shared" si="5"/>
        <v>0</v>
      </c>
      <c r="F59" s="289">
        <f t="shared" ca="1" si="2"/>
        <v>50</v>
      </c>
      <c r="G59" s="290">
        <f ca="1">KTVCOI!P58</f>
        <v>0.29623048722403827</v>
      </c>
      <c r="H59" s="290">
        <f t="shared" ca="1" si="16"/>
        <v>-2523.0437651160223</v>
      </c>
      <c r="I59" s="953"/>
      <c r="J59" s="292">
        <f t="shared" ca="1" si="4"/>
        <v>-2523.0437651160223</v>
      </c>
      <c r="K59" s="949"/>
      <c r="L59" s="949"/>
      <c r="M59" s="949"/>
      <c r="N59" s="950"/>
      <c r="O59" s="950"/>
      <c r="X59" s="1004"/>
      <c r="Y59" s="1004"/>
    </row>
    <row r="60" spans="2:25" ht="9.75" customHeight="1">
      <c r="B60" s="954"/>
      <c r="C60" s="951"/>
      <c r="D60" s="287">
        <f t="shared" ca="1" si="1"/>
        <v>47933</v>
      </c>
      <c r="E60" s="359">
        <f t="shared" si="5"/>
        <v>0</v>
      </c>
      <c r="F60" s="289">
        <f t="shared" ca="1" si="2"/>
        <v>50</v>
      </c>
      <c r="G60" s="290">
        <f ca="1">KTVCOI!P59</f>
        <v>0.30276525181392272</v>
      </c>
      <c r="H60" s="290">
        <f t="shared" ca="1" si="16"/>
        <v>-2577.5966213807533</v>
      </c>
      <c r="I60" s="953"/>
      <c r="J60" s="292">
        <f t="shared" ca="1" si="4"/>
        <v>-2577.5966213807533</v>
      </c>
      <c r="K60" s="949"/>
      <c r="L60" s="949"/>
      <c r="M60" s="949"/>
      <c r="N60" s="950"/>
      <c r="O60" s="950"/>
      <c r="X60" s="1004"/>
      <c r="Y60" s="1004"/>
    </row>
    <row r="61" spans="2:25" ht="9.75" customHeight="1">
      <c r="B61" s="954"/>
      <c r="C61" s="951"/>
      <c r="D61" s="287">
        <f t="shared" ca="1" si="1"/>
        <v>47964</v>
      </c>
      <c r="E61" s="359">
        <f t="shared" si="5"/>
        <v>0</v>
      </c>
      <c r="F61" s="289">
        <f t="shared" ca="1" si="2"/>
        <v>50</v>
      </c>
      <c r="G61" s="290">
        <f ca="1">KTVCOI!P60</f>
        <v>0.30931159456569041</v>
      </c>
      <c r="H61" s="290">
        <f t="shared" ca="1" si="16"/>
        <v>-2632.2461332774265</v>
      </c>
      <c r="I61" s="953"/>
      <c r="J61" s="292">
        <f t="shared" ca="1" si="4"/>
        <v>-2632.2461332774265</v>
      </c>
      <c r="K61" s="949"/>
      <c r="L61" s="949"/>
      <c r="M61" s="949"/>
      <c r="N61" s="950"/>
      <c r="O61" s="950"/>
      <c r="X61" s="1004"/>
      <c r="Y61" s="1004"/>
    </row>
    <row r="62" spans="2:25" ht="9.75" customHeight="1">
      <c r="B62" s="954"/>
      <c r="C62" s="951"/>
      <c r="D62" s="287">
        <f t="shared" ca="1" si="1"/>
        <v>47994</v>
      </c>
      <c r="E62" s="359">
        <f t="shared" si="5"/>
        <v>0</v>
      </c>
      <c r="F62" s="289">
        <f t="shared" ca="1" si="2"/>
        <v>50</v>
      </c>
      <c r="G62" s="290">
        <f ca="1">KTVCOI!P61</f>
        <v>0.31586953599329115</v>
      </c>
      <c r="H62" s="290">
        <f t="shared" ca="1" si="16"/>
        <v>-2686.9924720585082</v>
      </c>
      <c r="I62" s="953"/>
      <c r="J62" s="292">
        <f t="shared" ca="1" si="4"/>
        <v>-2686.9924720585082</v>
      </c>
      <c r="K62" s="949"/>
      <c r="L62" s="949"/>
      <c r="M62" s="949"/>
      <c r="N62" s="950"/>
      <c r="O62" s="950"/>
      <c r="X62" s="1004"/>
      <c r="Y62" s="1004"/>
    </row>
    <row r="63" spans="2:25" ht="9.75" customHeight="1">
      <c r="B63" s="954"/>
      <c r="C63" s="951"/>
      <c r="D63" s="287">
        <f t="shared" ca="1" si="1"/>
        <v>48025</v>
      </c>
      <c r="E63" s="359">
        <f t="shared" si="5"/>
        <v>0</v>
      </c>
      <c r="F63" s="289">
        <f t="shared" ca="1" si="2"/>
        <v>50</v>
      </c>
      <c r="G63" s="290">
        <f ca="1">KTVCOI!P62</f>
        <v>0.32243909664702097</v>
      </c>
      <c r="H63" s="290">
        <f t="shared" ca="1" si="16"/>
        <v>-2741.8358092798862</v>
      </c>
      <c r="I63" s="953"/>
      <c r="J63" s="293">
        <f ca="1">H63+I52</f>
        <v>-2741.8358092798862</v>
      </c>
      <c r="K63" s="949"/>
      <c r="L63" s="949"/>
      <c r="M63" s="949"/>
      <c r="N63" s="950"/>
      <c r="O63" s="950"/>
      <c r="X63" s="1004"/>
      <c r="Y63" s="1004"/>
    </row>
    <row r="64" spans="2:25" ht="9.75" customHeight="1">
      <c r="B64" s="946">
        <f>B52+1</f>
        <v>6</v>
      </c>
      <c r="C64" s="947">
        <f ca="1">C52+1</f>
        <v>35</v>
      </c>
      <c r="D64" s="294">
        <f t="shared" ca="1" si="1"/>
        <v>48055</v>
      </c>
      <c r="E64" s="359">
        <f t="shared" si="5"/>
        <v>0</v>
      </c>
      <c r="F64" s="360">
        <f t="shared" ca="1" si="2"/>
        <v>50</v>
      </c>
      <c r="G64" s="290">
        <f ca="1">KTVCOI!P63</f>
        <v>0.3472992025087856</v>
      </c>
      <c r="H64" s="295">
        <f ca="1">(J63+KTVTDGTTKcamket!F12-F64-G64)*(1+U3)</f>
        <v>-2795.6495695136528</v>
      </c>
      <c r="I64" s="948"/>
      <c r="J64" s="296">
        <f t="shared" ca="1" si="4"/>
        <v>-2795.6495695136528</v>
      </c>
      <c r="K64" s="949">
        <f ca="1">J75</f>
        <v>-3392.4830100443837</v>
      </c>
      <c r="L64" s="949"/>
      <c r="M64" s="949"/>
      <c r="N64" s="950">
        <f t="shared" ref="N64" ca="1" si="17">SUM(G64:G75)</f>
        <v>4.6195317307817962</v>
      </c>
      <c r="O64" s="950"/>
      <c r="X64" s="945">
        <f t="shared" ref="X64:Y64" ca="1" si="18">SUM(F64:F75)</f>
        <v>600</v>
      </c>
      <c r="Y64" s="945">
        <f t="shared" ca="1" si="18"/>
        <v>4.6195317307817962</v>
      </c>
    </row>
    <row r="65" spans="2:25" ht="9.75" customHeight="1">
      <c r="B65" s="946"/>
      <c r="C65" s="946"/>
      <c r="D65" s="294">
        <f t="shared" ca="1" si="1"/>
        <v>48086</v>
      </c>
      <c r="E65" s="359">
        <f t="shared" si="5"/>
        <v>0</v>
      </c>
      <c r="F65" s="360">
        <f t="shared" ca="1" si="2"/>
        <v>50</v>
      </c>
      <c r="G65" s="290">
        <f ca="1">KTVCOI!P64</f>
        <v>0.3541156121383961</v>
      </c>
      <c r="H65" s="295">
        <f ca="1">(H64-F65-G65)*(1+$U$3)</f>
        <v>-2849.5369637418439</v>
      </c>
      <c r="I65" s="948"/>
      <c r="J65" s="296">
        <f t="shared" ca="1" si="4"/>
        <v>-2849.5369637418439</v>
      </c>
      <c r="K65" s="949"/>
      <c r="L65" s="949"/>
      <c r="M65" s="949"/>
      <c r="N65" s="950"/>
      <c r="O65" s="950"/>
      <c r="X65" s="1004"/>
      <c r="Y65" s="1004"/>
    </row>
    <row r="66" spans="2:25" ht="9.75" customHeight="1">
      <c r="B66" s="946"/>
      <c r="C66" s="946"/>
      <c r="D66" s="294">
        <f t="shared" ca="1" si="1"/>
        <v>48117</v>
      </c>
      <c r="E66" s="359">
        <f t="shared" si="5"/>
        <v>0</v>
      </c>
      <c r="F66" s="360">
        <f t="shared" ca="1" si="2"/>
        <v>50</v>
      </c>
      <c r="G66" s="290">
        <f ca="1">KTVCOI!P65</f>
        <v>0.36094134874063361</v>
      </c>
      <c r="H66" s="295">
        <f t="shared" ref="H66:H75" ca="1" si="19">(H65-F66-G66)*(1+$U$3)</f>
        <v>-2903.4980927187116</v>
      </c>
      <c r="I66" s="948"/>
      <c r="J66" s="296">
        <f t="shared" ca="1" si="4"/>
        <v>-2903.4980927187116</v>
      </c>
      <c r="K66" s="949"/>
      <c r="L66" s="949"/>
      <c r="M66" s="949"/>
      <c r="N66" s="950"/>
      <c r="O66" s="950"/>
      <c r="X66" s="1004"/>
      <c r="Y66" s="1004"/>
    </row>
    <row r="67" spans="2:25" ht="9.75" customHeight="1">
      <c r="B67" s="946"/>
      <c r="C67" s="946"/>
      <c r="D67" s="294">
        <f t="shared" ca="1" si="1"/>
        <v>48147</v>
      </c>
      <c r="E67" s="359">
        <f t="shared" si="5"/>
        <v>0</v>
      </c>
      <c r="F67" s="360">
        <f t="shared" ca="1" si="2"/>
        <v>50</v>
      </c>
      <c r="G67" s="290">
        <f ca="1">KTVCOI!P66</f>
        <v>0.36777642507770342</v>
      </c>
      <c r="H67" s="295">
        <f t="shared" ca="1" si="19"/>
        <v>-2957.5330573363703</v>
      </c>
      <c r="I67" s="948"/>
      <c r="J67" s="296">
        <f t="shared" ca="1" si="4"/>
        <v>-2957.5330573363703</v>
      </c>
      <c r="K67" s="949"/>
      <c r="L67" s="949"/>
      <c r="M67" s="949"/>
      <c r="N67" s="950"/>
      <c r="O67" s="950"/>
      <c r="X67" s="1004"/>
      <c r="Y67" s="1004"/>
    </row>
    <row r="68" spans="2:25" ht="9.75" customHeight="1">
      <c r="B68" s="946"/>
      <c r="C68" s="946"/>
      <c r="D68" s="294">
        <f t="shared" ca="1" si="1"/>
        <v>48178</v>
      </c>
      <c r="E68" s="359">
        <f t="shared" si="5"/>
        <v>0</v>
      </c>
      <c r="F68" s="360">
        <f t="shared" ca="1" si="2"/>
        <v>50</v>
      </c>
      <c r="G68" s="290">
        <f ca="1">KTVCOI!P67</f>
        <v>0.37462085392927363</v>
      </c>
      <c r="H68" s="295">
        <f t="shared" ca="1" si="19"/>
        <v>-3011.6419586249863</v>
      </c>
      <c r="I68" s="948"/>
      <c r="J68" s="296">
        <f t="shared" ca="1" si="4"/>
        <v>-3011.6419586249863</v>
      </c>
      <c r="K68" s="949"/>
      <c r="L68" s="949"/>
      <c r="M68" s="949"/>
      <c r="N68" s="950"/>
      <c r="O68" s="950"/>
      <c r="X68" s="1004"/>
      <c r="Y68" s="1004"/>
    </row>
    <row r="69" spans="2:25" ht="9.75" customHeight="1">
      <c r="B69" s="946"/>
      <c r="C69" s="946"/>
      <c r="D69" s="294">
        <f t="shared" ref="D69:D132" ca="1" si="20">EDATE(D68,1)</f>
        <v>48208</v>
      </c>
      <c r="E69" s="359">
        <f t="shared" si="5"/>
        <v>0</v>
      </c>
      <c r="F69" s="360">
        <f t="shared" ref="F69:F132" ca="1" si="21">IF(YEAR(D69)=2025,40000,IF(YEAR(D69)=2026,40000,IF(YEAR(D69)=2027,40000,IF(YEAR(D69)=2028,40000,IF(YEAR(D69)=2029,40000,IF(YEAR(D69)=2030,50000,IF(YEAR(D69)=2031,50000,IF(YEAR(D69)=2032,50000,IF(YEAR(D69)=2033,50000,IF(YEAR(D69)=2034,50000,IF(YEAR(D69)&gt;=2035,60000,0)))))))))))/1000</f>
        <v>50</v>
      </c>
      <c r="G69" s="290">
        <f ca="1">KTVCOI!P68</f>
        <v>0.3814746480924982</v>
      </c>
      <c r="H69" s="295">
        <f t="shared" ca="1" si="19"/>
        <v>-3065.824897752967</v>
      </c>
      <c r="I69" s="948"/>
      <c r="J69" s="296">
        <f t="shared" ref="J69:J132" ca="1" si="22">H69</f>
        <v>-3065.824897752967</v>
      </c>
      <c r="K69" s="949"/>
      <c r="L69" s="949"/>
      <c r="M69" s="949"/>
      <c r="N69" s="950"/>
      <c r="O69" s="950"/>
      <c r="X69" s="1004"/>
      <c r="Y69" s="1004"/>
    </row>
    <row r="70" spans="2:25" ht="9.75" customHeight="1">
      <c r="B70" s="946"/>
      <c r="C70" s="946"/>
      <c r="D70" s="294">
        <f t="shared" ca="1" si="20"/>
        <v>48239</v>
      </c>
      <c r="E70" s="359">
        <f t="shared" ref="E70:E133" si="23">E69</f>
        <v>0</v>
      </c>
      <c r="F70" s="360">
        <f t="shared" ca="1" si="21"/>
        <v>50</v>
      </c>
      <c r="G70" s="290">
        <f ca="1">KTVCOI!P69</f>
        <v>0.38833782038204245</v>
      </c>
      <c r="H70" s="295">
        <f t="shared" ca="1" si="19"/>
        <v>-3120.0819760271497</v>
      </c>
      <c r="I70" s="948"/>
      <c r="J70" s="296">
        <f t="shared" ca="1" si="22"/>
        <v>-3120.0819760271497</v>
      </c>
      <c r="K70" s="949"/>
      <c r="L70" s="949"/>
      <c r="M70" s="949"/>
      <c r="N70" s="950"/>
      <c r="O70" s="950"/>
      <c r="X70" s="1004"/>
      <c r="Y70" s="1004"/>
    </row>
    <row r="71" spans="2:25" ht="9.75" customHeight="1">
      <c r="B71" s="946"/>
      <c r="C71" s="946"/>
      <c r="D71" s="294">
        <f t="shared" ca="1" si="20"/>
        <v>48270</v>
      </c>
      <c r="E71" s="359">
        <f t="shared" si="23"/>
        <v>0</v>
      </c>
      <c r="F71" s="360">
        <f t="shared" ca="1" si="21"/>
        <v>50</v>
      </c>
      <c r="G71" s="290">
        <f ca="1">KTVCOI!P70</f>
        <v>0.39521038363010558</v>
      </c>
      <c r="H71" s="295">
        <f t="shared" ca="1" si="19"/>
        <v>-3174.4132948929914</v>
      </c>
      <c r="I71" s="948"/>
      <c r="J71" s="296">
        <f t="shared" ca="1" si="22"/>
        <v>-3174.4132948929914</v>
      </c>
      <c r="K71" s="949"/>
      <c r="L71" s="949"/>
      <c r="M71" s="949"/>
      <c r="N71" s="950"/>
      <c r="O71" s="950"/>
      <c r="X71" s="1004"/>
      <c r="Y71" s="1004"/>
    </row>
    <row r="72" spans="2:25" ht="9.75" customHeight="1">
      <c r="B72" s="946"/>
      <c r="C72" s="946"/>
      <c r="D72" s="294">
        <f t="shared" ca="1" si="20"/>
        <v>48299</v>
      </c>
      <c r="E72" s="359">
        <f t="shared" si="23"/>
        <v>0</v>
      </c>
      <c r="F72" s="360">
        <f t="shared" ca="1" si="21"/>
        <v>50</v>
      </c>
      <c r="G72" s="290">
        <f ca="1">KTVCOI!P71</f>
        <v>0.40209235068644555</v>
      </c>
      <c r="H72" s="295">
        <f t="shared" ca="1" si="19"/>
        <v>-3228.8189559347575</v>
      </c>
      <c r="I72" s="948"/>
      <c r="J72" s="296">
        <f t="shared" ca="1" si="22"/>
        <v>-3228.8189559347575</v>
      </c>
      <c r="K72" s="949"/>
      <c r="L72" s="949"/>
      <c r="M72" s="949"/>
      <c r="N72" s="950"/>
      <c r="O72" s="950"/>
      <c r="X72" s="1004"/>
      <c r="Y72" s="1004"/>
    </row>
    <row r="73" spans="2:25" ht="9.75" customHeight="1">
      <c r="B73" s="946"/>
      <c r="C73" s="946"/>
      <c r="D73" s="294">
        <f t="shared" ca="1" si="20"/>
        <v>48330</v>
      </c>
      <c r="E73" s="359">
        <f t="shared" si="23"/>
        <v>0</v>
      </c>
      <c r="F73" s="360">
        <f t="shared" ca="1" si="21"/>
        <v>50</v>
      </c>
      <c r="G73" s="290">
        <f ca="1">KTVCOI!P72</f>
        <v>0.40898373441840263</v>
      </c>
      <c r="H73" s="295">
        <f t="shared" ca="1" si="19"/>
        <v>-3283.2990608757127</v>
      </c>
      <c r="I73" s="948"/>
      <c r="J73" s="296">
        <f t="shared" ca="1" si="22"/>
        <v>-3283.2990608757127</v>
      </c>
      <c r="K73" s="949"/>
      <c r="L73" s="949"/>
      <c r="M73" s="949"/>
      <c r="N73" s="950"/>
      <c r="O73" s="950"/>
      <c r="X73" s="1004"/>
      <c r="Y73" s="1004"/>
    </row>
    <row r="74" spans="2:25" ht="9.75" customHeight="1">
      <c r="B74" s="946"/>
      <c r="C74" s="946"/>
      <c r="D74" s="294">
        <f t="shared" ca="1" si="20"/>
        <v>48360</v>
      </c>
      <c r="E74" s="359">
        <f t="shared" si="23"/>
        <v>0</v>
      </c>
      <c r="F74" s="360">
        <f t="shared" ca="1" si="21"/>
        <v>50</v>
      </c>
      <c r="G74" s="290">
        <f ca="1">KTVCOI!P73</f>
        <v>0.41588454771092365</v>
      </c>
      <c r="H74" s="295">
        <f t="shared" ca="1" si="19"/>
        <v>-3337.8537115783101</v>
      </c>
      <c r="I74" s="948"/>
      <c r="J74" s="296">
        <f t="shared" ca="1" si="22"/>
        <v>-3337.8537115783101</v>
      </c>
      <c r="K74" s="949"/>
      <c r="L74" s="949"/>
      <c r="M74" s="949"/>
      <c r="N74" s="950"/>
      <c r="O74" s="950"/>
      <c r="X74" s="1004"/>
      <c r="Y74" s="1004"/>
    </row>
    <row r="75" spans="2:25" ht="9.75" customHeight="1">
      <c r="B75" s="946"/>
      <c r="C75" s="946"/>
      <c r="D75" s="294">
        <f t="shared" ca="1" si="20"/>
        <v>48391</v>
      </c>
      <c r="E75" s="359">
        <f t="shared" si="23"/>
        <v>0</v>
      </c>
      <c r="F75" s="360">
        <f t="shared" ca="1" si="21"/>
        <v>50</v>
      </c>
      <c r="G75" s="290">
        <f ca="1">KTVCOI!P74</f>
        <v>0.42279480346658599</v>
      </c>
      <c r="H75" s="295">
        <f t="shared" ca="1" si="19"/>
        <v>-3392.4830100443837</v>
      </c>
      <c r="I75" s="948"/>
      <c r="J75" s="297">
        <f ca="1">H75+I64</f>
        <v>-3392.4830100443837</v>
      </c>
      <c r="K75" s="949"/>
      <c r="L75" s="949"/>
      <c r="M75" s="949"/>
      <c r="N75" s="950"/>
      <c r="O75" s="950"/>
      <c r="X75" s="1004"/>
      <c r="Y75" s="1004"/>
    </row>
    <row r="76" spans="2:25" ht="9.75" customHeight="1">
      <c r="B76" s="951">
        <f>B64+1</f>
        <v>7</v>
      </c>
      <c r="C76" s="952">
        <f ca="1">C64+1</f>
        <v>36</v>
      </c>
      <c r="D76" s="287">
        <f t="shared" ca="1" si="20"/>
        <v>48421</v>
      </c>
      <c r="E76" s="359">
        <f t="shared" si="23"/>
        <v>0</v>
      </c>
      <c r="F76" s="289">
        <f t="shared" ca="1" si="21"/>
        <v>50</v>
      </c>
      <c r="G76" s="290">
        <f ca="1">KTVCOI!P75</f>
        <v>0.45798520635599188</v>
      </c>
      <c r="H76" s="290">
        <f ca="1">(J75+KTVTDGTTKcamket!F13-F76-G76)*(1+$U$3)</f>
        <v>-3447.2153642048033</v>
      </c>
      <c r="I76" s="953"/>
      <c r="J76" s="292">
        <f t="shared" ca="1" si="22"/>
        <v>-3447.2153642048033</v>
      </c>
      <c r="K76" s="949">
        <f ca="1">J87</f>
        <v>-4054.2670915954509</v>
      </c>
      <c r="L76" s="949"/>
      <c r="M76" s="949"/>
      <c r="N76" s="950">
        <f t="shared" ref="N76" ca="1" si="24">SUM(G76:G87)</f>
        <v>5.9857325220498145</v>
      </c>
      <c r="O76" s="950"/>
      <c r="X76" s="945">
        <f t="shared" ref="X76:Y76" ca="1" si="25">SUM(F76:F87)</f>
        <v>600</v>
      </c>
      <c r="Y76" s="945">
        <f t="shared" ca="1" si="25"/>
        <v>5.9857325220498145</v>
      </c>
    </row>
    <row r="77" spans="2:25" ht="9.75" customHeight="1">
      <c r="B77" s="951"/>
      <c r="C77" s="951"/>
      <c r="D77" s="287">
        <f t="shared" ca="1" si="20"/>
        <v>48452</v>
      </c>
      <c r="E77" s="359">
        <f t="shared" si="23"/>
        <v>0</v>
      </c>
      <c r="F77" s="289">
        <f t="shared" ca="1" si="21"/>
        <v>50</v>
      </c>
      <c r="G77" s="290">
        <f ca="1">KTVCOI!P76</f>
        <v>0.46537407416764848</v>
      </c>
      <c r="H77" s="290">
        <f ca="1">(H76-F77-G77)*(1+$U$3)</f>
        <v>-3502.0230659516055</v>
      </c>
      <c r="I77" s="953"/>
      <c r="J77" s="292">
        <f t="shared" ca="1" si="22"/>
        <v>-3502.0230659516055</v>
      </c>
      <c r="K77" s="949"/>
      <c r="L77" s="949"/>
      <c r="M77" s="949"/>
      <c r="N77" s="950"/>
      <c r="O77" s="950"/>
      <c r="X77" s="1004"/>
      <c r="Y77" s="1004"/>
    </row>
    <row r="78" spans="2:25" ht="9.75" customHeight="1">
      <c r="B78" s="951"/>
      <c r="C78" s="951"/>
      <c r="D78" s="287">
        <f t="shared" ca="1" si="20"/>
        <v>48483</v>
      </c>
      <c r="E78" s="359">
        <f t="shared" si="23"/>
        <v>0</v>
      </c>
      <c r="F78" s="289">
        <f t="shared" ca="1" si="21"/>
        <v>50</v>
      </c>
      <c r="G78" s="290">
        <f ca="1">KTVCOI!P77</f>
        <v>0.47277311390346677</v>
      </c>
      <c r="H78" s="290">
        <f t="shared" ref="H78:H87" ca="1" si="26">(H77-F78-G78)*(1+$U$3)</f>
        <v>-3556.9062190124459</v>
      </c>
      <c r="I78" s="953"/>
      <c r="J78" s="292">
        <f t="shared" ca="1" si="22"/>
        <v>-3556.9062190124459</v>
      </c>
      <c r="K78" s="949"/>
      <c r="L78" s="949"/>
      <c r="M78" s="949"/>
      <c r="N78" s="950"/>
      <c r="O78" s="950"/>
      <c r="X78" s="1004"/>
      <c r="Y78" s="1004"/>
    </row>
    <row r="79" spans="2:25" ht="9.75" customHeight="1">
      <c r="B79" s="951"/>
      <c r="C79" s="951"/>
      <c r="D79" s="287">
        <f t="shared" ca="1" si="20"/>
        <v>48513</v>
      </c>
      <c r="E79" s="359">
        <f t="shared" si="23"/>
        <v>0</v>
      </c>
      <c r="F79" s="289">
        <f t="shared" ca="1" si="21"/>
        <v>50</v>
      </c>
      <c r="G79" s="290">
        <f ca="1">KTVCOI!P78</f>
        <v>0.48018233956668027</v>
      </c>
      <c r="H79" s="290">
        <f t="shared" ca="1" si="26"/>
        <v>-3611.8649272577773</v>
      </c>
      <c r="I79" s="953"/>
      <c r="J79" s="292">
        <f t="shared" ca="1" si="22"/>
        <v>-3611.8649272577773</v>
      </c>
      <c r="K79" s="949"/>
      <c r="L79" s="949"/>
      <c r="M79" s="949"/>
      <c r="N79" s="950"/>
      <c r="O79" s="950"/>
      <c r="X79" s="1004"/>
      <c r="Y79" s="1004"/>
    </row>
    <row r="80" spans="2:25" ht="9.75" customHeight="1">
      <c r="B80" s="951"/>
      <c r="C80" s="951"/>
      <c r="D80" s="287">
        <f t="shared" ca="1" si="20"/>
        <v>48544</v>
      </c>
      <c r="E80" s="359">
        <f t="shared" si="23"/>
        <v>0</v>
      </c>
      <c r="F80" s="289">
        <f t="shared" ca="1" si="21"/>
        <v>50</v>
      </c>
      <c r="G80" s="290">
        <f ca="1">KTVCOI!P79</f>
        <v>0.48760176517979992</v>
      </c>
      <c r="H80" s="290">
        <f t="shared" ca="1" si="26"/>
        <v>-3666.8992947010461</v>
      </c>
      <c r="I80" s="953"/>
      <c r="J80" s="292">
        <f t="shared" ca="1" si="22"/>
        <v>-3666.8992947010461</v>
      </c>
      <c r="K80" s="949"/>
      <c r="L80" s="949"/>
      <c r="M80" s="949"/>
      <c r="N80" s="950"/>
      <c r="O80" s="950"/>
      <c r="X80" s="1004"/>
      <c r="Y80" s="1004"/>
    </row>
    <row r="81" spans="2:25" ht="9.75" customHeight="1">
      <c r="B81" s="951"/>
      <c r="C81" s="951"/>
      <c r="D81" s="287">
        <f t="shared" ca="1" si="20"/>
        <v>48574</v>
      </c>
      <c r="E81" s="359">
        <f t="shared" si="23"/>
        <v>0</v>
      </c>
      <c r="F81" s="289">
        <f t="shared" ca="1" si="21"/>
        <v>50</v>
      </c>
      <c r="G81" s="290">
        <f ca="1">KTVCOI!P80</f>
        <v>0.49503140478464119</v>
      </c>
      <c r="H81" s="290">
        <f t="shared" ca="1" si="26"/>
        <v>-3722.0094254988894</v>
      </c>
      <c r="I81" s="953"/>
      <c r="J81" s="292">
        <f t="shared" ca="1" si="22"/>
        <v>-3722.0094254988894</v>
      </c>
      <c r="K81" s="949"/>
      <c r="L81" s="949"/>
      <c r="M81" s="949"/>
      <c r="N81" s="950"/>
      <c r="O81" s="950"/>
      <c r="X81" s="1004"/>
      <c r="Y81" s="1004"/>
    </row>
    <row r="82" spans="2:25" ht="9.75" customHeight="1">
      <c r="B82" s="951"/>
      <c r="C82" s="951"/>
      <c r="D82" s="287">
        <f t="shared" ca="1" si="20"/>
        <v>48605</v>
      </c>
      <c r="E82" s="359">
        <f t="shared" si="23"/>
        <v>0</v>
      </c>
      <c r="F82" s="289">
        <f t="shared" ca="1" si="21"/>
        <v>50</v>
      </c>
      <c r="G82" s="290">
        <f ca="1">KTVCOI!P81</f>
        <v>0.50247127244235013</v>
      </c>
      <c r="H82" s="290">
        <f t="shared" ca="1" si="26"/>
        <v>-3777.1954239513325</v>
      </c>
      <c r="I82" s="953"/>
      <c r="J82" s="292">
        <f t="shared" ca="1" si="22"/>
        <v>-3777.1954239513325</v>
      </c>
      <c r="K82" s="949"/>
      <c r="L82" s="949"/>
      <c r="M82" s="949"/>
      <c r="N82" s="950"/>
      <c r="O82" s="950"/>
      <c r="X82" s="1004"/>
      <c r="Y82" s="1004"/>
    </row>
    <row r="83" spans="2:25" ht="9.75" customHeight="1">
      <c r="B83" s="951"/>
      <c r="C83" s="951"/>
      <c r="D83" s="287">
        <f t="shared" ca="1" si="20"/>
        <v>48636</v>
      </c>
      <c r="E83" s="359">
        <f t="shared" si="23"/>
        <v>0</v>
      </c>
      <c r="F83" s="289">
        <f t="shared" ca="1" si="21"/>
        <v>50</v>
      </c>
      <c r="G83" s="290">
        <f ca="1">KTVCOI!P82</f>
        <v>0.50992138223342998</v>
      </c>
      <c r="H83" s="290">
        <f t="shared" ca="1" si="26"/>
        <v>-3832.4573945019852</v>
      </c>
      <c r="I83" s="953"/>
      <c r="J83" s="292">
        <f t="shared" ca="1" si="22"/>
        <v>-3832.4573945019852</v>
      </c>
      <c r="K83" s="949"/>
      <c r="L83" s="949"/>
      <c r="M83" s="949"/>
      <c r="N83" s="950"/>
      <c r="O83" s="950"/>
      <c r="X83" s="1004"/>
      <c r="Y83" s="1004"/>
    </row>
    <row r="84" spans="2:25" ht="9.75" customHeight="1">
      <c r="B84" s="951"/>
      <c r="C84" s="951"/>
      <c r="D84" s="287">
        <f t="shared" ca="1" si="20"/>
        <v>48664</v>
      </c>
      <c r="E84" s="359">
        <f t="shared" si="23"/>
        <v>0</v>
      </c>
      <c r="F84" s="289">
        <f t="shared" ca="1" si="21"/>
        <v>50</v>
      </c>
      <c r="G84" s="290">
        <f ca="1">KTVCOI!P83</f>
        <v>0.51738174825776795</v>
      </c>
      <c r="H84" s="290">
        <f t="shared" ca="1" si="26"/>
        <v>-3887.7954417382398</v>
      </c>
      <c r="I84" s="953"/>
      <c r="J84" s="292">
        <f t="shared" ca="1" si="22"/>
        <v>-3887.7954417382398</v>
      </c>
      <c r="K84" s="949"/>
      <c r="L84" s="949"/>
      <c r="M84" s="949"/>
      <c r="N84" s="950"/>
      <c r="O84" s="950"/>
      <c r="X84" s="1004"/>
      <c r="Y84" s="1004"/>
    </row>
    <row r="85" spans="2:25" ht="9.75" customHeight="1">
      <c r="B85" s="951"/>
      <c r="C85" s="951"/>
      <c r="D85" s="287">
        <f t="shared" ca="1" si="20"/>
        <v>48695</v>
      </c>
      <c r="E85" s="359">
        <f t="shared" si="23"/>
        <v>0</v>
      </c>
      <c r="F85" s="289">
        <f t="shared" ca="1" si="21"/>
        <v>50</v>
      </c>
      <c r="G85" s="290">
        <f ca="1">KTVCOI!P84</f>
        <v>0.52485238463466244</v>
      </c>
      <c r="H85" s="290">
        <f t="shared" ca="1" si="26"/>
        <v>-3943.2096703914713</v>
      </c>
      <c r="I85" s="953"/>
      <c r="J85" s="292">
        <f t="shared" ca="1" si="22"/>
        <v>-3943.2096703914713</v>
      </c>
      <c r="K85" s="949"/>
      <c r="L85" s="949"/>
      <c r="M85" s="949"/>
      <c r="N85" s="950"/>
      <c r="O85" s="950"/>
      <c r="X85" s="1004"/>
      <c r="Y85" s="1004"/>
    </row>
    <row r="86" spans="2:25" ht="9.75" customHeight="1">
      <c r="B86" s="951"/>
      <c r="C86" s="951"/>
      <c r="D86" s="287">
        <f t="shared" ca="1" si="20"/>
        <v>48725</v>
      </c>
      <c r="E86" s="359">
        <f t="shared" si="23"/>
        <v>0</v>
      </c>
      <c r="F86" s="289">
        <f t="shared" ca="1" si="21"/>
        <v>50</v>
      </c>
      <c r="G86" s="290">
        <f ca="1">KTVCOI!P85</f>
        <v>0.53233330550284863</v>
      </c>
      <c r="H86" s="290">
        <f t="shared" ca="1" si="26"/>
        <v>-3998.7001853372317</v>
      </c>
      <c r="I86" s="953"/>
      <c r="J86" s="292">
        <f t="shared" ca="1" si="22"/>
        <v>-3998.7001853372317</v>
      </c>
      <c r="K86" s="949"/>
      <c r="L86" s="949"/>
      <c r="M86" s="949"/>
      <c r="N86" s="950"/>
      <c r="O86" s="950"/>
      <c r="X86" s="1004"/>
      <c r="Y86" s="1004"/>
    </row>
    <row r="87" spans="2:25" ht="9.75" customHeight="1">
      <c r="B87" s="951"/>
      <c r="C87" s="951"/>
      <c r="D87" s="287">
        <f t="shared" ca="1" si="20"/>
        <v>48756</v>
      </c>
      <c r="E87" s="359">
        <f t="shared" si="23"/>
        <v>0</v>
      </c>
      <c r="F87" s="289">
        <f t="shared" ca="1" si="21"/>
        <v>50</v>
      </c>
      <c r="G87" s="290">
        <f ca="1">KTVCOI!P86</f>
        <v>0.53982452502052636</v>
      </c>
      <c r="H87" s="290">
        <f t="shared" ca="1" si="26"/>
        <v>-4054.2670915954509</v>
      </c>
      <c r="I87" s="953"/>
      <c r="J87" s="293">
        <f ca="1">H87+I76</f>
        <v>-4054.2670915954509</v>
      </c>
      <c r="K87" s="949"/>
      <c r="L87" s="949"/>
      <c r="M87" s="949"/>
      <c r="N87" s="950"/>
      <c r="O87" s="950"/>
      <c r="X87" s="1004"/>
      <c r="Y87" s="1004"/>
    </row>
    <row r="88" spans="2:25" ht="9.75" customHeight="1">
      <c r="B88" s="946">
        <f>B76+1</f>
        <v>8</v>
      </c>
      <c r="C88" s="947">
        <f ca="1">C76+1</f>
        <v>37</v>
      </c>
      <c r="D88" s="294">
        <f t="shared" ca="1" si="20"/>
        <v>48786</v>
      </c>
      <c r="E88" s="359">
        <f t="shared" si="23"/>
        <v>0</v>
      </c>
      <c r="F88" s="360">
        <f t="shared" ca="1" si="21"/>
        <v>50</v>
      </c>
      <c r="G88" s="290">
        <f ca="1">KTVCOI!P87</f>
        <v>0.58786872828134029</v>
      </c>
      <c r="H88" s="295">
        <f ca="1">(J87+KTVTDGTTKcamket!F14-F88-G88)*(1+U3)</f>
        <v>-4109.9510873347799</v>
      </c>
      <c r="I88" s="948"/>
      <c r="J88" s="296">
        <f t="shared" ca="1" si="22"/>
        <v>-4109.9510873347799</v>
      </c>
      <c r="K88" s="949">
        <f ca="1">J99</f>
        <v>-4727.5948731326234</v>
      </c>
      <c r="L88" s="949"/>
      <c r="M88" s="949"/>
      <c r="N88" s="950">
        <f t="shared" ref="N88" ca="1" si="27">SUM(G88:G99)</f>
        <v>7.5897914456429341</v>
      </c>
      <c r="O88" s="950"/>
      <c r="X88" s="945">
        <f t="shared" ref="X88:Y88" ca="1" si="28">SUM(F88:F99)</f>
        <v>600</v>
      </c>
      <c r="Y88" s="945">
        <f t="shared" ca="1" si="28"/>
        <v>7.5897914456429341</v>
      </c>
    </row>
    <row r="89" spans="2:25" ht="9.75" customHeight="1">
      <c r="B89" s="946"/>
      <c r="C89" s="946"/>
      <c r="D89" s="294">
        <f t="shared" ca="1" si="20"/>
        <v>48817</v>
      </c>
      <c r="E89" s="359">
        <f t="shared" si="23"/>
        <v>0</v>
      </c>
      <c r="F89" s="360">
        <f t="shared" ca="1" si="21"/>
        <v>50</v>
      </c>
      <c r="G89" s="290">
        <f ca="1">KTVCOI!P88</f>
        <v>0.59594290766354308</v>
      </c>
      <c r="H89" s="295">
        <f ca="1">(H88-F89-G89)*(1+$U$3)</f>
        <v>-4165.7122982741994</v>
      </c>
      <c r="I89" s="948"/>
      <c r="J89" s="296">
        <f t="shared" ca="1" si="22"/>
        <v>-4165.7122982741994</v>
      </c>
      <c r="K89" s="949"/>
      <c r="L89" s="949"/>
      <c r="M89" s="949"/>
      <c r="N89" s="950"/>
      <c r="O89" s="950"/>
      <c r="X89" s="1004"/>
      <c r="Y89" s="1004"/>
    </row>
    <row r="90" spans="2:25" ht="9.75" customHeight="1">
      <c r="B90" s="946"/>
      <c r="C90" s="946"/>
      <c r="D90" s="294">
        <f t="shared" ca="1" si="20"/>
        <v>48848</v>
      </c>
      <c r="E90" s="359">
        <f t="shared" si="23"/>
        <v>0</v>
      </c>
      <c r="F90" s="360">
        <f t="shared" ca="1" si="21"/>
        <v>50</v>
      </c>
      <c r="G90" s="290">
        <f ca="1">KTVCOI!P89</f>
        <v>0.60402828324975888</v>
      </c>
      <c r="H90" s="295">
        <f t="shared" ref="H90:H99" ca="1" si="29">(H89-F90-G90)*(1+$U$3)</f>
        <v>-4221.5508314855351</v>
      </c>
      <c r="I90" s="948"/>
      <c r="J90" s="296">
        <f t="shared" ca="1" si="22"/>
        <v>-4221.5508314855351</v>
      </c>
      <c r="K90" s="949"/>
      <c r="L90" s="949"/>
      <c r="M90" s="949"/>
      <c r="N90" s="950"/>
      <c r="O90" s="950"/>
      <c r="X90" s="1004"/>
      <c r="Y90" s="1004"/>
    </row>
    <row r="91" spans="2:25" ht="9.75" customHeight="1">
      <c r="B91" s="946"/>
      <c r="C91" s="946"/>
      <c r="D91" s="294">
        <f t="shared" ca="1" si="20"/>
        <v>48878</v>
      </c>
      <c r="E91" s="359">
        <f t="shared" si="23"/>
        <v>0</v>
      </c>
      <c r="F91" s="360">
        <f t="shared" ca="1" si="21"/>
        <v>50</v>
      </c>
      <c r="G91" s="290">
        <f ca="1">KTVCOI!P90</f>
        <v>0.61212487056540255</v>
      </c>
      <c r="H91" s="295">
        <f t="shared" ca="1" si="29"/>
        <v>-4277.4667941890866</v>
      </c>
      <c r="I91" s="948"/>
      <c r="J91" s="296">
        <f t="shared" ca="1" si="22"/>
        <v>-4277.4667941890866</v>
      </c>
      <c r="K91" s="949"/>
      <c r="L91" s="949"/>
      <c r="M91" s="949"/>
      <c r="N91" s="950"/>
      <c r="O91" s="950"/>
      <c r="X91" s="1004"/>
      <c r="Y91" s="1004"/>
    </row>
    <row r="92" spans="2:25" ht="9.75" customHeight="1">
      <c r="B92" s="946"/>
      <c r="C92" s="946"/>
      <c r="D92" s="294">
        <f t="shared" ca="1" si="20"/>
        <v>48909</v>
      </c>
      <c r="E92" s="359">
        <f t="shared" si="23"/>
        <v>0</v>
      </c>
      <c r="F92" s="360">
        <f t="shared" ca="1" si="21"/>
        <v>50</v>
      </c>
      <c r="G92" s="290">
        <f ca="1">KTVCOI!P91</f>
        <v>0.62023268515741758</v>
      </c>
      <c r="H92" s="295">
        <f t="shared" ca="1" si="29"/>
        <v>-4333.4602937538311</v>
      </c>
      <c r="I92" s="948"/>
      <c r="J92" s="296">
        <f t="shared" ca="1" si="22"/>
        <v>-4333.4602937538311</v>
      </c>
      <c r="K92" s="949"/>
      <c r="L92" s="949"/>
      <c r="M92" s="949"/>
      <c r="N92" s="950"/>
      <c r="O92" s="950"/>
      <c r="X92" s="1004"/>
      <c r="Y92" s="1004"/>
    </row>
    <row r="93" spans="2:25" ht="9.75" customHeight="1">
      <c r="B93" s="946"/>
      <c r="C93" s="946"/>
      <c r="D93" s="294">
        <f t="shared" ca="1" si="20"/>
        <v>48939</v>
      </c>
      <c r="E93" s="359">
        <f t="shared" si="23"/>
        <v>0</v>
      </c>
      <c r="F93" s="360">
        <f t="shared" ca="1" si="21"/>
        <v>50</v>
      </c>
      <c r="G93" s="290">
        <f ca="1">KTVCOI!P92</f>
        <v>0.62835174259430548</v>
      </c>
      <c r="H93" s="295">
        <f t="shared" ca="1" si="29"/>
        <v>-4389.5314376976339</v>
      </c>
      <c r="I93" s="948"/>
      <c r="J93" s="296">
        <f t="shared" ca="1" si="22"/>
        <v>-4389.5314376976339</v>
      </c>
      <c r="K93" s="949"/>
      <c r="L93" s="949"/>
      <c r="M93" s="949"/>
      <c r="N93" s="950"/>
      <c r="O93" s="950"/>
      <c r="X93" s="1004"/>
      <c r="Y93" s="1004"/>
    </row>
    <row r="94" spans="2:25" ht="9.75" customHeight="1">
      <c r="B94" s="946"/>
      <c r="C94" s="946"/>
      <c r="D94" s="294">
        <f t="shared" ca="1" si="20"/>
        <v>48970</v>
      </c>
      <c r="E94" s="359">
        <f t="shared" si="23"/>
        <v>0</v>
      </c>
      <c r="F94" s="360">
        <f t="shared" ca="1" si="21"/>
        <v>50</v>
      </c>
      <c r="G94" s="290">
        <f ca="1">KTVCOI!P93</f>
        <v>0.63648205846615691</v>
      </c>
      <c r="H94" s="295">
        <f t="shared" ca="1" si="29"/>
        <v>-4445.6803336874491</v>
      </c>
      <c r="I94" s="948"/>
      <c r="J94" s="296">
        <f t="shared" ca="1" si="22"/>
        <v>-4445.6803336874491</v>
      </c>
      <c r="K94" s="949"/>
      <c r="L94" s="949"/>
      <c r="M94" s="949"/>
      <c r="N94" s="950"/>
      <c r="O94" s="950"/>
      <c r="X94" s="1004"/>
      <c r="Y94" s="1004"/>
    </row>
    <row r="95" spans="2:25" ht="9.75" customHeight="1">
      <c r="B95" s="946"/>
      <c r="C95" s="946"/>
      <c r="D95" s="294">
        <f t="shared" ca="1" si="20"/>
        <v>49001</v>
      </c>
      <c r="E95" s="359">
        <f t="shared" si="23"/>
        <v>0</v>
      </c>
      <c r="F95" s="360">
        <f t="shared" ca="1" si="21"/>
        <v>50</v>
      </c>
      <c r="G95" s="290">
        <f ca="1">KTVCOI!P94</f>
        <v>0.64462364838468011</v>
      </c>
      <c r="H95" s="295">
        <f t="shared" ca="1" si="29"/>
        <v>-4501.9070895395298</v>
      </c>
      <c r="I95" s="948"/>
      <c r="J95" s="296">
        <f t="shared" ca="1" si="22"/>
        <v>-4501.9070895395298</v>
      </c>
      <c r="K95" s="949"/>
      <c r="L95" s="949"/>
      <c r="M95" s="949"/>
      <c r="N95" s="950"/>
      <c r="O95" s="950"/>
      <c r="X95" s="1004"/>
      <c r="Y95" s="1004"/>
    </row>
    <row r="96" spans="2:25" ht="9.75" customHeight="1">
      <c r="B96" s="946"/>
      <c r="C96" s="946"/>
      <c r="D96" s="294">
        <f t="shared" ca="1" si="20"/>
        <v>49029</v>
      </c>
      <c r="E96" s="359">
        <f t="shared" si="23"/>
        <v>0</v>
      </c>
      <c r="F96" s="360">
        <f t="shared" ca="1" si="21"/>
        <v>50</v>
      </c>
      <c r="G96" s="290">
        <f ca="1">KTVCOI!P95</f>
        <v>0.65277652798323182</v>
      </c>
      <c r="H96" s="295">
        <f t="shared" ca="1" si="29"/>
        <v>-4558.2118132196356</v>
      </c>
      <c r="I96" s="948"/>
      <c r="J96" s="296">
        <f t="shared" ca="1" si="22"/>
        <v>-4558.2118132196356</v>
      </c>
      <c r="K96" s="949"/>
      <c r="L96" s="949"/>
      <c r="M96" s="949"/>
      <c r="N96" s="950"/>
      <c r="O96" s="950"/>
      <c r="X96" s="1004"/>
      <c r="Y96" s="1004"/>
    </row>
    <row r="97" spans="2:25" ht="9.75" customHeight="1">
      <c r="B97" s="946"/>
      <c r="C97" s="946"/>
      <c r="D97" s="294">
        <f t="shared" ca="1" si="20"/>
        <v>49060</v>
      </c>
      <c r="E97" s="359">
        <f t="shared" si="23"/>
        <v>0</v>
      </c>
      <c r="F97" s="360">
        <f t="shared" ca="1" si="21"/>
        <v>50</v>
      </c>
      <c r="G97" s="290">
        <f ca="1">KTVCOI!P96</f>
        <v>0.66094071291684708</v>
      </c>
      <c r="H97" s="295">
        <f t="shared" ca="1" si="29"/>
        <v>-4614.5946128432379</v>
      </c>
      <c r="I97" s="948"/>
      <c r="J97" s="296">
        <f t="shared" ca="1" si="22"/>
        <v>-4614.5946128432379</v>
      </c>
      <c r="K97" s="949"/>
      <c r="L97" s="949"/>
      <c r="M97" s="949"/>
      <c r="N97" s="950"/>
      <c r="O97" s="950"/>
      <c r="X97" s="1004"/>
      <c r="Y97" s="1004"/>
    </row>
    <row r="98" spans="2:25" ht="9.75" customHeight="1">
      <c r="B98" s="946"/>
      <c r="C98" s="946"/>
      <c r="D98" s="294">
        <f t="shared" ca="1" si="20"/>
        <v>49090</v>
      </c>
      <c r="E98" s="359">
        <f t="shared" si="23"/>
        <v>0</v>
      </c>
      <c r="F98" s="360">
        <f t="shared" ca="1" si="21"/>
        <v>50</v>
      </c>
      <c r="G98" s="290">
        <f ca="1">KTVCOI!P97</f>
        <v>0.66911621886226946</v>
      </c>
      <c r="H98" s="295">
        <f t="shared" ca="1" si="29"/>
        <v>-4671.0555966757274</v>
      </c>
      <c r="I98" s="948"/>
      <c r="J98" s="296">
        <f t="shared" ca="1" si="22"/>
        <v>-4671.0555966757274</v>
      </c>
      <c r="K98" s="949"/>
      <c r="L98" s="949"/>
      <c r="M98" s="949"/>
      <c r="N98" s="950"/>
      <c r="O98" s="950"/>
      <c r="X98" s="1004"/>
      <c r="Y98" s="1004"/>
    </row>
    <row r="99" spans="2:25" ht="9.75" customHeight="1">
      <c r="B99" s="946"/>
      <c r="C99" s="946"/>
      <c r="D99" s="294">
        <f t="shared" ca="1" si="20"/>
        <v>49121</v>
      </c>
      <c r="E99" s="359">
        <f t="shared" si="23"/>
        <v>0</v>
      </c>
      <c r="F99" s="360">
        <f t="shared" ca="1" si="21"/>
        <v>50</v>
      </c>
      <c r="G99" s="290">
        <f ca="1">KTVCOI!P98</f>
        <v>0.67730306151798059</v>
      </c>
      <c r="H99" s="295">
        <f t="shared" ca="1" si="29"/>
        <v>-4727.5948731326234</v>
      </c>
      <c r="I99" s="948"/>
      <c r="J99" s="297">
        <f ca="1">H99+I88</f>
        <v>-4727.5948731326234</v>
      </c>
      <c r="K99" s="949"/>
      <c r="L99" s="949"/>
      <c r="M99" s="949"/>
      <c r="N99" s="950"/>
      <c r="O99" s="950"/>
      <c r="X99" s="1004"/>
      <c r="Y99" s="1004"/>
    </row>
    <row r="100" spans="2:25" ht="9.75" customHeight="1">
      <c r="B100" s="951">
        <f>B88+1</f>
        <v>9</v>
      </c>
      <c r="C100" s="952">
        <f ca="1">C88+1</f>
        <v>38</v>
      </c>
      <c r="D100" s="287">
        <f t="shared" ca="1" si="20"/>
        <v>49151</v>
      </c>
      <c r="E100" s="359">
        <f t="shared" si="23"/>
        <v>0</v>
      </c>
      <c r="F100" s="289">
        <f t="shared" ca="1" si="21"/>
        <v>50</v>
      </c>
      <c r="G100" s="290">
        <f ca="1">KTVCOI!P99</f>
        <v>0.74065653012411092</v>
      </c>
      <c r="H100" s="290">
        <f ca="1">(J99+KTVTDGTTKcamket!F15-F100-G100)*(1+$U$3)</f>
        <v>-4784.267774527897</v>
      </c>
      <c r="I100" s="953"/>
      <c r="J100" s="292">
        <f t="shared" ca="1" si="22"/>
        <v>-4784.267774527897</v>
      </c>
      <c r="K100" s="949">
        <f ca="1">J111</f>
        <v>-5473.2094407052455</v>
      </c>
      <c r="L100" s="949"/>
      <c r="M100" s="949"/>
      <c r="N100" s="950">
        <f t="shared" ref="N100" ca="1" si="30">SUM(G100:G111)</f>
        <v>9.5001892965913441</v>
      </c>
      <c r="O100" s="950"/>
      <c r="X100" s="945">
        <f t="shared" ref="X100:Y100" ca="1" si="31">SUM(F100:F111)</f>
        <v>660</v>
      </c>
      <c r="Y100" s="945">
        <f t="shared" ca="1" si="31"/>
        <v>9.5001892965913441</v>
      </c>
    </row>
    <row r="101" spans="2:25" ht="9.75" customHeight="1">
      <c r="B101" s="951"/>
      <c r="C101" s="951"/>
      <c r="D101" s="287">
        <f t="shared" ca="1" si="20"/>
        <v>49182</v>
      </c>
      <c r="E101" s="359">
        <f t="shared" si="23"/>
        <v>0</v>
      </c>
      <c r="F101" s="289">
        <f t="shared" ca="1" si="21"/>
        <v>50</v>
      </c>
      <c r="G101" s="290">
        <f ca="1">KTVCOI!P100</f>
        <v>0.74953528467603714</v>
      </c>
      <c r="H101" s="290">
        <f ca="1">(H100-F101-G101)*(1+$U$3)</f>
        <v>-4841.0199244115256</v>
      </c>
      <c r="I101" s="953"/>
      <c r="J101" s="292">
        <f t="shared" ca="1" si="22"/>
        <v>-4841.0199244115256</v>
      </c>
      <c r="K101" s="949"/>
      <c r="L101" s="949"/>
      <c r="M101" s="949"/>
      <c r="N101" s="950"/>
      <c r="O101" s="950"/>
      <c r="X101" s="1004"/>
      <c r="Y101" s="1004"/>
    </row>
    <row r="102" spans="2:25" ht="9.75" customHeight="1">
      <c r="B102" s="951"/>
      <c r="C102" s="951"/>
      <c r="D102" s="287">
        <f t="shared" ca="1" si="20"/>
        <v>49213</v>
      </c>
      <c r="E102" s="359">
        <f t="shared" si="23"/>
        <v>0</v>
      </c>
      <c r="F102" s="289">
        <f t="shared" ca="1" si="21"/>
        <v>50</v>
      </c>
      <c r="G102" s="290">
        <f ca="1">KTVCOI!P101</f>
        <v>0.75842645482447235</v>
      </c>
      <c r="H102" s="290">
        <f t="shared" ref="H102:H111" ca="1" si="32">(H101-F102-G102)*(1+$U$3)</f>
        <v>-4897.8514336005428</v>
      </c>
      <c r="I102" s="953"/>
      <c r="J102" s="292">
        <f t="shared" ca="1" si="22"/>
        <v>-4897.8514336005428</v>
      </c>
      <c r="K102" s="949"/>
      <c r="L102" s="949"/>
      <c r="M102" s="949"/>
      <c r="N102" s="950"/>
      <c r="O102" s="950"/>
      <c r="X102" s="1004"/>
      <c r="Y102" s="1004"/>
    </row>
    <row r="103" spans="2:25" ht="9.75" customHeight="1">
      <c r="B103" s="951"/>
      <c r="C103" s="951"/>
      <c r="D103" s="287">
        <f t="shared" ca="1" si="20"/>
        <v>49243</v>
      </c>
      <c r="E103" s="359">
        <f t="shared" si="23"/>
        <v>0</v>
      </c>
      <c r="F103" s="289">
        <f t="shared" ca="1" si="21"/>
        <v>50</v>
      </c>
      <c r="G103" s="290">
        <f ca="1">KTVCOI!P102</f>
        <v>0.76733005793075171</v>
      </c>
      <c r="H103" s="290">
        <f t="shared" ca="1" si="32"/>
        <v>-4954.7624130669465</v>
      </c>
      <c r="I103" s="953"/>
      <c r="J103" s="292">
        <f t="shared" ca="1" si="22"/>
        <v>-4954.7624130669465</v>
      </c>
      <c r="K103" s="949"/>
      <c r="L103" s="949"/>
      <c r="M103" s="949"/>
      <c r="N103" s="950"/>
      <c r="O103" s="950"/>
      <c r="X103" s="1004"/>
      <c r="Y103" s="1004"/>
    </row>
    <row r="104" spans="2:25" ht="9.75" customHeight="1">
      <c r="B104" s="951"/>
      <c r="C104" s="951"/>
      <c r="D104" s="287">
        <f t="shared" ca="1" si="20"/>
        <v>49274</v>
      </c>
      <c r="E104" s="359">
        <f t="shared" si="23"/>
        <v>0</v>
      </c>
      <c r="F104" s="289">
        <f t="shared" ca="1" si="21"/>
        <v>50</v>
      </c>
      <c r="G104" s="290">
        <f ca="1">KTVCOI!P103</f>
        <v>0.77624611138048827</v>
      </c>
      <c r="H104" s="290">
        <f t="shared" ca="1" si="32"/>
        <v>-5011.7529739379088</v>
      </c>
      <c r="I104" s="953"/>
      <c r="J104" s="292">
        <f t="shared" ca="1" si="22"/>
        <v>-5011.7529739379088</v>
      </c>
      <c r="K104" s="949"/>
      <c r="L104" s="949"/>
      <c r="M104" s="949"/>
      <c r="N104" s="950"/>
      <c r="O104" s="950"/>
      <c r="X104" s="1004"/>
      <c r="Y104" s="1004"/>
    </row>
    <row r="105" spans="2:25" ht="9.75" customHeight="1">
      <c r="B105" s="951"/>
      <c r="C105" s="951"/>
      <c r="D105" s="287">
        <f t="shared" ca="1" si="20"/>
        <v>49304</v>
      </c>
      <c r="E105" s="359">
        <f t="shared" si="23"/>
        <v>0</v>
      </c>
      <c r="F105" s="289">
        <f t="shared" ca="1" si="21"/>
        <v>50</v>
      </c>
      <c r="G105" s="290">
        <f ca="1">KTVCOI!P104</f>
        <v>0.78517463258360565</v>
      </c>
      <c r="H105" s="290">
        <f t="shared" ca="1" si="32"/>
        <v>-5068.8232274959983</v>
      </c>
      <c r="I105" s="953"/>
      <c r="J105" s="292">
        <f t="shared" ca="1" si="22"/>
        <v>-5068.8232274959983</v>
      </c>
      <c r="K105" s="949"/>
      <c r="L105" s="949"/>
      <c r="M105" s="949"/>
      <c r="N105" s="950"/>
      <c r="O105" s="950"/>
      <c r="X105" s="1004"/>
      <c r="Y105" s="1004"/>
    </row>
    <row r="106" spans="2:25" ht="9.75" customHeight="1">
      <c r="B106" s="951"/>
      <c r="C106" s="951"/>
      <c r="D106" s="287">
        <f t="shared" ca="1" si="20"/>
        <v>49335</v>
      </c>
      <c r="E106" s="359">
        <f t="shared" si="23"/>
        <v>0</v>
      </c>
      <c r="F106" s="289">
        <f t="shared" ca="1" si="21"/>
        <v>60</v>
      </c>
      <c r="G106" s="290">
        <f ca="1">KTVCOI!P105</f>
        <v>0.79411563897437298</v>
      </c>
      <c r="H106" s="290">
        <f t="shared" ca="1" si="32"/>
        <v>-5135.9857000565598</v>
      </c>
      <c r="I106" s="953"/>
      <c r="J106" s="292">
        <f t="shared" ca="1" si="22"/>
        <v>-5135.9857000565598</v>
      </c>
      <c r="K106" s="949"/>
      <c r="L106" s="949"/>
      <c r="M106" s="949"/>
      <c r="N106" s="950"/>
      <c r="O106" s="950"/>
      <c r="X106" s="1004"/>
      <c r="Y106" s="1004"/>
    </row>
    <row r="107" spans="2:25" ht="9.75" customHeight="1">
      <c r="B107" s="951"/>
      <c r="C107" s="951"/>
      <c r="D107" s="287">
        <f t="shared" ca="1" si="20"/>
        <v>49366</v>
      </c>
      <c r="E107" s="359">
        <f t="shared" si="23"/>
        <v>0</v>
      </c>
      <c r="F107" s="289">
        <f t="shared" ca="1" si="21"/>
        <v>60</v>
      </c>
      <c r="G107" s="290">
        <f ca="1">KTVCOI!P106</f>
        <v>0.80463775967552775</v>
      </c>
      <c r="H107" s="290">
        <f t="shared" ca="1" si="32"/>
        <v>-5203.2420891855963</v>
      </c>
      <c r="I107" s="953"/>
      <c r="J107" s="292">
        <f t="shared" ca="1" si="22"/>
        <v>-5203.2420891855963</v>
      </c>
      <c r="K107" s="949"/>
      <c r="L107" s="949"/>
      <c r="M107" s="949"/>
      <c r="N107" s="950"/>
      <c r="O107" s="950"/>
      <c r="X107" s="1004"/>
      <c r="Y107" s="1004"/>
    </row>
    <row r="108" spans="2:25" ht="9.75" customHeight="1">
      <c r="B108" s="951"/>
      <c r="C108" s="951"/>
      <c r="D108" s="287">
        <f t="shared" ca="1" si="20"/>
        <v>49394</v>
      </c>
      <c r="E108" s="359">
        <f t="shared" si="23"/>
        <v>0</v>
      </c>
      <c r="F108" s="289">
        <f t="shared" ca="1" si="21"/>
        <v>60</v>
      </c>
      <c r="G108" s="290">
        <f ca="1">KTVCOI!P107</f>
        <v>0.8151745939724101</v>
      </c>
      <c r="H108" s="290">
        <f t="shared" ca="1" si="32"/>
        <v>-5270.5925262112369</v>
      </c>
      <c r="I108" s="953"/>
      <c r="J108" s="292">
        <f t="shared" ca="1" si="22"/>
        <v>-5270.5925262112369</v>
      </c>
      <c r="K108" s="949"/>
      <c r="L108" s="949"/>
      <c r="M108" s="949"/>
      <c r="N108" s="950"/>
      <c r="O108" s="950"/>
      <c r="X108" s="1004"/>
      <c r="Y108" s="1004"/>
    </row>
    <row r="109" spans="2:25" ht="9.75" customHeight="1">
      <c r="B109" s="951"/>
      <c r="C109" s="951"/>
      <c r="D109" s="287">
        <f t="shared" ca="1" si="20"/>
        <v>49425</v>
      </c>
      <c r="E109" s="359">
        <f t="shared" si="23"/>
        <v>0</v>
      </c>
      <c r="F109" s="289">
        <f t="shared" ca="1" si="21"/>
        <v>60</v>
      </c>
      <c r="G109" s="290">
        <f ca="1">KTVCOI!P108</f>
        <v>0.82572616243976027</v>
      </c>
      <c r="H109" s="290">
        <f t="shared" ca="1" si="32"/>
        <v>-5338.0371426452521</v>
      </c>
      <c r="I109" s="953"/>
      <c r="J109" s="292">
        <f t="shared" ca="1" si="22"/>
        <v>-5338.0371426452521</v>
      </c>
      <c r="K109" s="949"/>
      <c r="L109" s="949"/>
      <c r="M109" s="949"/>
      <c r="N109" s="950"/>
      <c r="O109" s="950"/>
      <c r="X109" s="1004"/>
      <c r="Y109" s="1004"/>
    </row>
    <row r="110" spans="2:25" ht="9.75" customHeight="1">
      <c r="B110" s="951"/>
      <c r="C110" s="951"/>
      <c r="D110" s="287">
        <f t="shared" ca="1" si="20"/>
        <v>49455</v>
      </c>
      <c r="E110" s="359">
        <f t="shared" si="23"/>
        <v>0</v>
      </c>
      <c r="F110" s="289">
        <f t="shared" ca="1" si="21"/>
        <v>60</v>
      </c>
      <c r="G110" s="290">
        <f ca="1">KTVCOI!P109</f>
        <v>0.83629248568108938</v>
      </c>
      <c r="H110" s="290">
        <f t="shared" ca="1" si="32"/>
        <v>-5405.5760701833124</v>
      </c>
      <c r="I110" s="953"/>
      <c r="J110" s="292">
        <f t="shared" ca="1" si="22"/>
        <v>-5405.5760701833124</v>
      </c>
      <c r="K110" s="949"/>
      <c r="L110" s="949"/>
      <c r="M110" s="949"/>
      <c r="N110" s="950"/>
      <c r="O110" s="950"/>
      <c r="X110" s="1004"/>
      <c r="Y110" s="1004"/>
    </row>
    <row r="111" spans="2:25" ht="9.75" customHeight="1">
      <c r="B111" s="951"/>
      <c r="C111" s="951"/>
      <c r="D111" s="287">
        <f t="shared" ca="1" si="20"/>
        <v>49486</v>
      </c>
      <c r="E111" s="359">
        <f t="shared" si="23"/>
        <v>0</v>
      </c>
      <c r="F111" s="289">
        <f t="shared" ca="1" si="21"/>
        <v>60</v>
      </c>
      <c r="G111" s="290">
        <f ca="1">KTVCOI!P110</f>
        <v>0.84687358432871884</v>
      </c>
      <c r="H111" s="290">
        <f t="shared" ca="1" si="32"/>
        <v>-5473.2094407052455</v>
      </c>
      <c r="I111" s="953"/>
      <c r="J111" s="293">
        <f ca="1">H111+I100</f>
        <v>-5473.2094407052455</v>
      </c>
      <c r="K111" s="949"/>
      <c r="L111" s="949"/>
      <c r="M111" s="949"/>
      <c r="N111" s="950"/>
      <c r="O111" s="950"/>
      <c r="X111" s="1004"/>
      <c r="Y111" s="1004"/>
    </row>
    <row r="112" spans="2:25" ht="9.75" customHeight="1">
      <c r="B112" s="946">
        <f>B100+1</f>
        <v>10</v>
      </c>
      <c r="C112" s="947">
        <f ca="1">C100+1</f>
        <v>39</v>
      </c>
      <c r="D112" s="294">
        <f t="shared" ca="1" si="20"/>
        <v>49516</v>
      </c>
      <c r="E112" s="359">
        <f t="shared" si="23"/>
        <v>0</v>
      </c>
      <c r="F112" s="360">
        <f t="shared" ca="1" si="21"/>
        <v>60</v>
      </c>
      <c r="G112" s="290">
        <f ca="1">KTVCOI!P111</f>
        <v>0.92588459705263715</v>
      </c>
      <c r="H112" s="295">
        <f ca="1">(J111+KTVTDGTTKcamket!F16-F112-G112)*(1+$U$3)</f>
        <v>-5541.0058863298291</v>
      </c>
      <c r="I112" s="948">
        <f ca="1">IF(COUNTIF(KTVTDGTTKcamket!$E$7:E16,0)&gt;0,0,50%*'Tinh phi QL'!H12/1000)</f>
        <v>0</v>
      </c>
      <c r="J112" s="296">
        <f t="shared" ca="1" si="22"/>
        <v>-5541.0058863298291</v>
      </c>
      <c r="K112" s="949">
        <f ca="1">J123</f>
        <v>-6293.1095770247539</v>
      </c>
      <c r="L112" s="949"/>
      <c r="M112" s="949"/>
      <c r="N112" s="950">
        <f t="shared" ref="N112" ca="1" si="33">SUM(G112:G123)</f>
        <v>11.871133639480286</v>
      </c>
      <c r="O112" s="950"/>
      <c r="X112" s="945">
        <f t="shared" ref="X112:Y112" ca="1" si="34">SUM(F112:F123)</f>
        <v>720</v>
      </c>
      <c r="Y112" s="945">
        <f t="shared" ca="1" si="34"/>
        <v>11.871133639480286</v>
      </c>
    </row>
    <row r="113" spans="2:25" ht="9.75" customHeight="1">
      <c r="B113" s="946"/>
      <c r="C113" s="946"/>
      <c r="D113" s="294">
        <f t="shared" ca="1" si="20"/>
        <v>49547</v>
      </c>
      <c r="E113" s="359">
        <f t="shared" si="23"/>
        <v>0</v>
      </c>
      <c r="F113" s="360">
        <f t="shared" ca="1" si="21"/>
        <v>60</v>
      </c>
      <c r="G113" s="290">
        <f ca="1">KTVCOI!P112</f>
        <v>0.93735349577079596</v>
      </c>
      <c r="H113" s="295">
        <f ca="1">(H112-F113-G113)*(1+$U$3)</f>
        <v>-5608.8979835460887</v>
      </c>
      <c r="I113" s="948"/>
      <c r="J113" s="296">
        <f t="shared" ca="1" si="22"/>
        <v>-5608.8979835460887</v>
      </c>
      <c r="K113" s="949"/>
      <c r="L113" s="949"/>
      <c r="M113" s="949"/>
      <c r="N113" s="950"/>
      <c r="O113" s="950"/>
      <c r="X113" s="1004"/>
      <c r="Y113" s="1004"/>
    </row>
    <row r="114" spans="2:25" ht="9.75" customHeight="1">
      <c r="B114" s="946"/>
      <c r="C114" s="946"/>
      <c r="D114" s="294">
        <f t="shared" ca="1" si="20"/>
        <v>49578</v>
      </c>
      <c r="E114" s="359">
        <f t="shared" si="23"/>
        <v>0</v>
      </c>
      <c r="F114" s="360">
        <f t="shared" ca="1" si="21"/>
        <v>60</v>
      </c>
      <c r="G114" s="290">
        <f ca="1">KTVCOI!P113</f>
        <v>0.94883857554987994</v>
      </c>
      <c r="H114" s="295">
        <f t="shared" ref="H114:H123" ca="1" si="35">(H113-F114-G114)*(1+$U$3)</f>
        <v>-5676.8858673054519</v>
      </c>
      <c r="I114" s="948"/>
      <c r="J114" s="296">
        <f t="shared" ca="1" si="22"/>
        <v>-5676.8858673054519</v>
      </c>
      <c r="K114" s="949"/>
      <c r="L114" s="949"/>
      <c r="M114" s="949"/>
      <c r="N114" s="950"/>
      <c r="O114" s="950"/>
      <c r="X114" s="1004"/>
      <c r="Y114" s="1004"/>
    </row>
    <row r="115" spans="2:25" ht="9.75" customHeight="1">
      <c r="B115" s="946"/>
      <c r="C115" s="946"/>
      <c r="D115" s="294">
        <f t="shared" ca="1" si="20"/>
        <v>49608</v>
      </c>
      <c r="E115" s="359">
        <f t="shared" si="23"/>
        <v>0</v>
      </c>
      <c r="F115" s="360">
        <f t="shared" ca="1" si="21"/>
        <v>60</v>
      </c>
      <c r="G115" s="290">
        <f ca="1">KTVCOI!P114</f>
        <v>0.9603398592191722</v>
      </c>
      <c r="H115" s="295">
        <f t="shared" ca="1" si="35"/>
        <v>-5744.9696727497412</v>
      </c>
      <c r="I115" s="948"/>
      <c r="J115" s="296">
        <f t="shared" ca="1" si="22"/>
        <v>-5744.9696727497412</v>
      </c>
      <c r="K115" s="949"/>
      <c r="L115" s="949"/>
      <c r="M115" s="949"/>
      <c r="N115" s="950"/>
      <c r="O115" s="950"/>
      <c r="X115" s="1004"/>
      <c r="Y115" s="1004"/>
    </row>
    <row r="116" spans="2:25" ht="9.75" customHeight="1">
      <c r="B116" s="946"/>
      <c r="C116" s="946"/>
      <c r="D116" s="294">
        <f t="shared" ca="1" si="20"/>
        <v>49639</v>
      </c>
      <c r="E116" s="359">
        <f t="shared" si="23"/>
        <v>0</v>
      </c>
      <c r="F116" s="360">
        <f t="shared" ca="1" si="21"/>
        <v>60</v>
      </c>
      <c r="G116" s="290">
        <f ca="1">KTVCOI!P115</f>
        <v>0.97185736964016456</v>
      </c>
      <c r="H116" s="295">
        <f t="shared" ca="1" si="35"/>
        <v>-5813.1495352114471</v>
      </c>
      <c r="I116" s="948"/>
      <c r="J116" s="296">
        <f t="shared" ca="1" si="22"/>
        <v>-5813.1495352114471</v>
      </c>
      <c r="K116" s="949"/>
      <c r="L116" s="949"/>
      <c r="M116" s="949"/>
      <c r="N116" s="950"/>
      <c r="O116" s="950"/>
      <c r="X116" s="1004"/>
      <c r="Y116" s="1004"/>
    </row>
    <row r="117" spans="2:25" ht="9.75" customHeight="1">
      <c r="B117" s="946"/>
      <c r="C117" s="946"/>
      <c r="D117" s="294">
        <f t="shared" ca="1" si="20"/>
        <v>49669</v>
      </c>
      <c r="E117" s="359">
        <f t="shared" si="23"/>
        <v>0</v>
      </c>
      <c r="F117" s="360">
        <f t="shared" ca="1" si="21"/>
        <v>60</v>
      </c>
      <c r="G117" s="290">
        <f ca="1">KTVCOI!P116</f>
        <v>0.98339112970660303</v>
      </c>
      <c r="H117" s="295">
        <f t="shared" ca="1" si="35"/>
        <v>-5881.4255902139967</v>
      </c>
      <c r="I117" s="948"/>
      <c r="J117" s="296">
        <f t="shared" ca="1" si="22"/>
        <v>-5881.4255902139967</v>
      </c>
      <c r="K117" s="949"/>
      <c r="L117" s="949"/>
      <c r="M117" s="949"/>
      <c r="N117" s="950"/>
      <c r="O117" s="950"/>
      <c r="X117" s="1004"/>
      <c r="Y117" s="1004"/>
    </row>
    <row r="118" spans="2:25" ht="9.75" customHeight="1">
      <c r="B118" s="946"/>
      <c r="C118" s="946"/>
      <c r="D118" s="294">
        <f t="shared" ca="1" si="20"/>
        <v>49700</v>
      </c>
      <c r="E118" s="359">
        <f t="shared" si="23"/>
        <v>0</v>
      </c>
      <c r="F118" s="360">
        <f t="shared" ca="1" si="21"/>
        <v>60</v>
      </c>
      <c r="G118" s="290">
        <f ca="1">KTVCOI!P117</f>
        <v>0.99494116234453445</v>
      </c>
      <c r="H118" s="295">
        <f t="shared" ca="1" si="35"/>
        <v>-5949.7979734720211</v>
      </c>
      <c r="I118" s="948"/>
      <c r="J118" s="296">
        <f t="shared" ca="1" si="22"/>
        <v>-5949.7979734720211</v>
      </c>
      <c r="K118" s="949"/>
      <c r="L118" s="949"/>
      <c r="M118" s="949"/>
      <c r="N118" s="950"/>
      <c r="O118" s="950"/>
      <c r="X118" s="1004"/>
      <c r="Y118" s="1004"/>
    </row>
    <row r="119" spans="2:25" ht="9.75" customHeight="1">
      <c r="B119" s="946"/>
      <c r="C119" s="946"/>
      <c r="D119" s="294">
        <f t="shared" ca="1" si="20"/>
        <v>49731</v>
      </c>
      <c r="E119" s="359">
        <f t="shared" si="23"/>
        <v>0</v>
      </c>
      <c r="F119" s="360">
        <f t="shared" ca="1" si="21"/>
        <v>60</v>
      </c>
      <c r="G119" s="290">
        <f ca="1">KTVCOI!P118</f>
        <v>1.0065074905123501</v>
      </c>
      <c r="H119" s="295">
        <f t="shared" ca="1" si="35"/>
        <v>-6018.2668208916266</v>
      </c>
      <c r="I119" s="948"/>
      <c r="J119" s="296">
        <f t="shared" ca="1" si="22"/>
        <v>-6018.2668208916266</v>
      </c>
      <c r="K119" s="949"/>
      <c r="L119" s="949"/>
      <c r="M119" s="949"/>
      <c r="N119" s="950"/>
      <c r="O119" s="950"/>
      <c r="X119" s="1004"/>
      <c r="Y119" s="1004"/>
    </row>
    <row r="120" spans="2:25" ht="9.75" customHeight="1">
      <c r="B120" s="946"/>
      <c r="C120" s="946"/>
      <c r="D120" s="294">
        <f t="shared" ca="1" si="20"/>
        <v>49760</v>
      </c>
      <c r="E120" s="359">
        <f t="shared" si="23"/>
        <v>0</v>
      </c>
      <c r="F120" s="360">
        <f t="shared" ca="1" si="21"/>
        <v>60</v>
      </c>
      <c r="G120" s="290">
        <f ca="1">KTVCOI!P119</f>
        <v>1.0180901372008335</v>
      </c>
      <c r="H120" s="295">
        <f t="shared" ca="1" si="35"/>
        <v>-6086.8322685706644</v>
      </c>
      <c r="I120" s="948"/>
      <c r="J120" s="296">
        <f t="shared" ca="1" si="22"/>
        <v>-6086.8322685706644</v>
      </c>
      <c r="K120" s="949"/>
      <c r="L120" s="949"/>
      <c r="M120" s="949"/>
      <c r="N120" s="950"/>
      <c r="O120" s="950"/>
      <c r="X120" s="1004"/>
      <c r="Y120" s="1004"/>
    </row>
    <row r="121" spans="2:25" ht="9.75" customHeight="1">
      <c r="B121" s="946"/>
      <c r="C121" s="946"/>
      <c r="D121" s="294">
        <f t="shared" ca="1" si="20"/>
        <v>49791</v>
      </c>
      <c r="E121" s="359">
        <f t="shared" si="23"/>
        <v>0</v>
      </c>
      <c r="F121" s="360">
        <f t="shared" ca="1" si="21"/>
        <v>60</v>
      </c>
      <c r="G121" s="290">
        <f ca="1">KTVCOI!P120</f>
        <v>1.0296891254332039</v>
      </c>
      <c r="H121" s="295">
        <f t="shared" ca="1" si="35"/>
        <v>-6155.4944527990028</v>
      </c>
      <c r="I121" s="948"/>
      <c r="J121" s="296">
        <f t="shared" ca="1" si="22"/>
        <v>-6155.4944527990028</v>
      </c>
      <c r="K121" s="949"/>
      <c r="L121" s="949"/>
      <c r="M121" s="949"/>
      <c r="N121" s="950"/>
      <c r="O121" s="950"/>
      <c r="X121" s="1004"/>
      <c r="Y121" s="1004"/>
    </row>
    <row r="122" spans="2:25" ht="9.75" customHeight="1">
      <c r="B122" s="946"/>
      <c r="C122" s="946"/>
      <c r="D122" s="294">
        <f t="shared" ca="1" si="20"/>
        <v>49821</v>
      </c>
      <c r="E122" s="359">
        <f t="shared" si="23"/>
        <v>0</v>
      </c>
      <c r="F122" s="360">
        <f t="shared" ca="1" si="21"/>
        <v>60</v>
      </c>
      <c r="G122" s="290">
        <f ca="1">KTVCOI!P121</f>
        <v>1.0413044782651646</v>
      </c>
      <c r="H122" s="295">
        <f t="shared" ca="1" si="35"/>
        <v>-6224.2535100587957</v>
      </c>
      <c r="I122" s="948"/>
      <c r="J122" s="296">
        <f t="shared" ca="1" si="22"/>
        <v>-6224.2535100587957</v>
      </c>
      <c r="K122" s="949"/>
      <c r="L122" s="949"/>
      <c r="M122" s="949"/>
      <c r="N122" s="950"/>
      <c r="O122" s="950"/>
      <c r="X122" s="1004"/>
      <c r="Y122" s="1004"/>
    </row>
    <row r="123" spans="2:25" ht="9.75" customHeight="1">
      <c r="B123" s="946"/>
      <c r="C123" s="946"/>
      <c r="D123" s="294">
        <f t="shared" ca="1" si="20"/>
        <v>49852</v>
      </c>
      <c r="E123" s="359">
        <f t="shared" si="23"/>
        <v>0</v>
      </c>
      <c r="F123" s="360">
        <f t="shared" ca="1" si="21"/>
        <v>60</v>
      </c>
      <c r="G123" s="290">
        <f ca="1">KTVCOI!P122</f>
        <v>1.0529362187849463</v>
      </c>
      <c r="H123" s="295">
        <f t="shared" ca="1" si="35"/>
        <v>-6293.1095770247539</v>
      </c>
      <c r="I123" s="948"/>
      <c r="J123" s="297">
        <f ca="1">H123+I112</f>
        <v>-6293.1095770247539</v>
      </c>
      <c r="K123" s="949"/>
      <c r="L123" s="949"/>
      <c r="M123" s="949"/>
      <c r="N123" s="950"/>
      <c r="O123" s="950"/>
      <c r="X123" s="1004"/>
      <c r="Y123" s="1004"/>
    </row>
    <row r="124" spans="2:25" ht="9.75" customHeight="1">
      <c r="B124" s="951">
        <f>B112+1</f>
        <v>11</v>
      </c>
      <c r="C124" s="952">
        <f ca="1">C112+1</f>
        <v>40</v>
      </c>
      <c r="D124" s="287">
        <f t="shared" ca="1" si="20"/>
        <v>49882</v>
      </c>
      <c r="E124" s="359">
        <f t="shared" si="23"/>
        <v>0</v>
      </c>
      <c r="F124" s="289">
        <f t="shared" ca="1" si="21"/>
        <v>60</v>
      </c>
      <c r="G124" s="290">
        <f ca="1">KTVCOI!P123</f>
        <v>1.1589810137687255</v>
      </c>
      <c r="H124" s="290">
        <f ca="1">(J123+KTVTDGTTKcamket!F17-F124-G124)*(1+$V$3)</f>
        <v>-6359.5396659962071</v>
      </c>
      <c r="I124" s="953"/>
      <c r="J124" s="292">
        <f t="shared" ca="1" si="22"/>
        <v>-6359.5396659962071</v>
      </c>
      <c r="K124" s="949">
        <f ca="1">J135</f>
        <v>-7094.7308442159492</v>
      </c>
      <c r="L124" s="949"/>
      <c r="M124" s="949"/>
      <c r="N124" s="950">
        <f t="shared" ref="N124" ca="1" si="36">SUM(G124:G135)</f>
        <v>14.717964955455326</v>
      </c>
      <c r="O124" s="950"/>
      <c r="X124" s="945">
        <f t="shared" ref="X124:Y124" ca="1" si="37">SUM(F124:F135)</f>
        <v>720</v>
      </c>
      <c r="Y124" s="945">
        <f t="shared" ca="1" si="37"/>
        <v>14.717964955455326</v>
      </c>
    </row>
    <row r="125" spans="2:25" ht="9.75" customHeight="1">
      <c r="B125" s="951"/>
      <c r="C125" s="951"/>
      <c r="D125" s="287">
        <f t="shared" ca="1" si="20"/>
        <v>49913</v>
      </c>
      <c r="E125" s="359">
        <f t="shared" si="23"/>
        <v>0</v>
      </c>
      <c r="F125" s="289">
        <f t="shared" ca="1" si="21"/>
        <v>60</v>
      </c>
      <c r="G125" s="290">
        <f ca="1">KTVCOI!P124</f>
        <v>1.1712152218209682</v>
      </c>
      <c r="H125" s="290">
        <f ca="1">(H124-F125-G125)*(1+$V$3)</f>
        <v>-6426.0371056151953</v>
      </c>
      <c r="I125" s="953"/>
      <c r="J125" s="292">
        <f t="shared" ca="1" si="22"/>
        <v>-6426.0371056151953</v>
      </c>
      <c r="K125" s="949"/>
      <c r="L125" s="949"/>
      <c r="M125" s="949"/>
      <c r="N125" s="950"/>
      <c r="O125" s="950"/>
      <c r="X125" s="1004"/>
      <c r="Y125" s="1004"/>
    </row>
    <row r="126" spans="2:25" ht="9.75" customHeight="1">
      <c r="B126" s="951"/>
      <c r="C126" s="951"/>
      <c r="D126" s="287">
        <f t="shared" ca="1" si="20"/>
        <v>49944</v>
      </c>
      <c r="E126" s="359">
        <f t="shared" si="23"/>
        <v>0</v>
      </c>
      <c r="F126" s="289">
        <f t="shared" ca="1" si="21"/>
        <v>60</v>
      </c>
      <c r="G126" s="290">
        <f ca="1">KTVCOI!P125</f>
        <v>1.1834618336174649</v>
      </c>
      <c r="H126" s="290">
        <f t="shared" ref="H126:H135" ca="1" si="38">(H125-F126-G126)*(1+$V$3)</f>
        <v>-6492.6019641656821</v>
      </c>
      <c r="I126" s="953"/>
      <c r="J126" s="292">
        <f t="shared" ca="1" si="22"/>
        <v>-6492.6019641656821</v>
      </c>
      <c r="K126" s="949"/>
      <c r="L126" s="949"/>
      <c r="M126" s="949"/>
      <c r="N126" s="950"/>
      <c r="O126" s="950"/>
      <c r="X126" s="1004"/>
      <c r="Y126" s="1004"/>
    </row>
    <row r="127" spans="2:25" ht="9.75" customHeight="1">
      <c r="B127" s="951"/>
      <c r="C127" s="951"/>
      <c r="D127" s="287">
        <f t="shared" ca="1" si="20"/>
        <v>49974</v>
      </c>
      <c r="E127" s="359">
        <f t="shared" si="23"/>
        <v>0</v>
      </c>
      <c r="F127" s="289">
        <f t="shared" ca="1" si="21"/>
        <v>60</v>
      </c>
      <c r="G127" s="290">
        <f ca="1">KTVCOI!P126</f>
        <v>1.1957208617338464</v>
      </c>
      <c r="H127" s="290">
        <f t="shared" ca="1" si="38"/>
        <v>-6559.2343100008602</v>
      </c>
      <c r="I127" s="953"/>
      <c r="J127" s="292">
        <f t="shared" ca="1" si="22"/>
        <v>-6559.2343100008602</v>
      </c>
      <c r="K127" s="949"/>
      <c r="L127" s="949"/>
      <c r="M127" s="949"/>
      <c r="N127" s="950"/>
      <c r="O127" s="950"/>
      <c r="X127" s="1004"/>
      <c r="Y127" s="1004"/>
    </row>
    <row r="128" spans="2:25" ht="9.75" customHeight="1">
      <c r="B128" s="951"/>
      <c r="C128" s="951"/>
      <c r="D128" s="287">
        <f t="shared" ca="1" si="20"/>
        <v>50005</v>
      </c>
      <c r="E128" s="359">
        <f t="shared" si="23"/>
        <v>0</v>
      </c>
      <c r="F128" s="289">
        <f t="shared" ca="1" si="21"/>
        <v>60</v>
      </c>
      <c r="G128" s="290">
        <f ca="1">KTVCOI!P127</f>
        <v>1.2079923187584918</v>
      </c>
      <c r="H128" s="290">
        <f t="shared" ca="1" si="38"/>
        <v>-6625.9342115432228</v>
      </c>
      <c r="I128" s="953"/>
      <c r="J128" s="292">
        <f t="shared" ca="1" si="22"/>
        <v>-6625.9342115432228</v>
      </c>
      <c r="K128" s="949"/>
      <c r="L128" s="949"/>
      <c r="M128" s="949"/>
      <c r="N128" s="950"/>
      <c r="O128" s="950"/>
      <c r="X128" s="1004"/>
      <c r="Y128" s="1004"/>
    </row>
    <row r="129" spans="2:25" ht="9.75" customHeight="1">
      <c r="B129" s="951"/>
      <c r="C129" s="951"/>
      <c r="D129" s="287">
        <f t="shared" ca="1" si="20"/>
        <v>50035</v>
      </c>
      <c r="E129" s="359">
        <f t="shared" si="23"/>
        <v>0</v>
      </c>
      <c r="F129" s="289">
        <f t="shared" ca="1" si="21"/>
        <v>60</v>
      </c>
      <c r="G129" s="290">
        <f ca="1">KTVCOI!P128</f>
        <v>1.2202762172925434</v>
      </c>
      <c r="H129" s="290">
        <f t="shared" ca="1" si="38"/>
        <v>-6692.701737284634</v>
      </c>
      <c r="I129" s="953"/>
      <c r="J129" s="292">
        <f t="shared" ca="1" si="22"/>
        <v>-6692.701737284634</v>
      </c>
      <c r="K129" s="949"/>
      <c r="L129" s="949"/>
      <c r="M129" s="949"/>
      <c r="N129" s="950"/>
      <c r="O129" s="950"/>
      <c r="X129" s="1004"/>
      <c r="Y129" s="1004"/>
    </row>
    <row r="130" spans="2:25" ht="9.75" customHeight="1">
      <c r="B130" s="951"/>
      <c r="C130" s="951"/>
      <c r="D130" s="287">
        <f t="shared" ca="1" si="20"/>
        <v>50066</v>
      </c>
      <c r="E130" s="359">
        <f t="shared" si="23"/>
        <v>0</v>
      </c>
      <c r="F130" s="289">
        <f t="shared" ca="1" si="21"/>
        <v>60</v>
      </c>
      <c r="G130" s="290">
        <f ca="1">KTVCOI!P129</f>
        <v>1.2325725699499201</v>
      </c>
      <c r="H130" s="290">
        <f t="shared" ca="1" si="38"/>
        <v>-6759.5369557863987</v>
      </c>
      <c r="I130" s="953"/>
      <c r="J130" s="292">
        <f t="shared" ca="1" si="22"/>
        <v>-6759.5369557863987</v>
      </c>
      <c r="K130" s="949"/>
      <c r="L130" s="949"/>
      <c r="M130" s="949"/>
      <c r="N130" s="950"/>
      <c r="O130" s="950"/>
      <c r="X130" s="1004"/>
      <c r="Y130" s="1004"/>
    </row>
    <row r="131" spans="2:25" ht="9.75" customHeight="1">
      <c r="B131" s="951"/>
      <c r="C131" s="951"/>
      <c r="D131" s="287">
        <f t="shared" ca="1" si="20"/>
        <v>50097</v>
      </c>
      <c r="E131" s="359">
        <f t="shared" si="23"/>
        <v>0</v>
      </c>
      <c r="F131" s="289">
        <f t="shared" ca="1" si="21"/>
        <v>60</v>
      </c>
      <c r="G131" s="290">
        <f ca="1">KTVCOI!P130</f>
        <v>1.2448813893573285</v>
      </c>
      <c r="H131" s="290">
        <f t="shared" ca="1" si="38"/>
        <v>-6826.4399356793328</v>
      </c>
      <c r="I131" s="953"/>
      <c r="J131" s="292">
        <f t="shared" ca="1" si="22"/>
        <v>-6826.4399356793328</v>
      </c>
      <c r="K131" s="949"/>
      <c r="L131" s="949"/>
      <c r="M131" s="949"/>
      <c r="N131" s="950"/>
      <c r="O131" s="950"/>
      <c r="X131" s="1004"/>
      <c r="Y131" s="1004"/>
    </row>
    <row r="132" spans="2:25" ht="9.75" customHeight="1">
      <c r="B132" s="951"/>
      <c r="C132" s="951"/>
      <c r="D132" s="287">
        <f t="shared" ca="1" si="20"/>
        <v>50125</v>
      </c>
      <c r="E132" s="359">
        <f t="shared" si="23"/>
        <v>0</v>
      </c>
      <c r="F132" s="289">
        <f t="shared" ca="1" si="21"/>
        <v>60</v>
      </c>
      <c r="G132" s="290">
        <f ca="1">KTVCOI!P131</f>
        <v>1.2572026881542773</v>
      </c>
      <c r="H132" s="290">
        <f t="shared" ca="1" si="38"/>
        <v>-6893.4107456638358</v>
      </c>
      <c r="I132" s="953"/>
      <c r="J132" s="292">
        <f t="shared" ca="1" si="22"/>
        <v>-6893.4107456638358</v>
      </c>
      <c r="K132" s="949"/>
      <c r="L132" s="949"/>
      <c r="M132" s="949"/>
      <c r="N132" s="950"/>
      <c r="O132" s="950"/>
      <c r="X132" s="1004"/>
      <c r="Y132" s="1004"/>
    </row>
    <row r="133" spans="2:25" ht="9.75" customHeight="1">
      <c r="B133" s="951"/>
      <c r="C133" s="951"/>
      <c r="D133" s="287">
        <f t="shared" ref="D133:D196" ca="1" si="39">EDATE(D132,1)</f>
        <v>50156</v>
      </c>
      <c r="E133" s="359">
        <f t="shared" si="23"/>
        <v>0</v>
      </c>
      <c r="F133" s="289">
        <f t="shared" ref="F133:F196" ca="1" si="40">IF(YEAR(D133)=2025,40000,IF(YEAR(D133)=2026,40000,IF(YEAR(D133)=2027,40000,IF(YEAR(D133)=2028,40000,IF(YEAR(D133)=2029,40000,IF(YEAR(D133)=2030,50000,IF(YEAR(D133)=2031,50000,IF(YEAR(D133)=2032,50000,IF(YEAR(D133)=2033,50000,IF(YEAR(D133)=2034,50000,IF(YEAR(D133)&gt;=2035,60000,0)))))))))))/1000</f>
        <v>60</v>
      </c>
      <c r="G133" s="290">
        <f ca="1">KTVCOI!P132</f>
        <v>1.2695364789930896</v>
      </c>
      <c r="H133" s="290">
        <f t="shared" ca="1" si="38"/>
        <v>-6960.4494545099587</v>
      </c>
      <c r="I133" s="953"/>
      <c r="J133" s="292">
        <f t="shared" ref="J133:J196" ca="1" si="41">H133</f>
        <v>-6960.4494545099587</v>
      </c>
      <c r="K133" s="949"/>
      <c r="L133" s="949"/>
      <c r="M133" s="949"/>
      <c r="N133" s="950"/>
      <c r="O133" s="950"/>
      <c r="X133" s="1004"/>
      <c r="Y133" s="1004"/>
    </row>
    <row r="134" spans="2:25" ht="9.75" customHeight="1">
      <c r="B134" s="951"/>
      <c r="C134" s="951"/>
      <c r="D134" s="287">
        <f t="shared" ca="1" si="39"/>
        <v>50186</v>
      </c>
      <c r="E134" s="359">
        <f t="shared" ref="E134:E197" si="42">E133</f>
        <v>0</v>
      </c>
      <c r="F134" s="289">
        <f t="shared" ca="1" si="40"/>
        <v>60</v>
      </c>
      <c r="G134" s="290">
        <f ca="1">KTVCOI!P133</f>
        <v>1.2818827745389174</v>
      </c>
      <c r="H134" s="290">
        <f t="shared" ca="1" si="38"/>
        <v>-7027.556131057474</v>
      </c>
      <c r="I134" s="953"/>
      <c r="J134" s="292">
        <f t="shared" ca="1" si="41"/>
        <v>-7027.556131057474</v>
      </c>
      <c r="K134" s="949"/>
      <c r="L134" s="949"/>
      <c r="M134" s="949"/>
      <c r="N134" s="950"/>
      <c r="O134" s="950"/>
      <c r="X134" s="1004"/>
      <c r="Y134" s="1004"/>
    </row>
    <row r="135" spans="2:25" ht="9.75" customHeight="1">
      <c r="B135" s="951"/>
      <c r="C135" s="951"/>
      <c r="D135" s="287">
        <f t="shared" ca="1" si="39"/>
        <v>50217</v>
      </c>
      <c r="E135" s="359">
        <f t="shared" si="42"/>
        <v>0</v>
      </c>
      <c r="F135" s="289">
        <f t="shared" ca="1" si="40"/>
        <v>60</v>
      </c>
      <c r="G135" s="290">
        <f ca="1">KTVCOI!P134</f>
        <v>1.2942415874697515</v>
      </c>
      <c r="H135" s="290">
        <f t="shared" ca="1" si="38"/>
        <v>-7094.7308442159492</v>
      </c>
      <c r="I135" s="953"/>
      <c r="J135" s="293">
        <f ca="1">H135+I124</f>
        <v>-7094.7308442159492</v>
      </c>
      <c r="K135" s="949"/>
      <c r="L135" s="949"/>
      <c r="M135" s="949"/>
      <c r="N135" s="950"/>
      <c r="O135" s="950"/>
      <c r="X135" s="1004"/>
      <c r="Y135" s="1004"/>
    </row>
    <row r="136" spans="2:25" ht="9.75" customHeight="1">
      <c r="B136" s="946">
        <f>B124+1</f>
        <v>12</v>
      </c>
      <c r="C136" s="947">
        <f ca="1">C124+1</f>
        <v>41</v>
      </c>
      <c r="D136" s="294">
        <f t="shared" ca="1" si="39"/>
        <v>50247</v>
      </c>
      <c r="E136" s="359">
        <f t="shared" si="42"/>
        <v>0</v>
      </c>
      <c r="F136" s="360">
        <f t="shared" ca="1" si="40"/>
        <v>60</v>
      </c>
      <c r="G136" s="290">
        <f ca="1">KTVCOI!P135</f>
        <v>1.4130338931396766</v>
      </c>
      <c r="H136" s="295">
        <f ca="1">(J135+KTVTDGTTKcamket!F18-F136-G136)*(1+$V$3)</f>
        <v>-7162.0801722077258</v>
      </c>
      <c r="I136" s="948"/>
      <c r="J136" s="296">
        <f t="shared" ca="1" si="41"/>
        <v>-7162.0801722077258</v>
      </c>
      <c r="K136" s="949">
        <f ca="1">J147</f>
        <v>-7907.5118856054451</v>
      </c>
      <c r="L136" s="949"/>
      <c r="M136" s="949"/>
      <c r="N136" s="950">
        <f t="shared" ref="N136" ca="1" si="43">SUM(G136:G147)</f>
        <v>17.844756893513281</v>
      </c>
      <c r="O136" s="950"/>
      <c r="X136" s="945">
        <f t="shared" ref="X136:Y136" ca="1" si="44">SUM(F136:F147)</f>
        <v>720</v>
      </c>
      <c r="Y136" s="945">
        <f t="shared" ca="1" si="44"/>
        <v>17.844756893513281</v>
      </c>
    </row>
    <row r="137" spans="2:25" ht="9.75" customHeight="1">
      <c r="B137" s="946"/>
      <c r="C137" s="946"/>
      <c r="D137" s="294">
        <f t="shared" ca="1" si="39"/>
        <v>50278</v>
      </c>
      <c r="E137" s="359">
        <f t="shared" si="42"/>
        <v>0</v>
      </c>
      <c r="F137" s="360">
        <f t="shared" ca="1" si="40"/>
        <v>60</v>
      </c>
      <c r="G137" s="290">
        <f ca="1">KTVCOI!P136</f>
        <v>1.4264476342980388</v>
      </c>
      <c r="H137" s="295">
        <f ca="1">(H136-F137-G137)*(1+$V$3)</f>
        <v>-7229.498793902414</v>
      </c>
      <c r="I137" s="948"/>
      <c r="J137" s="296">
        <f t="shared" ca="1" si="41"/>
        <v>-7229.498793902414</v>
      </c>
      <c r="K137" s="949"/>
      <c r="L137" s="949"/>
      <c r="M137" s="949"/>
      <c r="N137" s="950"/>
      <c r="O137" s="950"/>
      <c r="X137" s="1004"/>
      <c r="Y137" s="1004"/>
    </row>
    <row r="138" spans="2:25" ht="9.75" customHeight="1">
      <c r="B138" s="946"/>
      <c r="C138" s="946"/>
      <c r="D138" s="294">
        <f t="shared" ca="1" si="39"/>
        <v>50309</v>
      </c>
      <c r="E138" s="359">
        <f t="shared" si="42"/>
        <v>0</v>
      </c>
      <c r="F138" s="360">
        <f t="shared" ca="1" si="40"/>
        <v>60</v>
      </c>
      <c r="G138" s="290">
        <f ca="1">KTVCOI!P137</f>
        <v>1.4398751764522311</v>
      </c>
      <c r="H138" s="295">
        <f t="shared" ref="H138:H147" ca="1" si="45">(H137-F138-G138)*(1+$V$3)</f>
        <v>-7296.9867805942276</v>
      </c>
      <c r="I138" s="948"/>
      <c r="J138" s="296">
        <f t="shared" ca="1" si="41"/>
        <v>-7296.9867805942276</v>
      </c>
      <c r="K138" s="949"/>
      <c r="L138" s="949"/>
      <c r="M138" s="949"/>
      <c r="N138" s="950"/>
      <c r="O138" s="950"/>
      <c r="X138" s="1004"/>
      <c r="Y138" s="1004"/>
    </row>
    <row r="139" spans="2:25" ht="9.75" customHeight="1">
      <c r="B139" s="946"/>
      <c r="C139" s="946"/>
      <c r="D139" s="294">
        <f t="shared" ca="1" si="39"/>
        <v>50339</v>
      </c>
      <c r="E139" s="359">
        <f t="shared" si="42"/>
        <v>0</v>
      </c>
      <c r="F139" s="360">
        <f t="shared" ca="1" si="40"/>
        <v>60</v>
      </c>
      <c r="G139" s="290">
        <f ca="1">KTVCOI!P138</f>
        <v>1.4533165338016838</v>
      </c>
      <c r="H139" s="295">
        <f t="shared" ca="1" si="45"/>
        <v>-7364.5442036507302</v>
      </c>
      <c r="I139" s="948"/>
      <c r="J139" s="296">
        <f t="shared" ca="1" si="41"/>
        <v>-7364.5442036507302</v>
      </c>
      <c r="K139" s="949"/>
      <c r="L139" s="949"/>
      <c r="M139" s="949"/>
      <c r="N139" s="950"/>
      <c r="O139" s="950"/>
      <c r="X139" s="1004"/>
      <c r="Y139" s="1004"/>
    </row>
    <row r="140" spans="2:25" ht="9.75" customHeight="1">
      <c r="B140" s="946"/>
      <c r="C140" s="946"/>
      <c r="D140" s="294">
        <f t="shared" ca="1" si="39"/>
        <v>50370</v>
      </c>
      <c r="E140" s="359">
        <f t="shared" si="42"/>
        <v>0</v>
      </c>
      <c r="F140" s="360">
        <f t="shared" ca="1" si="40"/>
        <v>60</v>
      </c>
      <c r="G140" s="290">
        <f ca="1">KTVCOI!P139</f>
        <v>1.4667717205604369</v>
      </c>
      <c r="H140" s="295">
        <f t="shared" ca="1" si="45"/>
        <v>-7432.1711345129143</v>
      </c>
      <c r="I140" s="948"/>
      <c r="J140" s="296">
        <f t="shared" ca="1" si="41"/>
        <v>-7432.1711345129143</v>
      </c>
      <c r="K140" s="949"/>
      <c r="L140" s="949"/>
      <c r="M140" s="949"/>
      <c r="N140" s="950"/>
      <c r="O140" s="950"/>
      <c r="X140" s="1004"/>
      <c r="Y140" s="1004"/>
    </row>
    <row r="141" spans="2:25" ht="9.75" customHeight="1">
      <c r="B141" s="946"/>
      <c r="C141" s="946"/>
      <c r="D141" s="294">
        <f t="shared" ca="1" si="39"/>
        <v>50400</v>
      </c>
      <c r="E141" s="359">
        <f t="shared" si="42"/>
        <v>0</v>
      </c>
      <c r="F141" s="360">
        <f t="shared" ca="1" si="40"/>
        <v>60</v>
      </c>
      <c r="G141" s="290">
        <f ca="1">KTVCOI!P140</f>
        <v>1.4802407509571553</v>
      </c>
      <c r="H141" s="295">
        <f t="shared" ca="1" si="45"/>
        <v>-7499.867644695275</v>
      </c>
      <c r="I141" s="948"/>
      <c r="J141" s="296">
        <f t="shared" ca="1" si="41"/>
        <v>-7499.867644695275</v>
      </c>
      <c r="K141" s="949"/>
      <c r="L141" s="949"/>
      <c r="M141" s="949"/>
      <c r="N141" s="950"/>
      <c r="O141" s="950"/>
      <c r="X141" s="1004"/>
      <c r="Y141" s="1004"/>
    </row>
    <row r="142" spans="2:25" ht="9.75" customHeight="1">
      <c r="B142" s="946"/>
      <c r="C142" s="946"/>
      <c r="D142" s="294">
        <f t="shared" ca="1" si="39"/>
        <v>50431</v>
      </c>
      <c r="E142" s="359">
        <f t="shared" si="42"/>
        <v>0</v>
      </c>
      <c r="F142" s="360">
        <f t="shared" ca="1" si="40"/>
        <v>60</v>
      </c>
      <c r="G142" s="290">
        <f ca="1">KTVCOI!P141</f>
        <v>1.4937236392351423</v>
      </c>
      <c r="H142" s="295">
        <f t="shared" ca="1" si="45"/>
        <v>-7567.6338057858884</v>
      </c>
      <c r="I142" s="948"/>
      <c r="J142" s="296">
        <f t="shared" ca="1" si="41"/>
        <v>-7567.6338057858884</v>
      </c>
      <c r="K142" s="949"/>
      <c r="L142" s="949"/>
      <c r="M142" s="949"/>
      <c r="N142" s="950"/>
      <c r="O142" s="950"/>
      <c r="X142" s="1004"/>
      <c r="Y142" s="1004"/>
    </row>
    <row r="143" spans="2:25" ht="9.75" customHeight="1">
      <c r="B143" s="946"/>
      <c r="C143" s="946"/>
      <c r="D143" s="294">
        <f t="shared" ca="1" si="39"/>
        <v>50462</v>
      </c>
      <c r="E143" s="359">
        <f t="shared" si="42"/>
        <v>0</v>
      </c>
      <c r="F143" s="360">
        <f t="shared" ca="1" si="40"/>
        <v>60</v>
      </c>
      <c r="G143" s="290">
        <f ca="1">KTVCOI!P142</f>
        <v>1.5072203996523561</v>
      </c>
      <c r="H143" s="295">
        <f t="shared" ca="1" si="45"/>
        <v>-7635.4696894464832</v>
      </c>
      <c r="I143" s="948"/>
      <c r="J143" s="296">
        <f t="shared" ca="1" si="41"/>
        <v>-7635.4696894464832</v>
      </c>
      <c r="K143" s="949"/>
      <c r="L143" s="949"/>
      <c r="M143" s="949"/>
      <c r="N143" s="950"/>
      <c r="O143" s="950"/>
      <c r="X143" s="1004"/>
      <c r="Y143" s="1004"/>
    </row>
    <row r="144" spans="2:25" ht="9.75" customHeight="1">
      <c r="B144" s="946"/>
      <c r="C144" s="946"/>
      <c r="D144" s="294">
        <f t="shared" ca="1" si="39"/>
        <v>50490</v>
      </c>
      <c r="E144" s="359">
        <f t="shared" si="42"/>
        <v>0</v>
      </c>
      <c r="F144" s="360">
        <f t="shared" ca="1" si="40"/>
        <v>60</v>
      </c>
      <c r="G144" s="290">
        <f ca="1">KTVCOI!P143</f>
        <v>1.5207310464814245</v>
      </c>
      <c r="H144" s="295">
        <f t="shared" ca="1" si="45"/>
        <v>-7703.375367412521</v>
      </c>
      <c r="I144" s="948"/>
      <c r="J144" s="296">
        <f t="shared" ca="1" si="41"/>
        <v>-7703.375367412521</v>
      </c>
      <c r="K144" s="949"/>
      <c r="L144" s="949"/>
      <c r="M144" s="949"/>
      <c r="N144" s="950"/>
      <c r="O144" s="950"/>
      <c r="X144" s="1004"/>
      <c r="Y144" s="1004"/>
    </row>
    <row r="145" spans="2:25" ht="9.75" customHeight="1">
      <c r="B145" s="946"/>
      <c r="C145" s="946"/>
      <c r="D145" s="294">
        <f t="shared" ca="1" si="39"/>
        <v>50521</v>
      </c>
      <c r="E145" s="359">
        <f t="shared" si="42"/>
        <v>0</v>
      </c>
      <c r="F145" s="360">
        <f t="shared" ca="1" si="40"/>
        <v>60</v>
      </c>
      <c r="G145" s="290">
        <f ca="1">KTVCOI!P144</f>
        <v>1.5342555940096607</v>
      </c>
      <c r="H145" s="295">
        <f t="shared" ca="1" si="45"/>
        <v>-7771.3509114932676</v>
      </c>
      <c r="I145" s="948"/>
      <c r="J145" s="296">
        <f t="shared" ca="1" si="41"/>
        <v>-7771.3509114932676</v>
      </c>
      <c r="K145" s="949"/>
      <c r="L145" s="949"/>
      <c r="M145" s="949"/>
      <c r="N145" s="950"/>
      <c r="O145" s="950"/>
      <c r="X145" s="1004"/>
      <c r="Y145" s="1004"/>
    </row>
    <row r="146" spans="2:25" ht="9.75" customHeight="1">
      <c r="B146" s="946"/>
      <c r="C146" s="946"/>
      <c r="D146" s="294">
        <f t="shared" ca="1" si="39"/>
        <v>50551</v>
      </c>
      <c r="E146" s="359">
        <f t="shared" si="42"/>
        <v>0</v>
      </c>
      <c r="F146" s="360">
        <f t="shared" ca="1" si="40"/>
        <v>60</v>
      </c>
      <c r="G146" s="290">
        <f ca="1">KTVCOI!P145</f>
        <v>1.547794056539076</v>
      </c>
      <c r="H146" s="295">
        <f t="shared" ca="1" si="45"/>
        <v>-7839.396393571873</v>
      </c>
      <c r="I146" s="948"/>
      <c r="J146" s="296">
        <f t="shared" ca="1" si="41"/>
        <v>-7839.396393571873</v>
      </c>
      <c r="K146" s="949"/>
      <c r="L146" s="949"/>
      <c r="M146" s="949"/>
      <c r="N146" s="950"/>
      <c r="O146" s="950"/>
      <c r="X146" s="1004"/>
      <c r="Y146" s="1004"/>
    </row>
    <row r="147" spans="2:25" ht="9.75" customHeight="1">
      <c r="B147" s="946"/>
      <c r="C147" s="946"/>
      <c r="D147" s="294">
        <f t="shared" ca="1" si="39"/>
        <v>50582</v>
      </c>
      <c r="E147" s="359">
        <f t="shared" si="42"/>
        <v>0</v>
      </c>
      <c r="F147" s="360">
        <f t="shared" ca="1" si="40"/>
        <v>60</v>
      </c>
      <c r="G147" s="290">
        <f ca="1">KTVCOI!P146</f>
        <v>1.5613464483863984</v>
      </c>
      <c r="H147" s="295">
        <f t="shared" ca="1" si="45"/>
        <v>-7907.5118856054451</v>
      </c>
      <c r="I147" s="948"/>
      <c r="J147" s="297">
        <f ca="1">H147+I136</f>
        <v>-7907.5118856054451</v>
      </c>
      <c r="K147" s="949"/>
      <c r="L147" s="949"/>
      <c r="M147" s="949"/>
      <c r="N147" s="950"/>
      <c r="O147" s="950"/>
      <c r="X147" s="1004"/>
      <c r="Y147" s="1004"/>
    </row>
    <row r="148" spans="2:25" ht="9.75" customHeight="1">
      <c r="B148" s="951">
        <f>B136+1</f>
        <v>13</v>
      </c>
      <c r="C148" s="952">
        <f ca="1">C136+1</f>
        <v>42</v>
      </c>
      <c r="D148" s="287">
        <f t="shared" ca="1" si="39"/>
        <v>50612</v>
      </c>
      <c r="E148" s="359">
        <f t="shared" si="42"/>
        <v>0</v>
      </c>
      <c r="F148" s="289">
        <f t="shared" ca="1" si="40"/>
        <v>60</v>
      </c>
      <c r="G148" s="290">
        <f ca="1">KTVCOI!P147</f>
        <v>1.7132942418811801</v>
      </c>
      <c r="H148" s="290">
        <f ca="1">(J147+KTVTDGTTKcamket!F19-F148-G148)*(1+$V$3)</f>
        <v>-7975.8359558758166</v>
      </c>
      <c r="I148" s="953"/>
      <c r="J148" s="292">
        <f t="shared" ca="1" si="41"/>
        <v>-7975.8359558758166</v>
      </c>
      <c r="K148" s="949">
        <f ca="1">J159</f>
        <v>-8732.1357801769627</v>
      </c>
      <c r="L148" s="949"/>
      <c r="M148" s="949"/>
      <c r="N148" s="950">
        <f t="shared" ref="N148" ca="1" si="46">SUM(G148:G159)</f>
        <v>21.539980989073818</v>
      </c>
      <c r="O148" s="950"/>
      <c r="X148" s="945">
        <f t="shared" ref="X148:Y148" ca="1" si="47">SUM(F148:F159)</f>
        <v>720</v>
      </c>
      <c r="Y148" s="945">
        <f t="shared" ca="1" si="47"/>
        <v>21.539980989073818</v>
      </c>
    </row>
    <row r="149" spans="2:25" ht="9.75" customHeight="1">
      <c r="B149" s="951"/>
      <c r="C149" s="951"/>
      <c r="D149" s="287">
        <f t="shared" ca="1" si="39"/>
        <v>50643</v>
      </c>
      <c r="E149" s="359">
        <f t="shared" si="42"/>
        <v>0</v>
      </c>
      <c r="F149" s="289">
        <f t="shared" ca="1" si="40"/>
        <v>60</v>
      </c>
      <c r="G149" s="290">
        <f ca="1">KTVCOI!P148</f>
        <v>1.7280977904397601</v>
      </c>
      <c r="H149" s="290">
        <f ca="1">(H148-F149-G149)*(1+$V$3)</f>
        <v>-8044.2315193952718</v>
      </c>
      <c r="I149" s="953"/>
      <c r="J149" s="292">
        <f t="shared" ca="1" si="41"/>
        <v>-8044.2315193952718</v>
      </c>
      <c r="K149" s="949"/>
      <c r="L149" s="949"/>
      <c r="M149" s="949"/>
      <c r="N149" s="950"/>
      <c r="O149" s="950"/>
      <c r="X149" s="1004"/>
      <c r="Y149" s="1004"/>
    </row>
    <row r="150" spans="2:25" ht="9.75" customHeight="1">
      <c r="B150" s="951"/>
      <c r="C150" s="951"/>
      <c r="D150" s="287">
        <f t="shared" ca="1" si="39"/>
        <v>50674</v>
      </c>
      <c r="E150" s="359">
        <f t="shared" si="42"/>
        <v>0</v>
      </c>
      <c r="F150" s="289">
        <f t="shared" ca="1" si="40"/>
        <v>60</v>
      </c>
      <c r="G150" s="290">
        <f ca="1">KTVCOI!P149</f>
        <v>1.7429168292023089</v>
      </c>
      <c r="H150" s="290">
        <f t="shared" ref="H150:H159" ca="1" si="48">(H149-F150-G150)*(1+$V$3)</f>
        <v>-8112.6986509732378</v>
      </c>
      <c r="I150" s="953"/>
      <c r="J150" s="292">
        <f t="shared" ca="1" si="41"/>
        <v>-8112.6986509732378</v>
      </c>
      <c r="K150" s="949"/>
      <c r="L150" s="949"/>
      <c r="M150" s="949"/>
      <c r="N150" s="950"/>
      <c r="O150" s="950"/>
      <c r="X150" s="1004"/>
      <c r="Y150" s="1004"/>
    </row>
    <row r="151" spans="2:25" ht="9.75" customHeight="1">
      <c r="B151" s="951"/>
      <c r="C151" s="951"/>
      <c r="D151" s="287">
        <f t="shared" ca="1" si="39"/>
        <v>50704</v>
      </c>
      <c r="E151" s="359">
        <f t="shared" si="42"/>
        <v>0</v>
      </c>
      <c r="F151" s="289">
        <f t="shared" ca="1" si="40"/>
        <v>60</v>
      </c>
      <c r="G151" s="290">
        <f ca="1">KTVCOI!P150</f>
        <v>1.757751374377535</v>
      </c>
      <c r="H151" s="290">
        <f t="shared" ca="1" si="48"/>
        <v>-8181.2374254974238</v>
      </c>
      <c r="I151" s="953"/>
      <c r="J151" s="292">
        <f t="shared" ca="1" si="41"/>
        <v>-8181.2374254974238</v>
      </c>
      <c r="K151" s="949"/>
      <c r="L151" s="949"/>
      <c r="M151" s="949"/>
      <c r="N151" s="950"/>
      <c r="O151" s="950"/>
      <c r="X151" s="1004"/>
      <c r="Y151" s="1004"/>
    </row>
    <row r="152" spans="2:25" ht="9.75" customHeight="1">
      <c r="B152" s="951"/>
      <c r="C152" s="951"/>
      <c r="D152" s="287">
        <f t="shared" ca="1" si="39"/>
        <v>50735</v>
      </c>
      <c r="E152" s="359">
        <f t="shared" si="42"/>
        <v>0</v>
      </c>
      <c r="F152" s="289">
        <f t="shared" ca="1" si="40"/>
        <v>60</v>
      </c>
      <c r="G152" s="290">
        <f ca="1">KTVCOI!P151</f>
        <v>1.7726014421911085</v>
      </c>
      <c r="H152" s="290">
        <f t="shared" ca="1" si="48"/>
        <v>-8249.8479179338992</v>
      </c>
      <c r="I152" s="953"/>
      <c r="J152" s="292">
        <f t="shared" ca="1" si="41"/>
        <v>-8249.8479179338992</v>
      </c>
      <c r="K152" s="949"/>
      <c r="L152" s="949"/>
      <c r="M152" s="949"/>
      <c r="N152" s="950"/>
      <c r="O152" s="950"/>
      <c r="X152" s="1004"/>
      <c r="Y152" s="1004"/>
    </row>
    <row r="153" spans="2:25" ht="9.75" customHeight="1">
      <c r="B153" s="951"/>
      <c r="C153" s="951"/>
      <c r="D153" s="287">
        <f t="shared" ca="1" si="39"/>
        <v>50765</v>
      </c>
      <c r="E153" s="359">
        <f t="shared" si="42"/>
        <v>0</v>
      </c>
      <c r="F153" s="289">
        <f t="shared" ca="1" si="40"/>
        <v>60</v>
      </c>
      <c r="G153" s="290">
        <f ca="1">KTVCOI!P152</f>
        <v>1.7874670488856781</v>
      </c>
      <c r="H153" s="290">
        <f t="shared" ca="1" si="48"/>
        <v>-8318.5302033271764</v>
      </c>
      <c r="I153" s="953"/>
      <c r="J153" s="292">
        <f t="shared" ca="1" si="41"/>
        <v>-8318.5302033271764</v>
      </c>
      <c r="K153" s="949"/>
      <c r="L153" s="949"/>
      <c r="M153" s="949"/>
      <c r="N153" s="950"/>
      <c r="O153" s="950"/>
      <c r="X153" s="1004"/>
      <c r="Y153" s="1004"/>
    </row>
    <row r="154" spans="2:25" ht="9.75" customHeight="1">
      <c r="B154" s="951"/>
      <c r="C154" s="951"/>
      <c r="D154" s="287">
        <f t="shared" ca="1" si="39"/>
        <v>50796</v>
      </c>
      <c r="E154" s="359">
        <f t="shared" si="42"/>
        <v>0</v>
      </c>
      <c r="F154" s="289">
        <f t="shared" ca="1" si="40"/>
        <v>60</v>
      </c>
      <c r="G154" s="290">
        <f ca="1">KTVCOI!P153</f>
        <v>1.8023482107208884</v>
      </c>
      <c r="H154" s="290">
        <f t="shared" ca="1" si="48"/>
        <v>-8387.2843568002936</v>
      </c>
      <c r="I154" s="953"/>
      <c r="J154" s="292">
        <f t="shared" ca="1" si="41"/>
        <v>-8387.2843568002936</v>
      </c>
      <c r="K154" s="949"/>
      <c r="L154" s="949"/>
      <c r="M154" s="949"/>
      <c r="N154" s="950"/>
      <c r="O154" s="950"/>
      <c r="X154" s="1004"/>
      <c r="Y154" s="1004"/>
    </row>
    <row r="155" spans="2:25" ht="9.75" customHeight="1">
      <c r="B155" s="951"/>
      <c r="C155" s="951"/>
      <c r="D155" s="287">
        <f t="shared" ca="1" si="39"/>
        <v>50827</v>
      </c>
      <c r="E155" s="359">
        <f t="shared" si="42"/>
        <v>0</v>
      </c>
      <c r="F155" s="289">
        <f t="shared" ca="1" si="40"/>
        <v>60</v>
      </c>
      <c r="G155" s="290">
        <f ca="1">KTVCOI!P154</f>
        <v>1.8172449439733969</v>
      </c>
      <c r="H155" s="290">
        <f t="shared" ca="1" si="48"/>
        <v>-8456.1104535548966</v>
      </c>
      <c r="I155" s="953"/>
      <c r="J155" s="292">
        <f t="shared" ca="1" si="41"/>
        <v>-8456.1104535548966</v>
      </c>
      <c r="K155" s="949"/>
      <c r="L155" s="949"/>
      <c r="M155" s="949"/>
      <c r="N155" s="950"/>
      <c r="O155" s="950"/>
      <c r="X155" s="1004"/>
      <c r="Y155" s="1004"/>
    </row>
    <row r="156" spans="2:25" ht="9.75" customHeight="1">
      <c r="B156" s="951"/>
      <c r="C156" s="951"/>
      <c r="D156" s="287">
        <f t="shared" ca="1" si="39"/>
        <v>50855</v>
      </c>
      <c r="E156" s="359">
        <f t="shared" si="42"/>
        <v>0</v>
      </c>
      <c r="F156" s="289">
        <f t="shared" ca="1" si="40"/>
        <v>60</v>
      </c>
      <c r="G156" s="290">
        <f ca="1">KTVCOI!P155</f>
        <v>1.8321572649368942</v>
      </c>
      <c r="H156" s="290">
        <f t="shared" ca="1" si="48"/>
        <v>-8525.0085688713207</v>
      </c>
      <c r="I156" s="953"/>
      <c r="J156" s="292">
        <f t="shared" ca="1" si="41"/>
        <v>-8525.0085688713207</v>
      </c>
      <c r="K156" s="949"/>
      <c r="L156" s="949"/>
      <c r="M156" s="949"/>
      <c r="N156" s="950"/>
      <c r="O156" s="950"/>
      <c r="X156" s="1004"/>
      <c r="Y156" s="1004"/>
    </row>
    <row r="157" spans="2:25" ht="9.75" customHeight="1">
      <c r="B157" s="951"/>
      <c r="C157" s="951"/>
      <c r="D157" s="287">
        <f t="shared" ca="1" si="39"/>
        <v>50886</v>
      </c>
      <c r="E157" s="359">
        <f t="shared" si="42"/>
        <v>0</v>
      </c>
      <c r="F157" s="289">
        <f t="shared" ca="1" si="40"/>
        <v>60</v>
      </c>
      <c r="G157" s="290">
        <f ca="1">KTVCOI!P156</f>
        <v>1.8470851899221195</v>
      </c>
      <c r="H157" s="290">
        <f t="shared" ca="1" si="48"/>
        <v>-8593.9787781086761</v>
      </c>
      <c r="I157" s="953"/>
      <c r="J157" s="292">
        <f t="shared" ca="1" si="41"/>
        <v>-8593.9787781086761</v>
      </c>
      <c r="K157" s="949"/>
      <c r="L157" s="949"/>
      <c r="M157" s="949"/>
      <c r="N157" s="950"/>
      <c r="O157" s="950"/>
      <c r="X157" s="1004"/>
      <c r="Y157" s="1004"/>
    </row>
    <row r="158" spans="2:25" ht="9.75" customHeight="1">
      <c r="B158" s="951"/>
      <c r="C158" s="951"/>
      <c r="D158" s="287">
        <f t="shared" ca="1" si="39"/>
        <v>50916</v>
      </c>
      <c r="E158" s="359">
        <f t="shared" si="42"/>
        <v>0</v>
      </c>
      <c r="F158" s="289">
        <f t="shared" ca="1" si="40"/>
        <v>60</v>
      </c>
      <c r="G158" s="290">
        <f ca="1">KTVCOI!P157</f>
        <v>1.8620287352568798</v>
      </c>
      <c r="H158" s="290">
        <f t="shared" ca="1" si="48"/>
        <v>-8663.0211567049228</v>
      </c>
      <c r="I158" s="953"/>
      <c r="J158" s="292">
        <f t="shared" ca="1" si="41"/>
        <v>-8663.0211567049228</v>
      </c>
      <c r="K158" s="949"/>
      <c r="L158" s="949"/>
      <c r="M158" s="949"/>
      <c r="N158" s="950"/>
      <c r="O158" s="950"/>
      <c r="X158" s="1004"/>
      <c r="Y158" s="1004"/>
    </row>
    <row r="159" spans="2:25" ht="9.75" customHeight="1">
      <c r="B159" s="951"/>
      <c r="C159" s="951"/>
      <c r="D159" s="287">
        <f t="shared" ca="1" si="39"/>
        <v>50947</v>
      </c>
      <c r="E159" s="359">
        <f t="shared" si="42"/>
        <v>0</v>
      </c>
      <c r="F159" s="289">
        <f t="shared" ca="1" si="40"/>
        <v>60</v>
      </c>
      <c r="G159" s="290">
        <f ca="1">KTVCOI!P158</f>
        <v>1.8769879172860666</v>
      </c>
      <c r="H159" s="290">
        <f t="shared" ca="1" si="48"/>
        <v>-8732.1357801769627</v>
      </c>
      <c r="I159" s="953"/>
      <c r="J159" s="293">
        <f ca="1">H159+I148</f>
        <v>-8732.1357801769627</v>
      </c>
      <c r="K159" s="949"/>
      <c r="L159" s="949"/>
      <c r="M159" s="949"/>
      <c r="N159" s="950"/>
      <c r="O159" s="950"/>
      <c r="X159" s="1004"/>
      <c r="Y159" s="1004"/>
    </row>
    <row r="160" spans="2:25" ht="9.75" customHeight="1">
      <c r="B160" s="946">
        <f>B148+1</f>
        <v>14</v>
      </c>
      <c r="C160" s="947">
        <f ca="1">C148+1</f>
        <v>43</v>
      </c>
      <c r="D160" s="294">
        <f t="shared" ca="1" si="39"/>
        <v>50977</v>
      </c>
      <c r="E160" s="359">
        <f t="shared" si="42"/>
        <v>0</v>
      </c>
      <c r="F160" s="360">
        <f t="shared" ca="1" si="40"/>
        <v>60</v>
      </c>
      <c r="G160" s="290">
        <f ca="1">KTVCOI!P159</f>
        <v>2.052051908341586</v>
      </c>
      <c r="H160" s="295">
        <f ca="1">(J159+KTVTDGTTKcamket!F20-F160-G160)*(1+$V$3)</f>
        <v>-8801.4829460767396</v>
      </c>
      <c r="I160" s="948"/>
      <c r="J160" s="296">
        <f t="shared" ca="1" si="41"/>
        <v>-8801.4829460767396</v>
      </c>
      <c r="K160" s="949">
        <f ca="1">J171</f>
        <v>-9569.1922984797002</v>
      </c>
      <c r="L160" s="949"/>
      <c r="M160" s="949"/>
      <c r="N160" s="950">
        <f t="shared" ref="N160" ca="1" si="49">SUM(G160:G171)</f>
        <v>25.704023936360215</v>
      </c>
      <c r="O160" s="950"/>
      <c r="X160" s="945">
        <f t="shared" ref="X160:Y160" ca="1" si="50">SUM(F160:F171)</f>
        <v>720</v>
      </c>
      <c r="Y160" s="945">
        <f t="shared" ca="1" si="50"/>
        <v>25.704023936360215</v>
      </c>
    </row>
    <row r="161" spans="2:25" ht="9.75" customHeight="1">
      <c r="B161" s="946"/>
      <c r="C161" s="946"/>
      <c r="D161" s="294">
        <f t="shared" ca="1" si="39"/>
        <v>51008</v>
      </c>
      <c r="E161" s="359">
        <f t="shared" si="42"/>
        <v>0</v>
      </c>
      <c r="F161" s="360">
        <f t="shared" ca="1" si="40"/>
        <v>60</v>
      </c>
      <c r="G161" s="290">
        <f ca="1">KTVCOI!P160</f>
        <v>2.0683484923280333</v>
      </c>
      <c r="H161" s="295">
        <f ca="1">(H160-F161-G161)*(1+$V$3)</f>
        <v>-8870.9039481963755</v>
      </c>
      <c r="I161" s="948"/>
      <c r="J161" s="296">
        <f t="shared" ca="1" si="41"/>
        <v>-8870.9039481963755</v>
      </c>
      <c r="K161" s="949"/>
      <c r="L161" s="949"/>
      <c r="M161" s="949"/>
      <c r="N161" s="950"/>
      <c r="O161" s="950"/>
      <c r="X161" s="1004"/>
      <c r="Y161" s="1004"/>
    </row>
    <row r="162" spans="2:25" ht="9.75" customHeight="1">
      <c r="B162" s="946"/>
      <c r="C162" s="946"/>
      <c r="D162" s="294">
        <f t="shared" ca="1" si="39"/>
        <v>51039</v>
      </c>
      <c r="E162" s="359">
        <f t="shared" si="42"/>
        <v>0</v>
      </c>
      <c r="F162" s="360">
        <f t="shared" ca="1" si="40"/>
        <v>60</v>
      </c>
      <c r="G162" s="290">
        <f ca="1">KTVCOI!P161</f>
        <v>2.0846624278261481</v>
      </c>
      <c r="H162" s="295">
        <f t="shared" ref="H162:H171" ca="1" si="51">(H161-F162-G162)*(1+$V$3)</f>
        <v>-8940.3988651517338</v>
      </c>
      <c r="I162" s="948"/>
      <c r="J162" s="296">
        <f t="shared" ca="1" si="41"/>
        <v>-8940.3988651517338</v>
      </c>
      <c r="K162" s="949"/>
      <c r="L162" s="949"/>
      <c r="M162" s="949"/>
      <c r="N162" s="950"/>
      <c r="O162" s="950"/>
      <c r="X162" s="1004"/>
      <c r="Y162" s="1004"/>
    </row>
    <row r="163" spans="2:25" ht="9.75" customHeight="1">
      <c r="B163" s="946"/>
      <c r="C163" s="946"/>
      <c r="D163" s="294">
        <f t="shared" ca="1" si="39"/>
        <v>51069</v>
      </c>
      <c r="E163" s="359">
        <f t="shared" si="42"/>
        <v>0</v>
      </c>
      <c r="F163" s="360">
        <f t="shared" ca="1" si="40"/>
        <v>60</v>
      </c>
      <c r="G163" s="290">
        <f ca="1">KTVCOI!P162</f>
        <v>2.100993733310657</v>
      </c>
      <c r="H163" s="295">
        <f t="shared" ca="1" si="51"/>
        <v>-9009.9677756423862</v>
      </c>
      <c r="I163" s="948"/>
      <c r="J163" s="296">
        <f t="shared" ca="1" si="41"/>
        <v>-9009.9677756423862</v>
      </c>
      <c r="K163" s="949"/>
      <c r="L163" s="949"/>
      <c r="M163" s="949"/>
      <c r="N163" s="950"/>
      <c r="O163" s="950"/>
      <c r="X163" s="1004"/>
      <c r="Y163" s="1004"/>
    </row>
    <row r="164" spans="2:25" ht="9.75" customHeight="1">
      <c r="B164" s="946"/>
      <c r="C164" s="946"/>
      <c r="D164" s="294">
        <f t="shared" ca="1" si="39"/>
        <v>51100</v>
      </c>
      <c r="E164" s="359">
        <f t="shared" si="42"/>
        <v>0</v>
      </c>
      <c r="F164" s="360">
        <f t="shared" ca="1" si="40"/>
        <v>60</v>
      </c>
      <c r="G164" s="290">
        <f ca="1">KTVCOI!P163</f>
        <v>2.1173424272759607</v>
      </c>
      <c r="H164" s="295">
        <f t="shared" ca="1" si="51"/>
        <v>-9079.610758451694</v>
      </c>
      <c r="I164" s="948"/>
      <c r="J164" s="296">
        <f t="shared" ca="1" si="41"/>
        <v>-9079.610758451694</v>
      </c>
      <c r="K164" s="949"/>
      <c r="L164" s="949"/>
      <c r="M164" s="949"/>
      <c r="N164" s="950"/>
      <c r="O164" s="950"/>
      <c r="X164" s="1004"/>
      <c r="Y164" s="1004"/>
    </row>
    <row r="165" spans="2:25" ht="9.75" customHeight="1">
      <c r="B165" s="946"/>
      <c r="C165" s="946"/>
      <c r="D165" s="294">
        <f t="shared" ca="1" si="39"/>
        <v>51130</v>
      </c>
      <c r="E165" s="359">
        <f t="shared" si="42"/>
        <v>0</v>
      </c>
      <c r="F165" s="360">
        <f t="shared" ca="1" si="40"/>
        <v>60</v>
      </c>
      <c r="G165" s="290">
        <f ca="1">KTVCOI!P164</f>
        <v>2.1337085282361481</v>
      </c>
      <c r="H165" s="295">
        <f t="shared" ca="1" si="51"/>
        <v>-9149.3278924469032</v>
      </c>
      <c r="I165" s="948"/>
      <c r="J165" s="296">
        <f t="shared" ca="1" si="41"/>
        <v>-9149.3278924469032</v>
      </c>
      <c r="K165" s="949"/>
      <c r="L165" s="949"/>
      <c r="M165" s="949"/>
      <c r="N165" s="950"/>
      <c r="O165" s="950"/>
      <c r="X165" s="1004"/>
      <c r="Y165" s="1004"/>
    </row>
    <row r="166" spans="2:25" ht="9.75" customHeight="1">
      <c r="B166" s="946"/>
      <c r="C166" s="946"/>
      <c r="D166" s="294">
        <f t="shared" ca="1" si="39"/>
        <v>51161</v>
      </c>
      <c r="E166" s="359">
        <f t="shared" si="42"/>
        <v>0</v>
      </c>
      <c r="F166" s="360">
        <f t="shared" ca="1" si="40"/>
        <v>60</v>
      </c>
      <c r="G166" s="290">
        <f ca="1">KTVCOI!P165</f>
        <v>2.1500920547250222</v>
      </c>
      <c r="H166" s="295">
        <f t="shared" ca="1" si="51"/>
        <v>-9219.1192565792317</v>
      </c>
      <c r="I166" s="948"/>
      <c r="J166" s="296">
        <f t="shared" ca="1" si="41"/>
        <v>-9219.1192565792317</v>
      </c>
      <c r="K166" s="949"/>
      <c r="L166" s="949"/>
      <c r="M166" s="949"/>
      <c r="N166" s="950"/>
      <c r="O166" s="950"/>
      <c r="X166" s="1004"/>
      <c r="Y166" s="1004"/>
    </row>
    <row r="167" spans="2:25" ht="9.75" customHeight="1">
      <c r="B167" s="946"/>
      <c r="C167" s="946"/>
      <c r="D167" s="294">
        <f t="shared" ca="1" si="39"/>
        <v>51192</v>
      </c>
      <c r="E167" s="359">
        <f t="shared" si="42"/>
        <v>0</v>
      </c>
      <c r="F167" s="360">
        <f t="shared" ca="1" si="40"/>
        <v>60</v>
      </c>
      <c r="G167" s="290">
        <f ca="1">KTVCOI!P166</f>
        <v>2.1664930252961194</v>
      </c>
      <c r="H167" s="295">
        <f t="shared" ca="1" si="51"/>
        <v>-9288.9849298839617</v>
      </c>
      <c r="I167" s="948"/>
      <c r="J167" s="296">
        <f t="shared" ca="1" si="41"/>
        <v>-9288.9849298839617</v>
      </c>
      <c r="K167" s="949"/>
      <c r="L167" s="949"/>
      <c r="M167" s="949"/>
      <c r="N167" s="950"/>
      <c r="O167" s="950"/>
      <c r="X167" s="1004"/>
      <c r="Y167" s="1004"/>
    </row>
    <row r="168" spans="2:25" ht="9.75" customHeight="1">
      <c r="B168" s="946"/>
      <c r="C168" s="946"/>
      <c r="D168" s="294">
        <f t="shared" ca="1" si="39"/>
        <v>51221</v>
      </c>
      <c r="E168" s="359">
        <f t="shared" si="42"/>
        <v>0</v>
      </c>
      <c r="F168" s="360">
        <f t="shared" ca="1" si="40"/>
        <v>60</v>
      </c>
      <c r="G168" s="290">
        <f ca="1">KTVCOI!P167</f>
        <v>2.1829114585227307</v>
      </c>
      <c r="H168" s="295">
        <f t="shared" ca="1" si="51"/>
        <v>-9358.9249914805278</v>
      </c>
      <c r="I168" s="948"/>
      <c r="J168" s="296">
        <f t="shared" ca="1" si="41"/>
        <v>-9358.9249914805278</v>
      </c>
      <c r="K168" s="949"/>
      <c r="L168" s="949"/>
      <c r="M168" s="949"/>
      <c r="N168" s="950"/>
      <c r="O168" s="950"/>
      <c r="X168" s="1004"/>
      <c r="Y168" s="1004"/>
    </row>
    <row r="169" spans="2:25" ht="9.75" customHeight="1">
      <c r="B169" s="946"/>
      <c r="C169" s="946"/>
      <c r="D169" s="294">
        <f t="shared" ca="1" si="39"/>
        <v>51252</v>
      </c>
      <c r="E169" s="359">
        <f t="shared" si="42"/>
        <v>0</v>
      </c>
      <c r="F169" s="360">
        <f t="shared" ca="1" si="40"/>
        <v>60</v>
      </c>
      <c r="G169" s="290">
        <f ca="1">KTVCOI!P168</f>
        <v>2.199347372997924</v>
      </c>
      <c r="H169" s="295">
        <f t="shared" ca="1" si="51"/>
        <v>-9428.9395205725996</v>
      </c>
      <c r="I169" s="948"/>
      <c r="J169" s="296">
        <f t="shared" ca="1" si="41"/>
        <v>-9428.9395205725996</v>
      </c>
      <c r="K169" s="949"/>
      <c r="L169" s="949"/>
      <c r="M169" s="949"/>
      <c r="N169" s="950"/>
      <c r="O169" s="950"/>
      <c r="X169" s="1004"/>
      <c r="Y169" s="1004"/>
    </row>
    <row r="170" spans="2:25" ht="9.75" customHeight="1">
      <c r="B170" s="946"/>
      <c r="C170" s="946"/>
      <c r="D170" s="294">
        <f t="shared" ca="1" si="39"/>
        <v>51282</v>
      </c>
      <c r="E170" s="359">
        <f t="shared" si="42"/>
        <v>0</v>
      </c>
      <c r="F170" s="360">
        <f t="shared" ca="1" si="40"/>
        <v>60</v>
      </c>
      <c r="G170" s="290">
        <f ca="1">KTVCOI!P169</f>
        <v>2.2158007873345609</v>
      </c>
      <c r="H170" s="295">
        <f t="shared" ca="1" si="51"/>
        <v>-9499.0285964481827</v>
      </c>
      <c r="I170" s="948"/>
      <c r="J170" s="296">
        <f t="shared" ca="1" si="41"/>
        <v>-9499.0285964481827</v>
      </c>
      <c r="K170" s="949"/>
      <c r="L170" s="949"/>
      <c r="M170" s="949"/>
      <c r="N170" s="950"/>
      <c r="O170" s="950"/>
      <c r="X170" s="1004"/>
      <c r="Y170" s="1004"/>
    </row>
    <row r="171" spans="2:25" ht="9.75" customHeight="1">
      <c r="B171" s="946"/>
      <c r="C171" s="946"/>
      <c r="D171" s="294">
        <f t="shared" ca="1" si="39"/>
        <v>51313</v>
      </c>
      <c r="E171" s="359">
        <f t="shared" si="42"/>
        <v>0</v>
      </c>
      <c r="F171" s="360">
        <f t="shared" ca="1" si="40"/>
        <v>60</v>
      </c>
      <c r="G171" s="290">
        <f ca="1">KTVCOI!P170</f>
        <v>2.2322717201653228</v>
      </c>
      <c r="H171" s="295">
        <f t="shared" ca="1" si="51"/>
        <v>-9569.1922984797002</v>
      </c>
      <c r="I171" s="948"/>
      <c r="J171" s="297">
        <f ca="1">H171+I160</f>
        <v>-9569.1922984797002</v>
      </c>
      <c r="K171" s="949"/>
      <c r="L171" s="949"/>
      <c r="M171" s="949"/>
      <c r="N171" s="950"/>
      <c r="O171" s="950"/>
      <c r="X171" s="1004"/>
      <c r="Y171" s="1004"/>
    </row>
    <row r="172" spans="2:25" ht="9.75" customHeight="1">
      <c r="B172" s="951">
        <f>B160+1</f>
        <v>15</v>
      </c>
      <c r="C172" s="952">
        <f ca="1">C160+1</f>
        <v>44</v>
      </c>
      <c r="D172" s="287">
        <f t="shared" ca="1" si="39"/>
        <v>51343</v>
      </c>
      <c r="E172" s="359">
        <f t="shared" si="42"/>
        <v>0</v>
      </c>
      <c r="F172" s="289">
        <f t="shared" ca="1" si="40"/>
        <v>60</v>
      </c>
      <c r="G172" s="290">
        <f ca="1">KTVCOI!P171</f>
        <v>2.4401440361123234</v>
      </c>
      <c r="H172" s="290">
        <f ca="1">(J171+KTVTDGTTKcamket!F20-F172-G172)*(1+$V$3)</f>
        <v>-9639.622248730253</v>
      </c>
      <c r="I172" s="953"/>
      <c r="J172" s="292">
        <f t="shared" ca="1" si="41"/>
        <v>-9639.622248730253</v>
      </c>
      <c r="K172" s="949">
        <f ca="1">J183</f>
        <v>-10419.412303263989</v>
      </c>
      <c r="L172" s="949"/>
      <c r="M172" s="949"/>
      <c r="N172" s="950">
        <f t="shared" ref="N172" ca="1" si="52">SUM(G172:G183)</f>
        <v>30.47136095121887</v>
      </c>
      <c r="O172" s="950"/>
      <c r="X172" s="945">
        <f t="shared" ref="X172:Y172" ca="1" si="53">SUM(F172:F183)</f>
        <v>720</v>
      </c>
      <c r="Y172" s="945">
        <f t="shared" ca="1" si="53"/>
        <v>30.47136095121887</v>
      </c>
    </row>
    <row r="173" spans="2:25" ht="9.75" customHeight="1">
      <c r="B173" s="951"/>
      <c r="C173" s="951"/>
      <c r="D173" s="287">
        <f t="shared" ca="1" si="39"/>
        <v>51374</v>
      </c>
      <c r="E173" s="359">
        <f t="shared" si="42"/>
        <v>0</v>
      </c>
      <c r="F173" s="289">
        <f t="shared" ca="1" si="40"/>
        <v>60</v>
      </c>
      <c r="G173" s="290">
        <f ca="1">KTVCOI!P172</f>
        <v>2.4581036734262147</v>
      </c>
      <c r="H173" s="290">
        <f ca="1">(H172-F173-G173)*(1+$V$3)</f>
        <v>-9710.1285978444484</v>
      </c>
      <c r="I173" s="953"/>
      <c r="J173" s="292">
        <f t="shared" ca="1" si="41"/>
        <v>-9710.1285978444484</v>
      </c>
      <c r="K173" s="949"/>
      <c r="L173" s="949"/>
      <c r="M173" s="949"/>
      <c r="N173" s="950"/>
      <c r="O173" s="950"/>
      <c r="X173" s="1004"/>
      <c r="Y173" s="1004"/>
    </row>
    <row r="174" spans="2:25" ht="9.75" customHeight="1">
      <c r="B174" s="951"/>
      <c r="C174" s="951"/>
      <c r="D174" s="287">
        <f t="shared" ca="1" si="39"/>
        <v>51405</v>
      </c>
      <c r="E174" s="359">
        <f t="shared" si="42"/>
        <v>0</v>
      </c>
      <c r="F174" s="289">
        <f t="shared" ca="1" si="40"/>
        <v>60</v>
      </c>
      <c r="G174" s="290">
        <f ca="1">KTVCOI!P173</f>
        <v>2.4760827924503341</v>
      </c>
      <c r="H174" s="290">
        <f t="shared" ref="H174:H183" ca="1" si="54">(H173-F174-G174)*(1+$V$3)</f>
        <v>-9780.7114286959259</v>
      </c>
      <c r="I174" s="953"/>
      <c r="J174" s="292">
        <f t="shared" ca="1" si="41"/>
        <v>-9780.7114286959259</v>
      </c>
      <c r="K174" s="949"/>
      <c r="L174" s="949"/>
      <c r="M174" s="949"/>
      <c r="N174" s="950"/>
      <c r="O174" s="950"/>
      <c r="X174" s="1004"/>
      <c r="Y174" s="1004"/>
    </row>
    <row r="175" spans="2:25" ht="9.75" customHeight="1">
      <c r="B175" s="951"/>
      <c r="C175" s="951"/>
      <c r="D175" s="287">
        <f t="shared" ca="1" si="39"/>
        <v>51435</v>
      </c>
      <c r="E175" s="359">
        <f t="shared" si="42"/>
        <v>0</v>
      </c>
      <c r="F175" s="289">
        <f t="shared" ca="1" si="40"/>
        <v>60</v>
      </c>
      <c r="G175" s="290">
        <f ca="1">KTVCOI!P174</f>
        <v>2.4940814143174612</v>
      </c>
      <c r="H175" s="290">
        <f t="shared" ca="1" si="54"/>
        <v>-9851.3708242482226</v>
      </c>
      <c r="I175" s="953"/>
      <c r="J175" s="292">
        <f t="shared" ca="1" si="41"/>
        <v>-9851.3708242482226</v>
      </c>
      <c r="K175" s="949"/>
      <c r="L175" s="949"/>
      <c r="M175" s="949"/>
      <c r="N175" s="950"/>
      <c r="O175" s="950"/>
      <c r="X175" s="1004"/>
      <c r="Y175" s="1004"/>
    </row>
    <row r="176" spans="2:25" ht="9.75" customHeight="1">
      <c r="B176" s="951"/>
      <c r="C176" s="951"/>
      <c r="D176" s="287">
        <f t="shared" ca="1" si="39"/>
        <v>51466</v>
      </c>
      <c r="E176" s="359">
        <f t="shared" si="42"/>
        <v>0</v>
      </c>
      <c r="F176" s="289">
        <f t="shared" ca="1" si="40"/>
        <v>60</v>
      </c>
      <c r="G176" s="290">
        <f ca="1">KTVCOI!P175</f>
        <v>2.5120995601832967</v>
      </c>
      <c r="H176" s="290">
        <f t="shared" ca="1" si="54"/>
        <v>-9922.1068675548704</v>
      </c>
      <c r="I176" s="953"/>
      <c r="J176" s="292">
        <f t="shared" ca="1" si="41"/>
        <v>-9922.1068675548704</v>
      </c>
      <c r="K176" s="949"/>
      <c r="L176" s="949"/>
      <c r="M176" s="949"/>
      <c r="N176" s="950"/>
      <c r="O176" s="950"/>
      <c r="X176" s="1004"/>
      <c r="Y176" s="1004"/>
    </row>
    <row r="177" spans="2:25" ht="9.75" customHeight="1">
      <c r="B177" s="951"/>
      <c r="C177" s="951"/>
      <c r="D177" s="287">
        <f t="shared" ca="1" si="39"/>
        <v>51496</v>
      </c>
      <c r="E177" s="359">
        <f t="shared" si="42"/>
        <v>0</v>
      </c>
      <c r="F177" s="289">
        <f t="shared" ca="1" si="40"/>
        <v>60</v>
      </c>
      <c r="G177" s="290">
        <f ca="1">KTVCOI!P176</f>
        <v>2.5301372512264919</v>
      </c>
      <c r="H177" s="290">
        <f t="shared" ca="1" si="54"/>
        <v>-9992.919641759494</v>
      </c>
      <c r="I177" s="953"/>
      <c r="J177" s="292">
        <f t="shared" ca="1" si="41"/>
        <v>-9992.919641759494</v>
      </c>
      <c r="K177" s="949"/>
      <c r="L177" s="949"/>
      <c r="M177" s="949"/>
      <c r="N177" s="950"/>
      <c r="O177" s="950"/>
      <c r="X177" s="1004"/>
      <c r="Y177" s="1004"/>
    </row>
    <row r="178" spans="2:25" ht="9.75" customHeight="1">
      <c r="B178" s="951"/>
      <c r="C178" s="951"/>
      <c r="D178" s="287">
        <f t="shared" ca="1" si="39"/>
        <v>51527</v>
      </c>
      <c r="E178" s="359">
        <f t="shared" si="42"/>
        <v>0</v>
      </c>
      <c r="F178" s="289">
        <f t="shared" ca="1" si="40"/>
        <v>60</v>
      </c>
      <c r="G178" s="290">
        <f ca="1">KTVCOI!P177</f>
        <v>2.5481945086486708</v>
      </c>
      <c r="H178" s="290">
        <f t="shared" ca="1" si="54"/>
        <v>-10063.809230095909</v>
      </c>
      <c r="I178" s="953"/>
      <c r="J178" s="292">
        <f t="shared" ca="1" si="41"/>
        <v>-10063.809230095909</v>
      </c>
      <c r="K178" s="949"/>
      <c r="L178" s="949"/>
      <c r="M178" s="949"/>
      <c r="N178" s="950"/>
      <c r="O178" s="950"/>
      <c r="X178" s="1004"/>
      <c r="Y178" s="1004"/>
    </row>
    <row r="179" spans="2:25" ht="9.75" customHeight="1">
      <c r="B179" s="951"/>
      <c r="C179" s="951"/>
      <c r="D179" s="287">
        <f t="shared" ca="1" si="39"/>
        <v>51558</v>
      </c>
      <c r="E179" s="359">
        <f t="shared" si="42"/>
        <v>0</v>
      </c>
      <c r="F179" s="289">
        <f t="shared" ca="1" si="40"/>
        <v>60</v>
      </c>
      <c r="G179" s="290">
        <f ca="1">KTVCOI!P178</f>
        <v>2.5662713536744568</v>
      </c>
      <c r="H179" s="290">
        <f t="shared" ca="1" si="54"/>
        <v>-10134.775715888218</v>
      </c>
      <c r="I179" s="953"/>
      <c r="J179" s="292">
        <f t="shared" ca="1" si="41"/>
        <v>-10134.775715888218</v>
      </c>
      <c r="K179" s="949"/>
      <c r="L179" s="949"/>
      <c r="M179" s="949"/>
      <c r="N179" s="950"/>
      <c r="O179" s="950"/>
      <c r="X179" s="1004"/>
      <c r="Y179" s="1004"/>
    </row>
    <row r="180" spans="2:25" ht="9.75" customHeight="1">
      <c r="B180" s="951"/>
      <c r="C180" s="951"/>
      <c r="D180" s="287">
        <f t="shared" ca="1" si="39"/>
        <v>51586</v>
      </c>
      <c r="E180" s="359">
        <f t="shared" si="42"/>
        <v>0</v>
      </c>
      <c r="F180" s="289">
        <f t="shared" ca="1" si="40"/>
        <v>60</v>
      </c>
      <c r="G180" s="290">
        <f ca="1">KTVCOI!P179</f>
        <v>2.5843678075514958</v>
      </c>
      <c r="H180" s="290">
        <f t="shared" ca="1" si="54"/>
        <v>-10205.819182550906</v>
      </c>
      <c r="I180" s="953"/>
      <c r="J180" s="292">
        <f t="shared" ca="1" si="41"/>
        <v>-10205.819182550906</v>
      </c>
      <c r="K180" s="949"/>
      <c r="L180" s="949"/>
      <c r="M180" s="949"/>
      <c r="N180" s="950"/>
      <c r="O180" s="950"/>
      <c r="X180" s="1004"/>
      <c r="Y180" s="1004"/>
    </row>
    <row r="181" spans="2:25" ht="9.75" customHeight="1">
      <c r="B181" s="951"/>
      <c r="C181" s="951"/>
      <c r="D181" s="287">
        <f t="shared" ca="1" si="39"/>
        <v>51617</v>
      </c>
      <c r="E181" s="359">
        <f t="shared" si="42"/>
        <v>0</v>
      </c>
      <c r="F181" s="289">
        <f t="shared" ca="1" si="40"/>
        <v>60</v>
      </c>
      <c r="G181" s="290">
        <f ca="1">KTVCOI!P180</f>
        <v>2.6024838915504809</v>
      </c>
      <c r="H181" s="290">
        <f t="shared" ca="1" si="54"/>
        <v>-10276.939713588949</v>
      </c>
      <c r="I181" s="953"/>
      <c r="J181" s="292">
        <f t="shared" ca="1" si="41"/>
        <v>-10276.939713588949</v>
      </c>
      <c r="K181" s="949"/>
      <c r="L181" s="949"/>
      <c r="M181" s="949"/>
      <c r="N181" s="950"/>
      <c r="O181" s="950"/>
      <c r="X181" s="1004"/>
      <c r="Y181" s="1004"/>
    </row>
    <row r="182" spans="2:25" ht="9.75" customHeight="1">
      <c r="B182" s="951"/>
      <c r="C182" s="951"/>
      <c r="D182" s="287">
        <f t="shared" ca="1" si="39"/>
        <v>51647</v>
      </c>
      <c r="E182" s="359">
        <f t="shared" si="42"/>
        <v>0</v>
      </c>
      <c r="F182" s="289">
        <f t="shared" ca="1" si="40"/>
        <v>60</v>
      </c>
      <c r="G182" s="290">
        <f ca="1">KTVCOI!P181</f>
        <v>2.620619626965182</v>
      </c>
      <c r="H182" s="290">
        <f t="shared" ca="1" si="54"/>
        <v>-10348.137392597897</v>
      </c>
      <c r="I182" s="953"/>
      <c r="J182" s="292">
        <f t="shared" ca="1" si="41"/>
        <v>-10348.137392597897</v>
      </c>
      <c r="K182" s="949"/>
      <c r="L182" s="949"/>
      <c r="M182" s="949"/>
      <c r="N182" s="950"/>
      <c r="O182" s="950"/>
      <c r="X182" s="1004"/>
      <c r="Y182" s="1004"/>
    </row>
    <row r="183" spans="2:25" ht="9.75" customHeight="1">
      <c r="B183" s="951"/>
      <c r="C183" s="951"/>
      <c r="D183" s="287">
        <f t="shared" ca="1" si="39"/>
        <v>51678</v>
      </c>
      <c r="E183" s="359">
        <f t="shared" si="42"/>
        <v>0</v>
      </c>
      <c r="F183" s="289">
        <f t="shared" ca="1" si="40"/>
        <v>60</v>
      </c>
      <c r="G183" s="290">
        <f ca="1">KTVCOI!P182</f>
        <v>2.6387750351124639</v>
      </c>
      <c r="H183" s="290">
        <f t="shared" ca="1" si="54"/>
        <v>-10419.412303263989</v>
      </c>
      <c r="I183" s="953"/>
      <c r="J183" s="293">
        <f ca="1">H183+I172</f>
        <v>-10419.412303263989</v>
      </c>
      <c r="K183" s="949"/>
      <c r="L183" s="949"/>
      <c r="M183" s="949"/>
      <c r="N183" s="950"/>
      <c r="O183" s="950"/>
      <c r="X183" s="1004"/>
      <c r="Y183" s="1004"/>
    </row>
    <row r="184" spans="2:25" ht="9.75" customHeight="1">
      <c r="B184" s="946">
        <f>B172+1</f>
        <v>16</v>
      </c>
      <c r="C184" s="947">
        <f ca="1">C172+1</f>
        <v>45</v>
      </c>
      <c r="D184" s="294">
        <f t="shared" ca="1" si="39"/>
        <v>51708</v>
      </c>
      <c r="E184" s="359">
        <f t="shared" si="42"/>
        <v>0</v>
      </c>
      <c r="F184" s="360">
        <f t="shared" ca="1" si="40"/>
        <v>60</v>
      </c>
      <c r="G184" s="290">
        <f ca="1">KTVCOI!P183</f>
        <v>2.8740212269836505</v>
      </c>
      <c r="H184" s="295">
        <f ca="1">(J183+KTVTDGTTKcamket!F21-F184-G184)*(1+$W$3)</f>
        <v>-10486.643966522764</v>
      </c>
      <c r="I184" s="948"/>
      <c r="J184" s="296">
        <f t="shared" ca="1" si="41"/>
        <v>-10486.643966522764</v>
      </c>
      <c r="K184" s="949">
        <f ca="1">J195</f>
        <v>-11229.268457829079</v>
      </c>
      <c r="L184" s="949"/>
      <c r="M184" s="949"/>
      <c r="N184" s="950">
        <f t="shared" ref="N184" ca="1" si="55">SUM(G184:G195)</f>
        <v>35.715033424548388</v>
      </c>
      <c r="O184" s="950"/>
      <c r="X184" s="945">
        <f t="shared" ref="X184:Y184" ca="1" si="56">SUM(F184:F195)</f>
        <v>720</v>
      </c>
      <c r="Y184" s="945">
        <f t="shared" ca="1" si="56"/>
        <v>35.715033424548388</v>
      </c>
    </row>
    <row r="185" spans="2:25" ht="9.75" customHeight="1">
      <c r="B185" s="946"/>
      <c r="C185" s="946"/>
      <c r="D185" s="294">
        <f t="shared" ca="1" si="39"/>
        <v>51739</v>
      </c>
      <c r="E185" s="359">
        <f t="shared" si="42"/>
        <v>0</v>
      </c>
      <c r="F185" s="360">
        <f t="shared" ca="1" si="40"/>
        <v>60</v>
      </c>
      <c r="G185" s="290">
        <f ca="1">KTVCOI!P184</f>
        <v>2.8925659607658623</v>
      </c>
      <c r="H185" s="295">
        <f ca="1">(H184-F185-G185)*(1+$W$3)</f>
        <v>-10553.922131425095</v>
      </c>
      <c r="I185" s="948"/>
      <c r="J185" s="296">
        <f t="shared" ca="1" si="41"/>
        <v>-10553.922131425095</v>
      </c>
      <c r="K185" s="949"/>
      <c r="L185" s="949"/>
      <c r="M185" s="949"/>
      <c r="N185" s="950"/>
      <c r="O185" s="950"/>
      <c r="X185" s="1004"/>
      <c r="Y185" s="1004"/>
    </row>
    <row r="186" spans="2:25" ht="9.75" customHeight="1">
      <c r="B186" s="946"/>
      <c r="C186" s="946"/>
      <c r="D186" s="294">
        <f t="shared" ca="1" si="39"/>
        <v>51770</v>
      </c>
      <c r="E186" s="359">
        <f t="shared" si="42"/>
        <v>0</v>
      </c>
      <c r="F186" s="360">
        <f t="shared" ca="1" si="40"/>
        <v>60</v>
      </c>
      <c r="G186" s="290">
        <f ca="1">KTVCOI!P185</f>
        <v>2.9111235212514219</v>
      </c>
      <c r="H186" s="295">
        <f t="shared" ref="H186:H243" ca="1" si="57">(H185-F186-G186)*(1+$W$3)</f>
        <v>-10621.24683013444</v>
      </c>
      <c r="I186" s="948"/>
      <c r="J186" s="296">
        <f t="shared" ca="1" si="41"/>
        <v>-10621.24683013444</v>
      </c>
      <c r="K186" s="949"/>
      <c r="L186" s="949"/>
      <c r="M186" s="949"/>
      <c r="N186" s="950"/>
      <c r="O186" s="950"/>
      <c r="X186" s="1004"/>
      <c r="Y186" s="1004"/>
    </row>
    <row r="187" spans="2:25" ht="9.75" customHeight="1">
      <c r="B187" s="946"/>
      <c r="C187" s="946"/>
      <c r="D187" s="294">
        <f t="shared" ca="1" si="39"/>
        <v>51800</v>
      </c>
      <c r="E187" s="359">
        <f t="shared" si="42"/>
        <v>0</v>
      </c>
      <c r="F187" s="360">
        <f t="shared" ca="1" si="40"/>
        <v>60</v>
      </c>
      <c r="G187" s="290">
        <f ca="1">KTVCOI!P186</f>
        <v>2.9296939173120831</v>
      </c>
      <c r="H187" s="295">
        <f t="shared" ca="1" si="57"/>
        <v>-10688.618094836505</v>
      </c>
      <c r="I187" s="948"/>
      <c r="J187" s="296">
        <f t="shared" ca="1" si="41"/>
        <v>-10688.618094836505</v>
      </c>
      <c r="K187" s="949"/>
      <c r="L187" s="949"/>
      <c r="M187" s="949"/>
      <c r="N187" s="950"/>
      <c r="O187" s="950"/>
      <c r="X187" s="1004"/>
      <c r="Y187" s="1004"/>
    </row>
    <row r="188" spans="2:25" ht="9.75" customHeight="1">
      <c r="B188" s="946"/>
      <c r="C188" s="946"/>
      <c r="D188" s="294">
        <f t="shared" ca="1" si="39"/>
        <v>51831</v>
      </c>
      <c r="E188" s="359">
        <f t="shared" si="42"/>
        <v>0</v>
      </c>
      <c r="F188" s="360">
        <f t="shared" ca="1" si="40"/>
        <v>60</v>
      </c>
      <c r="G188" s="290">
        <f ca="1">KTVCOI!P187</f>
        <v>2.9482771578257361</v>
      </c>
      <c r="H188" s="295">
        <f t="shared" ca="1" si="57"/>
        <v>-10756.035957739259</v>
      </c>
      <c r="I188" s="948"/>
      <c r="J188" s="296">
        <f t="shared" ca="1" si="41"/>
        <v>-10756.035957739259</v>
      </c>
      <c r="K188" s="949"/>
      <c r="L188" s="949"/>
      <c r="M188" s="949"/>
      <c r="N188" s="950"/>
      <c r="O188" s="950"/>
      <c r="X188" s="1004"/>
      <c r="Y188" s="1004"/>
    </row>
    <row r="189" spans="2:25" ht="9.75" customHeight="1">
      <c r="B189" s="946"/>
      <c r="C189" s="946"/>
      <c r="D189" s="294">
        <f t="shared" ca="1" si="39"/>
        <v>51861</v>
      </c>
      <c r="E189" s="359">
        <f t="shared" si="42"/>
        <v>0</v>
      </c>
      <c r="F189" s="360">
        <f t="shared" ca="1" si="40"/>
        <v>60</v>
      </c>
      <c r="G189" s="290">
        <f ca="1">KTVCOI!P188</f>
        <v>2.9668732516764122</v>
      </c>
      <c r="H189" s="295">
        <f t="shared" ca="1" si="57"/>
        <v>-10823.500451072943</v>
      </c>
      <c r="I189" s="948"/>
      <c r="J189" s="296">
        <f t="shared" ca="1" si="41"/>
        <v>-10823.500451072943</v>
      </c>
      <c r="K189" s="949"/>
      <c r="L189" s="949"/>
      <c r="M189" s="949"/>
      <c r="N189" s="950"/>
      <c r="O189" s="950"/>
      <c r="X189" s="1004"/>
      <c r="Y189" s="1004"/>
    </row>
    <row r="190" spans="2:25" ht="9.75" customHeight="1">
      <c r="B190" s="946"/>
      <c r="C190" s="946"/>
      <c r="D190" s="294">
        <f t="shared" ca="1" si="39"/>
        <v>51892</v>
      </c>
      <c r="E190" s="359">
        <f t="shared" si="42"/>
        <v>0</v>
      </c>
      <c r="F190" s="360">
        <f t="shared" ca="1" si="40"/>
        <v>60</v>
      </c>
      <c r="G190" s="290">
        <f ca="1">KTVCOI!P189</f>
        <v>2.9854822077542864</v>
      </c>
      <c r="H190" s="295">
        <f t="shared" ca="1" si="57"/>
        <v>-10891.011607090095</v>
      </c>
      <c r="I190" s="948"/>
      <c r="J190" s="296">
        <f t="shared" ca="1" si="41"/>
        <v>-10891.011607090095</v>
      </c>
      <c r="K190" s="949"/>
      <c r="L190" s="949"/>
      <c r="M190" s="949"/>
      <c r="N190" s="950"/>
      <c r="O190" s="950"/>
      <c r="X190" s="1004"/>
      <c r="Y190" s="1004"/>
    </row>
    <row r="191" spans="2:25" ht="9.75" customHeight="1">
      <c r="B191" s="946"/>
      <c r="C191" s="946"/>
      <c r="D191" s="294">
        <f t="shared" ca="1" si="39"/>
        <v>51923</v>
      </c>
      <c r="E191" s="359">
        <f t="shared" si="42"/>
        <v>0</v>
      </c>
      <c r="F191" s="360">
        <f t="shared" ca="1" si="40"/>
        <v>60</v>
      </c>
      <c r="G191" s="290">
        <f ca="1">KTVCOI!P190</f>
        <v>3.0041040349556849</v>
      </c>
      <c r="H191" s="295">
        <f t="shared" ca="1" si="57"/>
        <v>-10958.56945806556</v>
      </c>
      <c r="I191" s="948"/>
      <c r="J191" s="296">
        <f t="shared" ca="1" si="41"/>
        <v>-10958.56945806556</v>
      </c>
      <c r="K191" s="949"/>
      <c r="L191" s="949"/>
      <c r="M191" s="949"/>
      <c r="N191" s="950"/>
      <c r="O191" s="950"/>
      <c r="X191" s="1004"/>
      <c r="Y191" s="1004"/>
    </row>
    <row r="192" spans="2:25" ht="9.75" customHeight="1">
      <c r="B192" s="946"/>
      <c r="C192" s="946"/>
      <c r="D192" s="294">
        <f t="shared" ca="1" si="39"/>
        <v>51951</v>
      </c>
      <c r="E192" s="359">
        <f t="shared" si="42"/>
        <v>0</v>
      </c>
      <c r="F192" s="360">
        <f t="shared" ca="1" si="40"/>
        <v>60</v>
      </c>
      <c r="G192" s="290">
        <f ca="1">KTVCOI!P191</f>
        <v>3.0227387421830838</v>
      </c>
      <c r="H192" s="295">
        <f t="shared" ca="1" si="57"/>
        <v>-11026.174036296507</v>
      </c>
      <c r="I192" s="948"/>
      <c r="J192" s="296">
        <f t="shared" ca="1" si="41"/>
        <v>-11026.174036296507</v>
      </c>
      <c r="K192" s="949"/>
      <c r="L192" s="949"/>
      <c r="M192" s="949"/>
      <c r="N192" s="950"/>
      <c r="O192" s="950"/>
      <c r="X192" s="1004"/>
      <c r="Y192" s="1004"/>
    </row>
    <row r="193" spans="2:25" ht="9.75" customHeight="1">
      <c r="B193" s="946"/>
      <c r="C193" s="946"/>
      <c r="D193" s="294">
        <f t="shared" ca="1" si="39"/>
        <v>51982</v>
      </c>
      <c r="E193" s="359">
        <f t="shared" si="42"/>
        <v>0</v>
      </c>
      <c r="F193" s="360">
        <f t="shared" ca="1" si="40"/>
        <v>60</v>
      </c>
      <c r="G193" s="290">
        <f ca="1">KTVCOI!P192</f>
        <v>3.0413863383451196</v>
      </c>
      <c r="H193" s="295">
        <f t="shared" ca="1" si="57"/>
        <v>-11093.82537410244</v>
      </c>
      <c r="I193" s="948"/>
      <c r="J193" s="296">
        <f t="shared" ca="1" si="41"/>
        <v>-11093.82537410244</v>
      </c>
      <c r="K193" s="949"/>
      <c r="L193" s="949"/>
      <c r="M193" s="949"/>
      <c r="N193" s="950"/>
      <c r="O193" s="950"/>
      <c r="X193" s="1004"/>
      <c r="Y193" s="1004"/>
    </row>
    <row r="194" spans="2:25" ht="9.75" customHeight="1">
      <c r="B194" s="946"/>
      <c r="C194" s="946"/>
      <c r="D194" s="294">
        <f t="shared" ca="1" si="39"/>
        <v>52012</v>
      </c>
      <c r="E194" s="359">
        <f t="shared" si="42"/>
        <v>0</v>
      </c>
      <c r="F194" s="360">
        <f t="shared" ca="1" si="40"/>
        <v>60</v>
      </c>
      <c r="G194" s="290">
        <f ca="1">KTVCOI!P193</f>
        <v>3.0600468323565901</v>
      </c>
      <c r="H194" s="295">
        <f t="shared" ca="1" si="57"/>
        <v>-11161.523503825221</v>
      </c>
      <c r="I194" s="948"/>
      <c r="J194" s="296">
        <f t="shared" ca="1" si="41"/>
        <v>-11161.523503825221</v>
      </c>
      <c r="K194" s="949"/>
      <c r="L194" s="949"/>
      <c r="M194" s="949"/>
      <c r="N194" s="950"/>
      <c r="O194" s="950"/>
      <c r="X194" s="1004"/>
      <c r="Y194" s="1004"/>
    </row>
    <row r="195" spans="2:25" ht="9.75" customHeight="1">
      <c r="B195" s="946"/>
      <c r="C195" s="946"/>
      <c r="D195" s="294">
        <f t="shared" ca="1" si="39"/>
        <v>52043</v>
      </c>
      <c r="E195" s="359">
        <f t="shared" si="42"/>
        <v>0</v>
      </c>
      <c r="F195" s="360">
        <f t="shared" ca="1" si="40"/>
        <v>60</v>
      </c>
      <c r="G195" s="290">
        <f ca="1">KTVCOI!P194</f>
        <v>3.0787202331384567</v>
      </c>
      <c r="H195" s="295">
        <f t="shared" ca="1" si="57"/>
        <v>-11229.268457829079</v>
      </c>
      <c r="I195" s="948"/>
      <c r="J195" s="297">
        <f ca="1">H195+I184</f>
        <v>-11229.268457829079</v>
      </c>
      <c r="K195" s="949"/>
      <c r="L195" s="949"/>
      <c r="M195" s="949"/>
      <c r="N195" s="950"/>
      <c r="O195" s="950"/>
      <c r="X195" s="1004"/>
      <c r="Y195" s="1004"/>
    </row>
    <row r="196" spans="2:25" ht="9.75" customHeight="1">
      <c r="B196" s="951">
        <f>B184+1</f>
        <v>17</v>
      </c>
      <c r="C196" s="952">
        <f ca="1">C184+1</f>
        <v>46</v>
      </c>
      <c r="D196" s="287">
        <f t="shared" ca="1" si="39"/>
        <v>52073</v>
      </c>
      <c r="E196" s="359">
        <f t="shared" si="42"/>
        <v>0</v>
      </c>
      <c r="F196" s="289">
        <f t="shared" ca="1" si="40"/>
        <v>60</v>
      </c>
      <c r="G196" s="290">
        <f ca="1">KTVCOI!P195</f>
        <v>3.3500650899190085</v>
      </c>
      <c r="H196" s="290">
        <f ca="1">(J195+KTVTDGTTKcamket!F23-F196-G196)*(1+$W$3)</f>
        <v>-11297.313032074837</v>
      </c>
      <c r="I196" s="953"/>
      <c r="J196" s="292">
        <f t="shared" ca="1" si="41"/>
        <v>-11297.313032074837</v>
      </c>
      <c r="K196" s="949">
        <f ca="1">J207</f>
        <v>-12049.018302145498</v>
      </c>
      <c r="L196" s="949"/>
      <c r="M196" s="949"/>
      <c r="N196" s="950">
        <f t="shared" ref="N196" ca="1" si="58">SUM(G196:G207)</f>
        <v>41.543773364425306</v>
      </c>
      <c r="O196" s="950"/>
      <c r="X196" s="945">
        <f t="shared" ref="X196:Y196" ca="1" si="59">SUM(F196:F207)</f>
        <v>720</v>
      </c>
      <c r="Y196" s="945">
        <f t="shared" ca="1" si="59"/>
        <v>41.543773364425306</v>
      </c>
    </row>
    <row r="197" spans="2:25" ht="9.75" customHeight="1">
      <c r="B197" s="951"/>
      <c r="C197" s="951"/>
      <c r="D197" s="287">
        <f t="shared" ref="D197:D243" ca="1" si="60">EDATE(D196,1)</f>
        <v>52104</v>
      </c>
      <c r="E197" s="359">
        <f t="shared" si="42"/>
        <v>0</v>
      </c>
      <c r="F197" s="289">
        <f t="shared" ref="F197:F243" ca="1" si="61">IF(YEAR(D197)=2025,40000,IF(YEAR(D197)=2026,40000,IF(YEAR(D197)=2027,40000,IF(YEAR(D197)=2028,40000,IF(YEAR(D197)=2029,40000,IF(YEAR(D197)=2030,50000,IF(YEAR(D197)=2031,50000,IF(YEAR(D197)=2032,50000,IF(YEAR(D197)=2033,50000,IF(YEAR(D197)=2034,50000,IF(YEAR(D197)&gt;=2035,60000,0)))))))))))/1000</f>
        <v>60</v>
      </c>
      <c r="G197" s="290">
        <f ca="1">KTVCOI!P196</f>
        <v>3.3703650545689929</v>
      </c>
      <c r="H197" s="290">
        <f t="shared" ca="1" si="57"/>
        <v>-11365.406201863858</v>
      </c>
      <c r="I197" s="953"/>
      <c r="J197" s="292">
        <f t="shared" ref="J197:J242" ca="1" si="62">H197</f>
        <v>-11365.406201863858</v>
      </c>
      <c r="K197" s="949"/>
      <c r="L197" s="949"/>
      <c r="M197" s="949"/>
      <c r="N197" s="950"/>
      <c r="O197" s="950"/>
      <c r="X197" s="1004"/>
      <c r="Y197" s="1004"/>
    </row>
    <row r="198" spans="2:25" ht="9.75" customHeight="1">
      <c r="B198" s="951"/>
      <c r="C198" s="951"/>
      <c r="D198" s="287">
        <f t="shared" ca="1" si="60"/>
        <v>52135</v>
      </c>
      <c r="E198" s="359">
        <f t="shared" ref="E198:E243" si="63">E197</f>
        <v>0</v>
      </c>
      <c r="F198" s="289">
        <f t="shared" ca="1" si="61"/>
        <v>60</v>
      </c>
      <c r="G198" s="290">
        <f ca="1">KTVCOI!P197</f>
        <v>3.3906795168893837</v>
      </c>
      <c r="H198" s="290">
        <f t="shared" ca="1" si="57"/>
        <v>-11433.54800190173</v>
      </c>
      <c r="I198" s="953"/>
      <c r="J198" s="292">
        <f t="shared" ca="1" si="62"/>
        <v>-11433.54800190173</v>
      </c>
      <c r="K198" s="949"/>
      <c r="L198" s="949"/>
      <c r="M198" s="949"/>
      <c r="N198" s="950"/>
      <c r="O198" s="950"/>
      <c r="X198" s="1004"/>
      <c r="Y198" s="1004"/>
    </row>
    <row r="199" spans="2:25" ht="9.75" customHeight="1">
      <c r="B199" s="951"/>
      <c r="C199" s="951"/>
      <c r="D199" s="287">
        <f t="shared" ca="1" si="60"/>
        <v>52165</v>
      </c>
      <c r="E199" s="359">
        <f t="shared" si="63"/>
        <v>0</v>
      </c>
      <c r="F199" s="289">
        <f t="shared" ca="1" si="61"/>
        <v>60</v>
      </c>
      <c r="G199" s="290">
        <f ca="1">KTVCOI!P198</f>
        <v>3.4110084872340161</v>
      </c>
      <c r="H199" s="290">
        <f t="shared" ca="1" si="57"/>
        <v>-11501.738466918823</v>
      </c>
      <c r="I199" s="953"/>
      <c r="J199" s="292">
        <f t="shared" ca="1" si="62"/>
        <v>-11501.738466918823</v>
      </c>
      <c r="K199" s="949"/>
      <c r="L199" s="949"/>
      <c r="M199" s="949"/>
      <c r="N199" s="950"/>
      <c r="O199" s="950"/>
      <c r="X199" s="1004"/>
      <c r="Y199" s="1004"/>
    </row>
    <row r="200" spans="2:25" ht="9.75" customHeight="1">
      <c r="B200" s="951"/>
      <c r="C200" s="951"/>
      <c r="D200" s="287">
        <f t="shared" ca="1" si="60"/>
        <v>52196</v>
      </c>
      <c r="E200" s="359">
        <f t="shared" si="63"/>
        <v>0</v>
      </c>
      <c r="F200" s="289">
        <f t="shared" ca="1" si="61"/>
        <v>60</v>
      </c>
      <c r="G200" s="290">
        <f ca="1">KTVCOI!P199</f>
        <v>3.4313519759641156</v>
      </c>
      <c r="H200" s="290">
        <f t="shared" ca="1" si="57"/>
        <v>-11569.977631670314</v>
      </c>
      <c r="I200" s="953"/>
      <c r="J200" s="292">
        <f t="shared" ca="1" si="62"/>
        <v>-11569.977631670314</v>
      </c>
      <c r="K200" s="949"/>
      <c r="L200" s="949"/>
      <c r="M200" s="949"/>
      <c r="N200" s="950"/>
      <c r="O200" s="950"/>
      <c r="X200" s="1004"/>
      <c r="Y200" s="1004"/>
    </row>
    <row r="201" spans="2:25" ht="9.75" customHeight="1">
      <c r="B201" s="951"/>
      <c r="C201" s="951"/>
      <c r="D201" s="287">
        <f t="shared" ca="1" si="60"/>
        <v>52226</v>
      </c>
      <c r="E201" s="359">
        <f t="shared" si="63"/>
        <v>0</v>
      </c>
      <c r="F201" s="289">
        <f t="shared" ca="1" si="61"/>
        <v>60</v>
      </c>
      <c r="G201" s="290">
        <f ca="1">KTVCOI!P200</f>
        <v>3.45170999344831</v>
      </c>
      <c r="H201" s="290">
        <f t="shared" ca="1" si="57"/>
        <v>-11638.265530936198</v>
      </c>
      <c r="I201" s="953"/>
      <c r="J201" s="292">
        <f t="shared" ca="1" si="62"/>
        <v>-11638.265530936198</v>
      </c>
      <c r="K201" s="949"/>
      <c r="L201" s="949"/>
      <c r="M201" s="949"/>
      <c r="N201" s="950"/>
      <c r="O201" s="950"/>
      <c r="X201" s="1004"/>
      <c r="Y201" s="1004"/>
    </row>
    <row r="202" spans="2:25" ht="9.75" customHeight="1">
      <c r="B202" s="951"/>
      <c r="C202" s="951"/>
      <c r="D202" s="287">
        <f t="shared" ca="1" si="60"/>
        <v>52257</v>
      </c>
      <c r="E202" s="359">
        <f t="shared" si="63"/>
        <v>0</v>
      </c>
      <c r="F202" s="289">
        <f t="shared" ca="1" si="61"/>
        <v>60</v>
      </c>
      <c r="G202" s="290">
        <f ca="1">KTVCOI!P201</f>
        <v>3.4720825500626322</v>
      </c>
      <c r="H202" s="290">
        <f t="shared" ca="1" si="57"/>
        <v>-11706.60219952131</v>
      </c>
      <c r="I202" s="953"/>
      <c r="J202" s="292">
        <f t="shared" ca="1" si="62"/>
        <v>-11706.60219952131</v>
      </c>
      <c r="K202" s="949"/>
      <c r="L202" s="949"/>
      <c r="M202" s="949"/>
      <c r="N202" s="950"/>
      <c r="O202" s="950"/>
      <c r="X202" s="1004"/>
      <c r="Y202" s="1004"/>
    </row>
    <row r="203" spans="2:25" ht="9.75" customHeight="1">
      <c r="B203" s="951"/>
      <c r="C203" s="951"/>
      <c r="D203" s="287">
        <f t="shared" ca="1" si="60"/>
        <v>52288</v>
      </c>
      <c r="E203" s="359">
        <f t="shared" si="63"/>
        <v>0</v>
      </c>
      <c r="F203" s="289">
        <f t="shared" ca="1" si="61"/>
        <v>60</v>
      </c>
      <c r="G203" s="290">
        <f ca="1">KTVCOI!P202</f>
        <v>3.4924696561905244</v>
      </c>
      <c r="H203" s="290">
        <f t="shared" ca="1" si="57"/>
        <v>-11774.987672255344</v>
      </c>
      <c r="I203" s="953"/>
      <c r="J203" s="292">
        <f t="shared" ca="1" si="62"/>
        <v>-11774.987672255344</v>
      </c>
      <c r="K203" s="949"/>
      <c r="L203" s="949"/>
      <c r="M203" s="949"/>
      <c r="N203" s="950"/>
      <c r="O203" s="950"/>
      <c r="X203" s="1004"/>
      <c r="Y203" s="1004"/>
    </row>
    <row r="204" spans="2:25" ht="9.75" customHeight="1">
      <c r="B204" s="951"/>
      <c r="C204" s="951"/>
      <c r="D204" s="287">
        <f t="shared" ca="1" si="60"/>
        <v>52316</v>
      </c>
      <c r="E204" s="359">
        <f t="shared" si="63"/>
        <v>0</v>
      </c>
      <c r="F204" s="289">
        <f t="shared" ca="1" si="61"/>
        <v>60</v>
      </c>
      <c r="G204" s="290">
        <f ca="1">KTVCOI!P203</f>
        <v>3.512871322222844</v>
      </c>
      <c r="H204" s="290">
        <f t="shared" ca="1" si="57"/>
        <v>-11843.421983992863</v>
      </c>
      <c r="I204" s="953"/>
      <c r="J204" s="292">
        <f t="shared" ca="1" si="62"/>
        <v>-11843.421983992863</v>
      </c>
      <c r="K204" s="949"/>
      <c r="L204" s="949"/>
      <c r="M204" s="949"/>
      <c r="N204" s="950"/>
      <c r="O204" s="950"/>
      <c r="X204" s="1004"/>
      <c r="Y204" s="1004"/>
    </row>
    <row r="205" spans="2:25" ht="9.75" customHeight="1">
      <c r="B205" s="951"/>
      <c r="C205" s="951"/>
      <c r="D205" s="287">
        <f t="shared" ca="1" si="60"/>
        <v>52347</v>
      </c>
      <c r="E205" s="359">
        <f t="shared" si="63"/>
        <v>0</v>
      </c>
      <c r="F205" s="289">
        <f t="shared" ca="1" si="61"/>
        <v>60</v>
      </c>
      <c r="G205" s="290">
        <f ca="1">KTVCOI!P204</f>
        <v>3.5332875585578711</v>
      </c>
      <c r="H205" s="290">
        <f t="shared" ca="1" si="57"/>
        <v>-11911.905169613328</v>
      </c>
      <c r="I205" s="953"/>
      <c r="J205" s="292">
        <f t="shared" ca="1" si="62"/>
        <v>-11911.905169613328</v>
      </c>
      <c r="K205" s="949"/>
      <c r="L205" s="949"/>
      <c r="M205" s="949"/>
      <c r="N205" s="950"/>
      <c r="O205" s="950"/>
      <c r="X205" s="1004"/>
      <c r="Y205" s="1004"/>
    </row>
    <row r="206" spans="2:25" ht="9.75" customHeight="1">
      <c r="B206" s="951"/>
      <c r="C206" s="951"/>
      <c r="D206" s="287">
        <f t="shared" ca="1" si="60"/>
        <v>52377</v>
      </c>
      <c r="E206" s="359">
        <f t="shared" si="63"/>
        <v>0</v>
      </c>
      <c r="F206" s="289">
        <f t="shared" ca="1" si="61"/>
        <v>60</v>
      </c>
      <c r="G206" s="290">
        <f ca="1">KTVCOI!P205</f>
        <v>3.55371837560131</v>
      </c>
      <c r="H206" s="290">
        <f t="shared" ca="1" si="57"/>
        <v>-11980.437264021108</v>
      </c>
      <c r="I206" s="953"/>
      <c r="J206" s="292">
        <f t="shared" ca="1" si="62"/>
        <v>-11980.437264021108</v>
      </c>
      <c r="K206" s="949"/>
      <c r="L206" s="949"/>
      <c r="M206" s="949"/>
      <c r="N206" s="950"/>
      <c r="O206" s="950"/>
      <c r="X206" s="1004"/>
      <c r="Y206" s="1004"/>
    </row>
    <row r="207" spans="2:25" ht="9.75" customHeight="1">
      <c r="B207" s="951"/>
      <c r="C207" s="951"/>
      <c r="D207" s="287">
        <f t="shared" ca="1" si="60"/>
        <v>52408</v>
      </c>
      <c r="E207" s="359">
        <f t="shared" si="63"/>
        <v>0</v>
      </c>
      <c r="F207" s="289">
        <f t="shared" ca="1" si="61"/>
        <v>60</v>
      </c>
      <c r="G207" s="290">
        <f ca="1">KTVCOI!P206</f>
        <v>3.5741637837662972</v>
      </c>
      <c r="H207" s="290">
        <f t="shared" ca="1" si="57"/>
        <v>-12049.018302145498</v>
      </c>
      <c r="I207" s="953"/>
      <c r="J207" s="293">
        <f ca="1">H207+I196</f>
        <v>-12049.018302145498</v>
      </c>
      <c r="K207" s="949"/>
      <c r="L207" s="949"/>
      <c r="M207" s="949"/>
      <c r="N207" s="950"/>
      <c r="O207" s="950"/>
      <c r="X207" s="1004"/>
      <c r="Y207" s="1004"/>
    </row>
    <row r="208" spans="2:25" ht="9.75" customHeight="1">
      <c r="B208" s="946">
        <f>B196+1</f>
        <v>18</v>
      </c>
      <c r="C208" s="947">
        <f ca="1">C196+1</f>
        <v>47</v>
      </c>
      <c r="D208" s="294">
        <f t="shared" ca="1" si="60"/>
        <v>52438</v>
      </c>
      <c r="E208" s="359">
        <f t="shared" si="63"/>
        <v>0</v>
      </c>
      <c r="F208" s="360">
        <f t="shared" ca="1" si="61"/>
        <v>60</v>
      </c>
      <c r="G208" s="290">
        <f ca="1">KTVCOI!P207</f>
        <v>3.8858084024419228</v>
      </c>
      <c r="H208" s="295">
        <f ca="1">(J207+KTVTDGTTKcamket!F24-F208-G208)*(1+$W$3)</f>
        <v>-12117.939624599474</v>
      </c>
      <c r="I208" s="948"/>
      <c r="J208" s="296">
        <f t="shared" ca="1" si="62"/>
        <v>-12117.939624599474</v>
      </c>
      <c r="K208" s="949">
        <f ca="1">J219</f>
        <v>-12879.441058331984</v>
      </c>
      <c r="L208" s="949"/>
      <c r="M208" s="949"/>
      <c r="N208" s="950">
        <f t="shared" ref="N208" ca="1" si="64">SUM(G208:G219)</f>
        <v>48.100307685331003</v>
      </c>
      <c r="O208" s="950"/>
      <c r="X208" s="945">
        <f t="shared" ref="X208:Y208" ca="1" si="65">SUM(F208:F219)</f>
        <v>720</v>
      </c>
      <c r="Y208" s="945">
        <f t="shared" ca="1" si="65"/>
        <v>48.100307685331003</v>
      </c>
    </row>
    <row r="209" spans="2:25" ht="9.75" customHeight="1">
      <c r="B209" s="946"/>
      <c r="C209" s="946"/>
      <c r="D209" s="294">
        <f t="shared" ca="1" si="60"/>
        <v>52469</v>
      </c>
      <c r="E209" s="359">
        <f t="shared" si="63"/>
        <v>0</v>
      </c>
      <c r="F209" s="360">
        <f t="shared" ca="1" si="61"/>
        <v>60</v>
      </c>
      <c r="G209" s="290">
        <f ca="1">KTVCOI!P208</f>
        <v>3.9080355289333304</v>
      </c>
      <c r="H209" s="295">
        <f t="shared" ca="1" si="57"/>
        <v>-12186.91183503695</v>
      </c>
      <c r="I209" s="948"/>
      <c r="J209" s="296">
        <f t="shared" ca="1" si="62"/>
        <v>-12186.91183503695</v>
      </c>
      <c r="K209" s="949"/>
      <c r="L209" s="949"/>
      <c r="M209" s="949"/>
      <c r="N209" s="950"/>
      <c r="O209" s="950"/>
      <c r="X209" s="1004"/>
      <c r="Y209" s="1004"/>
    </row>
    <row r="210" spans="2:25" ht="9.75" customHeight="1">
      <c r="B210" s="946"/>
      <c r="C210" s="946"/>
      <c r="D210" s="294">
        <f t="shared" ca="1" si="60"/>
        <v>52500</v>
      </c>
      <c r="E210" s="359">
        <f t="shared" si="63"/>
        <v>0</v>
      </c>
      <c r="F210" s="360">
        <f t="shared" ca="1" si="61"/>
        <v>60</v>
      </c>
      <c r="G210" s="290">
        <f ca="1">KTVCOI!P209</f>
        <v>3.9302790667994163</v>
      </c>
      <c r="H210" s="295">
        <f t="shared" ca="1" si="57"/>
        <v>-12255.934971031013</v>
      </c>
      <c r="I210" s="948"/>
      <c r="J210" s="296">
        <f t="shared" ca="1" si="62"/>
        <v>-12255.934971031013</v>
      </c>
      <c r="K210" s="949"/>
      <c r="L210" s="949"/>
      <c r="M210" s="949"/>
      <c r="N210" s="950"/>
      <c r="O210" s="950"/>
      <c r="X210" s="1004"/>
      <c r="Y210" s="1004"/>
    </row>
    <row r="211" spans="2:25" ht="9.75" customHeight="1">
      <c r="B211" s="946"/>
      <c r="C211" s="946"/>
      <c r="D211" s="294">
        <f t="shared" ca="1" si="60"/>
        <v>52530</v>
      </c>
      <c r="E211" s="359">
        <f t="shared" si="63"/>
        <v>0</v>
      </c>
      <c r="F211" s="360">
        <f t="shared" ca="1" si="61"/>
        <v>60</v>
      </c>
      <c r="G211" s="290">
        <f ca="1">KTVCOI!P210</f>
        <v>3.9525390281575015</v>
      </c>
      <c r="H211" s="295">
        <f t="shared" ca="1" si="57"/>
        <v>-12325.009070182494</v>
      </c>
      <c r="I211" s="948"/>
      <c r="J211" s="296">
        <f t="shared" ca="1" si="62"/>
        <v>-12325.009070182494</v>
      </c>
      <c r="K211" s="949"/>
      <c r="L211" s="949"/>
      <c r="M211" s="949"/>
      <c r="N211" s="950"/>
      <c r="O211" s="950"/>
      <c r="X211" s="1004"/>
      <c r="Y211" s="1004"/>
    </row>
    <row r="212" spans="2:25" ht="9.75" customHeight="1">
      <c r="B212" s="946"/>
      <c r="C212" s="946"/>
      <c r="D212" s="294">
        <f t="shared" ca="1" si="60"/>
        <v>52561</v>
      </c>
      <c r="E212" s="359">
        <f t="shared" si="63"/>
        <v>0</v>
      </c>
      <c r="F212" s="360">
        <f t="shared" ca="1" si="61"/>
        <v>60</v>
      </c>
      <c r="G212" s="290">
        <f ca="1">KTVCOI!P211</f>
        <v>3.9748154251338548</v>
      </c>
      <c r="H212" s="295">
        <f t="shared" ca="1" si="57"/>
        <v>-12394.134170119984</v>
      </c>
      <c r="I212" s="948"/>
      <c r="J212" s="296">
        <f t="shared" ca="1" si="62"/>
        <v>-12394.134170119984</v>
      </c>
      <c r="K212" s="949"/>
      <c r="L212" s="949"/>
      <c r="M212" s="949"/>
      <c r="N212" s="950"/>
      <c r="O212" s="950"/>
      <c r="X212" s="1004"/>
      <c r="Y212" s="1004"/>
    </row>
    <row r="213" spans="2:25" ht="9.75" customHeight="1">
      <c r="B213" s="946"/>
      <c r="C213" s="946"/>
      <c r="D213" s="294">
        <f t="shared" ca="1" si="60"/>
        <v>52591</v>
      </c>
      <c r="E213" s="359">
        <f t="shared" si="63"/>
        <v>0</v>
      </c>
      <c r="F213" s="360">
        <f t="shared" ca="1" si="61"/>
        <v>60</v>
      </c>
      <c r="G213" s="290">
        <f ca="1">KTVCOI!P212</f>
        <v>3.9971082698636948</v>
      </c>
      <c r="H213" s="295">
        <f t="shared" ca="1" si="57"/>
        <v>-12463.310308499857</v>
      </c>
      <c r="I213" s="948"/>
      <c r="J213" s="296">
        <f t="shared" ca="1" si="62"/>
        <v>-12463.310308499857</v>
      </c>
      <c r="K213" s="949"/>
      <c r="L213" s="949"/>
      <c r="M213" s="949"/>
      <c r="N213" s="950"/>
      <c r="O213" s="950"/>
      <c r="X213" s="1004"/>
      <c r="Y213" s="1004"/>
    </row>
    <row r="214" spans="2:25" ht="9.75" customHeight="1">
      <c r="B214" s="946"/>
      <c r="C214" s="946"/>
      <c r="D214" s="294">
        <f t="shared" ca="1" si="60"/>
        <v>52622</v>
      </c>
      <c r="E214" s="359">
        <f t="shared" si="63"/>
        <v>0</v>
      </c>
      <c r="F214" s="360">
        <f t="shared" ca="1" si="61"/>
        <v>60</v>
      </c>
      <c r="G214" s="290">
        <f ca="1">KTVCOI!P213</f>
        <v>4.0194175744912037</v>
      </c>
      <c r="H214" s="295">
        <f t="shared" ca="1" si="57"/>
        <v>-12532.537523006291</v>
      </c>
      <c r="I214" s="948"/>
      <c r="J214" s="296">
        <f t="shared" ca="1" si="62"/>
        <v>-12532.537523006291</v>
      </c>
      <c r="K214" s="949"/>
      <c r="L214" s="949"/>
      <c r="M214" s="949"/>
      <c r="N214" s="950"/>
      <c r="O214" s="950"/>
      <c r="X214" s="1004"/>
      <c r="Y214" s="1004"/>
    </row>
    <row r="215" spans="2:25" ht="9.75" customHeight="1">
      <c r="B215" s="946"/>
      <c r="C215" s="946"/>
      <c r="D215" s="294">
        <f t="shared" ca="1" si="60"/>
        <v>52653</v>
      </c>
      <c r="E215" s="359">
        <f t="shared" si="63"/>
        <v>0</v>
      </c>
      <c r="F215" s="360">
        <f t="shared" ca="1" si="61"/>
        <v>60</v>
      </c>
      <c r="G215" s="290">
        <f ca="1">KTVCOI!P214</f>
        <v>4.0417433511695284</v>
      </c>
      <c r="H215" s="295">
        <f t="shared" ca="1" si="57"/>
        <v>-12601.815851351292</v>
      </c>
      <c r="I215" s="948"/>
      <c r="J215" s="296">
        <f t="shared" ca="1" si="62"/>
        <v>-12601.815851351292</v>
      </c>
      <c r="K215" s="949"/>
      <c r="L215" s="949"/>
      <c r="M215" s="949"/>
      <c r="N215" s="950"/>
      <c r="O215" s="950"/>
      <c r="X215" s="1004"/>
      <c r="Y215" s="1004"/>
    </row>
    <row r="216" spans="2:25" ht="9.75" customHeight="1">
      <c r="B216" s="946"/>
      <c r="C216" s="946"/>
      <c r="D216" s="294">
        <f t="shared" ca="1" si="60"/>
        <v>52682</v>
      </c>
      <c r="E216" s="359">
        <f t="shared" si="63"/>
        <v>0</v>
      </c>
      <c r="F216" s="360">
        <f t="shared" ca="1" si="61"/>
        <v>60</v>
      </c>
      <c r="G216" s="290">
        <f ca="1">KTVCOI!P215</f>
        <v>4.0640856120607909</v>
      </c>
      <c r="H216" s="295">
        <f t="shared" ca="1" si="57"/>
        <v>-12671.145331274703</v>
      </c>
      <c r="I216" s="948"/>
      <c r="J216" s="296">
        <f t="shared" ca="1" si="62"/>
        <v>-12671.145331274703</v>
      </c>
      <c r="K216" s="949"/>
      <c r="L216" s="949"/>
      <c r="M216" s="949"/>
      <c r="N216" s="950"/>
      <c r="O216" s="950"/>
      <c r="X216" s="1004"/>
      <c r="Y216" s="1004"/>
    </row>
    <row r="217" spans="2:25" ht="9.75" customHeight="1">
      <c r="B217" s="946"/>
      <c r="C217" s="946"/>
      <c r="D217" s="294">
        <f t="shared" ca="1" si="60"/>
        <v>52713</v>
      </c>
      <c r="E217" s="359">
        <f t="shared" si="63"/>
        <v>0</v>
      </c>
      <c r="F217" s="360">
        <f t="shared" ca="1" si="61"/>
        <v>60</v>
      </c>
      <c r="G217" s="290">
        <f ca="1">KTVCOI!P216</f>
        <v>4.0864443693360917</v>
      </c>
      <c r="H217" s="295">
        <f t="shared" ca="1" si="57"/>
        <v>-12740.52600054424</v>
      </c>
      <c r="I217" s="948"/>
      <c r="J217" s="296">
        <f t="shared" ca="1" si="62"/>
        <v>-12740.52600054424</v>
      </c>
      <c r="K217" s="949"/>
      <c r="L217" s="949"/>
      <c r="M217" s="949"/>
      <c r="N217" s="950"/>
      <c r="O217" s="950"/>
      <c r="X217" s="1004"/>
      <c r="Y217" s="1004"/>
    </row>
    <row r="218" spans="2:25" ht="9.75" customHeight="1">
      <c r="B218" s="946"/>
      <c r="C218" s="946"/>
      <c r="D218" s="294">
        <f t="shared" ca="1" si="60"/>
        <v>52743</v>
      </c>
      <c r="E218" s="359">
        <f t="shared" si="63"/>
        <v>0</v>
      </c>
      <c r="F218" s="360">
        <f t="shared" ca="1" si="61"/>
        <v>60</v>
      </c>
      <c r="G218" s="290">
        <f ca="1">KTVCOI!P217</f>
        <v>4.1088196351755171</v>
      </c>
      <c r="H218" s="295">
        <f t="shared" ca="1" si="57"/>
        <v>-12809.957896955499</v>
      </c>
      <c r="I218" s="948"/>
      <c r="J218" s="296">
        <f t="shared" ca="1" si="62"/>
        <v>-12809.957896955499</v>
      </c>
      <c r="K218" s="949"/>
      <c r="L218" s="949"/>
      <c r="M218" s="949"/>
      <c r="N218" s="950"/>
      <c r="O218" s="950"/>
      <c r="X218" s="1004"/>
      <c r="Y218" s="1004"/>
    </row>
    <row r="219" spans="2:25" ht="9.75" customHeight="1">
      <c r="B219" s="946"/>
      <c r="C219" s="946"/>
      <c r="D219" s="294">
        <f t="shared" ca="1" si="60"/>
        <v>52774</v>
      </c>
      <c r="E219" s="359">
        <f t="shared" si="63"/>
        <v>0</v>
      </c>
      <c r="F219" s="360">
        <f t="shared" ca="1" si="61"/>
        <v>60</v>
      </c>
      <c r="G219" s="290">
        <f ca="1">KTVCOI!P218</f>
        <v>4.1312114217681488</v>
      </c>
      <c r="H219" s="295">
        <f t="shared" ca="1" si="57"/>
        <v>-12879.441058331984</v>
      </c>
      <c r="I219" s="948"/>
      <c r="J219" s="297">
        <f ca="1">H219+I208</f>
        <v>-12879.441058331984</v>
      </c>
      <c r="K219" s="949"/>
      <c r="L219" s="949"/>
      <c r="M219" s="949"/>
      <c r="N219" s="950"/>
      <c r="O219" s="950"/>
      <c r="X219" s="1004"/>
      <c r="Y219" s="1004"/>
    </row>
    <row r="220" spans="2:25" ht="9.75" customHeight="1">
      <c r="B220" s="951">
        <f>B208+1</f>
        <v>19</v>
      </c>
      <c r="C220" s="952">
        <f ca="1">C208+1</f>
        <v>48</v>
      </c>
      <c r="D220" s="287">
        <f t="shared" ca="1" si="60"/>
        <v>52804</v>
      </c>
      <c r="E220" s="359">
        <f t="shared" si="63"/>
        <v>0</v>
      </c>
      <c r="F220" s="289">
        <f t="shared" ca="1" si="61"/>
        <v>60</v>
      </c>
      <c r="G220" s="290">
        <f ca="1">KTVCOI!P219</f>
        <v>4.4863386353189743</v>
      </c>
      <c r="H220" s="290">
        <f ca="1">(J219+KTVTDGTTKcamket!F25-F220-G220)*(1+$W$3)</f>
        <v>-12949.308379735317</v>
      </c>
      <c r="I220" s="953"/>
      <c r="J220" s="292">
        <f t="shared" ca="1" si="62"/>
        <v>-12949.308379735317</v>
      </c>
      <c r="K220" s="949">
        <f ca="1">J231</f>
        <v>-13721.38178675615</v>
      </c>
      <c r="L220" s="949"/>
      <c r="M220" s="949"/>
      <c r="N220" s="950">
        <f t="shared" ref="N220" ca="1" si="66">SUM(G220:G231)</f>
        <v>55.446412002658143</v>
      </c>
      <c r="O220" s="950"/>
      <c r="X220" s="945">
        <f t="shared" ref="X220:Y220" ca="1" si="67">SUM(F220:F231)</f>
        <v>720</v>
      </c>
      <c r="Y220" s="945">
        <f t="shared" ca="1" si="67"/>
        <v>55.446412002658143</v>
      </c>
    </row>
    <row r="221" spans="2:25" ht="9.75" customHeight="1">
      <c r="B221" s="951"/>
      <c r="C221" s="951"/>
      <c r="D221" s="287">
        <f t="shared" ca="1" si="60"/>
        <v>52835</v>
      </c>
      <c r="E221" s="359">
        <f t="shared" si="63"/>
        <v>0</v>
      </c>
      <c r="F221" s="289">
        <f t="shared" ca="1" si="61"/>
        <v>60</v>
      </c>
      <c r="G221" s="290">
        <f ca="1">KTVCOI!P220</f>
        <v>4.5106757522744685</v>
      </c>
      <c r="H221" s="290">
        <f t="shared" ca="1" si="57"/>
        <v>-13019.229093255577</v>
      </c>
      <c r="I221" s="953"/>
      <c r="J221" s="292">
        <f t="shared" ca="1" si="62"/>
        <v>-13019.229093255577</v>
      </c>
      <c r="K221" s="949"/>
      <c r="L221" s="949"/>
      <c r="M221" s="949"/>
      <c r="N221" s="950"/>
      <c r="O221" s="950"/>
      <c r="X221" s="1004"/>
      <c r="Y221" s="1004"/>
    </row>
    <row r="222" spans="2:25" ht="9.75" customHeight="1">
      <c r="B222" s="951"/>
      <c r="C222" s="951"/>
      <c r="D222" s="287">
        <f t="shared" ca="1" si="60"/>
        <v>52866</v>
      </c>
      <c r="E222" s="359">
        <f t="shared" si="63"/>
        <v>0</v>
      </c>
      <c r="F222" s="289">
        <f t="shared" ca="1" si="61"/>
        <v>60</v>
      </c>
      <c r="G222" s="290">
        <f ca="1">KTVCOI!P221</f>
        <v>4.5350314674840257</v>
      </c>
      <c r="H222" s="290">
        <f t="shared" ca="1" si="57"/>
        <v>-13089.203239694642</v>
      </c>
      <c r="I222" s="953"/>
      <c r="J222" s="292">
        <f t="shared" ca="1" si="62"/>
        <v>-13089.203239694642</v>
      </c>
      <c r="K222" s="949"/>
      <c r="L222" s="949"/>
      <c r="M222" s="949"/>
      <c r="N222" s="950"/>
      <c r="O222" s="950"/>
      <c r="X222" s="1004"/>
      <c r="Y222" s="1004"/>
    </row>
    <row r="223" spans="2:25" ht="9.75" customHeight="1">
      <c r="B223" s="951"/>
      <c r="C223" s="951"/>
      <c r="D223" s="287">
        <f t="shared" ca="1" si="60"/>
        <v>52896</v>
      </c>
      <c r="E223" s="359">
        <f t="shared" si="63"/>
        <v>0</v>
      </c>
      <c r="F223" s="289">
        <f t="shared" ca="1" si="61"/>
        <v>60</v>
      </c>
      <c r="G223" s="290">
        <f ca="1">KTVCOI!P222</f>
        <v>4.5594057951602993</v>
      </c>
      <c r="H223" s="290">
        <f t="shared" ca="1" si="57"/>
        <v>-13159.230859885574</v>
      </c>
      <c r="I223" s="953"/>
      <c r="J223" s="292">
        <f t="shared" ca="1" si="62"/>
        <v>-13159.230859885574</v>
      </c>
      <c r="K223" s="949"/>
      <c r="L223" s="949"/>
      <c r="M223" s="949"/>
      <c r="N223" s="950"/>
      <c r="O223" s="950"/>
      <c r="X223" s="1004"/>
      <c r="Y223" s="1004"/>
    </row>
    <row r="224" spans="2:25" ht="9.75" customHeight="1">
      <c r="B224" s="951"/>
      <c r="C224" s="951"/>
      <c r="D224" s="287">
        <f t="shared" ca="1" si="60"/>
        <v>52927</v>
      </c>
      <c r="E224" s="359">
        <f t="shared" si="63"/>
        <v>0</v>
      </c>
      <c r="F224" s="289">
        <f t="shared" ca="1" si="61"/>
        <v>60</v>
      </c>
      <c r="G224" s="290">
        <f ca="1">KTVCOI!P223</f>
        <v>4.5837987495268075</v>
      </c>
      <c r="H224" s="290">
        <f t="shared" ca="1" si="57"/>
        <v>-13229.311994692642</v>
      </c>
      <c r="I224" s="953"/>
      <c r="J224" s="292">
        <f t="shared" ca="1" si="62"/>
        <v>-13229.311994692642</v>
      </c>
      <c r="K224" s="949"/>
      <c r="L224" s="949"/>
      <c r="M224" s="949"/>
      <c r="N224" s="950"/>
      <c r="O224" s="950"/>
      <c r="X224" s="1004"/>
      <c r="Y224" s="1004"/>
    </row>
    <row r="225" spans="2:25" ht="9.75" customHeight="1">
      <c r="B225" s="951"/>
      <c r="C225" s="951"/>
      <c r="D225" s="287">
        <f t="shared" ca="1" si="60"/>
        <v>52957</v>
      </c>
      <c r="E225" s="359">
        <f t="shared" si="63"/>
        <v>0</v>
      </c>
      <c r="F225" s="289">
        <f t="shared" ca="1" si="61"/>
        <v>60</v>
      </c>
      <c r="G225" s="290">
        <f ca="1">KTVCOI!P224</f>
        <v>4.6082103448179366</v>
      </c>
      <c r="H225" s="290">
        <f t="shared" ca="1" si="57"/>
        <v>-13299.446685011337</v>
      </c>
      <c r="I225" s="953"/>
      <c r="J225" s="292">
        <f t="shared" ca="1" si="62"/>
        <v>-13299.446685011337</v>
      </c>
      <c r="K225" s="949"/>
      <c r="L225" s="949"/>
      <c r="M225" s="949"/>
      <c r="N225" s="950"/>
      <c r="O225" s="950"/>
      <c r="X225" s="1004"/>
      <c r="Y225" s="1004"/>
    </row>
    <row r="226" spans="2:25" ht="9.75" customHeight="1">
      <c r="B226" s="951"/>
      <c r="C226" s="951"/>
      <c r="D226" s="287">
        <f t="shared" ca="1" si="60"/>
        <v>52988</v>
      </c>
      <c r="E226" s="359">
        <f t="shared" si="63"/>
        <v>0</v>
      </c>
      <c r="F226" s="289">
        <f t="shared" ca="1" si="61"/>
        <v>60</v>
      </c>
      <c r="G226" s="290">
        <f ca="1">KTVCOI!P225</f>
        <v>4.6326405952789491</v>
      </c>
      <c r="H226" s="290">
        <f t="shared" ca="1" si="57"/>
        <v>-13369.634971768406</v>
      </c>
      <c r="I226" s="953"/>
      <c r="J226" s="292">
        <f t="shared" ca="1" si="62"/>
        <v>-13369.634971768406</v>
      </c>
      <c r="K226" s="949"/>
      <c r="L226" s="949"/>
      <c r="M226" s="949"/>
      <c r="N226" s="950"/>
      <c r="O226" s="950"/>
      <c r="X226" s="1004"/>
      <c r="Y226" s="1004"/>
    </row>
    <row r="227" spans="2:25" ht="9.75" customHeight="1">
      <c r="B227" s="951"/>
      <c r="C227" s="951"/>
      <c r="D227" s="287">
        <f t="shared" ca="1" si="60"/>
        <v>53019</v>
      </c>
      <c r="E227" s="359">
        <f t="shared" si="63"/>
        <v>0</v>
      </c>
      <c r="F227" s="289">
        <f t="shared" ca="1" si="61"/>
        <v>60</v>
      </c>
      <c r="G227" s="290">
        <f ca="1">KTVCOI!P226</f>
        <v>4.6570895151659943</v>
      </c>
      <c r="H227" s="290">
        <f t="shared" ca="1" si="57"/>
        <v>-13439.876895921872</v>
      </c>
      <c r="I227" s="953"/>
      <c r="J227" s="292">
        <f t="shared" ca="1" si="62"/>
        <v>-13439.876895921872</v>
      </c>
      <c r="K227" s="949"/>
      <c r="L227" s="949"/>
      <c r="M227" s="949"/>
      <c r="N227" s="950"/>
      <c r="O227" s="950"/>
      <c r="X227" s="1004"/>
      <c r="Y227" s="1004"/>
    </row>
    <row r="228" spans="2:25" ht="9.75" customHeight="1">
      <c r="B228" s="951"/>
      <c r="C228" s="951"/>
      <c r="D228" s="287">
        <f t="shared" ca="1" si="60"/>
        <v>53047</v>
      </c>
      <c r="E228" s="359">
        <f t="shared" si="63"/>
        <v>0</v>
      </c>
      <c r="F228" s="289">
        <f t="shared" ca="1" si="61"/>
        <v>60</v>
      </c>
      <c r="G228" s="290">
        <f ca="1">KTVCOI!P227</f>
        <v>4.6815571187461185</v>
      </c>
      <c r="H228" s="290">
        <f t="shared" ca="1" si="57"/>
        <v>-13510.172498461057</v>
      </c>
      <c r="I228" s="953"/>
      <c r="J228" s="292">
        <f t="shared" ca="1" si="62"/>
        <v>-13510.172498461057</v>
      </c>
      <c r="K228" s="949"/>
      <c r="L228" s="949"/>
      <c r="M228" s="949"/>
      <c r="N228" s="950"/>
      <c r="O228" s="950"/>
      <c r="X228" s="1004"/>
      <c r="Y228" s="1004"/>
    </row>
    <row r="229" spans="2:25" ht="9.75" customHeight="1">
      <c r="B229" s="951"/>
      <c r="C229" s="951"/>
      <c r="D229" s="287">
        <f t="shared" ca="1" si="60"/>
        <v>53078</v>
      </c>
      <c r="E229" s="359">
        <f t="shared" si="63"/>
        <v>0</v>
      </c>
      <c r="F229" s="289">
        <f t="shared" ca="1" si="61"/>
        <v>60</v>
      </c>
      <c r="G229" s="290">
        <f ca="1">KTVCOI!P228</f>
        <v>4.7060434202972674</v>
      </c>
      <c r="H229" s="290">
        <f t="shared" ca="1" si="57"/>
        <v>-13580.521820406608</v>
      </c>
      <c r="I229" s="953"/>
      <c r="J229" s="292">
        <f t="shared" ca="1" si="62"/>
        <v>-13580.521820406608</v>
      </c>
      <c r="K229" s="949"/>
      <c r="L229" s="949"/>
      <c r="M229" s="949"/>
      <c r="N229" s="950"/>
      <c r="O229" s="950"/>
      <c r="X229" s="1004"/>
      <c r="Y229" s="1004"/>
    </row>
    <row r="230" spans="2:25" ht="9.75" customHeight="1">
      <c r="B230" s="951"/>
      <c r="C230" s="951"/>
      <c r="D230" s="287">
        <f t="shared" ca="1" si="60"/>
        <v>53108</v>
      </c>
      <c r="E230" s="359">
        <f t="shared" si="63"/>
        <v>0</v>
      </c>
      <c r="F230" s="289">
        <f t="shared" ca="1" si="61"/>
        <v>60</v>
      </c>
      <c r="G230" s="290">
        <f ca="1">KTVCOI!P229</f>
        <v>4.7305484341083011</v>
      </c>
      <c r="H230" s="290">
        <f t="shared" ca="1" si="57"/>
        <v>-13650.924902810517</v>
      </c>
      <c r="I230" s="953"/>
      <c r="J230" s="292">
        <f t="shared" ca="1" si="62"/>
        <v>-13650.924902810517</v>
      </c>
      <c r="K230" s="949"/>
      <c r="L230" s="949"/>
      <c r="M230" s="949"/>
      <c r="N230" s="950"/>
      <c r="O230" s="950"/>
      <c r="X230" s="1004"/>
      <c r="Y230" s="1004"/>
    </row>
    <row r="231" spans="2:25" ht="9.75" customHeight="1">
      <c r="B231" s="951"/>
      <c r="C231" s="951"/>
      <c r="D231" s="287">
        <f t="shared" ca="1" si="60"/>
        <v>53139</v>
      </c>
      <c r="E231" s="359">
        <f t="shared" si="63"/>
        <v>0</v>
      </c>
      <c r="F231" s="289">
        <f t="shared" ca="1" si="61"/>
        <v>60</v>
      </c>
      <c r="G231" s="290">
        <f ca="1">KTVCOI!P230</f>
        <v>4.7550721744789968</v>
      </c>
      <c r="H231" s="290">
        <f t="shared" ca="1" si="57"/>
        <v>-13721.38178675615</v>
      </c>
      <c r="I231" s="953"/>
      <c r="J231" s="293">
        <f ca="1">H231+I220</f>
        <v>-13721.38178675615</v>
      </c>
      <c r="K231" s="949"/>
      <c r="L231" s="949"/>
      <c r="M231" s="949"/>
      <c r="N231" s="950"/>
      <c r="O231" s="950"/>
      <c r="X231" s="1004"/>
      <c r="Y231" s="1004"/>
    </row>
    <row r="232" spans="2:25" ht="9.75" customHeight="1">
      <c r="B232" s="946">
        <f>B220+1</f>
        <v>20</v>
      </c>
      <c r="C232" s="947">
        <f ca="1">C220+1</f>
        <v>49</v>
      </c>
      <c r="D232" s="294">
        <f t="shared" ca="1" si="60"/>
        <v>53169</v>
      </c>
      <c r="E232" s="359">
        <f t="shared" si="63"/>
        <v>0</v>
      </c>
      <c r="F232" s="360">
        <f t="shared" ca="1" si="61"/>
        <v>60</v>
      </c>
      <c r="G232" s="290">
        <f ca="1">KTVCOI!P231</f>
        <v>5.1683871396781491</v>
      </c>
      <c r="H232" s="295">
        <f ca="1">(J231+KTVTDGTTKcamket!F26-F232-G232)*(1+$W$3)</f>
        <v>-13792.281447460718</v>
      </c>
      <c r="I232" s="948">
        <f ca="1">IF(COUNTIF(KTVTDGTTKcamket!$E$7:E26,0)&gt;0,0,'Tinh phi QL'!H12/1000)</f>
        <v>0</v>
      </c>
      <c r="J232" s="296">
        <f t="shared" ca="1" si="62"/>
        <v>-13792.281447460718</v>
      </c>
      <c r="K232" s="949">
        <f ca="1">J243</f>
        <v>-14575.89611504512</v>
      </c>
      <c r="L232" s="949"/>
      <c r="M232" s="949"/>
      <c r="N232" s="950">
        <f t="shared" ref="N232" ca="1" si="68">SUM(G232:G243)</f>
        <v>63.787875889549007</v>
      </c>
      <c r="O232" s="950"/>
      <c r="X232" s="945">
        <f t="shared" ref="X232:Y232" ca="1" si="69">SUM(F232:F243)</f>
        <v>720</v>
      </c>
      <c r="Y232" s="945">
        <f t="shared" ca="1" si="69"/>
        <v>63.787875889549007</v>
      </c>
    </row>
    <row r="233" spans="2:25" ht="9.75" customHeight="1">
      <c r="B233" s="946"/>
      <c r="C233" s="946"/>
      <c r="D233" s="294">
        <f t="shared" ca="1" si="60"/>
        <v>53200</v>
      </c>
      <c r="E233" s="359">
        <f t="shared" si="63"/>
        <v>0</v>
      </c>
      <c r="F233" s="360">
        <f t="shared" ca="1" si="61"/>
        <v>60</v>
      </c>
      <c r="G233" s="290">
        <f ca="1">KTVCOI!P232</f>
        <v>5.1950926785435367</v>
      </c>
      <c r="H233" s="295">
        <f t="shared" ca="1" si="57"/>
        <v>-13863.237298847482</v>
      </c>
      <c r="I233" s="948"/>
      <c r="J233" s="296">
        <f t="shared" ca="1" si="62"/>
        <v>-13863.237298847482</v>
      </c>
      <c r="K233" s="949"/>
      <c r="L233" s="949"/>
      <c r="M233" s="949"/>
      <c r="N233" s="950"/>
      <c r="O233" s="950"/>
      <c r="X233" s="1004"/>
      <c r="Y233" s="1004"/>
    </row>
    <row r="234" spans="2:25" ht="9.75" customHeight="1">
      <c r="B234" s="946"/>
      <c r="C234" s="946"/>
      <c r="D234" s="294">
        <f t="shared" ca="1" si="60"/>
        <v>53231</v>
      </c>
      <c r="E234" s="359">
        <f t="shared" si="63"/>
        <v>0</v>
      </c>
      <c r="F234" s="360">
        <f t="shared" ca="1" si="61"/>
        <v>60</v>
      </c>
      <c r="G234" s="290">
        <f ca="1">KTVCOI!P233</f>
        <v>5.2218193825658838</v>
      </c>
      <c r="H234" s="295">
        <f t="shared" ca="1" si="57"/>
        <v>-13934.249385449697</v>
      </c>
      <c r="I234" s="948"/>
      <c r="J234" s="296">
        <f t="shared" ca="1" si="62"/>
        <v>-13934.249385449697</v>
      </c>
      <c r="K234" s="949"/>
      <c r="L234" s="949"/>
      <c r="M234" s="949"/>
      <c r="N234" s="950"/>
      <c r="O234" s="950"/>
      <c r="X234" s="1004"/>
      <c r="Y234" s="1004"/>
    </row>
    <row r="235" spans="2:25" ht="9.75" customHeight="1">
      <c r="B235" s="946"/>
      <c r="C235" s="946"/>
      <c r="D235" s="294">
        <f t="shared" ca="1" si="60"/>
        <v>53261</v>
      </c>
      <c r="E235" s="359">
        <f t="shared" si="63"/>
        <v>0</v>
      </c>
      <c r="F235" s="360">
        <f t="shared" ca="1" si="61"/>
        <v>60</v>
      </c>
      <c r="G235" s="290">
        <f ca="1">KTVCOI!P234</f>
        <v>5.2485672685193849</v>
      </c>
      <c r="H235" s="295">
        <f t="shared" ca="1" si="57"/>
        <v>-14005.317751835915</v>
      </c>
      <c r="I235" s="948"/>
      <c r="J235" s="296">
        <f t="shared" ca="1" si="62"/>
        <v>-14005.317751835915</v>
      </c>
      <c r="K235" s="949"/>
      <c r="L235" s="949"/>
      <c r="M235" s="949"/>
      <c r="N235" s="950"/>
      <c r="O235" s="950"/>
      <c r="X235" s="1004"/>
      <c r="Y235" s="1004"/>
    </row>
    <row r="236" spans="2:25" ht="9.75" customHeight="1">
      <c r="B236" s="946"/>
      <c r="C236" s="946"/>
      <c r="D236" s="294">
        <f t="shared" ca="1" si="60"/>
        <v>53292</v>
      </c>
      <c r="E236" s="359">
        <f t="shared" si="63"/>
        <v>0</v>
      </c>
      <c r="F236" s="360">
        <f t="shared" ca="1" si="61"/>
        <v>60</v>
      </c>
      <c r="G236" s="290">
        <f ca="1">KTVCOI!P235</f>
        <v>5.2753363531915278</v>
      </c>
      <c r="H236" s="295">
        <f t="shared" ca="1" si="57"/>
        <v>-14076.442442610009</v>
      </c>
      <c r="I236" s="948"/>
      <c r="J236" s="296">
        <f t="shared" ca="1" si="62"/>
        <v>-14076.442442610009</v>
      </c>
      <c r="K236" s="949"/>
      <c r="L236" s="949"/>
      <c r="M236" s="949"/>
      <c r="N236" s="950"/>
      <c r="O236" s="950"/>
      <c r="X236" s="1004"/>
      <c r="Y236" s="1004"/>
    </row>
    <row r="237" spans="2:25" ht="9.75" customHeight="1">
      <c r="B237" s="946"/>
      <c r="C237" s="946"/>
      <c r="D237" s="294">
        <f t="shared" ca="1" si="60"/>
        <v>53322</v>
      </c>
      <c r="E237" s="359">
        <f t="shared" si="63"/>
        <v>0</v>
      </c>
      <c r="F237" s="360">
        <f t="shared" ca="1" si="61"/>
        <v>60</v>
      </c>
      <c r="G237" s="290">
        <f ca="1">KTVCOI!P236</f>
        <v>5.3021266533831026</v>
      </c>
      <c r="H237" s="295">
        <f t="shared" ca="1" si="57"/>
        <v>-14147.623502411201</v>
      </c>
      <c r="I237" s="948"/>
      <c r="J237" s="296">
        <f t="shared" ca="1" si="62"/>
        <v>-14147.623502411201</v>
      </c>
      <c r="K237" s="949"/>
      <c r="L237" s="949"/>
      <c r="M237" s="949"/>
      <c r="N237" s="950"/>
      <c r="O237" s="950"/>
      <c r="X237" s="1004"/>
      <c r="Y237" s="1004"/>
    </row>
    <row r="238" spans="2:25" ht="9.75" customHeight="1">
      <c r="B238" s="946"/>
      <c r="C238" s="946"/>
      <c r="D238" s="294">
        <f t="shared" ca="1" si="60"/>
        <v>53353</v>
      </c>
      <c r="E238" s="359">
        <f t="shared" si="63"/>
        <v>0</v>
      </c>
      <c r="F238" s="360">
        <f t="shared" ca="1" si="61"/>
        <v>60</v>
      </c>
      <c r="G238" s="290">
        <f ca="1">KTVCOI!P237</f>
        <v>5.3289381859082185</v>
      </c>
      <c r="H238" s="295">
        <f t="shared" ca="1" si="57"/>
        <v>-14218.860975914093</v>
      </c>
      <c r="I238" s="948"/>
      <c r="J238" s="296">
        <f t="shared" ca="1" si="62"/>
        <v>-14218.860975914093</v>
      </c>
      <c r="K238" s="949"/>
      <c r="L238" s="949"/>
      <c r="M238" s="949"/>
      <c r="N238" s="950"/>
      <c r="O238" s="950"/>
      <c r="X238" s="1004"/>
      <c r="Y238" s="1004"/>
    </row>
    <row r="239" spans="2:25" ht="9.75" customHeight="1">
      <c r="B239" s="946"/>
      <c r="C239" s="946"/>
      <c r="D239" s="294">
        <f t="shared" ca="1" si="60"/>
        <v>53384</v>
      </c>
      <c r="E239" s="359">
        <f t="shared" si="63"/>
        <v>0</v>
      </c>
      <c r="F239" s="360">
        <f t="shared" ca="1" si="61"/>
        <v>60</v>
      </c>
      <c r="G239" s="290">
        <f ca="1">KTVCOI!P238</f>
        <v>5.3557709675943075</v>
      </c>
      <c r="H239" s="295">
        <f t="shared" ca="1" si="57"/>
        <v>-14290.154907828693</v>
      </c>
      <c r="I239" s="948"/>
      <c r="J239" s="296">
        <f t="shared" ca="1" si="62"/>
        <v>-14290.154907828693</v>
      </c>
      <c r="K239" s="949"/>
      <c r="L239" s="949"/>
      <c r="M239" s="949"/>
      <c r="N239" s="950"/>
      <c r="O239" s="950"/>
      <c r="X239" s="1004"/>
      <c r="Y239" s="1004"/>
    </row>
    <row r="240" spans="2:25" ht="9.75" customHeight="1">
      <c r="B240" s="946"/>
      <c r="C240" s="946"/>
      <c r="D240" s="294">
        <f t="shared" ca="1" si="60"/>
        <v>53412</v>
      </c>
      <c r="E240" s="359">
        <f t="shared" si="63"/>
        <v>0</v>
      </c>
      <c r="F240" s="360">
        <f t="shared" ca="1" si="61"/>
        <v>60</v>
      </c>
      <c r="G240" s="290">
        <f ca="1">KTVCOI!P239</f>
        <v>5.3826250152821409</v>
      </c>
      <c r="H240" s="295">
        <f t="shared" ca="1" si="57"/>
        <v>-14361.505342900442</v>
      </c>
      <c r="I240" s="948"/>
      <c r="J240" s="296">
        <f t="shared" ca="1" si="62"/>
        <v>-14361.505342900442</v>
      </c>
      <c r="K240" s="949"/>
      <c r="L240" s="949"/>
      <c r="M240" s="949"/>
      <c r="N240" s="950"/>
      <c r="O240" s="950"/>
      <c r="X240" s="1004"/>
      <c r="Y240" s="1004"/>
    </row>
    <row r="241" spans="2:25" ht="9.75" customHeight="1">
      <c r="B241" s="946"/>
      <c r="C241" s="946"/>
      <c r="D241" s="294">
        <f t="shared" ca="1" si="60"/>
        <v>53443</v>
      </c>
      <c r="E241" s="359">
        <f t="shared" si="63"/>
        <v>0</v>
      </c>
      <c r="F241" s="360">
        <f t="shared" ca="1" si="61"/>
        <v>60</v>
      </c>
      <c r="G241" s="290">
        <f ca="1">KTVCOI!P240</f>
        <v>5.4095003458258324</v>
      </c>
      <c r="H241" s="295">
        <f t="shared" ca="1" si="57"/>
        <v>-14432.912325910247</v>
      </c>
      <c r="I241" s="948"/>
      <c r="J241" s="296">
        <f t="shared" ca="1" si="62"/>
        <v>-14432.912325910247</v>
      </c>
      <c r="K241" s="949"/>
      <c r="L241" s="949"/>
      <c r="M241" s="949"/>
      <c r="N241" s="950"/>
      <c r="O241" s="950"/>
      <c r="X241" s="1004"/>
      <c r="Y241" s="1004"/>
    </row>
    <row r="242" spans="2:25" ht="9.75" customHeight="1">
      <c r="B242" s="946"/>
      <c r="C242" s="946"/>
      <c r="D242" s="294">
        <f t="shared" ca="1" si="60"/>
        <v>53473</v>
      </c>
      <c r="E242" s="359">
        <f t="shared" si="63"/>
        <v>0</v>
      </c>
      <c r="F242" s="360">
        <f t="shared" ca="1" si="61"/>
        <v>60</v>
      </c>
      <c r="G242" s="290">
        <f ca="1">KTVCOI!P241</f>
        <v>5.4363969760928592</v>
      </c>
      <c r="H242" s="295">
        <f t="shared" ca="1" si="57"/>
        <v>-14504.375901674501</v>
      </c>
      <c r="I242" s="948"/>
      <c r="J242" s="296">
        <f t="shared" ca="1" si="62"/>
        <v>-14504.375901674501</v>
      </c>
      <c r="K242" s="949"/>
      <c r="L242" s="949"/>
      <c r="M242" s="949"/>
      <c r="N242" s="950"/>
      <c r="O242" s="950"/>
      <c r="X242" s="1004"/>
      <c r="Y242" s="1004"/>
    </row>
    <row r="243" spans="2:25" ht="9.75" customHeight="1">
      <c r="B243" s="946"/>
      <c r="C243" s="946"/>
      <c r="D243" s="294">
        <f t="shared" ca="1" si="60"/>
        <v>53504</v>
      </c>
      <c r="E243" s="359">
        <f t="shared" si="63"/>
        <v>0</v>
      </c>
      <c r="F243" s="360">
        <f t="shared" ca="1" si="61"/>
        <v>60</v>
      </c>
      <c r="G243" s="290">
        <f ca="1">KTVCOI!P242</f>
        <v>5.4633149229640603</v>
      </c>
      <c r="H243" s="295">
        <f t="shared" ca="1" si="57"/>
        <v>-14575.89611504512</v>
      </c>
      <c r="I243" s="948"/>
      <c r="J243" s="297">
        <f ca="1">H243+I232</f>
        <v>-14575.89611504512</v>
      </c>
      <c r="K243" s="949"/>
      <c r="L243" s="949"/>
      <c r="M243" s="949"/>
      <c r="N243" s="950"/>
      <c r="O243" s="950"/>
      <c r="X243" s="1004"/>
      <c r="Y243" s="1004"/>
    </row>
  </sheetData>
  <sheetProtection selectLockedCells="1"/>
  <mergeCells count="138">
    <mergeCell ref="B2:I2"/>
    <mergeCell ref="B4:B15"/>
    <mergeCell ref="C4:C15"/>
    <mergeCell ref="K4:M15"/>
    <mergeCell ref="N4:O15"/>
    <mergeCell ref="B16:B27"/>
    <mergeCell ref="C16:C27"/>
    <mergeCell ref="K16:M27"/>
    <mergeCell ref="N16:O27"/>
    <mergeCell ref="B28:B39"/>
    <mergeCell ref="C28:C39"/>
    <mergeCell ref="K28:M39"/>
    <mergeCell ref="N28:O39"/>
    <mergeCell ref="B40:B51"/>
    <mergeCell ref="C40:C51"/>
    <mergeCell ref="I40:I51"/>
    <mergeCell ref="K40:M51"/>
    <mergeCell ref="N40:O51"/>
    <mergeCell ref="B52:B63"/>
    <mergeCell ref="C52:C63"/>
    <mergeCell ref="I52:I63"/>
    <mergeCell ref="K52:M63"/>
    <mergeCell ref="N52:O63"/>
    <mergeCell ref="B64:B75"/>
    <mergeCell ref="C64:C75"/>
    <mergeCell ref="I64:I75"/>
    <mergeCell ref="K64:M75"/>
    <mergeCell ref="N64:O75"/>
    <mergeCell ref="B76:B87"/>
    <mergeCell ref="C76:C87"/>
    <mergeCell ref="I76:I87"/>
    <mergeCell ref="K76:M87"/>
    <mergeCell ref="N76:O87"/>
    <mergeCell ref="B88:B99"/>
    <mergeCell ref="C88:C99"/>
    <mergeCell ref="I88:I99"/>
    <mergeCell ref="K88:M99"/>
    <mergeCell ref="N88:O99"/>
    <mergeCell ref="B100:B111"/>
    <mergeCell ref="C100:C111"/>
    <mergeCell ref="I100:I111"/>
    <mergeCell ref="K100:M111"/>
    <mergeCell ref="N100:O111"/>
    <mergeCell ref="B112:B123"/>
    <mergeCell ref="C112:C123"/>
    <mergeCell ref="I112:I123"/>
    <mergeCell ref="K112:M123"/>
    <mergeCell ref="N112:O123"/>
    <mergeCell ref="K148:M159"/>
    <mergeCell ref="N148:O159"/>
    <mergeCell ref="B160:B171"/>
    <mergeCell ref="C160:C171"/>
    <mergeCell ref="I160:I171"/>
    <mergeCell ref="K160:M171"/>
    <mergeCell ref="N160:O171"/>
    <mergeCell ref="B124:B135"/>
    <mergeCell ref="C124:C135"/>
    <mergeCell ref="I124:I135"/>
    <mergeCell ref="K124:M135"/>
    <mergeCell ref="N124:O135"/>
    <mergeCell ref="B136:B147"/>
    <mergeCell ref="C136:C147"/>
    <mergeCell ref="I136:I147"/>
    <mergeCell ref="K136:M147"/>
    <mergeCell ref="N136:O147"/>
    <mergeCell ref="B232:B243"/>
    <mergeCell ref="C232:C243"/>
    <mergeCell ref="I232:I243"/>
    <mergeCell ref="K232:M243"/>
    <mergeCell ref="N232:O243"/>
    <mergeCell ref="B196:B207"/>
    <mergeCell ref="C196:C207"/>
    <mergeCell ref="I196:I207"/>
    <mergeCell ref="K196:M207"/>
    <mergeCell ref="N196:O207"/>
    <mergeCell ref="B208:B219"/>
    <mergeCell ref="C208:C219"/>
    <mergeCell ref="I208:I219"/>
    <mergeCell ref="K208:M219"/>
    <mergeCell ref="N208:O219"/>
    <mergeCell ref="X4:X15"/>
    <mergeCell ref="Y4:Y15"/>
    <mergeCell ref="X16:X27"/>
    <mergeCell ref="Y16:Y27"/>
    <mergeCell ref="X28:X39"/>
    <mergeCell ref="Y28:Y39"/>
    <mergeCell ref="B220:B231"/>
    <mergeCell ref="C220:C231"/>
    <mergeCell ref="I220:I231"/>
    <mergeCell ref="K220:M231"/>
    <mergeCell ref="N220:O231"/>
    <mergeCell ref="B172:B183"/>
    <mergeCell ref="C172:C183"/>
    <mergeCell ref="I172:I183"/>
    <mergeCell ref="K172:M183"/>
    <mergeCell ref="N172:O183"/>
    <mergeCell ref="B184:B195"/>
    <mergeCell ref="C184:C195"/>
    <mergeCell ref="I184:I195"/>
    <mergeCell ref="K184:M195"/>
    <mergeCell ref="N184:O195"/>
    <mergeCell ref="B148:B159"/>
    <mergeCell ref="C148:C159"/>
    <mergeCell ref="I148:I159"/>
    <mergeCell ref="X76:X87"/>
    <mergeCell ref="Y76:Y87"/>
    <mergeCell ref="X88:X99"/>
    <mergeCell ref="Y88:Y99"/>
    <mergeCell ref="X100:X111"/>
    <mergeCell ref="Y100:Y111"/>
    <mergeCell ref="X40:X51"/>
    <mergeCell ref="Y40:Y51"/>
    <mergeCell ref="X52:X63"/>
    <mergeCell ref="Y52:Y63"/>
    <mergeCell ref="X64:X75"/>
    <mergeCell ref="Y64:Y75"/>
    <mergeCell ref="X148:X159"/>
    <mergeCell ref="Y148:Y159"/>
    <mergeCell ref="X160:X171"/>
    <mergeCell ref="Y160:Y171"/>
    <mergeCell ref="X172:X183"/>
    <mergeCell ref="Y172:Y183"/>
    <mergeCell ref="X112:X123"/>
    <mergeCell ref="Y112:Y123"/>
    <mergeCell ref="X124:X135"/>
    <mergeCell ref="Y124:Y135"/>
    <mergeCell ref="X136:X147"/>
    <mergeCell ref="Y136:Y147"/>
    <mergeCell ref="X220:X231"/>
    <mergeCell ref="Y220:Y231"/>
    <mergeCell ref="X232:X243"/>
    <mergeCell ref="Y232:Y243"/>
    <mergeCell ref="X184:X195"/>
    <mergeCell ref="Y184:Y195"/>
    <mergeCell ref="X196:X207"/>
    <mergeCell ref="Y196:Y207"/>
    <mergeCell ref="X208:X219"/>
    <mergeCell ref="Y208:Y219"/>
  </mergeCells>
  <conditionalFormatting sqref="H1:J52 H53:H63 J53:J63 H64:J1048576">
    <cfRule type="cellIs" dxfId="180" priority="1" operator="lessThan">
      <formula>0</formula>
    </cfRule>
  </conditionalFormatting>
  <pageMargins left="0.75" right="0.75" top="1" bottom="1" header="0.5" footer="0.5"/>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4E732E-E1D4-4B50-9A07-0F2F332D7FB1}">
  <dimension ref="B1:AI24"/>
  <sheetViews>
    <sheetView showGridLines="0" zoomScale="85" zoomScaleNormal="85" workbookViewId="0"/>
  </sheetViews>
  <sheetFormatPr defaultColWidth="12.5" defaultRowHeight="10.5"/>
  <cols>
    <col min="1" max="1" width="0.5" style="363" customWidth="1"/>
    <col min="2" max="3" width="2.5" style="363" customWidth="1"/>
    <col min="4" max="4" width="7" style="363" customWidth="1"/>
    <col min="5" max="7" width="6.69921875" style="363" customWidth="1"/>
    <col min="8" max="8" width="9.796875" style="363" customWidth="1"/>
    <col min="9" max="14" width="6.69921875" style="363" customWidth="1"/>
    <col min="15" max="15" width="8.796875" style="363" customWidth="1"/>
    <col min="16" max="33" width="6.69921875" style="363" customWidth="1"/>
    <col min="34" max="34" width="10.296875" style="363" customWidth="1"/>
    <col min="35" max="16384" width="12.5" style="363"/>
  </cols>
  <sheetData>
    <row r="1" spans="2:35">
      <c r="B1" s="964"/>
      <c r="C1" s="964"/>
      <c r="D1" s="964"/>
      <c r="E1" s="964"/>
      <c r="F1" s="964"/>
      <c r="G1" s="964"/>
      <c r="H1" s="964"/>
    </row>
    <row r="2" spans="2:35">
      <c r="B2" s="965" t="str">
        <f>'Tinh phi QL'!F7</f>
        <v xml:space="preserve">TRAN VAN HUY    </v>
      </c>
      <c r="C2" s="965"/>
      <c r="D2" s="965"/>
      <c r="E2" s="965"/>
      <c r="F2" s="965"/>
      <c r="G2" s="965"/>
      <c r="H2" s="965"/>
      <c r="I2" s="965"/>
      <c r="J2" s="965"/>
      <c r="K2" s="965"/>
      <c r="L2" s="966" t="str">
        <f>'Tinh phi QL'!F28</f>
        <v>Đỗ Thị X</v>
      </c>
      <c r="M2" s="966"/>
      <c r="N2" s="966"/>
      <c r="O2" s="966"/>
      <c r="P2" s="966"/>
      <c r="Q2" s="966"/>
      <c r="R2" s="966"/>
      <c r="S2" s="364"/>
      <c r="T2" s="966" t="str">
        <f>'Tinh phi QL'!F48</f>
        <v>Trần Huy A</v>
      </c>
      <c r="U2" s="966"/>
      <c r="V2" s="966"/>
      <c r="W2" s="966"/>
      <c r="X2" s="966"/>
      <c r="Y2" s="966"/>
      <c r="Z2" s="966"/>
      <c r="AA2" s="966" t="str">
        <f>'Tinh phi QL'!F67</f>
        <v>Trần Huy B</v>
      </c>
      <c r="AB2" s="966"/>
      <c r="AC2" s="966"/>
      <c r="AD2" s="966"/>
      <c r="AE2" s="966"/>
      <c r="AF2" s="966"/>
      <c r="AG2" s="966"/>
    </row>
    <row r="3" spans="2:35" ht="66.75" customHeight="1">
      <c r="B3" s="366" t="s">
        <v>670</v>
      </c>
      <c r="C3" s="366" t="s">
        <v>842</v>
      </c>
      <c r="D3" s="366" t="s">
        <v>742</v>
      </c>
      <c r="E3" s="366" t="str">
        <f>'Tinh phi QL'!$B$14</f>
        <v>Bảo hiểm Tử vong và thương tật do tai nạn</v>
      </c>
      <c r="F3" s="366" t="str">
        <f>'Tinh phi QL'!$B$15</f>
        <v>Bảo hiểm Hỗ trợ chi phí nằm viện</v>
      </c>
      <c r="G3" s="366" t="str">
        <f>'Tinh phi QL'!$B$16</f>
        <v>Bảo hiểm Toàn diện Bệnh hiểm nghèo 2.0</v>
      </c>
      <c r="H3" s="366" t="str">
        <f>'Tinh phi QL'!$B$17</f>
        <v>Bảo hiểm chăm sóc sức khỏe Trọn đời - Nội Trú (Chọn phạm vi bảo lãnh)</v>
      </c>
      <c r="I3" s="366" t="str">
        <f>'Tinh phi QL'!$B$19</f>
        <v>Bảo hiểm chăm sóc sức khỏe Trọn đời - Ngoại Trú</v>
      </c>
      <c r="J3" s="366" t="str">
        <f>'Tinh phi QL'!$B$21</f>
        <v>Bảo hiểm chăm sóc sức khỏe Trọn đời - Nha khoa</v>
      </c>
      <c r="K3" s="366" t="str">
        <f>'Tinh phi QL'!$B$25</f>
        <v>Bảo hiểm tử kỳ gia hạn hàng năm</v>
      </c>
      <c r="L3" s="367" t="str">
        <f>'Tinh phi QL'!$B$14</f>
        <v>Bảo hiểm Tử vong và thương tật do tai nạn</v>
      </c>
      <c r="M3" s="367" t="str">
        <f>'Tinh phi QL'!$B$15</f>
        <v>Bảo hiểm Hỗ trợ chi phí nằm viện</v>
      </c>
      <c r="N3" s="367" t="str">
        <f>'Tinh phi QL'!$B$16</f>
        <v>Bảo hiểm Toàn diện Bệnh hiểm nghèo 2.0</v>
      </c>
      <c r="O3" s="367" t="str">
        <f>'Tinh phi QL'!$B$17</f>
        <v>Bảo hiểm chăm sóc sức khỏe Trọn đời - Nội Trú (Chọn phạm vi bảo lãnh)</v>
      </c>
      <c r="P3" s="367" t="str">
        <f>'Tinh phi QL'!$B$19</f>
        <v>Bảo hiểm chăm sóc sức khỏe Trọn đời - Ngoại Trú</v>
      </c>
      <c r="Q3" s="367" t="str">
        <f>'Tinh phi QL'!$B$21</f>
        <v>Bảo hiểm chăm sóc sức khỏe Trọn đời - Nha khoa</v>
      </c>
      <c r="R3" s="367" t="str">
        <f>'Tinh phi QL'!$B$25</f>
        <v>Bảo hiểm tử kỳ gia hạn hàng năm</v>
      </c>
      <c r="S3" s="367" t="str">
        <f>'Tinh phi QL'!B45</f>
        <v>Bảo hiểm Miễn thu phí - phiên bản 3.0</v>
      </c>
      <c r="T3" s="366" t="str">
        <f>'Tinh phi QL'!$B$14</f>
        <v>Bảo hiểm Tử vong và thương tật do tai nạn</v>
      </c>
      <c r="U3" s="366" t="str">
        <f>'Tinh phi QL'!$B$15</f>
        <v>Bảo hiểm Hỗ trợ chi phí nằm viện</v>
      </c>
      <c r="V3" s="366" t="str">
        <f>'Tinh phi QL'!$B$16</f>
        <v>Bảo hiểm Toàn diện Bệnh hiểm nghèo 2.0</v>
      </c>
      <c r="W3" s="366" t="str">
        <f>'Tinh phi QL'!$B$17</f>
        <v>Bảo hiểm chăm sóc sức khỏe Trọn đời - Nội Trú (Chọn phạm vi bảo lãnh)</v>
      </c>
      <c r="X3" s="366" t="str">
        <f>'Tinh phi QL'!$B$19</f>
        <v>Bảo hiểm chăm sóc sức khỏe Trọn đời - Ngoại Trú</v>
      </c>
      <c r="Y3" s="366" t="str">
        <f>'Tinh phi QL'!$B$21</f>
        <v>Bảo hiểm chăm sóc sức khỏe Trọn đời - Nha khoa</v>
      </c>
      <c r="Z3" s="366" t="str">
        <f>'Tinh phi QL'!$B$25</f>
        <v>Bảo hiểm tử kỳ gia hạn hàng năm</v>
      </c>
      <c r="AA3" s="367" t="str">
        <f>'Tinh phi QL'!$B$14</f>
        <v>Bảo hiểm Tử vong và thương tật do tai nạn</v>
      </c>
      <c r="AB3" s="367" t="str">
        <f>'Tinh phi QL'!$B$15</f>
        <v>Bảo hiểm Hỗ trợ chi phí nằm viện</v>
      </c>
      <c r="AC3" s="367" t="str">
        <f>'Tinh phi QL'!$B$16</f>
        <v>Bảo hiểm Toàn diện Bệnh hiểm nghèo 2.0</v>
      </c>
      <c r="AD3" s="367" t="str">
        <f>'Tinh phi QL'!$B$17</f>
        <v>Bảo hiểm chăm sóc sức khỏe Trọn đời - Nội Trú (Chọn phạm vi bảo lãnh)</v>
      </c>
      <c r="AE3" s="367" t="str">
        <f>'Tinh phi QL'!$B$19</f>
        <v>Bảo hiểm chăm sóc sức khỏe Trọn đời - Ngoại Trú</v>
      </c>
      <c r="AF3" s="367" t="str">
        <f>'Tinh phi QL'!$B$21</f>
        <v>Bảo hiểm chăm sóc sức khỏe Trọn đời - Nha khoa</v>
      </c>
      <c r="AG3" s="367" t="str">
        <f>'Tinh phi QL'!$B$25</f>
        <v>Bảo hiểm tử kỳ gia hạn hàng năm</v>
      </c>
      <c r="AH3" s="366" t="s">
        <v>763</v>
      </c>
      <c r="AI3" s="608" t="s">
        <v>860</v>
      </c>
    </row>
    <row r="4" spans="2:35">
      <c r="B4" s="368">
        <v>1</v>
      </c>
      <c r="C4" s="368">
        <f>IF(ROW(A1)&gt;'Tinh phi QL'!$D$13,"",ROW(A1))</f>
        <v>1</v>
      </c>
      <c r="D4" s="369">
        <f>IF(IFERROR(--TRIM(C4),0)=0,0,'Tinh phi QL'!$H$13/1000)</f>
        <v>10000</v>
      </c>
      <c r="E4" s="370">
        <f>'Tinh phi QL'!H14/1000</f>
        <v>2270</v>
      </c>
      <c r="F4" s="370">
        <f ca="1">IF('Tinh phi QL'!I8=0,0,VLOOKUP('Tinh phi QL'!$I$8,TCYT!$A$2:$B$60,2,0)*'Tinh phi QL'!$G$15/100000)</f>
        <v>0</v>
      </c>
      <c r="G4" s="370">
        <f ca="1">'Tinh phi QL'!$G$16/1000000*IF('Tinh phi QL'!$H$9="nam",VLOOKUP('Tinh phi QL'!$I$8,BHN!$A$2:$C$87,2,0),VLOOKUP('Tinh phi QL'!$I$8,BHN!$A$2:$C$87,3,0))</f>
        <v>606</v>
      </c>
      <c r="H4" s="370">
        <f ca="1">'Tinh phi QL'!H17/1000</f>
        <v>3695</v>
      </c>
      <c r="I4" s="370">
        <f>'Tinh phi QL'!H19/1000</f>
        <v>0</v>
      </c>
      <c r="J4" s="370">
        <f>'Tinh phi QL'!H21/1000</f>
        <v>0</v>
      </c>
      <c r="K4" s="370">
        <f ca="1">'Tinh phi QL'!$G$25/1000000*IF('Tinh phi QL'!$H$9="nam",VLOOKUP('Tinh phi QL'!$I$8,Tuky!$A$2:$C$87,2,0),VLOOKUP('Tinh phi QL'!$I$8,Tuky!$A$2:$C$87,3,0))</f>
        <v>0</v>
      </c>
      <c r="L4" s="370">
        <f>'Tinh phi QL'!H33/1000</f>
        <v>0</v>
      </c>
      <c r="M4" s="370" t="e">
        <f ca="1">VLOOKUP('Tinh phi QL'!$I$29,TCYT!$A$2:$B$60,2,0)*'Tinh phi QL'!$G$34/100000</f>
        <v>#N/A</v>
      </c>
      <c r="N4" s="370">
        <f ca="1">'Tinh phi QL'!$G$35/1000000*IF('Tinh phi QL'!$H$30="nam",VLOOKUP('Tinh phi QL'!$I$29,BHN!$A$2:$C$87,2,0),VLOOKUP('Tinh phi QL'!$I$29,BHN!$A$2:$C$87,3,0))</f>
        <v>0</v>
      </c>
      <c r="O4" s="370">
        <f>'Tinh phi QL'!H36/1000</f>
        <v>0</v>
      </c>
      <c r="P4" s="370">
        <f>'Tinh phi QL'!H38/1000</f>
        <v>0</v>
      </c>
      <c r="Q4" s="370">
        <f>'Tinh phi QL'!H40/1000</f>
        <v>0</v>
      </c>
      <c r="R4" s="370">
        <f ca="1">'Tinh phi QL'!$G$44/1000000*IF('Tinh phi QL'!$H$30="nam",VLOOKUP('Tinh phi QL'!$I$29,Tuky!$A$2:$C$87,2,0),VLOOKUP('Tinh phi QL'!$I$29,Tuky!$A$2:$C$87,3,0))</f>
        <v>0</v>
      </c>
      <c r="S4" s="370">
        <f>IF('Tinh phi QL'!$G$45=0,0,'Tinh phi QL'!$G$45/1000000*IF('Tinh phi QL'!$H$30="nam",INDEX(MTPNam!$B$2:$AR$44,MATCH('Tinh phi QL'!$I$29,MTPNam!$A$2:$A$44,0),MATCH('Tinh phi QL'!$E$45,MTPNam!$B$1:$AR$1,0)),IF('Tinh phi QL'!$H$30="nữ",INDEX(MTPNu!$B$2:$AR$44,MATCH('Tinh phi QL'!$I$29,MTPNu!$A$2:$A$44,0),MATCH('Tinh phi QL'!$E$45,MTPNu!$B$1:$AR$1,0)))))</f>
        <v>0</v>
      </c>
      <c r="T4" s="370">
        <f>'Tinh phi QL'!H53/1000</f>
        <v>0</v>
      </c>
      <c r="U4" s="370">
        <f ca="1">VLOOKUP('Tinh phi QL'!$I$49,TCYT!$A$2:$B$60,2,0)*'Tinh phi QL'!$G$54/100000</f>
        <v>0</v>
      </c>
      <c r="V4" s="370">
        <f ca="1">'Tinh phi QL'!$G$55/1000000*IF('Tinh phi QL'!$H$50="nam",VLOOKUP('Tinh phi QL'!$I$49,BHN!$A$2:$C$87,2,0),VLOOKUP('Tinh phi QL'!$I$49,BHN!$A$2:$C$87,3,0))</f>
        <v>0</v>
      </c>
      <c r="W4" s="370">
        <f>'Tinh phi QL'!H56/1000</f>
        <v>0</v>
      </c>
      <c r="X4" s="370">
        <f>'Tinh phi QL'!H58/1000</f>
        <v>0</v>
      </c>
      <c r="Y4" s="370">
        <f>'Tinh phi QL'!H60/1000</f>
        <v>0</v>
      </c>
      <c r="Z4" s="370">
        <f ca="1">'Tinh phi QL'!$G$64/1000000*IF('Tinh phi QL'!$H$50="nam",VLOOKUP('Tinh phi QL'!$I$49,Tuky!$A$2:$C$87,2,0),VLOOKUP('Tinh phi QL'!$I$49,Tuky!$A$2:$C$87,3,0))</f>
        <v>0</v>
      </c>
      <c r="AA4" s="370">
        <f>'Tinh phi QL'!H72/1000</f>
        <v>0</v>
      </c>
      <c r="AB4" s="370">
        <f ca="1">VLOOKUP('Tinh phi QL'!$I$68,TCYT!$A$2:$B$60,2,0)*'Tinh phi QL'!$G$73/100000</f>
        <v>0</v>
      </c>
      <c r="AC4" s="370">
        <f ca="1">'Tinh phi QL'!$G$74/1000000*IF('Tinh phi QL'!$H$69="nam",VLOOKUP('Tinh phi QL'!$I$68,BHN!$A$2:$C$87,2,0),VLOOKUP('Tinh phi QL'!$I$68,BHN!$A$2:$C$87,3,0))</f>
        <v>0</v>
      </c>
      <c r="AD4" s="370">
        <f>'Tinh phi QL'!H75/1000</f>
        <v>0</v>
      </c>
      <c r="AE4" s="370">
        <f>'Tinh phi QL'!H77/1000</f>
        <v>0</v>
      </c>
      <c r="AF4" s="370">
        <f>'Tinh phi QL'!H79/1000</f>
        <v>0</v>
      </c>
      <c r="AG4" s="370">
        <f ca="1">'Tinh phi QL'!$G$83/1000000*IF('Tinh phi QL'!$H$69="nam",VLOOKUP('Tinh phi QL'!$I$68,Tuky!$A$2:$C$87,2,0),VLOOKUP('Tinh phi QL'!$I$68,Tuky!$A$2:$C$87,3,0))</f>
        <v>0</v>
      </c>
      <c r="AH4" s="371">
        <f ca="1">_xlfn.AGGREGATE(9,6,D4:AG4)</f>
        <v>16571</v>
      </c>
      <c r="AI4" s="609">
        <f ca="1">AH4-D4</f>
        <v>6571</v>
      </c>
    </row>
    <row r="5" spans="2:35">
      <c r="B5" s="368">
        <v>2</v>
      </c>
      <c r="C5" s="368">
        <f>IF(ROW(A2)&gt;'Tinh phi QL'!$D$13,"",ROW(A2))</f>
        <v>2</v>
      </c>
      <c r="D5" s="369">
        <f>IF(IFERROR(--TRIM(C5),0)=0,0,'Tinh phi QL'!$H$13/1000)</f>
        <v>10000</v>
      </c>
      <c r="E5" s="370">
        <f>E4</f>
        <v>2270</v>
      </c>
      <c r="F5" s="370">
        <f ca="1">VLOOKUP('Tinh phi QL'!$I$8+B4,TCYT!$A$2:$B$60,2,0)*'Tinh phi QL'!$G$15/100000</f>
        <v>0</v>
      </c>
      <c r="G5" s="370">
        <f ca="1">'Tinh phi QL'!$G$16/1000000*IF('Tinh phi QL'!$H$9="nam",VLOOKUP('Tinh phi QL'!$I$8+B4,BHN!$A$2:$C$87,2,0),VLOOKUP('Tinh phi QL'!$I$8+B4,BHN!$A$2:$C$87,3,0))</f>
        <v>606</v>
      </c>
      <c r="H5" s="370">
        <f ca="1">IF($H$4=0,0,IF('Tinh phi QL'!$F$17="Việt Nam",INDEX(TTD!$B$3:$E$102,MATCH('Tinh phi QL'!$I$8+B4,TTD!$A$3:$A$102,0),MATCH('Tinh phi QL'!$G$17,TTD!$B$2:$E$2,0)),IF('Tinh phi QL'!$F$17="Toàn cầu",INDEX(TTD!$F$3:$I$102,MATCH('Tinh phi QL'!$I$8+B4,TTD!$A$3:$A$102,0),MATCH('Tinh phi QL'!$G$17,TTD!$F$2:$I$2,0)))))/1000</f>
        <v>3695</v>
      </c>
      <c r="I5" s="370">
        <f>IF($I$4=0,0,INDEX(TTD!$J$3:$M$102,MATCH('Tinh phi QL'!$I$8+B4,TTD!$A$3:$A$102,0),MATCH('Tinh phi QL'!$G$19,TTD!$J$2:$M$2,0)))/1000</f>
        <v>0</v>
      </c>
      <c r="J5" s="370">
        <f>IF($J$4=0,0,INDEX(TTD!$N$3:$Q$102,MATCH('Tinh phi QL'!$I$8+B4,TTD!$A$3:$A$102,0),MATCH('Tinh phi QL'!$G$21,TTD!$N$2:$Q$2,0)))/1000</f>
        <v>0</v>
      </c>
      <c r="K5" s="370">
        <f ca="1">'Tinh phi QL'!$G$25/1000000*IF('Tinh phi QL'!$H$9="nam",VLOOKUP('Tinh phi QL'!$I$8+B4,Tuky!$A$2:$C$87,2,0),VLOOKUP('Tinh phi QL'!$I$8+B4,Tuky!$A$2:$C$87,3,0))</f>
        <v>0</v>
      </c>
      <c r="L5" s="370">
        <f>L4</f>
        <v>0</v>
      </c>
      <c r="M5" s="370">
        <f ca="1">VLOOKUP('Tinh phi QL'!$I$29+B4,TCYT!$A$2:$B$60,2,0)*'Tinh phi QL'!$G$34/100000</f>
        <v>0</v>
      </c>
      <c r="N5" s="370">
        <f ca="1">'Tinh phi QL'!$G$35/1000000*IF('Tinh phi QL'!$H$30="nam",VLOOKUP('Tinh phi QL'!$I$29+B4,BHN!$A$2:$C$87,2,0),VLOOKUP('Tinh phi QL'!$I$29+B4,BHN!$A$2:$C$87,3,0))</f>
        <v>0</v>
      </c>
      <c r="O5" s="370">
        <f>IF($O$4=0,0,IF('Tinh phi QL'!$F$36="Việt Nam",INDEX(TTD!$B$3:$E$102,MATCH('Tinh phi QL'!$I$29+B4,TTD!$A$3:$A$102,0),MATCH('Tinh phi QL'!$G$36,TTD!$B$2:$E$2,0)),IF('Tinh phi QL'!$F$36="Toàn cầu",INDEX(TTD!$F$3:$I$102,MATCH('Tinh phi QL'!$I$29+B4,TTD!$A$3:$A$102,0),MATCH('Tinh phi QL'!$G$36,TTD!$F$2:$I$2,0)))))/1000</f>
        <v>0</v>
      </c>
      <c r="P5" s="370">
        <f>IF($P$4=0,0,INDEX(TTD!$J$3:$M$102,MATCH('Tinh phi QL'!$I$29+B4,TTD!$A$3:$A$102,0),MATCH('Tinh phi QL'!$G$38,TTD!$J$2:$M$2,0)))/1000</f>
        <v>0</v>
      </c>
      <c r="Q5" s="370">
        <f>IF($Q$4=0,0,INDEX(TTD!$N$3:$Q$102,MATCH('Tinh phi QL'!$I$29+B4,TTD!$A$3:$A$102,0),MATCH('Tinh phi QL'!$G$40,TTD!$N$2:$Q$2,0)))/1000</f>
        <v>0</v>
      </c>
      <c r="R5" s="370">
        <f ca="1">'Tinh phi QL'!$G$44/1000000*IF('Tinh phi QL'!$H$30="nam",VLOOKUP('Tinh phi QL'!$I$29+B4,Tuky!$A$2:$C$87,2,0),VLOOKUP('Tinh phi QL'!$I$29+B4,Tuky!$A$2:$C$87,3,0))</f>
        <v>0</v>
      </c>
      <c r="S5" s="370">
        <f>IF('Tinh phi QL'!$G$45=0,0,((SUM(D5:R5)+SUM(T5:AG5))/1000*IF('Tinh phi QL'!$H$30="nam",INDEX(MTPNam!$B$2:$AR$44,MATCH('Tinh phi QL'!$I$29+B4,MTPNam!$A$2:$A$44,0),MATCH('Tinh phi QL'!$E$45-B4,MTPNam!$B$1:$AR$1,0)),IF('Tinh phi QL'!$H$30="nữ",INDEX(MTPNu!$B$2:$AR$44,MATCH('Tinh phi QL'!$I$29+B4,MTPNu!$A$2:$A$44,0),MATCH('Tinh phi QL'!$E$45-B4,MTPNu!$B$1:$AR$1,0))))))</f>
        <v>0</v>
      </c>
      <c r="T5" s="370">
        <f>T4</f>
        <v>0</v>
      </c>
      <c r="U5" s="370">
        <f ca="1">VLOOKUP('Tinh phi QL'!$I$49+B4,TCYT!$A$2:$B$60,2,0)*'Tinh phi QL'!$G$54/100000</f>
        <v>0</v>
      </c>
      <c r="V5" s="370">
        <f ca="1">'Tinh phi QL'!$G$55/1000000*IF('Tinh phi QL'!$H$50="nam",VLOOKUP('Tinh phi QL'!$I$49+B4,BHN!$A$2:$C$87,2,0),VLOOKUP('Tinh phi QL'!$I$49+B4,BHN!$A$2:$C$87,3,0))</f>
        <v>0</v>
      </c>
      <c r="W5" s="370">
        <f>IF($W$4=0,0,IF('Tinh phi QL'!$F$56="Việt Nam",INDEX(TTD!$B$3:$E$102,MATCH('Tinh phi QL'!$I$49+B4,TTD!$A$3:$A$102,0),MATCH('Tinh phi QL'!$G$56,TTD!$B$2:$E$2,0)),IF('Tinh phi QL'!$F$56="Toàn cầu",INDEX(TTD!$F$3:$I$102,MATCH('Tinh phi QL'!$I$49+B4,TTD!$A$3:$A$102,0),MATCH('Tinh phi QL'!$G$56,TTD!$F$2:$I$2,0)))))/1000</f>
        <v>0</v>
      </c>
      <c r="X5" s="370">
        <f>IF($X$4=0,0,INDEX(TTD!$J$3:$M$102,MATCH('Tinh phi QL'!$I$49+B4,TTD!$A$3:$A$102,0),MATCH('Tinh phi QL'!$G$58,TTD!$J$2:$M$2,0)))/1000</f>
        <v>0</v>
      </c>
      <c r="Y5" s="370">
        <f>IF($Y$4=0,0,INDEX(TTD!$N$3:$Q$102,MATCH('Tinh phi QL'!$I$49+B4,TTD!$A$3:$A$102,0),MATCH('Tinh phi QL'!$G$60,TTD!$N$2:$Q$2,0)))/1000</f>
        <v>0</v>
      </c>
      <c r="Z5" s="370">
        <f ca="1">'Tinh phi QL'!$G$64/1000000*IF('Tinh phi QL'!$H$50="nam",VLOOKUP('Tinh phi QL'!$I$49+B4,Tuky!$A$2:$C$87,2,0),VLOOKUP('Tinh phi QL'!$I$49+B4,Tuky!$A$2:$C$87,3,0))</f>
        <v>0</v>
      </c>
      <c r="AA5" s="370">
        <f>AA4</f>
        <v>0</v>
      </c>
      <c r="AB5" s="370">
        <f ca="1">VLOOKUP('Tinh phi QL'!$I$68+B4,TCYT!$A$2:$B$60,2,0)*'Tinh phi QL'!$G$73/100000</f>
        <v>0</v>
      </c>
      <c r="AC5" s="370">
        <f ca="1">'Tinh phi QL'!$G$74/1000000*IF('Tinh phi QL'!$H$69="nam",VLOOKUP('Tinh phi QL'!$I$68+B4,BHN!$A$2:$C$87,2,0),VLOOKUP('Tinh phi QL'!$I$68+B4,BHN!$A$2:$C$87,3,0))</f>
        <v>0</v>
      </c>
      <c r="AD5" s="370">
        <f>IF($AD$4=0,0,IF('Tinh phi QL'!$F$75="Việt Nam",INDEX(TTD!$B$3:$E$102,MATCH('Tinh phi QL'!$I$68+B4,TTD!$A$3:$A$102,0),MATCH('Tinh phi QL'!$G$75,TTD!$B$2:$E$2,0)),IF('Tinh phi QL'!$F$75="Toàn cầu",INDEX(TTD!$F$3:$I$102,MATCH('Tinh phi QL'!$I$68+B4,TTD!$A$3:$A$102,0),MATCH('Tinh phi QL'!$G$75,TTD!$F$2:$I$2,0)))))/1000</f>
        <v>0</v>
      </c>
      <c r="AE5" s="370">
        <f>IF($AE$4=0,0,INDEX(TTD!$J$3:$M$102,MATCH('Tinh phi QL'!$I$68+B4,TTD!$A$3:$A$102,0),MATCH('Tinh phi QL'!$G$77,TTD!$J$2:$M$2,0)))/1000</f>
        <v>0</v>
      </c>
      <c r="AF5" s="370">
        <f>IF($AF$4=0,0,INDEX(TTD!$N$3:$Q$102,MATCH('Tinh phi QL'!$I$68+B4,TTD!$A$3:$A$102,0),MATCH('Tinh phi QL'!$G$79,TTD!$N$2:$Q$2,0)))/1000</f>
        <v>0</v>
      </c>
      <c r="AG5" s="370">
        <f ca="1">'Tinh phi QL'!$G$83/1000000*IF('Tinh phi QL'!$H$69="nam",VLOOKUP('Tinh phi QL'!$I$68+B4,Tuky!$A$2:$C$87,2,0),VLOOKUP('Tinh phi QL'!$I$68+B4,Tuky!$A$2:$C$87,3,0))</f>
        <v>0</v>
      </c>
      <c r="AH5" s="371">
        <f t="shared" ref="AH5:AH23" ca="1" si="0">_xlfn.AGGREGATE(9,6,D5:AG5)</f>
        <v>16571</v>
      </c>
      <c r="AI5" s="609">
        <f ca="1">AH5-D5+AI4</f>
        <v>13142</v>
      </c>
    </row>
    <row r="6" spans="2:35">
      <c r="B6" s="368">
        <v>3</v>
      </c>
      <c r="C6" s="368">
        <f>IF(ROW(A3)&gt;'Tinh phi QL'!$D$13,"",ROW(A3))</f>
        <v>3</v>
      </c>
      <c r="D6" s="369">
        <f>IF(IFERROR(--TRIM(C6),0)=0,0,'Tinh phi QL'!$H$13/1000)</f>
        <v>10000</v>
      </c>
      <c r="E6" s="370">
        <f t="shared" ref="E6:E21" si="1">E5</f>
        <v>2270</v>
      </c>
      <c r="F6" s="370">
        <f ca="1">VLOOKUP('Tinh phi QL'!$I$8+B5,TCYT!$A$2:$B$60,2,0)*'Tinh phi QL'!$G$15/100000</f>
        <v>0</v>
      </c>
      <c r="G6" s="370">
        <f ca="1">'Tinh phi QL'!$G$16/1000000*IF('Tinh phi QL'!$H$9="nam",VLOOKUP('Tinh phi QL'!$I$8+B5,BHN!$A$2:$C$87,2,0),VLOOKUP('Tinh phi QL'!$I$8+B5,BHN!$A$2:$C$87,3,0))</f>
        <v>606</v>
      </c>
      <c r="H6" s="370">
        <f ca="1">IF($H$4=0,0,IF('Tinh phi QL'!$F$17="Việt Nam",INDEX(TTD!$B$3:$E$102,MATCH('Tinh phi QL'!$I$8+B5,TTD!$A$3:$A$102,0),MATCH('Tinh phi QL'!$G$17,TTD!$B$2:$E$2,0)),IF('Tinh phi QL'!$F$17="Toàn cầu",INDEX(TTD!$F$3:$I$102,MATCH('Tinh phi QL'!$I$8+B5,TTD!$A$3:$A$102,0),MATCH('Tinh phi QL'!$G$17,TTD!$F$2:$I$2,0)))))/1000</f>
        <v>3695</v>
      </c>
      <c r="I6" s="370">
        <f>IF($I$4=0,0,INDEX(TTD!$J$3:$M$102,MATCH('Tinh phi QL'!$I$8+B5,TTD!$A$3:$A$102,0),MATCH('Tinh phi QL'!$G$19,TTD!$J$2:$M$2,0)))/1000</f>
        <v>0</v>
      </c>
      <c r="J6" s="370">
        <f>IF($J$4=0,0,INDEX(TTD!$N$3:$Q$102,MATCH('Tinh phi QL'!$I$8+B5,TTD!$A$3:$A$102,0),MATCH('Tinh phi QL'!$G$21,TTD!$N$2:$Q$2,0)))/1000</f>
        <v>0</v>
      </c>
      <c r="K6" s="370">
        <f ca="1">'Tinh phi QL'!$G$25/1000000*IF('Tinh phi QL'!$H$9="nam",VLOOKUP('Tinh phi QL'!$I$8+B5,Tuky!$A$2:$C$87,2,0),VLOOKUP('Tinh phi QL'!$I$8+B5,Tuky!$A$2:$C$87,3,0))</f>
        <v>0</v>
      </c>
      <c r="L6" s="370">
        <f t="shared" ref="L6:L23" si="2">L5</f>
        <v>0</v>
      </c>
      <c r="M6" s="370">
        <f ca="1">VLOOKUP('Tinh phi QL'!$I$29+B5,TCYT!$A$2:$B$60,2,0)*'Tinh phi QL'!$G$34/100000</f>
        <v>0</v>
      </c>
      <c r="N6" s="370">
        <f ca="1">'Tinh phi QL'!$G$35/1000000*IF('Tinh phi QL'!$H$30="nam",VLOOKUP('Tinh phi QL'!$I$29+B5,BHN!$A$2:$C$87,2,0),VLOOKUP('Tinh phi QL'!$I$29+B5,BHN!$A$2:$C$87,3,0))</f>
        <v>0</v>
      </c>
      <c r="O6" s="370">
        <f>IF($O$4=0,0,IF('Tinh phi QL'!$F$36="Việt Nam",INDEX(TTD!$B$3:$E$102,MATCH('Tinh phi QL'!$I$29+B5,TTD!$A$3:$A$102,0),MATCH('Tinh phi QL'!$G$36,TTD!$B$2:$E$2,0)),IF('Tinh phi QL'!$F$36="Toàn cầu",INDEX(TTD!$F$3:$I$102,MATCH('Tinh phi QL'!$I$29+B5,TTD!$A$3:$A$102,0),MATCH('Tinh phi QL'!$G$36,TTD!$F$2:$I$2,0)))))/1000</f>
        <v>0</v>
      </c>
      <c r="P6" s="370">
        <f>IF($P$4=0,0,INDEX(TTD!$J$3:$M$102,MATCH('Tinh phi QL'!$I$29+B5,TTD!$A$3:$A$102,0),MATCH('Tinh phi QL'!$G$38,TTD!$J$2:$M$2,0)))/1000</f>
        <v>0</v>
      </c>
      <c r="Q6" s="370">
        <f>IF($Q$4=0,0,INDEX(TTD!$N$3:$Q$102,MATCH('Tinh phi QL'!$I$29+B5,TTD!$A$3:$A$102,0),MATCH('Tinh phi QL'!$G$40,TTD!$N$2:$Q$2,0)))/1000</f>
        <v>0</v>
      </c>
      <c r="R6" s="370">
        <f ca="1">'Tinh phi QL'!$G$44/1000000*IF('Tinh phi QL'!$H$30="nam",VLOOKUP('Tinh phi QL'!$I$29+B5,Tuky!$A$2:$C$87,2,0),VLOOKUP('Tinh phi QL'!$I$29+B5,Tuky!$A$2:$C$87,3,0))</f>
        <v>0</v>
      </c>
      <c r="S6" s="370">
        <f>IF('Tinh phi QL'!$G$45=0,0,((SUM(D6:R6)+SUM(T6:AG6))/1000*IF('Tinh phi QL'!$H$30="nam",INDEX(MTPNam!$B$2:$AR$44,MATCH('Tinh phi QL'!$I$29+B5,MTPNam!$A$2:$A$44,0),MATCH('Tinh phi QL'!$E$45-B5,MTPNam!$B$1:$AR$1,0)),IF('Tinh phi QL'!$H$30="nữ",INDEX(MTPNu!$B$2:$AR$44,MATCH('Tinh phi QL'!$I$29+B5,MTPNu!$A$2:$A$44,0),MATCH('Tinh phi QL'!$E$45-B5,MTPNu!$B$1:$AR$1,0))))))</f>
        <v>0</v>
      </c>
      <c r="T6" s="370">
        <f t="shared" ref="T6:T23" si="3">T5</f>
        <v>0</v>
      </c>
      <c r="U6" s="370">
        <f ca="1">VLOOKUP('Tinh phi QL'!$I$49+B5,TCYT!$A$2:$B$60,2,0)*'Tinh phi QL'!$G$54/100000</f>
        <v>0</v>
      </c>
      <c r="V6" s="370">
        <f ca="1">'Tinh phi QL'!$G$55/1000000*IF('Tinh phi QL'!$H$50="nam",VLOOKUP('Tinh phi QL'!$I$49+B5,BHN!$A$2:$C$87,2,0),VLOOKUP('Tinh phi QL'!$I$49+B5,BHN!$A$2:$C$87,3,0))</f>
        <v>0</v>
      </c>
      <c r="W6" s="370">
        <f>IF($W$4=0,0,IF('Tinh phi QL'!$F$56="Việt Nam",INDEX(TTD!$B$3:$E$102,MATCH('Tinh phi QL'!$I$49+B5,TTD!$A$3:$A$102,0),MATCH('Tinh phi QL'!$G$56,TTD!$B$2:$E$2,0)),IF('Tinh phi QL'!$F$56="Toàn cầu",INDEX(TTD!$F$3:$I$102,MATCH('Tinh phi QL'!$I$49+B5,TTD!$A$3:$A$102,0),MATCH('Tinh phi QL'!$G$56,TTD!$F$2:$I$2,0)))))/1000</f>
        <v>0</v>
      </c>
      <c r="X6" s="370">
        <f>IF($X$4=0,0,INDEX(TTD!$J$3:$M$102,MATCH('Tinh phi QL'!$I$49+B5,TTD!$A$3:$A$102,0),MATCH('Tinh phi QL'!$G$58,TTD!$J$2:$M$2,0)))/1000</f>
        <v>0</v>
      </c>
      <c r="Y6" s="370">
        <f>IF($Y$4=0,0,INDEX(TTD!$N$3:$Q$102,MATCH('Tinh phi QL'!$I$49+B5,TTD!$A$3:$A$102,0),MATCH('Tinh phi QL'!$G$60,TTD!$N$2:$Q$2,0)))/1000</f>
        <v>0</v>
      </c>
      <c r="Z6" s="370">
        <f ca="1">'Tinh phi QL'!$G$64/1000000*IF('Tinh phi QL'!$H$50="nam",VLOOKUP('Tinh phi QL'!$I$49+B5,Tuky!$A$2:$C$87,2,0),VLOOKUP('Tinh phi QL'!$I$49+B5,Tuky!$A$2:$C$87,3,0))</f>
        <v>0</v>
      </c>
      <c r="AA6" s="370">
        <f t="shared" ref="AA6:AA23" si="4">AA5</f>
        <v>0</v>
      </c>
      <c r="AB6" s="370">
        <f ca="1">VLOOKUP('Tinh phi QL'!$I$68+B5,TCYT!$A$2:$B$60,2,0)*'Tinh phi QL'!$G$73/100000</f>
        <v>0</v>
      </c>
      <c r="AC6" s="370">
        <f ca="1">'Tinh phi QL'!$G$74/1000000*IF('Tinh phi QL'!$H$69="nam",VLOOKUP('Tinh phi QL'!$I$68+B5,BHN!$A$2:$C$87,2,0),VLOOKUP('Tinh phi QL'!$I$68+B5,BHN!$A$2:$C$87,3,0))</f>
        <v>0</v>
      </c>
      <c r="AD6" s="370">
        <f>IF($AD$4=0,0,IF('Tinh phi QL'!$F$75="Việt Nam",INDEX(TTD!$B$3:$E$102,MATCH('Tinh phi QL'!$I$68+B5,TTD!$A$3:$A$102,0),MATCH('Tinh phi QL'!$G$75,TTD!$B$2:$E$2,0)),IF('Tinh phi QL'!$F$75="Toàn cầu",INDEX(TTD!$F$3:$I$102,MATCH('Tinh phi QL'!$I$68+B5,TTD!$A$3:$A$102,0),MATCH('Tinh phi QL'!$G$75,TTD!$F$2:$I$2,0)))))/1000</f>
        <v>0</v>
      </c>
      <c r="AE6" s="370">
        <f>IF($AE$4=0,0,INDEX(TTD!$J$3:$M$102,MATCH('Tinh phi QL'!$I$68+B5,TTD!$A$3:$A$102,0),MATCH('Tinh phi QL'!$G$77,TTD!$J$2:$M$2,0)))/1000</f>
        <v>0</v>
      </c>
      <c r="AF6" s="370">
        <f>IF($AF$4=0,0,INDEX(TTD!$N$3:$Q$102,MATCH('Tinh phi QL'!$I$68+B5,TTD!$A$3:$A$102,0),MATCH('Tinh phi QL'!$G$79,TTD!$N$2:$Q$2,0)))/1000</f>
        <v>0</v>
      </c>
      <c r="AG6" s="370">
        <f ca="1">'Tinh phi QL'!$G$83/1000000*IF('Tinh phi QL'!$H$69="nam",VLOOKUP('Tinh phi QL'!$I$68+B5,Tuky!$A$2:$C$87,2,0),VLOOKUP('Tinh phi QL'!$I$68+B5,Tuky!$A$2:$C$87,3,0))</f>
        <v>0</v>
      </c>
      <c r="AH6" s="371">
        <f t="shared" ca="1" si="0"/>
        <v>16571</v>
      </c>
      <c r="AI6" s="609">
        <f t="shared" ref="AI6:AI23" ca="1" si="5">AH6-D6+AI5</f>
        <v>19713</v>
      </c>
    </row>
    <row r="7" spans="2:35">
      <c r="B7" s="368">
        <v>4</v>
      </c>
      <c r="C7" s="368">
        <f>IF(ROW(A4)&gt;'Tinh phi QL'!$D$13,"",ROW(A4))</f>
        <v>4</v>
      </c>
      <c r="D7" s="369">
        <f>IF(IFERROR(--TRIM(C7),0)=0,0,'Tinh phi QL'!$H$13/1000)</f>
        <v>10000</v>
      </c>
      <c r="E7" s="370">
        <f t="shared" si="1"/>
        <v>2270</v>
      </c>
      <c r="F7" s="370">
        <f ca="1">VLOOKUP('Tinh phi QL'!$I$8+B6,TCYT!$A$2:$B$60,2,0)*'Tinh phi QL'!$G$15/100000</f>
        <v>0</v>
      </c>
      <c r="G7" s="370">
        <f ca="1">'Tinh phi QL'!$G$16/1000000*IF('Tinh phi QL'!$H$9="nam",VLOOKUP('Tinh phi QL'!$I$8+B6,BHN!$A$2:$C$87,2,0),VLOOKUP('Tinh phi QL'!$I$8+B6,BHN!$A$2:$C$87,3,0))</f>
        <v>606</v>
      </c>
      <c r="H7" s="370">
        <f ca="1">IF($H$4=0,0,IF('Tinh phi QL'!$F$17="Việt Nam",INDEX(TTD!$B$3:$E$102,MATCH('Tinh phi QL'!$I$8+B6,TTD!$A$3:$A$102,0),MATCH('Tinh phi QL'!$G$17,TTD!$B$2:$E$2,0)),IF('Tinh phi QL'!$F$17="Toàn cầu",INDEX(TTD!$F$3:$I$102,MATCH('Tinh phi QL'!$I$8+B6,TTD!$A$3:$A$102,0),MATCH('Tinh phi QL'!$G$17,TTD!$F$2:$I$2,0)))))/1000</f>
        <v>3695</v>
      </c>
      <c r="I7" s="370">
        <f>IF($I$4=0,0,INDEX(TTD!$J$3:$M$102,MATCH('Tinh phi QL'!$I$8+B6,TTD!$A$3:$A$102,0),MATCH('Tinh phi QL'!$G$19,TTD!$J$2:$M$2,0)))/1000</f>
        <v>0</v>
      </c>
      <c r="J7" s="370">
        <f>IF($J$4=0,0,INDEX(TTD!$N$3:$Q$102,MATCH('Tinh phi QL'!$I$8+B6,TTD!$A$3:$A$102,0),MATCH('Tinh phi QL'!$G$21,TTD!$N$2:$Q$2,0)))/1000</f>
        <v>0</v>
      </c>
      <c r="K7" s="370">
        <f ca="1">'Tinh phi QL'!$G$25/1000000*IF('Tinh phi QL'!$H$9="nam",VLOOKUP('Tinh phi QL'!$I$8+B6,Tuky!$A$2:$C$87,2,0),VLOOKUP('Tinh phi QL'!$I$8+B6,Tuky!$A$2:$C$87,3,0))</f>
        <v>0</v>
      </c>
      <c r="L7" s="370">
        <f t="shared" si="2"/>
        <v>0</v>
      </c>
      <c r="M7" s="370">
        <f ca="1">VLOOKUP('Tinh phi QL'!$I$29+B6,TCYT!$A$2:$B$60,2,0)*'Tinh phi QL'!$G$34/100000</f>
        <v>0</v>
      </c>
      <c r="N7" s="370">
        <f ca="1">'Tinh phi QL'!$G$35/1000000*IF('Tinh phi QL'!$H$30="nam",VLOOKUP('Tinh phi QL'!$I$29+B6,BHN!$A$2:$C$87,2,0),VLOOKUP('Tinh phi QL'!$I$29+B6,BHN!$A$2:$C$87,3,0))</f>
        <v>0</v>
      </c>
      <c r="O7" s="370">
        <f>IF($O$4=0,0,IF('Tinh phi QL'!$F$36="Việt Nam",INDEX(TTD!$B$3:$E$102,MATCH('Tinh phi QL'!$I$29+B6,TTD!$A$3:$A$102,0),MATCH('Tinh phi QL'!$G$36,TTD!$B$2:$E$2,0)),IF('Tinh phi QL'!$F$36="Toàn cầu",INDEX(TTD!$F$3:$I$102,MATCH('Tinh phi QL'!$I$29+B6,TTD!$A$3:$A$102,0),MATCH('Tinh phi QL'!$G$36,TTD!$F$2:$I$2,0)))))/1000</f>
        <v>0</v>
      </c>
      <c r="P7" s="370">
        <f>IF($P$4=0,0,INDEX(TTD!$J$3:$M$102,MATCH('Tinh phi QL'!$I$29+B6,TTD!$A$3:$A$102,0),MATCH('Tinh phi QL'!$G$38,TTD!$J$2:$M$2,0)))/1000</f>
        <v>0</v>
      </c>
      <c r="Q7" s="370">
        <f>IF($Q$4=0,0,INDEX(TTD!$N$3:$Q$102,MATCH('Tinh phi QL'!$I$29+B6,TTD!$A$3:$A$102,0),MATCH('Tinh phi QL'!$G$40,TTD!$N$2:$Q$2,0)))/1000</f>
        <v>0</v>
      </c>
      <c r="R7" s="370">
        <f ca="1">'Tinh phi QL'!$G$44/1000000*IF('Tinh phi QL'!$H$30="nam",VLOOKUP('Tinh phi QL'!$I$29+B6,Tuky!$A$2:$C$87,2,0),VLOOKUP('Tinh phi QL'!$I$29+B6,Tuky!$A$2:$C$87,3,0))</f>
        <v>0</v>
      </c>
      <c r="S7" s="370">
        <f>IF('Tinh phi QL'!$G$45=0,0,((SUM(D7:R7)+SUM(T7:AG7))/1000*IF('Tinh phi QL'!$H$30="nam",INDEX(MTPNam!$B$2:$AR$44,MATCH('Tinh phi QL'!$I$29+B6,MTPNam!$A$2:$A$44,0),MATCH('Tinh phi QL'!$E$45-B6,MTPNam!$B$1:$AR$1,0)),IF('Tinh phi QL'!$H$30="nữ",INDEX(MTPNu!$B$2:$AR$44,MATCH('Tinh phi QL'!$I$29+B6,MTPNu!$A$2:$A$44,0),MATCH('Tinh phi QL'!$E$45-B6,MTPNu!$B$1:$AR$1,0))))))</f>
        <v>0</v>
      </c>
      <c r="T7" s="370">
        <f t="shared" si="3"/>
        <v>0</v>
      </c>
      <c r="U7" s="370">
        <f ca="1">VLOOKUP('Tinh phi QL'!$I$49+B6,TCYT!$A$2:$B$60,2,0)*'Tinh phi QL'!$G$54/100000</f>
        <v>0</v>
      </c>
      <c r="V7" s="370">
        <f ca="1">'Tinh phi QL'!$G$55/1000000*IF('Tinh phi QL'!$H$50="nam",VLOOKUP('Tinh phi QL'!$I$49+B6,BHN!$A$2:$C$87,2,0),VLOOKUP('Tinh phi QL'!$I$49+B6,BHN!$A$2:$C$87,3,0))</f>
        <v>0</v>
      </c>
      <c r="W7" s="370">
        <f>IF($W$4=0,0,IF('Tinh phi QL'!$F$56="Việt Nam",INDEX(TTD!$B$3:$E$102,MATCH('Tinh phi QL'!$I$49+B6,TTD!$A$3:$A$102,0),MATCH('Tinh phi QL'!$G$56,TTD!$B$2:$E$2,0)),IF('Tinh phi QL'!$F$56="Toàn cầu",INDEX(TTD!$F$3:$I$102,MATCH('Tinh phi QL'!$I$49+B6,TTD!$A$3:$A$102,0),MATCH('Tinh phi QL'!$G$56,TTD!$F$2:$I$2,0)))))/1000</f>
        <v>0</v>
      </c>
      <c r="X7" s="370">
        <f>IF($X$4=0,0,INDEX(TTD!$J$3:$M$102,MATCH('Tinh phi QL'!$I$49+B6,TTD!$A$3:$A$102,0),MATCH('Tinh phi QL'!$G$58,TTD!$J$2:$M$2,0)))/1000</f>
        <v>0</v>
      </c>
      <c r="Y7" s="370">
        <f>IF($Y$4=0,0,INDEX(TTD!$N$3:$Q$102,MATCH('Tinh phi QL'!$I$49+B6,TTD!$A$3:$A$102,0),MATCH('Tinh phi QL'!$G$60,TTD!$N$2:$Q$2,0)))/1000</f>
        <v>0</v>
      </c>
      <c r="Z7" s="370">
        <f ca="1">'Tinh phi QL'!$G$64/1000000*IF('Tinh phi QL'!$H$50="nam",VLOOKUP('Tinh phi QL'!$I$49+B6,Tuky!$A$2:$C$87,2,0),VLOOKUP('Tinh phi QL'!$I$49+B6,Tuky!$A$2:$C$87,3,0))</f>
        <v>0</v>
      </c>
      <c r="AA7" s="370">
        <f t="shared" si="4"/>
        <v>0</v>
      </c>
      <c r="AB7" s="370">
        <f ca="1">VLOOKUP('Tinh phi QL'!$I$68+B6,TCYT!$A$2:$B$60,2,0)*'Tinh phi QL'!$G$73/100000</f>
        <v>0</v>
      </c>
      <c r="AC7" s="370">
        <f ca="1">'Tinh phi QL'!$G$74/1000000*IF('Tinh phi QL'!$H$69="nam",VLOOKUP('Tinh phi QL'!$I$68+B6,BHN!$A$2:$C$87,2,0),VLOOKUP('Tinh phi QL'!$I$68+B6,BHN!$A$2:$C$87,3,0))</f>
        <v>0</v>
      </c>
      <c r="AD7" s="370">
        <f>IF($AD$4=0,0,IF('Tinh phi QL'!$F$75="Việt Nam",INDEX(TTD!$B$3:$E$102,MATCH('Tinh phi QL'!$I$68+B6,TTD!$A$3:$A$102,0),MATCH('Tinh phi QL'!$G$75,TTD!$B$2:$E$2,0)),IF('Tinh phi QL'!$F$75="Toàn cầu",INDEX(TTD!$F$3:$I$102,MATCH('Tinh phi QL'!$I$68+B6,TTD!$A$3:$A$102,0),MATCH('Tinh phi QL'!$G$75,TTD!$F$2:$I$2,0)))))/1000</f>
        <v>0</v>
      </c>
      <c r="AE7" s="370">
        <f>IF($AE$4=0,0,INDEX(TTD!$J$3:$M$102,MATCH('Tinh phi QL'!$I$68+B6,TTD!$A$3:$A$102,0),MATCH('Tinh phi QL'!$G$77,TTD!$J$2:$M$2,0)))/1000</f>
        <v>0</v>
      </c>
      <c r="AF7" s="370">
        <f>IF($AF$4=0,0,INDEX(TTD!$N$3:$Q$102,MATCH('Tinh phi QL'!$I$68+B6,TTD!$A$3:$A$102,0),MATCH('Tinh phi QL'!$G$79,TTD!$N$2:$Q$2,0)))/1000</f>
        <v>0</v>
      </c>
      <c r="AG7" s="370">
        <f ca="1">'Tinh phi QL'!$G$83/1000000*IF('Tinh phi QL'!$H$69="nam",VLOOKUP('Tinh phi QL'!$I$68+B6,Tuky!$A$2:$C$87,2,0),VLOOKUP('Tinh phi QL'!$I$68+B6,Tuky!$A$2:$C$87,3,0))</f>
        <v>0</v>
      </c>
      <c r="AH7" s="371">
        <f t="shared" ca="1" si="0"/>
        <v>16571</v>
      </c>
      <c r="AI7" s="609">
        <f t="shared" ca="1" si="5"/>
        <v>26284</v>
      </c>
    </row>
    <row r="8" spans="2:35">
      <c r="B8" s="368">
        <v>5</v>
      </c>
      <c r="C8" s="368">
        <f>IF(ROW(A5)&gt;'Tinh phi QL'!$D$13,"",ROW(A5))</f>
        <v>5</v>
      </c>
      <c r="D8" s="369">
        <f>IF(IFERROR(--TRIM(C8),0)=0,0,'Tinh phi QL'!$H$13/1000)</f>
        <v>10000</v>
      </c>
      <c r="E8" s="370">
        <f t="shared" si="1"/>
        <v>2270</v>
      </c>
      <c r="F8" s="370">
        <f ca="1">VLOOKUP('Tinh phi QL'!$I$8+B7,TCYT!$A$2:$B$60,2,0)*'Tinh phi QL'!$G$15/100000</f>
        <v>0</v>
      </c>
      <c r="G8" s="370">
        <f ca="1">'Tinh phi QL'!$G$16/1000000*IF('Tinh phi QL'!$H$9="nam",VLOOKUP('Tinh phi QL'!$I$8+B7,BHN!$A$2:$C$87,2,0),VLOOKUP('Tinh phi QL'!$I$8+B7,BHN!$A$2:$C$87,3,0))</f>
        <v>606</v>
      </c>
      <c r="H8" s="370">
        <f ca="1">IF($H$4=0,0,IF('Tinh phi QL'!$F$17="Việt Nam",INDEX(TTD!$B$3:$E$102,MATCH('Tinh phi QL'!$I$8+B7,TTD!$A$3:$A$102,0),MATCH('Tinh phi QL'!$G$17,TTD!$B$2:$E$2,0)),IF('Tinh phi QL'!$F$17="Toàn cầu",INDEX(TTD!$F$3:$I$102,MATCH('Tinh phi QL'!$I$8+B7,TTD!$A$3:$A$102,0),MATCH('Tinh phi QL'!$G$17,TTD!$F$2:$I$2,0)))))/1000</f>
        <v>3695</v>
      </c>
      <c r="I8" s="370">
        <f>IF($I$4=0,0,INDEX(TTD!$J$3:$M$102,MATCH('Tinh phi QL'!$I$8+B7,TTD!$A$3:$A$102,0),MATCH('Tinh phi QL'!$G$19,TTD!$J$2:$M$2,0)))/1000</f>
        <v>0</v>
      </c>
      <c r="J8" s="370">
        <f>IF($J$4=0,0,INDEX(TTD!$N$3:$Q$102,MATCH('Tinh phi QL'!$I$8+B7,TTD!$A$3:$A$102,0),MATCH('Tinh phi QL'!$G$21,TTD!$N$2:$Q$2,0)))/1000</f>
        <v>0</v>
      </c>
      <c r="K8" s="370">
        <f ca="1">'Tinh phi QL'!$G$25/1000000*IF('Tinh phi QL'!$H$9="nam",VLOOKUP('Tinh phi QL'!$I$8+B7,Tuky!$A$2:$C$87,2,0),VLOOKUP('Tinh phi QL'!$I$8+B7,Tuky!$A$2:$C$87,3,0))</f>
        <v>0</v>
      </c>
      <c r="L8" s="370">
        <f t="shared" si="2"/>
        <v>0</v>
      </c>
      <c r="M8" s="370">
        <f ca="1">VLOOKUP('Tinh phi QL'!$I$29+B7,TCYT!$A$2:$B$60,2,0)*'Tinh phi QL'!$G$34/100000</f>
        <v>0</v>
      </c>
      <c r="N8" s="370">
        <f ca="1">'Tinh phi QL'!$G$35/1000000*IF('Tinh phi QL'!$H$30="nam",VLOOKUP('Tinh phi QL'!$I$29+B7,BHN!$A$2:$C$87,2,0),VLOOKUP('Tinh phi QL'!$I$29+B7,BHN!$A$2:$C$87,3,0))</f>
        <v>0</v>
      </c>
      <c r="O8" s="370">
        <f>IF($O$4=0,0,IF('Tinh phi QL'!$F$36="Việt Nam",INDEX(TTD!$B$3:$E$102,MATCH('Tinh phi QL'!$I$29+B7,TTD!$A$3:$A$102,0),MATCH('Tinh phi QL'!$G$36,TTD!$B$2:$E$2,0)),IF('Tinh phi QL'!$F$36="Toàn cầu",INDEX(TTD!$F$3:$I$102,MATCH('Tinh phi QL'!$I$29+B7,TTD!$A$3:$A$102,0),MATCH('Tinh phi QL'!$G$36,TTD!$F$2:$I$2,0)))))/1000</f>
        <v>0</v>
      </c>
      <c r="P8" s="370">
        <f>IF($P$4=0,0,INDEX(TTD!$J$3:$M$102,MATCH('Tinh phi QL'!$I$29+B7,TTD!$A$3:$A$102,0),MATCH('Tinh phi QL'!$G$38,TTD!$J$2:$M$2,0)))/1000</f>
        <v>0</v>
      </c>
      <c r="Q8" s="370">
        <f>IF($Q$4=0,0,INDEX(TTD!$N$3:$Q$102,MATCH('Tinh phi QL'!$I$29+B7,TTD!$A$3:$A$102,0),MATCH('Tinh phi QL'!$G$40,TTD!$N$2:$Q$2,0)))/1000</f>
        <v>0</v>
      </c>
      <c r="R8" s="370">
        <f ca="1">'Tinh phi QL'!$G$44/1000000*IF('Tinh phi QL'!$H$30="nam",VLOOKUP('Tinh phi QL'!$I$29+B7,Tuky!$A$2:$C$87,2,0),VLOOKUP('Tinh phi QL'!$I$29+B7,Tuky!$A$2:$C$87,3,0))</f>
        <v>0</v>
      </c>
      <c r="S8" s="370">
        <f>IF('Tinh phi QL'!$G$45=0,0,((SUM(D8:R8)+SUM(T8:AG8))/1000*IF('Tinh phi QL'!$H$30="nam",INDEX(MTPNam!$B$2:$AR$44,MATCH('Tinh phi QL'!$I$29+B7,MTPNam!$A$2:$A$44,0),MATCH('Tinh phi QL'!$E$45-B7,MTPNam!$B$1:$AR$1,0)),IF('Tinh phi QL'!$H$30="nữ",INDEX(MTPNu!$B$2:$AR$44,MATCH('Tinh phi QL'!$I$29+B7,MTPNu!$A$2:$A$44,0),MATCH('Tinh phi QL'!$E$45-B7,MTPNu!$B$1:$AR$1,0))))))</f>
        <v>0</v>
      </c>
      <c r="T8" s="370">
        <f t="shared" si="3"/>
        <v>0</v>
      </c>
      <c r="U8" s="370">
        <f ca="1">VLOOKUP('Tinh phi QL'!$I$49+B7,TCYT!$A$2:$B$60,2,0)*'Tinh phi QL'!$G$54/100000</f>
        <v>0</v>
      </c>
      <c r="V8" s="370">
        <f ca="1">'Tinh phi QL'!$G$55/1000000*IF('Tinh phi QL'!$H$50="nam",VLOOKUP('Tinh phi QL'!$I$49+B7,BHN!$A$2:$C$87,2,0),VLOOKUP('Tinh phi QL'!$I$49+B7,BHN!$A$2:$C$87,3,0))</f>
        <v>0</v>
      </c>
      <c r="W8" s="370">
        <f>IF($W$4=0,0,IF('Tinh phi QL'!$F$56="Việt Nam",INDEX(TTD!$B$3:$E$102,MATCH('Tinh phi QL'!$I$49+B7,TTD!$A$3:$A$102,0),MATCH('Tinh phi QL'!$G$56,TTD!$B$2:$E$2,0)),IF('Tinh phi QL'!$F$56="Toàn cầu",INDEX(TTD!$F$3:$I$102,MATCH('Tinh phi QL'!$I$49+B7,TTD!$A$3:$A$102,0),MATCH('Tinh phi QL'!$G$56,TTD!$F$2:$I$2,0)))))/1000</f>
        <v>0</v>
      </c>
      <c r="X8" s="370">
        <f>IF($X$4=0,0,INDEX(TTD!$J$3:$M$102,MATCH('Tinh phi QL'!$I$49+B7,TTD!$A$3:$A$102,0),MATCH('Tinh phi QL'!$G$58,TTD!$J$2:$M$2,0)))/1000</f>
        <v>0</v>
      </c>
      <c r="Y8" s="370">
        <f>IF($Y$4=0,0,INDEX(TTD!$N$3:$Q$102,MATCH('Tinh phi QL'!$I$49+B7,TTD!$A$3:$A$102,0),MATCH('Tinh phi QL'!$G$60,TTD!$N$2:$Q$2,0)))/1000</f>
        <v>0</v>
      </c>
      <c r="Z8" s="370">
        <f ca="1">'Tinh phi QL'!$G$64/1000000*IF('Tinh phi QL'!$H$50="nam",VLOOKUP('Tinh phi QL'!$I$49+B7,Tuky!$A$2:$C$87,2,0),VLOOKUP('Tinh phi QL'!$I$49+B7,Tuky!$A$2:$C$87,3,0))</f>
        <v>0</v>
      </c>
      <c r="AA8" s="370">
        <f t="shared" si="4"/>
        <v>0</v>
      </c>
      <c r="AB8" s="370">
        <f ca="1">VLOOKUP('Tinh phi QL'!$I$68+B7,TCYT!$A$2:$B$60,2,0)*'Tinh phi QL'!$G$73/100000</f>
        <v>0</v>
      </c>
      <c r="AC8" s="370">
        <f ca="1">'Tinh phi QL'!$G$74/1000000*IF('Tinh phi QL'!$H$69="nam",VLOOKUP('Tinh phi QL'!$I$68+B7,BHN!$A$2:$C$87,2,0),VLOOKUP('Tinh phi QL'!$I$68+B7,BHN!$A$2:$C$87,3,0))</f>
        <v>0</v>
      </c>
      <c r="AD8" s="370">
        <f>IF($AD$4=0,0,IF('Tinh phi QL'!$F$75="Việt Nam",INDEX(TTD!$B$3:$E$102,MATCH('Tinh phi QL'!$I$68+B7,TTD!$A$3:$A$102,0),MATCH('Tinh phi QL'!$G$75,TTD!$B$2:$E$2,0)),IF('Tinh phi QL'!$F$75="Toàn cầu",INDEX(TTD!$F$3:$I$102,MATCH('Tinh phi QL'!$I$68+B7,TTD!$A$3:$A$102,0),MATCH('Tinh phi QL'!$G$75,TTD!$F$2:$I$2,0)))))/1000</f>
        <v>0</v>
      </c>
      <c r="AE8" s="370">
        <f>IF($AE$4=0,0,INDEX(TTD!$J$3:$M$102,MATCH('Tinh phi QL'!$I$68+B7,TTD!$A$3:$A$102,0),MATCH('Tinh phi QL'!$G$77,TTD!$J$2:$M$2,0)))/1000</f>
        <v>0</v>
      </c>
      <c r="AF8" s="370">
        <f>IF($AF$4=0,0,INDEX(TTD!$N$3:$Q$102,MATCH('Tinh phi QL'!$I$68+B7,TTD!$A$3:$A$102,0),MATCH('Tinh phi QL'!$G$79,TTD!$N$2:$Q$2,0)))/1000</f>
        <v>0</v>
      </c>
      <c r="AG8" s="370">
        <f ca="1">'Tinh phi QL'!$G$83/1000000*IF('Tinh phi QL'!$H$69="nam",VLOOKUP('Tinh phi QL'!$I$68+B7,Tuky!$A$2:$C$87,2,0),VLOOKUP('Tinh phi QL'!$I$68+B7,Tuky!$A$2:$C$87,3,0))</f>
        <v>0</v>
      </c>
      <c r="AH8" s="371">
        <f t="shared" ca="1" si="0"/>
        <v>16571</v>
      </c>
      <c r="AI8" s="609">
        <f t="shared" ca="1" si="5"/>
        <v>32855</v>
      </c>
    </row>
    <row r="9" spans="2:35">
      <c r="B9" s="368">
        <v>6</v>
      </c>
      <c r="C9" s="368">
        <f>IF(ROW(A6)&gt;'Tinh phi QL'!$D$13,"",ROW(A6))</f>
        <v>6</v>
      </c>
      <c r="D9" s="369">
        <f>IF(IFERROR(--TRIM(C9),0)=0,0,'Tinh phi QL'!$H$13/1000)</f>
        <v>10000</v>
      </c>
      <c r="E9" s="370">
        <f t="shared" si="1"/>
        <v>2270</v>
      </c>
      <c r="F9" s="370">
        <f ca="1">VLOOKUP('Tinh phi QL'!$I$8+B8,TCYT!$A$2:$B$60,2,0)*'Tinh phi QL'!$G$15/100000</f>
        <v>0</v>
      </c>
      <c r="G9" s="370">
        <f ca="1">'Tinh phi QL'!$G$16/1000000*IF('Tinh phi QL'!$H$9="nam",VLOOKUP('Tinh phi QL'!$I$8+B8,BHN!$A$2:$C$87,2,0),VLOOKUP('Tinh phi QL'!$I$8+B8,BHN!$A$2:$C$87,3,0))</f>
        <v>1002</v>
      </c>
      <c r="H9" s="370">
        <f ca="1">IF($H$4=0,0,IF('Tinh phi QL'!$F$17="Việt Nam",INDEX(TTD!$B$3:$E$102,MATCH('Tinh phi QL'!$I$8+B8,TTD!$A$3:$A$102,0),MATCH('Tinh phi QL'!$G$17,TTD!$B$2:$E$2,0)),IF('Tinh phi QL'!$F$17="Toàn cầu",INDEX(TTD!$F$3:$I$102,MATCH('Tinh phi QL'!$I$8+B8,TTD!$A$3:$A$102,0),MATCH('Tinh phi QL'!$G$17,TTD!$F$2:$I$2,0)))))/1000</f>
        <v>4223</v>
      </c>
      <c r="I9" s="370">
        <f>IF($I$4=0,0,INDEX(TTD!$J$3:$M$102,MATCH('Tinh phi QL'!$I$8+B8,TTD!$A$3:$A$102,0),MATCH('Tinh phi QL'!$G$19,TTD!$J$2:$M$2,0)))/1000</f>
        <v>0</v>
      </c>
      <c r="J9" s="370">
        <f>IF($J$4=0,0,INDEX(TTD!$N$3:$Q$102,MATCH('Tinh phi QL'!$I$8+B8,TTD!$A$3:$A$102,0),MATCH('Tinh phi QL'!$G$21,TTD!$N$2:$Q$2,0)))/1000</f>
        <v>0</v>
      </c>
      <c r="K9" s="370">
        <f ca="1">'Tinh phi QL'!$G$25/1000000*IF('Tinh phi QL'!$H$9="nam",VLOOKUP('Tinh phi QL'!$I$8+B8,Tuky!$A$2:$C$87,2,0),VLOOKUP('Tinh phi QL'!$I$8+B8,Tuky!$A$2:$C$87,3,0))</f>
        <v>0</v>
      </c>
      <c r="L9" s="370">
        <f t="shared" si="2"/>
        <v>0</v>
      </c>
      <c r="M9" s="370">
        <f ca="1">VLOOKUP('Tinh phi QL'!$I$29+B8,TCYT!$A$2:$B$60,2,0)*'Tinh phi QL'!$G$34/100000</f>
        <v>0</v>
      </c>
      <c r="N9" s="370">
        <f ca="1">'Tinh phi QL'!$G$35/1000000*IF('Tinh phi QL'!$H$30="nam",VLOOKUP('Tinh phi QL'!$I$29+B8,BHN!$A$2:$C$87,2,0),VLOOKUP('Tinh phi QL'!$I$29+B8,BHN!$A$2:$C$87,3,0))</f>
        <v>0</v>
      </c>
      <c r="O9" s="370">
        <f>IF($O$4=0,0,IF('Tinh phi QL'!$F$36="Việt Nam",INDEX(TTD!$B$3:$E$102,MATCH('Tinh phi QL'!$I$29+B8,TTD!$A$3:$A$102,0),MATCH('Tinh phi QL'!$G$36,TTD!$B$2:$E$2,0)),IF('Tinh phi QL'!$F$36="Toàn cầu",INDEX(TTD!$F$3:$I$102,MATCH('Tinh phi QL'!$I$29+B8,TTD!$A$3:$A$102,0),MATCH('Tinh phi QL'!$G$36,TTD!$F$2:$I$2,0)))))/1000</f>
        <v>0</v>
      </c>
      <c r="P9" s="370">
        <f>IF($P$4=0,0,INDEX(TTD!$J$3:$M$102,MATCH('Tinh phi QL'!$I$29+B8,TTD!$A$3:$A$102,0),MATCH('Tinh phi QL'!$G$38,TTD!$J$2:$M$2,0)))/1000</f>
        <v>0</v>
      </c>
      <c r="Q9" s="370">
        <f>IF($Q$4=0,0,INDEX(TTD!$N$3:$Q$102,MATCH('Tinh phi QL'!$I$29+B8,TTD!$A$3:$A$102,0),MATCH('Tinh phi QL'!$G$40,TTD!$N$2:$Q$2,0)))/1000</f>
        <v>0</v>
      </c>
      <c r="R9" s="370">
        <f ca="1">'Tinh phi QL'!$G$44/1000000*IF('Tinh phi QL'!$H$30="nam",VLOOKUP('Tinh phi QL'!$I$29+B8,Tuky!$A$2:$C$87,2,0),VLOOKUP('Tinh phi QL'!$I$29+B8,Tuky!$A$2:$C$87,3,0))</f>
        <v>0</v>
      </c>
      <c r="S9" s="370">
        <f>IF('Tinh phi QL'!$G$45=0,0,((SUM(D9:R9)+SUM(T9:AG9))/1000*IF('Tinh phi QL'!$H$30="nam",INDEX(MTPNam!$B$2:$AR$44,MATCH('Tinh phi QL'!$I$29+B8,MTPNam!$A$2:$A$44,0),MATCH('Tinh phi QL'!$E$45-B8,MTPNam!$B$1:$AR$1,0)),IF('Tinh phi QL'!$H$30="nữ",INDEX(MTPNu!$B$2:$AR$44,MATCH('Tinh phi QL'!$I$29+B8,MTPNu!$A$2:$A$44,0),MATCH('Tinh phi QL'!$E$45-B8,MTPNu!$B$1:$AR$1,0))))))</f>
        <v>0</v>
      </c>
      <c r="T9" s="370">
        <f t="shared" si="3"/>
        <v>0</v>
      </c>
      <c r="U9" s="370">
        <f ca="1">VLOOKUP('Tinh phi QL'!$I$49+B8,TCYT!$A$2:$B$60,2,0)*'Tinh phi QL'!$G$54/100000</f>
        <v>0</v>
      </c>
      <c r="V9" s="370">
        <f ca="1">'Tinh phi QL'!$G$55/1000000*IF('Tinh phi QL'!$H$50="nam",VLOOKUP('Tinh phi QL'!$I$49+B8,BHN!$A$2:$C$87,2,0),VLOOKUP('Tinh phi QL'!$I$49+B8,BHN!$A$2:$C$87,3,0))</f>
        <v>0</v>
      </c>
      <c r="W9" s="370">
        <f>IF($W$4=0,0,IF('Tinh phi QL'!$F$56="Việt Nam",INDEX(TTD!$B$3:$E$102,MATCH('Tinh phi QL'!$I$49+B8,TTD!$A$3:$A$102,0),MATCH('Tinh phi QL'!$G$56,TTD!$B$2:$E$2,0)),IF('Tinh phi QL'!$F$56="Toàn cầu",INDEX(TTD!$F$3:$I$102,MATCH('Tinh phi QL'!$I$49+B8,TTD!$A$3:$A$102,0),MATCH('Tinh phi QL'!$G$56,TTD!$F$2:$I$2,0)))))/1000</f>
        <v>0</v>
      </c>
      <c r="X9" s="370">
        <f>IF($X$4=0,0,INDEX(TTD!$J$3:$M$102,MATCH('Tinh phi QL'!$I$49+B8,TTD!$A$3:$A$102,0),MATCH('Tinh phi QL'!$G$58,TTD!$J$2:$M$2,0)))/1000</f>
        <v>0</v>
      </c>
      <c r="Y9" s="370">
        <f>IF($Y$4=0,0,INDEX(TTD!$N$3:$Q$102,MATCH('Tinh phi QL'!$I$49+B8,TTD!$A$3:$A$102,0),MATCH('Tinh phi QL'!$G$60,TTD!$N$2:$Q$2,0)))/1000</f>
        <v>0</v>
      </c>
      <c r="Z9" s="370">
        <f ca="1">'Tinh phi QL'!$G$64/1000000*IF('Tinh phi QL'!$H$50="nam",VLOOKUP('Tinh phi QL'!$I$49+B8,Tuky!$A$2:$C$87,2,0),VLOOKUP('Tinh phi QL'!$I$49+B8,Tuky!$A$2:$C$87,3,0))</f>
        <v>0</v>
      </c>
      <c r="AA9" s="370">
        <f t="shared" si="4"/>
        <v>0</v>
      </c>
      <c r="AB9" s="370">
        <f ca="1">VLOOKUP('Tinh phi QL'!$I$68+B8,TCYT!$A$2:$B$60,2,0)*'Tinh phi QL'!$G$73/100000</f>
        <v>0</v>
      </c>
      <c r="AC9" s="370">
        <f ca="1">'Tinh phi QL'!$G$74/1000000*IF('Tinh phi QL'!$H$69="nam",VLOOKUP('Tinh phi QL'!$I$68+B8,BHN!$A$2:$C$87,2,0),VLOOKUP('Tinh phi QL'!$I$68+B8,BHN!$A$2:$C$87,3,0))</f>
        <v>0</v>
      </c>
      <c r="AD9" s="370">
        <f>IF($AD$4=0,0,IF('Tinh phi QL'!$F$75="Việt Nam",INDEX(TTD!$B$3:$E$102,MATCH('Tinh phi QL'!$I$68+B8,TTD!$A$3:$A$102,0),MATCH('Tinh phi QL'!$G$75,TTD!$B$2:$E$2,0)),IF('Tinh phi QL'!$F$75="Toàn cầu",INDEX(TTD!$F$3:$I$102,MATCH('Tinh phi QL'!$I$68+B8,TTD!$A$3:$A$102,0),MATCH('Tinh phi QL'!$G$75,TTD!$F$2:$I$2,0)))))/1000</f>
        <v>0</v>
      </c>
      <c r="AE9" s="370">
        <f>IF($AE$4=0,0,INDEX(TTD!$J$3:$M$102,MATCH('Tinh phi QL'!$I$68+B8,TTD!$A$3:$A$102,0),MATCH('Tinh phi QL'!$G$77,TTD!$J$2:$M$2,0)))/1000</f>
        <v>0</v>
      </c>
      <c r="AF9" s="370">
        <f>IF($AF$4=0,0,INDEX(TTD!$N$3:$Q$102,MATCH('Tinh phi QL'!$I$68+B8,TTD!$A$3:$A$102,0),MATCH('Tinh phi QL'!$G$79,TTD!$N$2:$Q$2,0)))/1000</f>
        <v>0</v>
      </c>
      <c r="AG9" s="370">
        <f ca="1">'Tinh phi QL'!$G$83/1000000*IF('Tinh phi QL'!$H$69="nam",VLOOKUP('Tinh phi QL'!$I$68+B8,Tuky!$A$2:$C$87,2,0),VLOOKUP('Tinh phi QL'!$I$68+B8,Tuky!$A$2:$C$87,3,0))</f>
        <v>0</v>
      </c>
      <c r="AH9" s="371">
        <f t="shared" ca="1" si="0"/>
        <v>17495</v>
      </c>
      <c r="AI9" s="609">
        <f t="shared" ca="1" si="5"/>
        <v>40350</v>
      </c>
    </row>
    <row r="10" spans="2:35">
      <c r="B10" s="368">
        <v>7</v>
      </c>
      <c r="C10" s="368">
        <f>IF(ROW(A7)&gt;'Tinh phi QL'!$D$13,"",ROW(A7))</f>
        <v>7</v>
      </c>
      <c r="D10" s="369">
        <f>IF(IFERROR(--TRIM(C10),0)=0,0,'Tinh phi QL'!$H$13/1000)</f>
        <v>10000</v>
      </c>
      <c r="E10" s="370">
        <f t="shared" si="1"/>
        <v>2270</v>
      </c>
      <c r="F10" s="370">
        <f ca="1">VLOOKUP('Tinh phi QL'!$I$8+B9,TCYT!$A$2:$B$60,2,0)*'Tinh phi QL'!$G$15/100000</f>
        <v>0</v>
      </c>
      <c r="G10" s="370">
        <f ca="1">'Tinh phi QL'!$G$16/1000000*IF('Tinh phi QL'!$H$9="nam",VLOOKUP('Tinh phi QL'!$I$8+B9,BHN!$A$2:$C$87,2,0),VLOOKUP('Tinh phi QL'!$I$8+B9,BHN!$A$2:$C$87,3,0))</f>
        <v>1002</v>
      </c>
      <c r="H10" s="370">
        <f ca="1">IF($H$4=0,0,IF('Tinh phi QL'!$F$17="Việt Nam",INDEX(TTD!$B$3:$E$102,MATCH('Tinh phi QL'!$I$8+B9,TTD!$A$3:$A$102,0),MATCH('Tinh phi QL'!$G$17,TTD!$B$2:$E$2,0)),IF('Tinh phi QL'!$F$17="Toàn cầu",INDEX(TTD!$F$3:$I$102,MATCH('Tinh phi QL'!$I$8+B9,TTD!$A$3:$A$102,0),MATCH('Tinh phi QL'!$G$17,TTD!$F$2:$I$2,0)))))/1000</f>
        <v>4223</v>
      </c>
      <c r="I10" s="370">
        <f>IF($I$4=0,0,INDEX(TTD!$J$3:$M$102,MATCH('Tinh phi QL'!$I$8+B9,TTD!$A$3:$A$102,0),MATCH('Tinh phi QL'!$G$19,TTD!$J$2:$M$2,0)))/1000</f>
        <v>0</v>
      </c>
      <c r="J10" s="370">
        <f>IF($J$4=0,0,INDEX(TTD!$N$3:$Q$102,MATCH('Tinh phi QL'!$I$8+B9,TTD!$A$3:$A$102,0),MATCH('Tinh phi QL'!$G$21,TTD!$N$2:$Q$2,0)))/1000</f>
        <v>0</v>
      </c>
      <c r="K10" s="370">
        <f ca="1">'Tinh phi QL'!$G$25/1000000*IF('Tinh phi QL'!$H$9="nam",VLOOKUP('Tinh phi QL'!$I$8+B9,Tuky!$A$2:$C$87,2,0),VLOOKUP('Tinh phi QL'!$I$8+B9,Tuky!$A$2:$C$87,3,0))</f>
        <v>0</v>
      </c>
      <c r="L10" s="370">
        <f t="shared" si="2"/>
        <v>0</v>
      </c>
      <c r="M10" s="370">
        <f ca="1">VLOOKUP('Tinh phi QL'!$I$29+B9,TCYT!$A$2:$B$60,2,0)*'Tinh phi QL'!$G$34/100000</f>
        <v>0</v>
      </c>
      <c r="N10" s="370">
        <f ca="1">'Tinh phi QL'!$G$35/1000000*IF('Tinh phi QL'!$H$30="nam",VLOOKUP('Tinh phi QL'!$I$29+B9,BHN!$A$2:$C$87,2,0),VLOOKUP('Tinh phi QL'!$I$29+B9,BHN!$A$2:$C$87,3,0))</f>
        <v>0</v>
      </c>
      <c r="O10" s="370">
        <f>IF($O$4=0,0,IF('Tinh phi QL'!$F$36="Việt Nam",INDEX(TTD!$B$3:$E$102,MATCH('Tinh phi QL'!$I$29+B9,TTD!$A$3:$A$102,0),MATCH('Tinh phi QL'!$G$36,TTD!$B$2:$E$2,0)),IF('Tinh phi QL'!$F$36="Toàn cầu",INDEX(TTD!$F$3:$I$102,MATCH('Tinh phi QL'!$I$29+B9,TTD!$A$3:$A$102,0),MATCH('Tinh phi QL'!$G$36,TTD!$F$2:$I$2,0)))))/1000</f>
        <v>0</v>
      </c>
      <c r="P10" s="370">
        <f>IF($P$4=0,0,INDEX(TTD!$J$3:$M$102,MATCH('Tinh phi QL'!$I$29+B9,TTD!$A$3:$A$102,0),MATCH('Tinh phi QL'!$G$38,TTD!$J$2:$M$2,0)))/1000</f>
        <v>0</v>
      </c>
      <c r="Q10" s="370">
        <f>IF($Q$4=0,0,INDEX(TTD!$N$3:$Q$102,MATCH('Tinh phi QL'!$I$29+B9,TTD!$A$3:$A$102,0),MATCH('Tinh phi QL'!$G$40,TTD!$N$2:$Q$2,0)))/1000</f>
        <v>0</v>
      </c>
      <c r="R10" s="370">
        <f ca="1">'Tinh phi QL'!$G$44/1000000*IF('Tinh phi QL'!$H$30="nam",VLOOKUP('Tinh phi QL'!$I$29+B9,Tuky!$A$2:$C$87,2,0),VLOOKUP('Tinh phi QL'!$I$29+B9,Tuky!$A$2:$C$87,3,0))</f>
        <v>0</v>
      </c>
      <c r="S10" s="370">
        <f>IF('Tinh phi QL'!$G$45=0,0,((SUM(D10:R10)+SUM(T10:AG10))/1000*IF('Tinh phi QL'!$H$30="nam",INDEX(MTPNam!$B$2:$AR$44,MATCH('Tinh phi QL'!$I$29+B9,MTPNam!$A$2:$A$44,0),MATCH('Tinh phi QL'!$E$45-B9,MTPNam!$B$1:$AR$1,0)),IF('Tinh phi QL'!$H$30="nữ",INDEX(MTPNu!$B$2:$AR$44,MATCH('Tinh phi QL'!$I$29+B9,MTPNu!$A$2:$A$44,0),MATCH('Tinh phi QL'!$E$45-B9,MTPNu!$B$1:$AR$1,0))))))</f>
        <v>0</v>
      </c>
      <c r="T10" s="370">
        <f t="shared" si="3"/>
        <v>0</v>
      </c>
      <c r="U10" s="370">
        <f ca="1">VLOOKUP('Tinh phi QL'!$I$49+B9,TCYT!$A$2:$B$60,2,0)*'Tinh phi QL'!$G$54/100000</f>
        <v>0</v>
      </c>
      <c r="V10" s="370">
        <f ca="1">'Tinh phi QL'!$G$55/1000000*IF('Tinh phi QL'!$H$50="nam",VLOOKUP('Tinh phi QL'!$I$49+B9,BHN!$A$2:$C$87,2,0),VLOOKUP('Tinh phi QL'!$I$49+B9,BHN!$A$2:$C$87,3,0))</f>
        <v>0</v>
      </c>
      <c r="W10" s="370">
        <f>IF($W$4=0,0,IF('Tinh phi QL'!$F$56="Việt Nam",INDEX(TTD!$B$3:$E$102,MATCH('Tinh phi QL'!$I$49+B9,TTD!$A$3:$A$102,0),MATCH('Tinh phi QL'!$G$56,TTD!$B$2:$E$2,0)),IF('Tinh phi QL'!$F$56="Toàn cầu",INDEX(TTD!$F$3:$I$102,MATCH('Tinh phi QL'!$I$49+B9,TTD!$A$3:$A$102,0),MATCH('Tinh phi QL'!$G$56,TTD!$F$2:$I$2,0)))))/1000</f>
        <v>0</v>
      </c>
      <c r="X10" s="370">
        <f>IF($X$4=0,0,INDEX(TTD!$J$3:$M$102,MATCH('Tinh phi QL'!$I$49+B9,TTD!$A$3:$A$102,0),MATCH('Tinh phi QL'!$G$58,TTD!$J$2:$M$2,0)))/1000</f>
        <v>0</v>
      </c>
      <c r="Y10" s="370">
        <f>IF($Y$4=0,0,INDEX(TTD!$N$3:$Q$102,MATCH('Tinh phi QL'!$I$49+B9,TTD!$A$3:$A$102,0),MATCH('Tinh phi QL'!$G$60,TTD!$N$2:$Q$2,0)))/1000</f>
        <v>0</v>
      </c>
      <c r="Z10" s="370">
        <f ca="1">'Tinh phi QL'!$G$64/1000000*IF('Tinh phi QL'!$H$50="nam",VLOOKUP('Tinh phi QL'!$I$49+B9,Tuky!$A$2:$C$87,2,0),VLOOKUP('Tinh phi QL'!$I$49+B9,Tuky!$A$2:$C$87,3,0))</f>
        <v>0</v>
      </c>
      <c r="AA10" s="370">
        <f t="shared" si="4"/>
        <v>0</v>
      </c>
      <c r="AB10" s="370">
        <f ca="1">VLOOKUP('Tinh phi QL'!$I$68+B9,TCYT!$A$2:$B$60,2,0)*'Tinh phi QL'!$G$73/100000</f>
        <v>0</v>
      </c>
      <c r="AC10" s="370">
        <f ca="1">'Tinh phi QL'!$G$74/1000000*IF('Tinh phi QL'!$H$69="nam",VLOOKUP('Tinh phi QL'!$I$68+B9,BHN!$A$2:$C$87,2,0),VLOOKUP('Tinh phi QL'!$I$68+B9,BHN!$A$2:$C$87,3,0))</f>
        <v>0</v>
      </c>
      <c r="AD10" s="370">
        <f>IF($AD$4=0,0,IF('Tinh phi QL'!$F$75="Việt Nam",INDEX(TTD!$B$3:$E$102,MATCH('Tinh phi QL'!$I$68+B9,TTD!$A$3:$A$102,0),MATCH('Tinh phi QL'!$G$75,TTD!$B$2:$E$2,0)),IF('Tinh phi QL'!$F$75="Toàn cầu",INDEX(TTD!$F$3:$I$102,MATCH('Tinh phi QL'!$I$68+B9,TTD!$A$3:$A$102,0),MATCH('Tinh phi QL'!$G$75,TTD!$F$2:$I$2,0)))))/1000</f>
        <v>0</v>
      </c>
      <c r="AE10" s="370">
        <f>IF($AE$4=0,0,INDEX(TTD!$J$3:$M$102,MATCH('Tinh phi QL'!$I$68+B9,TTD!$A$3:$A$102,0),MATCH('Tinh phi QL'!$G$77,TTD!$J$2:$M$2,0)))/1000</f>
        <v>0</v>
      </c>
      <c r="AF10" s="370">
        <f>IF($AF$4=0,0,INDEX(TTD!$N$3:$Q$102,MATCH('Tinh phi QL'!$I$68+B9,TTD!$A$3:$A$102,0),MATCH('Tinh phi QL'!$G$79,TTD!$N$2:$Q$2,0)))/1000</f>
        <v>0</v>
      </c>
      <c r="AG10" s="370">
        <f ca="1">'Tinh phi QL'!$G$83/1000000*IF('Tinh phi QL'!$H$69="nam",VLOOKUP('Tinh phi QL'!$I$68+B9,Tuky!$A$2:$C$87,2,0),VLOOKUP('Tinh phi QL'!$I$68+B9,Tuky!$A$2:$C$87,3,0))</f>
        <v>0</v>
      </c>
      <c r="AH10" s="371">
        <f t="shared" ca="1" si="0"/>
        <v>17495</v>
      </c>
      <c r="AI10" s="609">
        <f t="shared" ca="1" si="5"/>
        <v>47845</v>
      </c>
    </row>
    <row r="11" spans="2:35">
      <c r="B11" s="368">
        <v>8</v>
      </c>
      <c r="C11" s="368">
        <f>IF(ROW(A8)&gt;'Tinh phi QL'!$D$13,"",ROW(A8))</f>
        <v>8</v>
      </c>
      <c r="D11" s="369">
        <f>IF(IFERROR(--TRIM(C11),0)=0,0,'Tinh phi QL'!$H$13/1000)</f>
        <v>10000</v>
      </c>
      <c r="E11" s="370">
        <f t="shared" si="1"/>
        <v>2270</v>
      </c>
      <c r="F11" s="370">
        <f ca="1">VLOOKUP('Tinh phi QL'!$I$8+B10,TCYT!$A$2:$B$60,2,0)*'Tinh phi QL'!$G$15/100000</f>
        <v>0</v>
      </c>
      <c r="G11" s="370">
        <f ca="1">'Tinh phi QL'!$G$16/1000000*IF('Tinh phi QL'!$H$9="nam",VLOOKUP('Tinh phi QL'!$I$8+B10,BHN!$A$2:$C$87,2,0),VLOOKUP('Tinh phi QL'!$I$8+B10,BHN!$A$2:$C$87,3,0))</f>
        <v>1002</v>
      </c>
      <c r="H11" s="370">
        <f ca="1">IF($H$4=0,0,IF('Tinh phi QL'!$F$17="Việt Nam",INDEX(TTD!$B$3:$E$102,MATCH('Tinh phi QL'!$I$8+B10,TTD!$A$3:$A$102,0),MATCH('Tinh phi QL'!$G$17,TTD!$B$2:$E$2,0)),IF('Tinh phi QL'!$F$17="Toàn cầu",INDEX(TTD!$F$3:$I$102,MATCH('Tinh phi QL'!$I$8+B10,TTD!$A$3:$A$102,0),MATCH('Tinh phi QL'!$G$17,TTD!$F$2:$I$2,0)))))/1000</f>
        <v>4223</v>
      </c>
      <c r="I11" s="370">
        <f>IF($I$4=0,0,INDEX(TTD!$J$3:$M$102,MATCH('Tinh phi QL'!$I$8+B10,TTD!$A$3:$A$102,0),MATCH('Tinh phi QL'!$G$19,TTD!$J$2:$M$2,0)))/1000</f>
        <v>0</v>
      </c>
      <c r="J11" s="370">
        <f>IF($J$4=0,0,INDEX(TTD!$N$3:$Q$102,MATCH('Tinh phi QL'!$I$8+B10,TTD!$A$3:$A$102,0),MATCH('Tinh phi QL'!$G$21,TTD!$N$2:$Q$2,0)))/1000</f>
        <v>0</v>
      </c>
      <c r="K11" s="370">
        <f ca="1">'Tinh phi QL'!$G$25/1000000*IF('Tinh phi QL'!$H$9="nam",VLOOKUP('Tinh phi QL'!$I$8+B10,Tuky!$A$2:$C$87,2,0),VLOOKUP('Tinh phi QL'!$I$8+B10,Tuky!$A$2:$C$87,3,0))</f>
        <v>0</v>
      </c>
      <c r="L11" s="370">
        <f t="shared" si="2"/>
        <v>0</v>
      </c>
      <c r="M11" s="370">
        <f ca="1">VLOOKUP('Tinh phi QL'!$I$29+B10,TCYT!$A$2:$B$60,2,0)*'Tinh phi QL'!$G$34/100000</f>
        <v>0</v>
      </c>
      <c r="N11" s="370">
        <f ca="1">'Tinh phi QL'!$G$35/1000000*IF('Tinh phi QL'!$H$30="nam",VLOOKUP('Tinh phi QL'!$I$29+B10,BHN!$A$2:$C$87,2,0),VLOOKUP('Tinh phi QL'!$I$29+B10,BHN!$A$2:$C$87,3,0))</f>
        <v>0</v>
      </c>
      <c r="O11" s="370">
        <f>IF($O$4=0,0,IF('Tinh phi QL'!$F$36="Việt Nam",INDEX(TTD!$B$3:$E$102,MATCH('Tinh phi QL'!$I$29+B10,TTD!$A$3:$A$102,0),MATCH('Tinh phi QL'!$G$36,TTD!$B$2:$E$2,0)),IF('Tinh phi QL'!$F$36="Toàn cầu",INDEX(TTD!$F$3:$I$102,MATCH('Tinh phi QL'!$I$29+B10,TTD!$A$3:$A$102,0),MATCH('Tinh phi QL'!$G$36,TTD!$F$2:$I$2,0)))))/1000</f>
        <v>0</v>
      </c>
      <c r="P11" s="370">
        <f>IF($P$4=0,0,INDEX(TTD!$J$3:$M$102,MATCH('Tinh phi QL'!$I$29+B10,TTD!$A$3:$A$102,0),MATCH('Tinh phi QL'!$G$38,TTD!$J$2:$M$2,0)))/1000</f>
        <v>0</v>
      </c>
      <c r="Q11" s="370">
        <f>IF($Q$4=0,0,INDEX(TTD!$N$3:$Q$102,MATCH('Tinh phi QL'!$I$29+B10,TTD!$A$3:$A$102,0),MATCH('Tinh phi QL'!$G$40,TTD!$N$2:$Q$2,0)))/1000</f>
        <v>0</v>
      </c>
      <c r="R11" s="370">
        <f ca="1">'Tinh phi QL'!$G$44/1000000*IF('Tinh phi QL'!$H$30="nam",VLOOKUP('Tinh phi QL'!$I$29+B10,Tuky!$A$2:$C$87,2,0),VLOOKUP('Tinh phi QL'!$I$29+B10,Tuky!$A$2:$C$87,3,0))</f>
        <v>0</v>
      </c>
      <c r="S11" s="370">
        <f>IF('Tinh phi QL'!$G$45=0,0,((SUM(D11:R11)+SUM(T11:AG11))/1000*IF('Tinh phi QL'!$H$30="nam",INDEX(MTPNam!$B$2:$AR$44,MATCH('Tinh phi QL'!$I$29+B10,MTPNam!$A$2:$A$44,0),MATCH('Tinh phi QL'!$E$45-B10,MTPNam!$B$1:$AR$1,0)),IF('Tinh phi QL'!$H$30="nữ",INDEX(MTPNu!$B$2:$AR$44,MATCH('Tinh phi QL'!$I$29+B10,MTPNu!$A$2:$A$44,0),MATCH('Tinh phi QL'!$E$45-B10,MTPNu!$B$1:$AR$1,0))))))</f>
        <v>0</v>
      </c>
      <c r="T11" s="370">
        <f t="shared" si="3"/>
        <v>0</v>
      </c>
      <c r="U11" s="370">
        <f ca="1">VLOOKUP('Tinh phi QL'!$I$49+B10,TCYT!$A$2:$B$60,2,0)*'Tinh phi QL'!$G$54/100000</f>
        <v>0</v>
      </c>
      <c r="V11" s="370">
        <f ca="1">'Tinh phi QL'!$G$55/1000000*IF('Tinh phi QL'!$H$50="nam",VLOOKUP('Tinh phi QL'!$I$49+B10,BHN!$A$2:$C$87,2,0),VLOOKUP('Tinh phi QL'!$I$49+B10,BHN!$A$2:$C$87,3,0))</f>
        <v>0</v>
      </c>
      <c r="W11" s="370">
        <f>IF($W$4=0,0,IF('Tinh phi QL'!$F$56="Việt Nam",INDEX(TTD!$B$3:$E$102,MATCH('Tinh phi QL'!$I$49+B10,TTD!$A$3:$A$102,0),MATCH('Tinh phi QL'!$G$56,TTD!$B$2:$E$2,0)),IF('Tinh phi QL'!$F$56="Toàn cầu",INDEX(TTD!$F$3:$I$102,MATCH('Tinh phi QL'!$I$49+B10,TTD!$A$3:$A$102,0),MATCH('Tinh phi QL'!$G$56,TTD!$F$2:$I$2,0)))))/1000</f>
        <v>0</v>
      </c>
      <c r="X11" s="370">
        <f>IF($X$4=0,0,INDEX(TTD!$J$3:$M$102,MATCH('Tinh phi QL'!$I$49+B10,TTD!$A$3:$A$102,0),MATCH('Tinh phi QL'!$G$58,TTD!$J$2:$M$2,0)))/1000</f>
        <v>0</v>
      </c>
      <c r="Y11" s="370">
        <f>IF($Y$4=0,0,INDEX(TTD!$N$3:$Q$102,MATCH('Tinh phi QL'!$I$49+B10,TTD!$A$3:$A$102,0),MATCH('Tinh phi QL'!$G$60,TTD!$N$2:$Q$2,0)))/1000</f>
        <v>0</v>
      </c>
      <c r="Z11" s="370">
        <f ca="1">'Tinh phi QL'!$G$64/1000000*IF('Tinh phi QL'!$H$50="nam",VLOOKUP('Tinh phi QL'!$I$49+B10,Tuky!$A$2:$C$87,2,0),VLOOKUP('Tinh phi QL'!$I$49+B10,Tuky!$A$2:$C$87,3,0))</f>
        <v>0</v>
      </c>
      <c r="AA11" s="370">
        <f t="shared" si="4"/>
        <v>0</v>
      </c>
      <c r="AB11" s="370">
        <f ca="1">VLOOKUP('Tinh phi QL'!$I$68+B10,TCYT!$A$2:$B$60,2,0)*'Tinh phi QL'!$G$73/100000</f>
        <v>0</v>
      </c>
      <c r="AC11" s="370">
        <f ca="1">'Tinh phi QL'!$G$74/1000000*IF('Tinh phi QL'!$H$69="nam",VLOOKUP('Tinh phi QL'!$I$68+B10,BHN!$A$2:$C$87,2,0),VLOOKUP('Tinh phi QL'!$I$68+B10,BHN!$A$2:$C$87,3,0))</f>
        <v>0</v>
      </c>
      <c r="AD11" s="370">
        <f>IF($AD$4=0,0,IF('Tinh phi QL'!$F$75="Việt Nam",INDEX(TTD!$B$3:$E$102,MATCH('Tinh phi QL'!$I$68+B10,TTD!$A$3:$A$102,0),MATCH('Tinh phi QL'!$G$75,TTD!$B$2:$E$2,0)),IF('Tinh phi QL'!$F$75="Toàn cầu",INDEX(TTD!$F$3:$I$102,MATCH('Tinh phi QL'!$I$68+B10,TTD!$A$3:$A$102,0),MATCH('Tinh phi QL'!$G$75,TTD!$F$2:$I$2,0)))))/1000</f>
        <v>0</v>
      </c>
      <c r="AE11" s="370">
        <f>IF($AE$4=0,0,INDEX(TTD!$J$3:$M$102,MATCH('Tinh phi QL'!$I$68+B10,TTD!$A$3:$A$102,0),MATCH('Tinh phi QL'!$G$77,TTD!$J$2:$M$2,0)))/1000</f>
        <v>0</v>
      </c>
      <c r="AF11" s="370">
        <f>IF($AF$4=0,0,INDEX(TTD!$N$3:$Q$102,MATCH('Tinh phi QL'!$I$68+B10,TTD!$A$3:$A$102,0),MATCH('Tinh phi QL'!$G$79,TTD!$N$2:$Q$2,0)))/1000</f>
        <v>0</v>
      </c>
      <c r="AG11" s="370">
        <f ca="1">'Tinh phi QL'!$G$83/1000000*IF('Tinh phi QL'!$H$69="nam",VLOOKUP('Tinh phi QL'!$I$68+B10,Tuky!$A$2:$C$87,2,0),VLOOKUP('Tinh phi QL'!$I$68+B10,Tuky!$A$2:$C$87,3,0))</f>
        <v>0</v>
      </c>
      <c r="AH11" s="371">
        <f t="shared" ca="1" si="0"/>
        <v>17495</v>
      </c>
      <c r="AI11" s="609">
        <f t="shared" ca="1" si="5"/>
        <v>55340</v>
      </c>
    </row>
    <row r="12" spans="2:35">
      <c r="B12" s="368">
        <v>9</v>
      </c>
      <c r="C12" s="368">
        <f>IF(ROW(A9)&gt;'Tinh phi QL'!$D$13,"",ROW(A9))</f>
        <v>9</v>
      </c>
      <c r="D12" s="369">
        <f>IF(IFERROR(--TRIM(C12),0)=0,0,'Tinh phi QL'!$H$13/1000)</f>
        <v>10000</v>
      </c>
      <c r="E12" s="370">
        <f t="shared" si="1"/>
        <v>2270</v>
      </c>
      <c r="F12" s="370">
        <f ca="1">VLOOKUP('Tinh phi QL'!$I$8+B11,TCYT!$A$2:$B$60,2,0)*'Tinh phi QL'!$G$15/100000</f>
        <v>0</v>
      </c>
      <c r="G12" s="370">
        <f ca="1">'Tinh phi QL'!$G$16/1000000*IF('Tinh phi QL'!$H$9="nam",VLOOKUP('Tinh phi QL'!$I$8+B11,BHN!$A$2:$C$87,2,0),VLOOKUP('Tinh phi QL'!$I$8+B11,BHN!$A$2:$C$87,3,0))</f>
        <v>1002</v>
      </c>
      <c r="H12" s="370">
        <f ca="1">IF($H$4=0,0,IF('Tinh phi QL'!$F$17="Việt Nam",INDEX(TTD!$B$3:$E$102,MATCH('Tinh phi QL'!$I$8+B11,TTD!$A$3:$A$102,0),MATCH('Tinh phi QL'!$G$17,TTD!$B$2:$E$2,0)),IF('Tinh phi QL'!$F$17="Toàn cầu",INDEX(TTD!$F$3:$I$102,MATCH('Tinh phi QL'!$I$8+B11,TTD!$A$3:$A$102,0),MATCH('Tinh phi QL'!$G$17,TTD!$F$2:$I$2,0)))))/1000</f>
        <v>4223</v>
      </c>
      <c r="I12" s="370">
        <f>IF($I$4=0,0,INDEX(TTD!$J$3:$M$102,MATCH('Tinh phi QL'!$I$8+B11,TTD!$A$3:$A$102,0),MATCH('Tinh phi QL'!$G$19,TTD!$J$2:$M$2,0)))/1000</f>
        <v>0</v>
      </c>
      <c r="J12" s="370">
        <f>IF($J$4=0,0,INDEX(TTD!$N$3:$Q$102,MATCH('Tinh phi QL'!$I$8+B11,TTD!$A$3:$A$102,0),MATCH('Tinh phi QL'!$G$21,TTD!$N$2:$Q$2,0)))/1000</f>
        <v>0</v>
      </c>
      <c r="K12" s="370">
        <f ca="1">'Tinh phi QL'!$G$25/1000000*IF('Tinh phi QL'!$H$9="nam",VLOOKUP('Tinh phi QL'!$I$8+B11,Tuky!$A$2:$C$87,2,0),VLOOKUP('Tinh phi QL'!$I$8+B11,Tuky!$A$2:$C$87,3,0))</f>
        <v>0</v>
      </c>
      <c r="L12" s="370">
        <f t="shared" si="2"/>
        <v>0</v>
      </c>
      <c r="M12" s="370">
        <f ca="1">VLOOKUP('Tinh phi QL'!$I$29+B11,TCYT!$A$2:$B$60,2,0)*'Tinh phi QL'!$G$34/100000</f>
        <v>0</v>
      </c>
      <c r="N12" s="370">
        <f ca="1">'Tinh phi QL'!$G$35/1000000*IF('Tinh phi QL'!$H$30="nam",VLOOKUP('Tinh phi QL'!$I$29+B11,BHN!$A$2:$C$87,2,0),VLOOKUP('Tinh phi QL'!$I$29+B11,BHN!$A$2:$C$87,3,0))</f>
        <v>0</v>
      </c>
      <c r="O12" s="370">
        <f>IF($O$4=0,0,IF('Tinh phi QL'!$F$36="Việt Nam",INDEX(TTD!$B$3:$E$102,MATCH('Tinh phi QL'!$I$29+B11,TTD!$A$3:$A$102,0),MATCH('Tinh phi QL'!$G$36,TTD!$B$2:$E$2,0)),IF('Tinh phi QL'!$F$36="Toàn cầu",INDEX(TTD!$F$3:$I$102,MATCH('Tinh phi QL'!$I$29+B11,TTD!$A$3:$A$102,0),MATCH('Tinh phi QL'!$G$36,TTD!$F$2:$I$2,0)))))/1000</f>
        <v>0</v>
      </c>
      <c r="P12" s="370">
        <f>IF($P$4=0,0,INDEX(TTD!$J$3:$M$102,MATCH('Tinh phi QL'!$I$29+B11,TTD!$A$3:$A$102,0),MATCH('Tinh phi QL'!$G$38,TTD!$J$2:$M$2,0)))/1000</f>
        <v>0</v>
      </c>
      <c r="Q12" s="370">
        <f>IF($Q$4=0,0,INDEX(TTD!$N$3:$Q$102,MATCH('Tinh phi QL'!$I$29+B11,TTD!$A$3:$A$102,0),MATCH('Tinh phi QL'!$G$40,TTD!$N$2:$Q$2,0)))/1000</f>
        <v>0</v>
      </c>
      <c r="R12" s="370">
        <f ca="1">'Tinh phi QL'!$G$44/1000000*IF('Tinh phi QL'!$H$30="nam",VLOOKUP('Tinh phi QL'!$I$29+B11,Tuky!$A$2:$C$87,2,0),VLOOKUP('Tinh phi QL'!$I$29+B11,Tuky!$A$2:$C$87,3,0))</f>
        <v>0</v>
      </c>
      <c r="S12" s="370">
        <f>IF('Tinh phi QL'!$G$45=0,0,((SUM(D12:R12)+SUM(T12:AG12))/1000*IF('Tinh phi QL'!$H$30="nam",INDEX(MTPNam!$B$2:$AR$44,MATCH('Tinh phi QL'!$I$29+B11,MTPNam!$A$2:$A$44,0),MATCH('Tinh phi QL'!$E$45-B11,MTPNam!$B$1:$AR$1,0)),IF('Tinh phi QL'!$H$30="nữ",INDEX(MTPNu!$B$2:$AR$44,MATCH('Tinh phi QL'!$I$29+B11,MTPNu!$A$2:$A$44,0),MATCH('Tinh phi QL'!$E$45-B11,MTPNu!$B$1:$AR$1,0))))))</f>
        <v>0</v>
      </c>
      <c r="T12" s="370">
        <f t="shared" si="3"/>
        <v>0</v>
      </c>
      <c r="U12" s="370">
        <f ca="1">VLOOKUP('Tinh phi QL'!$I$49+B11,TCYT!$A$2:$B$60,2,0)*'Tinh phi QL'!$G$54/100000</f>
        <v>0</v>
      </c>
      <c r="V12" s="370">
        <f ca="1">'Tinh phi QL'!$G$55/1000000*IF('Tinh phi QL'!$H$50="nam",VLOOKUP('Tinh phi QL'!$I$49+B11,BHN!$A$2:$C$87,2,0),VLOOKUP('Tinh phi QL'!$I$49+B11,BHN!$A$2:$C$87,3,0))</f>
        <v>0</v>
      </c>
      <c r="W12" s="370">
        <f>IF($W$4=0,0,IF('Tinh phi QL'!$F$56="Việt Nam",INDEX(TTD!$B$3:$E$102,MATCH('Tinh phi QL'!$I$49+B11,TTD!$A$3:$A$102,0),MATCH('Tinh phi QL'!$G$56,TTD!$B$2:$E$2,0)),IF('Tinh phi QL'!$F$56="Toàn cầu",INDEX(TTD!$F$3:$I$102,MATCH('Tinh phi QL'!$I$49+B11,TTD!$A$3:$A$102,0),MATCH('Tinh phi QL'!$G$56,TTD!$F$2:$I$2,0)))))/1000</f>
        <v>0</v>
      </c>
      <c r="X12" s="370">
        <f>IF($X$4=0,0,INDEX(TTD!$J$3:$M$102,MATCH('Tinh phi QL'!$I$49+B11,TTD!$A$3:$A$102,0),MATCH('Tinh phi QL'!$G$58,TTD!$J$2:$M$2,0)))/1000</f>
        <v>0</v>
      </c>
      <c r="Y12" s="370">
        <f>IF($Y$4=0,0,INDEX(TTD!$N$3:$Q$102,MATCH('Tinh phi QL'!$I$49+B11,TTD!$A$3:$A$102,0),MATCH('Tinh phi QL'!$G$60,TTD!$N$2:$Q$2,0)))/1000</f>
        <v>0</v>
      </c>
      <c r="Z12" s="370">
        <f ca="1">'Tinh phi QL'!$G$64/1000000*IF('Tinh phi QL'!$H$50="nam",VLOOKUP('Tinh phi QL'!$I$49+B11,Tuky!$A$2:$C$87,2,0),VLOOKUP('Tinh phi QL'!$I$49+B11,Tuky!$A$2:$C$87,3,0))</f>
        <v>0</v>
      </c>
      <c r="AA12" s="370">
        <f t="shared" si="4"/>
        <v>0</v>
      </c>
      <c r="AB12" s="370">
        <f ca="1">VLOOKUP('Tinh phi QL'!$I$68+B11,TCYT!$A$2:$B$60,2,0)*'Tinh phi QL'!$G$73/100000</f>
        <v>0</v>
      </c>
      <c r="AC12" s="370">
        <f ca="1">'Tinh phi QL'!$G$74/1000000*IF('Tinh phi QL'!$H$69="nam",VLOOKUP('Tinh phi QL'!$I$68+B11,BHN!$A$2:$C$87,2,0),VLOOKUP('Tinh phi QL'!$I$68+B11,BHN!$A$2:$C$87,3,0))</f>
        <v>0</v>
      </c>
      <c r="AD12" s="370">
        <f>IF($AD$4=0,0,IF('Tinh phi QL'!$F$75="Việt Nam",INDEX(TTD!$B$3:$E$102,MATCH('Tinh phi QL'!$I$68+B11,TTD!$A$3:$A$102,0),MATCH('Tinh phi QL'!$G$75,TTD!$B$2:$E$2,0)),IF('Tinh phi QL'!$F$75="Toàn cầu",INDEX(TTD!$F$3:$I$102,MATCH('Tinh phi QL'!$I$68+B11,TTD!$A$3:$A$102,0),MATCH('Tinh phi QL'!$G$75,TTD!$F$2:$I$2,0)))))/1000</f>
        <v>0</v>
      </c>
      <c r="AE12" s="370">
        <f>IF($AE$4=0,0,INDEX(TTD!$J$3:$M$102,MATCH('Tinh phi QL'!$I$68+B11,TTD!$A$3:$A$102,0),MATCH('Tinh phi QL'!$G$77,TTD!$J$2:$M$2,0)))/1000</f>
        <v>0</v>
      </c>
      <c r="AF12" s="370">
        <f>IF($AF$4=0,0,INDEX(TTD!$N$3:$Q$102,MATCH('Tinh phi QL'!$I$68+B11,TTD!$A$3:$A$102,0),MATCH('Tinh phi QL'!$G$79,TTD!$N$2:$Q$2,0)))/1000</f>
        <v>0</v>
      </c>
      <c r="AG12" s="370">
        <f ca="1">'Tinh phi QL'!$G$83/1000000*IF('Tinh phi QL'!$H$69="nam",VLOOKUP('Tinh phi QL'!$I$68+B11,Tuky!$A$2:$C$87,2,0),VLOOKUP('Tinh phi QL'!$I$68+B11,Tuky!$A$2:$C$87,3,0))</f>
        <v>0</v>
      </c>
      <c r="AH12" s="371">
        <f t="shared" ca="1" si="0"/>
        <v>17495</v>
      </c>
      <c r="AI12" s="609">
        <f t="shared" ca="1" si="5"/>
        <v>62835</v>
      </c>
    </row>
    <row r="13" spans="2:35">
      <c r="B13" s="368">
        <v>10</v>
      </c>
      <c r="C13" s="368">
        <f>IF(ROW(A10)&gt;'Tinh phi QL'!$D$13,"",ROW(A10))</f>
        <v>10</v>
      </c>
      <c r="D13" s="369">
        <f>IF(IFERROR(--TRIM(C13),0)=0,0,'Tinh phi QL'!$H$13/1000)</f>
        <v>10000</v>
      </c>
      <c r="E13" s="370">
        <f t="shared" si="1"/>
        <v>2270</v>
      </c>
      <c r="F13" s="370">
        <f ca="1">VLOOKUP('Tinh phi QL'!$I$8+B12,TCYT!$A$2:$B$60,2,0)*'Tinh phi QL'!$G$15/100000</f>
        <v>0</v>
      </c>
      <c r="G13" s="370">
        <f ca="1">'Tinh phi QL'!$G$16/1000000*IF('Tinh phi QL'!$H$9="nam",VLOOKUP('Tinh phi QL'!$I$8+B12,BHN!$A$2:$C$87,2,0),VLOOKUP('Tinh phi QL'!$I$8+B12,BHN!$A$2:$C$87,3,0))</f>
        <v>1002</v>
      </c>
      <c r="H13" s="370">
        <f ca="1">IF($H$4=0,0,IF('Tinh phi QL'!$F$17="Việt Nam",INDEX(TTD!$B$3:$E$102,MATCH('Tinh phi QL'!$I$8+B12,TTD!$A$3:$A$102,0),MATCH('Tinh phi QL'!$G$17,TTD!$B$2:$E$2,0)),IF('Tinh phi QL'!$F$17="Toàn cầu",INDEX(TTD!$F$3:$I$102,MATCH('Tinh phi QL'!$I$8+B12,TTD!$A$3:$A$102,0),MATCH('Tinh phi QL'!$G$17,TTD!$F$2:$I$2,0)))))/1000</f>
        <v>4223</v>
      </c>
      <c r="I13" s="370">
        <f>IF($I$4=0,0,INDEX(TTD!$J$3:$M$102,MATCH('Tinh phi QL'!$I$8+B12,TTD!$A$3:$A$102,0),MATCH('Tinh phi QL'!$G$19,TTD!$J$2:$M$2,0)))/1000</f>
        <v>0</v>
      </c>
      <c r="J13" s="370">
        <f>IF($J$4=0,0,INDEX(TTD!$N$3:$Q$102,MATCH('Tinh phi QL'!$I$8+B12,TTD!$A$3:$A$102,0),MATCH('Tinh phi QL'!$G$21,TTD!$N$2:$Q$2,0)))/1000</f>
        <v>0</v>
      </c>
      <c r="K13" s="370">
        <f ca="1">'Tinh phi QL'!$G$25/1000000*IF('Tinh phi QL'!$H$9="nam",VLOOKUP('Tinh phi QL'!$I$8+B12,Tuky!$A$2:$C$87,2,0),VLOOKUP('Tinh phi QL'!$I$8+B12,Tuky!$A$2:$C$87,3,0))</f>
        <v>0</v>
      </c>
      <c r="L13" s="370">
        <f t="shared" si="2"/>
        <v>0</v>
      </c>
      <c r="M13" s="370">
        <f ca="1">VLOOKUP('Tinh phi QL'!$I$29+B12,TCYT!$A$2:$B$60,2,0)*'Tinh phi QL'!$G$34/100000</f>
        <v>0</v>
      </c>
      <c r="N13" s="370">
        <f ca="1">'Tinh phi QL'!$G$35/1000000*IF('Tinh phi QL'!$H$30="nam",VLOOKUP('Tinh phi QL'!$I$29+B12,BHN!$A$2:$C$87,2,0),VLOOKUP('Tinh phi QL'!$I$29+B12,BHN!$A$2:$C$87,3,0))</f>
        <v>0</v>
      </c>
      <c r="O13" s="370">
        <f>IF($O$4=0,0,IF('Tinh phi QL'!$F$36="Việt Nam",INDEX(TTD!$B$3:$E$102,MATCH('Tinh phi QL'!$I$29+B12,TTD!$A$3:$A$102,0),MATCH('Tinh phi QL'!$G$36,TTD!$B$2:$E$2,0)),IF('Tinh phi QL'!$F$36="Toàn cầu",INDEX(TTD!$F$3:$I$102,MATCH('Tinh phi QL'!$I$29+B12,TTD!$A$3:$A$102,0),MATCH('Tinh phi QL'!$G$36,TTD!$F$2:$I$2,0)))))/1000</f>
        <v>0</v>
      </c>
      <c r="P13" s="370">
        <f>IF($P$4=0,0,INDEX(TTD!$J$3:$M$102,MATCH('Tinh phi QL'!$I$29+B12,TTD!$A$3:$A$102,0),MATCH('Tinh phi QL'!$G$38,TTD!$J$2:$M$2,0)))/1000</f>
        <v>0</v>
      </c>
      <c r="Q13" s="370">
        <f>IF($Q$4=0,0,INDEX(TTD!$N$3:$Q$102,MATCH('Tinh phi QL'!$I$29+B12,TTD!$A$3:$A$102,0),MATCH('Tinh phi QL'!$G$40,TTD!$N$2:$Q$2,0)))/1000</f>
        <v>0</v>
      </c>
      <c r="R13" s="370">
        <f ca="1">'Tinh phi QL'!$G$44/1000000*IF('Tinh phi QL'!$H$30="nam",VLOOKUP('Tinh phi QL'!$I$29+B12,Tuky!$A$2:$C$87,2,0),VLOOKUP('Tinh phi QL'!$I$29+B12,Tuky!$A$2:$C$87,3,0))</f>
        <v>0</v>
      </c>
      <c r="S13" s="370">
        <f>IF('Tinh phi QL'!$G$45=0,0,((SUM(D13:R13)+SUM(T13:AG13))/1000*IF('Tinh phi QL'!$H$30="nam",INDEX(MTPNam!$B$2:$AR$44,MATCH('Tinh phi QL'!$I$29+B12,MTPNam!$A$2:$A$44,0),MATCH('Tinh phi QL'!$E$45-B12,MTPNam!$B$1:$AR$1,0)),IF('Tinh phi QL'!$H$30="nữ",INDEX(MTPNu!$B$2:$AR$44,MATCH('Tinh phi QL'!$I$29+B12,MTPNu!$A$2:$A$44,0),MATCH('Tinh phi QL'!$E$45-B12,MTPNu!$B$1:$AR$1,0))))))</f>
        <v>0</v>
      </c>
      <c r="T13" s="370">
        <f t="shared" si="3"/>
        <v>0</v>
      </c>
      <c r="U13" s="370">
        <f ca="1">VLOOKUP('Tinh phi QL'!$I$49+B12,TCYT!$A$2:$B$60,2,0)*'Tinh phi QL'!$G$54/100000</f>
        <v>0</v>
      </c>
      <c r="V13" s="370">
        <f ca="1">'Tinh phi QL'!$G$55/1000000*IF('Tinh phi QL'!$H$50="nam",VLOOKUP('Tinh phi QL'!$I$49+B12,BHN!$A$2:$C$87,2,0),VLOOKUP('Tinh phi QL'!$I$49+B12,BHN!$A$2:$C$87,3,0))</f>
        <v>0</v>
      </c>
      <c r="W13" s="370">
        <f>IF($W$4=0,0,IF('Tinh phi QL'!$F$56="Việt Nam",INDEX(TTD!$B$3:$E$102,MATCH('Tinh phi QL'!$I$49+B12,TTD!$A$3:$A$102,0),MATCH('Tinh phi QL'!$G$56,TTD!$B$2:$E$2,0)),IF('Tinh phi QL'!$F$56="Toàn cầu",INDEX(TTD!$F$3:$I$102,MATCH('Tinh phi QL'!$I$49+B12,TTD!$A$3:$A$102,0),MATCH('Tinh phi QL'!$G$56,TTD!$F$2:$I$2,0)))))/1000</f>
        <v>0</v>
      </c>
      <c r="X13" s="370">
        <f>IF($X$4=0,0,INDEX(TTD!$J$3:$M$102,MATCH('Tinh phi QL'!$I$49+B12,TTD!$A$3:$A$102,0),MATCH('Tinh phi QL'!$G$58,TTD!$J$2:$M$2,0)))/1000</f>
        <v>0</v>
      </c>
      <c r="Y13" s="370">
        <f>IF($Y$4=0,0,INDEX(TTD!$N$3:$Q$102,MATCH('Tinh phi QL'!$I$49+B12,TTD!$A$3:$A$102,0),MATCH('Tinh phi QL'!$G$60,TTD!$N$2:$Q$2,0)))/1000</f>
        <v>0</v>
      </c>
      <c r="Z13" s="370">
        <f ca="1">'Tinh phi QL'!$G$64/1000000*IF('Tinh phi QL'!$H$50="nam",VLOOKUP('Tinh phi QL'!$I$49+B12,Tuky!$A$2:$C$87,2,0),VLOOKUP('Tinh phi QL'!$I$49+B12,Tuky!$A$2:$C$87,3,0))</f>
        <v>0</v>
      </c>
      <c r="AA13" s="370">
        <f t="shared" si="4"/>
        <v>0</v>
      </c>
      <c r="AB13" s="370">
        <f ca="1">VLOOKUP('Tinh phi QL'!$I$68+B12,TCYT!$A$2:$B$60,2,0)*'Tinh phi QL'!$G$73/100000</f>
        <v>0</v>
      </c>
      <c r="AC13" s="370">
        <f ca="1">'Tinh phi QL'!$G$74/1000000*IF('Tinh phi QL'!$H$69="nam",VLOOKUP('Tinh phi QL'!$I$68+B12,BHN!$A$2:$C$87,2,0),VLOOKUP('Tinh phi QL'!$I$68+B12,BHN!$A$2:$C$87,3,0))</f>
        <v>0</v>
      </c>
      <c r="AD13" s="370">
        <f>IF($AD$4=0,0,IF('Tinh phi QL'!$F$75="Việt Nam",INDEX(TTD!$B$3:$E$102,MATCH('Tinh phi QL'!$I$68+B12,TTD!$A$3:$A$102,0),MATCH('Tinh phi QL'!$G$75,TTD!$B$2:$E$2,0)),IF('Tinh phi QL'!$F$75="Toàn cầu",INDEX(TTD!$F$3:$I$102,MATCH('Tinh phi QL'!$I$68+B12,TTD!$A$3:$A$102,0),MATCH('Tinh phi QL'!$G$75,TTD!$F$2:$I$2,0)))))/1000</f>
        <v>0</v>
      </c>
      <c r="AE13" s="370">
        <f>IF($AE$4=0,0,INDEX(TTD!$J$3:$M$102,MATCH('Tinh phi QL'!$I$68+B12,TTD!$A$3:$A$102,0),MATCH('Tinh phi QL'!$G$77,TTD!$J$2:$M$2,0)))/1000</f>
        <v>0</v>
      </c>
      <c r="AF13" s="370">
        <f>IF($AF$4=0,0,INDEX(TTD!$N$3:$Q$102,MATCH('Tinh phi QL'!$I$68+B12,TTD!$A$3:$A$102,0),MATCH('Tinh phi QL'!$G$79,TTD!$N$2:$Q$2,0)))/1000</f>
        <v>0</v>
      </c>
      <c r="AG13" s="370">
        <f ca="1">'Tinh phi QL'!$G$83/1000000*IF('Tinh phi QL'!$H$69="nam",VLOOKUP('Tinh phi QL'!$I$68+B12,Tuky!$A$2:$C$87,2,0),VLOOKUP('Tinh phi QL'!$I$68+B12,Tuky!$A$2:$C$87,3,0))</f>
        <v>0</v>
      </c>
      <c r="AH13" s="371">
        <f t="shared" ca="1" si="0"/>
        <v>17495</v>
      </c>
      <c r="AI13" s="609">
        <f t="shared" ca="1" si="5"/>
        <v>70330</v>
      </c>
    </row>
    <row r="14" spans="2:35">
      <c r="B14" s="368">
        <v>11</v>
      </c>
      <c r="C14" s="368">
        <f>IF(ROW(A11)&gt;'Tinh phi QL'!$D$13,"",ROW(A11))</f>
        <v>11</v>
      </c>
      <c r="D14" s="369">
        <f>IF(IFERROR(--TRIM(C14),0)=0,0,'Tinh phi QL'!$H$13/1000)</f>
        <v>10000</v>
      </c>
      <c r="E14" s="370">
        <f t="shared" si="1"/>
        <v>2270</v>
      </c>
      <c r="F14" s="370">
        <f ca="1">VLOOKUP('Tinh phi QL'!$I$8+B13,TCYT!$A$2:$B$60,2,0)*'Tinh phi QL'!$G$15/100000</f>
        <v>0</v>
      </c>
      <c r="G14" s="370">
        <f ca="1">'Tinh phi QL'!$G$16/1000000*IF('Tinh phi QL'!$H$9="nam",VLOOKUP('Tinh phi QL'!$I$8+B13,BHN!$A$2:$C$87,2,0),VLOOKUP('Tinh phi QL'!$I$8+B13,BHN!$A$2:$C$87,3,0))</f>
        <v>1611</v>
      </c>
      <c r="H14" s="370">
        <f ca="1">IF($H$4=0,0,IF('Tinh phi QL'!$F$17="Việt Nam",INDEX(TTD!$B$3:$E$102,MATCH('Tinh phi QL'!$I$8+B13,TTD!$A$3:$A$102,0),MATCH('Tinh phi QL'!$G$17,TTD!$B$2:$E$2,0)),IF('Tinh phi QL'!$F$17="Toàn cầu",INDEX(TTD!$F$3:$I$102,MATCH('Tinh phi QL'!$I$8+B13,TTD!$A$3:$A$102,0),MATCH('Tinh phi QL'!$G$17,TTD!$F$2:$I$2,0)))))/1000</f>
        <v>4652</v>
      </c>
      <c r="I14" s="370">
        <f>IF($I$4=0,0,INDEX(TTD!$J$3:$M$102,MATCH('Tinh phi QL'!$I$8+B13,TTD!$A$3:$A$102,0),MATCH('Tinh phi QL'!$G$19,TTD!$J$2:$M$2,0)))/1000</f>
        <v>0</v>
      </c>
      <c r="J14" s="370">
        <f>IF($J$4=0,0,INDEX(TTD!$N$3:$Q$102,MATCH('Tinh phi QL'!$I$8+B13,TTD!$A$3:$A$102,0),MATCH('Tinh phi QL'!$G$21,TTD!$N$2:$Q$2,0)))/1000</f>
        <v>0</v>
      </c>
      <c r="K14" s="370">
        <f ca="1">'Tinh phi QL'!$G$25/1000000*IF('Tinh phi QL'!$H$9="nam",VLOOKUP('Tinh phi QL'!$I$8+B13,Tuky!$A$2:$C$87,2,0),VLOOKUP('Tinh phi QL'!$I$8+B13,Tuky!$A$2:$C$87,3,0))</f>
        <v>0</v>
      </c>
      <c r="L14" s="370">
        <f t="shared" si="2"/>
        <v>0</v>
      </c>
      <c r="M14" s="370">
        <f ca="1">VLOOKUP('Tinh phi QL'!$I$29+B13,TCYT!$A$2:$B$60,2,0)*'Tinh phi QL'!$G$34/100000</f>
        <v>0</v>
      </c>
      <c r="N14" s="370">
        <f ca="1">'Tinh phi QL'!$G$35/1000000*IF('Tinh phi QL'!$H$30="nam",VLOOKUP('Tinh phi QL'!$I$29+B13,BHN!$A$2:$C$87,2,0),VLOOKUP('Tinh phi QL'!$I$29+B13,BHN!$A$2:$C$87,3,0))</f>
        <v>0</v>
      </c>
      <c r="O14" s="370">
        <f>IF($O$4=0,0,IF('Tinh phi QL'!$F$36="Việt Nam",INDEX(TTD!$B$3:$E$102,MATCH('Tinh phi QL'!$I$29+B13,TTD!$A$3:$A$102,0),MATCH('Tinh phi QL'!$G$36,TTD!$B$2:$E$2,0)),IF('Tinh phi QL'!$F$36="Toàn cầu",INDEX(TTD!$F$3:$I$102,MATCH('Tinh phi QL'!$I$29+B13,TTD!$A$3:$A$102,0),MATCH('Tinh phi QL'!$G$36,TTD!$F$2:$I$2,0)))))/1000</f>
        <v>0</v>
      </c>
      <c r="P14" s="370">
        <f>IF($P$4=0,0,INDEX(TTD!$J$3:$M$102,MATCH('Tinh phi QL'!$I$29+B13,TTD!$A$3:$A$102,0),MATCH('Tinh phi QL'!$G$38,TTD!$J$2:$M$2,0)))/1000</f>
        <v>0</v>
      </c>
      <c r="Q14" s="370">
        <f>IF($Q$4=0,0,INDEX(TTD!$N$3:$Q$102,MATCH('Tinh phi QL'!$I$29+B13,TTD!$A$3:$A$102,0),MATCH('Tinh phi QL'!$G$40,TTD!$N$2:$Q$2,0)))/1000</f>
        <v>0</v>
      </c>
      <c r="R14" s="370">
        <f ca="1">'Tinh phi QL'!$G$44/1000000*IF('Tinh phi QL'!$H$30="nam",VLOOKUP('Tinh phi QL'!$I$29+B13,Tuky!$A$2:$C$87,2,0),VLOOKUP('Tinh phi QL'!$I$29+B13,Tuky!$A$2:$C$87,3,0))</f>
        <v>0</v>
      </c>
      <c r="S14" s="370">
        <f>IF('Tinh phi QL'!$G$45=0,0,((SUM(D14:R14)+SUM(T14:AG14))/1000*IF('Tinh phi QL'!$H$30="nam",INDEX(MTPNam!$B$2:$AR$44,MATCH('Tinh phi QL'!$I$29+B13,MTPNam!$A$2:$A$44,0),MATCH('Tinh phi QL'!$E$45-B13,MTPNam!$B$1:$AR$1,0)),IF('Tinh phi QL'!$H$30="nữ",INDEX(MTPNu!$B$2:$AR$44,MATCH('Tinh phi QL'!$I$29+B13,MTPNu!$A$2:$A$44,0),MATCH('Tinh phi QL'!$E$45-B13,MTPNu!$B$1:$AR$1,0))))))</f>
        <v>0</v>
      </c>
      <c r="T14" s="370">
        <f t="shared" si="3"/>
        <v>0</v>
      </c>
      <c r="U14" s="370">
        <f ca="1">VLOOKUP('Tinh phi QL'!$I$49+B13,TCYT!$A$2:$B$60,2,0)*'Tinh phi QL'!$G$54/100000</f>
        <v>0</v>
      </c>
      <c r="V14" s="370">
        <f ca="1">'Tinh phi QL'!$G$55/1000000*IF('Tinh phi QL'!$H$50="nam",VLOOKUP('Tinh phi QL'!$I$49+B13,BHN!$A$2:$C$87,2,0),VLOOKUP('Tinh phi QL'!$I$49+B13,BHN!$A$2:$C$87,3,0))</f>
        <v>0</v>
      </c>
      <c r="W14" s="370">
        <f>IF($W$4=0,0,IF('Tinh phi QL'!$F$56="Việt Nam",INDEX(TTD!$B$3:$E$102,MATCH('Tinh phi QL'!$I$49+B13,TTD!$A$3:$A$102,0),MATCH('Tinh phi QL'!$G$56,TTD!$B$2:$E$2,0)),IF('Tinh phi QL'!$F$56="Toàn cầu",INDEX(TTD!$F$3:$I$102,MATCH('Tinh phi QL'!$I$49+B13,TTD!$A$3:$A$102,0),MATCH('Tinh phi QL'!$G$56,TTD!$F$2:$I$2,0)))))/1000</f>
        <v>0</v>
      </c>
      <c r="X14" s="370">
        <f>IF($X$4=0,0,INDEX(TTD!$J$3:$M$102,MATCH('Tinh phi QL'!$I$49+B13,TTD!$A$3:$A$102,0),MATCH('Tinh phi QL'!$G$58,TTD!$J$2:$M$2,0)))/1000</f>
        <v>0</v>
      </c>
      <c r="Y14" s="370">
        <f>IF($Y$4=0,0,INDEX(TTD!$N$3:$Q$102,MATCH('Tinh phi QL'!$I$49+B13,TTD!$A$3:$A$102,0),MATCH('Tinh phi QL'!$G$60,TTD!$N$2:$Q$2,0)))/1000</f>
        <v>0</v>
      </c>
      <c r="Z14" s="370">
        <f ca="1">'Tinh phi QL'!$G$64/1000000*IF('Tinh phi QL'!$H$50="nam",VLOOKUP('Tinh phi QL'!$I$49+B13,Tuky!$A$2:$C$87,2,0),VLOOKUP('Tinh phi QL'!$I$49+B13,Tuky!$A$2:$C$87,3,0))</f>
        <v>0</v>
      </c>
      <c r="AA14" s="370">
        <f t="shared" si="4"/>
        <v>0</v>
      </c>
      <c r="AB14" s="370">
        <f ca="1">VLOOKUP('Tinh phi QL'!$I$68+B13,TCYT!$A$2:$B$60,2,0)*'Tinh phi QL'!$G$73/100000</f>
        <v>0</v>
      </c>
      <c r="AC14" s="370">
        <f ca="1">'Tinh phi QL'!$G$74/1000000*IF('Tinh phi QL'!$H$69="nam",VLOOKUP('Tinh phi QL'!$I$68+B13,BHN!$A$2:$C$87,2,0),VLOOKUP('Tinh phi QL'!$I$68+B13,BHN!$A$2:$C$87,3,0))</f>
        <v>0</v>
      </c>
      <c r="AD14" s="370">
        <f>IF($AD$4=0,0,IF('Tinh phi QL'!$F$75="Việt Nam",INDEX(TTD!$B$3:$E$102,MATCH('Tinh phi QL'!$I$68+B13,TTD!$A$3:$A$102,0),MATCH('Tinh phi QL'!$G$75,TTD!$B$2:$E$2,0)),IF('Tinh phi QL'!$F$75="Toàn cầu",INDEX(TTD!$F$3:$I$102,MATCH('Tinh phi QL'!$I$68+B13,TTD!$A$3:$A$102,0),MATCH('Tinh phi QL'!$G$75,TTD!$F$2:$I$2,0)))))/1000</f>
        <v>0</v>
      </c>
      <c r="AE14" s="370">
        <f>IF($AE$4=0,0,INDEX(TTD!$J$3:$M$102,MATCH('Tinh phi QL'!$I$68+B13,TTD!$A$3:$A$102,0),MATCH('Tinh phi QL'!$G$77,TTD!$J$2:$M$2,0)))/1000</f>
        <v>0</v>
      </c>
      <c r="AF14" s="370">
        <f>IF($AF$4=0,0,INDEX(TTD!$N$3:$Q$102,MATCH('Tinh phi QL'!$I$68+B13,TTD!$A$3:$A$102,0),MATCH('Tinh phi QL'!$G$79,TTD!$N$2:$Q$2,0)))/1000</f>
        <v>0</v>
      </c>
      <c r="AG14" s="370">
        <f ca="1">'Tinh phi QL'!$G$83/1000000*IF('Tinh phi QL'!$H$69="nam",VLOOKUP('Tinh phi QL'!$I$68+B13,Tuky!$A$2:$C$87,2,0),VLOOKUP('Tinh phi QL'!$I$68+B13,Tuky!$A$2:$C$87,3,0))</f>
        <v>0</v>
      </c>
      <c r="AH14" s="371">
        <f t="shared" ca="1" si="0"/>
        <v>18533</v>
      </c>
      <c r="AI14" s="609">
        <f t="shared" ca="1" si="5"/>
        <v>78863</v>
      </c>
    </row>
    <row r="15" spans="2:35">
      <c r="B15" s="368">
        <v>12</v>
      </c>
      <c r="C15" s="368">
        <f>IF(ROW(A12)&gt;'Tinh phi QL'!$D$13,"",ROW(A12))</f>
        <v>12</v>
      </c>
      <c r="D15" s="369">
        <f>IF(IFERROR(--TRIM(C15),0)=0,0,'Tinh phi QL'!$H$13/1000)</f>
        <v>10000</v>
      </c>
      <c r="E15" s="370">
        <f t="shared" si="1"/>
        <v>2270</v>
      </c>
      <c r="F15" s="370">
        <f ca="1">VLOOKUP('Tinh phi QL'!$I$8+B14,TCYT!$A$2:$B$60,2,0)*'Tinh phi QL'!$G$15/100000</f>
        <v>0</v>
      </c>
      <c r="G15" s="370">
        <f ca="1">'Tinh phi QL'!$G$16/1000000*IF('Tinh phi QL'!$H$9="nam",VLOOKUP('Tinh phi QL'!$I$8+B14,BHN!$A$2:$C$87,2,0),VLOOKUP('Tinh phi QL'!$I$8+B14,BHN!$A$2:$C$87,3,0))</f>
        <v>1611</v>
      </c>
      <c r="H15" s="370">
        <f ca="1">IF($H$4=0,0,IF('Tinh phi QL'!$F$17="Việt Nam",INDEX(TTD!$B$3:$E$102,MATCH('Tinh phi QL'!$I$8+B14,TTD!$A$3:$A$102,0),MATCH('Tinh phi QL'!$G$17,TTD!$B$2:$E$2,0)),IF('Tinh phi QL'!$F$17="Toàn cầu",INDEX(TTD!$F$3:$I$102,MATCH('Tinh phi QL'!$I$8+B14,TTD!$A$3:$A$102,0),MATCH('Tinh phi QL'!$G$17,TTD!$F$2:$I$2,0)))))/1000</f>
        <v>4652</v>
      </c>
      <c r="I15" s="370">
        <f>IF($I$4=0,0,INDEX(TTD!$J$3:$M$102,MATCH('Tinh phi QL'!$I$8+B14,TTD!$A$3:$A$102,0),MATCH('Tinh phi QL'!$G$19,TTD!$J$2:$M$2,0)))/1000</f>
        <v>0</v>
      </c>
      <c r="J15" s="370">
        <f>IF($J$4=0,0,INDEX(TTD!$N$3:$Q$102,MATCH('Tinh phi QL'!$I$8+B14,TTD!$A$3:$A$102,0),MATCH('Tinh phi QL'!$G$21,TTD!$N$2:$Q$2,0)))/1000</f>
        <v>0</v>
      </c>
      <c r="K15" s="370">
        <f ca="1">'Tinh phi QL'!$G$25/1000000*IF('Tinh phi QL'!$H$9="nam",VLOOKUP('Tinh phi QL'!$I$8+B14,Tuky!$A$2:$C$87,2,0),VLOOKUP('Tinh phi QL'!$I$8+B14,Tuky!$A$2:$C$87,3,0))</f>
        <v>0</v>
      </c>
      <c r="L15" s="370">
        <f t="shared" si="2"/>
        <v>0</v>
      </c>
      <c r="M15" s="370">
        <f ca="1">VLOOKUP('Tinh phi QL'!$I$29+B14,TCYT!$A$2:$B$60,2,0)*'Tinh phi QL'!$G$34/100000</f>
        <v>0</v>
      </c>
      <c r="N15" s="370">
        <f ca="1">'Tinh phi QL'!$G$35/1000000*IF('Tinh phi QL'!$H$30="nam",VLOOKUP('Tinh phi QL'!$I$29+B14,BHN!$A$2:$C$87,2,0),VLOOKUP('Tinh phi QL'!$I$29+B14,BHN!$A$2:$C$87,3,0))</f>
        <v>0</v>
      </c>
      <c r="O15" s="370">
        <f>IF($O$4=0,0,IF('Tinh phi QL'!$F$36="Việt Nam",INDEX(TTD!$B$3:$E$102,MATCH('Tinh phi QL'!$I$29+B14,TTD!$A$3:$A$102,0),MATCH('Tinh phi QL'!$G$36,TTD!$B$2:$E$2,0)),IF('Tinh phi QL'!$F$36="Toàn cầu",INDEX(TTD!$F$3:$I$102,MATCH('Tinh phi QL'!$I$29+B14,TTD!$A$3:$A$102,0),MATCH('Tinh phi QL'!$G$36,TTD!$F$2:$I$2,0)))))/1000</f>
        <v>0</v>
      </c>
      <c r="P15" s="370">
        <f>IF($P$4=0,0,INDEX(TTD!$J$3:$M$102,MATCH('Tinh phi QL'!$I$29+B14,TTD!$A$3:$A$102,0),MATCH('Tinh phi QL'!$G$38,TTD!$J$2:$M$2,0)))/1000</f>
        <v>0</v>
      </c>
      <c r="Q15" s="370">
        <f>IF($Q$4=0,0,INDEX(TTD!$N$3:$Q$102,MATCH('Tinh phi QL'!$I$29+B14,TTD!$A$3:$A$102,0),MATCH('Tinh phi QL'!$G$40,TTD!$N$2:$Q$2,0)))/1000</f>
        <v>0</v>
      </c>
      <c r="R15" s="370">
        <f ca="1">'Tinh phi QL'!$G$44/1000000*IF('Tinh phi QL'!$H$30="nam",VLOOKUP('Tinh phi QL'!$I$29+B14,Tuky!$A$2:$C$87,2,0),VLOOKUP('Tinh phi QL'!$I$29+B14,Tuky!$A$2:$C$87,3,0))</f>
        <v>0</v>
      </c>
      <c r="S15" s="370">
        <f>IF('Tinh phi QL'!$G$45=0,0,((SUM(D15:R15)+SUM(T15:AG15))/1000*IF('Tinh phi QL'!$H$30="nam",INDEX(MTPNam!$B$2:$AR$44,MATCH('Tinh phi QL'!$I$29+B14,MTPNam!$A$2:$A$44,0),MATCH('Tinh phi QL'!$E$45-B14,MTPNam!$B$1:$AR$1,0)),IF('Tinh phi QL'!$H$30="nữ",INDEX(MTPNu!$B$2:$AR$44,MATCH('Tinh phi QL'!$I$29+B14,MTPNu!$A$2:$A$44,0),MATCH('Tinh phi QL'!$E$45-B14,MTPNu!$B$1:$AR$1,0))))))</f>
        <v>0</v>
      </c>
      <c r="T15" s="370">
        <f t="shared" si="3"/>
        <v>0</v>
      </c>
      <c r="U15" s="370">
        <f ca="1">VLOOKUP('Tinh phi QL'!$I$49+B14,TCYT!$A$2:$B$60,2,0)*'Tinh phi QL'!$G$54/100000</f>
        <v>0</v>
      </c>
      <c r="V15" s="370">
        <f ca="1">'Tinh phi QL'!$G$55/1000000*IF('Tinh phi QL'!$H$50="nam",VLOOKUP('Tinh phi QL'!$I$49+B14,BHN!$A$2:$C$87,2,0),VLOOKUP('Tinh phi QL'!$I$49+B14,BHN!$A$2:$C$87,3,0))</f>
        <v>0</v>
      </c>
      <c r="W15" s="370">
        <f>IF($W$4=0,0,IF('Tinh phi QL'!$F$56="Việt Nam",INDEX(TTD!$B$3:$E$102,MATCH('Tinh phi QL'!$I$49+B14,TTD!$A$3:$A$102,0),MATCH('Tinh phi QL'!$G$56,TTD!$B$2:$E$2,0)),IF('Tinh phi QL'!$F$56="Toàn cầu",INDEX(TTD!$F$3:$I$102,MATCH('Tinh phi QL'!$I$49+B14,TTD!$A$3:$A$102,0),MATCH('Tinh phi QL'!$G$56,TTD!$F$2:$I$2,0)))))/1000</f>
        <v>0</v>
      </c>
      <c r="X15" s="370">
        <f>IF($X$4=0,0,INDEX(TTD!$J$3:$M$102,MATCH('Tinh phi QL'!$I$49+B14,TTD!$A$3:$A$102,0),MATCH('Tinh phi QL'!$G$58,TTD!$J$2:$M$2,0)))/1000</f>
        <v>0</v>
      </c>
      <c r="Y15" s="370">
        <f>IF($Y$4=0,0,INDEX(TTD!$N$3:$Q$102,MATCH('Tinh phi QL'!$I$49+B14,TTD!$A$3:$A$102,0),MATCH('Tinh phi QL'!$G$60,TTD!$N$2:$Q$2,0)))/1000</f>
        <v>0</v>
      </c>
      <c r="Z15" s="370">
        <f ca="1">'Tinh phi QL'!$G$64/1000000*IF('Tinh phi QL'!$H$50="nam",VLOOKUP('Tinh phi QL'!$I$49+B14,Tuky!$A$2:$C$87,2,0),VLOOKUP('Tinh phi QL'!$I$49+B14,Tuky!$A$2:$C$87,3,0))</f>
        <v>0</v>
      </c>
      <c r="AA15" s="370">
        <f t="shared" si="4"/>
        <v>0</v>
      </c>
      <c r="AB15" s="370">
        <f ca="1">VLOOKUP('Tinh phi QL'!$I$68+B14,TCYT!$A$2:$B$60,2,0)*'Tinh phi QL'!$G$73/100000</f>
        <v>0</v>
      </c>
      <c r="AC15" s="370">
        <f ca="1">'Tinh phi QL'!$G$74/1000000*IF('Tinh phi QL'!$H$69="nam",VLOOKUP('Tinh phi QL'!$I$68+B14,BHN!$A$2:$C$87,2,0),VLOOKUP('Tinh phi QL'!$I$68+B14,BHN!$A$2:$C$87,3,0))</f>
        <v>0</v>
      </c>
      <c r="AD15" s="370">
        <f>IF($AD$4=0,0,IF('Tinh phi QL'!$F$75="Việt Nam",INDEX(TTD!$B$3:$E$102,MATCH('Tinh phi QL'!$I$68+B14,TTD!$A$3:$A$102,0),MATCH('Tinh phi QL'!$G$75,TTD!$B$2:$E$2,0)),IF('Tinh phi QL'!$F$75="Toàn cầu",INDEX(TTD!$F$3:$I$102,MATCH('Tinh phi QL'!$I$68+B14,TTD!$A$3:$A$102,0),MATCH('Tinh phi QL'!$G$75,TTD!$F$2:$I$2,0)))))/1000</f>
        <v>0</v>
      </c>
      <c r="AE15" s="370">
        <f>IF($AE$4=0,0,INDEX(TTD!$J$3:$M$102,MATCH('Tinh phi QL'!$I$68+B14,TTD!$A$3:$A$102,0),MATCH('Tinh phi QL'!$G$77,TTD!$J$2:$M$2,0)))/1000</f>
        <v>0</v>
      </c>
      <c r="AF15" s="370">
        <f>IF($AF$4=0,0,INDEX(TTD!$N$3:$Q$102,MATCH('Tinh phi QL'!$I$68+B14,TTD!$A$3:$A$102,0),MATCH('Tinh phi QL'!$G$79,TTD!$N$2:$Q$2,0)))/1000</f>
        <v>0</v>
      </c>
      <c r="AG15" s="370">
        <f ca="1">'Tinh phi QL'!$G$83/1000000*IF('Tinh phi QL'!$H$69="nam",VLOOKUP('Tinh phi QL'!$I$68+B14,Tuky!$A$2:$C$87,2,0),VLOOKUP('Tinh phi QL'!$I$68+B14,Tuky!$A$2:$C$87,3,0))</f>
        <v>0</v>
      </c>
      <c r="AH15" s="371">
        <f t="shared" ca="1" si="0"/>
        <v>18533</v>
      </c>
      <c r="AI15" s="609">
        <f t="shared" ca="1" si="5"/>
        <v>87396</v>
      </c>
    </row>
    <row r="16" spans="2:35">
      <c r="B16" s="368">
        <v>13</v>
      </c>
      <c r="C16" s="368">
        <f>IF(ROW(A13)&gt;'Tinh phi QL'!$D$13,"",ROW(A13))</f>
        <v>13</v>
      </c>
      <c r="D16" s="369">
        <f>IF(IFERROR(--TRIM(C16),0)=0,0,'Tinh phi QL'!$H$13/1000)</f>
        <v>10000</v>
      </c>
      <c r="E16" s="370">
        <f t="shared" si="1"/>
        <v>2270</v>
      </c>
      <c r="F16" s="370">
        <f ca="1">VLOOKUP('Tinh phi QL'!$I$8+B15,TCYT!$A$2:$B$60,2,0)*'Tinh phi QL'!$G$15/100000</f>
        <v>0</v>
      </c>
      <c r="G16" s="370">
        <f ca="1">'Tinh phi QL'!$G$16/1000000*IF('Tinh phi QL'!$H$9="nam",VLOOKUP('Tinh phi QL'!$I$8+B15,BHN!$A$2:$C$87,2,0),VLOOKUP('Tinh phi QL'!$I$8+B15,BHN!$A$2:$C$87,3,0))</f>
        <v>1611</v>
      </c>
      <c r="H16" s="370">
        <f ca="1">IF($H$4=0,0,IF('Tinh phi QL'!$F$17="Việt Nam",INDEX(TTD!$B$3:$E$102,MATCH('Tinh phi QL'!$I$8+B15,TTD!$A$3:$A$102,0),MATCH('Tinh phi QL'!$G$17,TTD!$B$2:$E$2,0)),IF('Tinh phi QL'!$F$17="Toàn cầu",INDEX(TTD!$F$3:$I$102,MATCH('Tinh phi QL'!$I$8+B15,TTD!$A$3:$A$102,0),MATCH('Tinh phi QL'!$G$17,TTD!$F$2:$I$2,0)))))/1000</f>
        <v>4652</v>
      </c>
      <c r="I16" s="370">
        <f>IF($I$4=0,0,INDEX(TTD!$J$3:$M$102,MATCH('Tinh phi QL'!$I$8+B15,TTD!$A$3:$A$102,0),MATCH('Tinh phi QL'!$G$19,TTD!$J$2:$M$2,0)))/1000</f>
        <v>0</v>
      </c>
      <c r="J16" s="370">
        <f>IF($J$4=0,0,INDEX(TTD!$N$3:$Q$102,MATCH('Tinh phi QL'!$I$8+B15,TTD!$A$3:$A$102,0),MATCH('Tinh phi QL'!$G$21,TTD!$N$2:$Q$2,0)))/1000</f>
        <v>0</v>
      </c>
      <c r="K16" s="370">
        <f ca="1">'Tinh phi QL'!$G$25/1000000*IF('Tinh phi QL'!$H$9="nam",VLOOKUP('Tinh phi QL'!$I$8+B15,Tuky!$A$2:$C$87,2,0),VLOOKUP('Tinh phi QL'!$I$8+B15,Tuky!$A$2:$C$87,3,0))</f>
        <v>0</v>
      </c>
      <c r="L16" s="370">
        <f t="shared" si="2"/>
        <v>0</v>
      </c>
      <c r="M16" s="370">
        <f ca="1">VLOOKUP('Tinh phi QL'!$I$29+B15,TCYT!$A$2:$B$60,2,0)*'Tinh phi QL'!$G$34/100000</f>
        <v>0</v>
      </c>
      <c r="N16" s="370">
        <f ca="1">'Tinh phi QL'!$G$35/1000000*IF('Tinh phi QL'!$H$30="nam",VLOOKUP('Tinh phi QL'!$I$29+B15,BHN!$A$2:$C$87,2,0),VLOOKUP('Tinh phi QL'!$I$29+B15,BHN!$A$2:$C$87,3,0))</f>
        <v>0</v>
      </c>
      <c r="O16" s="370">
        <f>IF($O$4=0,0,IF('Tinh phi QL'!$F$36="Việt Nam",INDEX(TTD!$B$3:$E$102,MATCH('Tinh phi QL'!$I$29+B15,TTD!$A$3:$A$102,0),MATCH('Tinh phi QL'!$G$36,TTD!$B$2:$E$2,0)),IF('Tinh phi QL'!$F$36="Toàn cầu",INDEX(TTD!$F$3:$I$102,MATCH('Tinh phi QL'!$I$29+B15,TTD!$A$3:$A$102,0),MATCH('Tinh phi QL'!$G$36,TTD!$F$2:$I$2,0)))))/1000</f>
        <v>0</v>
      </c>
      <c r="P16" s="370">
        <f>IF($P$4=0,0,INDEX(TTD!$J$3:$M$102,MATCH('Tinh phi QL'!$I$29+B15,TTD!$A$3:$A$102,0),MATCH('Tinh phi QL'!$G$38,TTD!$J$2:$M$2,0)))/1000</f>
        <v>0</v>
      </c>
      <c r="Q16" s="370">
        <f>IF($Q$4=0,0,INDEX(TTD!$N$3:$Q$102,MATCH('Tinh phi QL'!$I$29+B15,TTD!$A$3:$A$102,0),MATCH('Tinh phi QL'!$G$40,TTD!$N$2:$Q$2,0)))/1000</f>
        <v>0</v>
      </c>
      <c r="R16" s="370">
        <f ca="1">'Tinh phi QL'!$G$44/1000000*IF('Tinh phi QL'!$H$30="nam",VLOOKUP('Tinh phi QL'!$I$29+B15,Tuky!$A$2:$C$87,2,0),VLOOKUP('Tinh phi QL'!$I$29+B15,Tuky!$A$2:$C$87,3,0))</f>
        <v>0</v>
      </c>
      <c r="S16" s="370">
        <f>IF('Tinh phi QL'!$G$45=0,0,((SUM(D16:R16)+SUM(T16:AG16))/1000*IF('Tinh phi QL'!$H$30="nam",INDEX(MTPNam!$B$2:$AR$44,MATCH('Tinh phi QL'!$I$29+B15,MTPNam!$A$2:$A$44,0),MATCH('Tinh phi QL'!$E$45-B15,MTPNam!$B$1:$AR$1,0)),IF('Tinh phi QL'!$H$30="nữ",INDEX(MTPNu!$B$2:$AR$44,MATCH('Tinh phi QL'!$I$29+B15,MTPNu!$A$2:$A$44,0),MATCH('Tinh phi QL'!$E$45-B15,MTPNu!$B$1:$AR$1,0))))))</f>
        <v>0</v>
      </c>
      <c r="T16" s="370">
        <f t="shared" si="3"/>
        <v>0</v>
      </c>
      <c r="U16" s="370">
        <f ca="1">VLOOKUP('Tinh phi QL'!$I$49+B15,TCYT!$A$2:$B$60,2,0)*'Tinh phi QL'!$G$54/100000</f>
        <v>0</v>
      </c>
      <c r="V16" s="370">
        <f ca="1">'Tinh phi QL'!$G$55/1000000*IF('Tinh phi QL'!$H$50="nam",VLOOKUP('Tinh phi QL'!$I$49+B15,BHN!$A$2:$C$87,2,0),VLOOKUP('Tinh phi QL'!$I$49+B15,BHN!$A$2:$C$87,3,0))</f>
        <v>0</v>
      </c>
      <c r="W16" s="370">
        <f>IF($W$4=0,0,IF('Tinh phi QL'!$F$56="Việt Nam",INDEX(TTD!$B$3:$E$102,MATCH('Tinh phi QL'!$I$49+B15,TTD!$A$3:$A$102,0),MATCH('Tinh phi QL'!$G$56,TTD!$B$2:$E$2,0)),IF('Tinh phi QL'!$F$56="Toàn cầu",INDEX(TTD!$F$3:$I$102,MATCH('Tinh phi QL'!$I$49+B15,TTD!$A$3:$A$102,0),MATCH('Tinh phi QL'!$G$56,TTD!$F$2:$I$2,0)))))/1000</f>
        <v>0</v>
      </c>
      <c r="X16" s="370">
        <f>IF($X$4=0,0,INDEX(TTD!$J$3:$M$102,MATCH('Tinh phi QL'!$I$49+B15,TTD!$A$3:$A$102,0),MATCH('Tinh phi QL'!$G$58,TTD!$J$2:$M$2,0)))/1000</f>
        <v>0</v>
      </c>
      <c r="Y16" s="370">
        <f>IF($Y$4=0,0,INDEX(TTD!$N$3:$Q$102,MATCH('Tinh phi QL'!$I$49+B15,TTD!$A$3:$A$102,0),MATCH('Tinh phi QL'!$G$60,TTD!$N$2:$Q$2,0)))/1000</f>
        <v>0</v>
      </c>
      <c r="Z16" s="370">
        <f ca="1">'Tinh phi QL'!$G$64/1000000*IF('Tinh phi QL'!$H$50="nam",VLOOKUP('Tinh phi QL'!$I$49+B15,Tuky!$A$2:$C$87,2,0),VLOOKUP('Tinh phi QL'!$I$49+B15,Tuky!$A$2:$C$87,3,0))</f>
        <v>0</v>
      </c>
      <c r="AA16" s="370">
        <f t="shared" si="4"/>
        <v>0</v>
      </c>
      <c r="AB16" s="370">
        <f ca="1">VLOOKUP('Tinh phi QL'!$I$68+B15,TCYT!$A$2:$B$60,2,0)*'Tinh phi QL'!$G$73/100000</f>
        <v>0</v>
      </c>
      <c r="AC16" s="370">
        <f ca="1">'Tinh phi QL'!$G$74/1000000*IF('Tinh phi QL'!$H$69="nam",VLOOKUP('Tinh phi QL'!$I$68+B15,BHN!$A$2:$C$87,2,0),VLOOKUP('Tinh phi QL'!$I$68+B15,BHN!$A$2:$C$87,3,0))</f>
        <v>0</v>
      </c>
      <c r="AD16" s="370">
        <f>IF($AD$4=0,0,IF('Tinh phi QL'!$F$75="Việt Nam",INDEX(TTD!$B$3:$E$102,MATCH('Tinh phi QL'!$I$68+B15,TTD!$A$3:$A$102,0),MATCH('Tinh phi QL'!$G$75,TTD!$B$2:$E$2,0)),IF('Tinh phi QL'!$F$75="Toàn cầu",INDEX(TTD!$F$3:$I$102,MATCH('Tinh phi QL'!$I$68+B15,TTD!$A$3:$A$102,0),MATCH('Tinh phi QL'!$G$75,TTD!$F$2:$I$2,0)))))/1000</f>
        <v>0</v>
      </c>
      <c r="AE16" s="370">
        <f>IF($AE$4=0,0,INDEX(TTD!$J$3:$M$102,MATCH('Tinh phi QL'!$I$68+B15,TTD!$A$3:$A$102,0),MATCH('Tinh phi QL'!$G$77,TTD!$J$2:$M$2,0)))/1000</f>
        <v>0</v>
      </c>
      <c r="AF16" s="370">
        <f>IF($AF$4=0,0,INDEX(TTD!$N$3:$Q$102,MATCH('Tinh phi QL'!$I$68+B15,TTD!$A$3:$A$102,0),MATCH('Tinh phi QL'!$G$79,TTD!$N$2:$Q$2,0)))/1000</f>
        <v>0</v>
      </c>
      <c r="AG16" s="370">
        <f ca="1">'Tinh phi QL'!$G$83/1000000*IF('Tinh phi QL'!$H$69="nam",VLOOKUP('Tinh phi QL'!$I$68+B15,Tuky!$A$2:$C$87,2,0),VLOOKUP('Tinh phi QL'!$I$68+B15,Tuky!$A$2:$C$87,3,0))</f>
        <v>0</v>
      </c>
      <c r="AH16" s="371">
        <f t="shared" ca="1" si="0"/>
        <v>18533</v>
      </c>
      <c r="AI16" s="609">
        <f t="shared" ca="1" si="5"/>
        <v>95929</v>
      </c>
    </row>
    <row r="17" spans="2:35">
      <c r="B17" s="368">
        <v>14</v>
      </c>
      <c r="C17" s="368">
        <f>IF(ROW(A14)&gt;'Tinh phi QL'!$D$13,"",ROW(A14))</f>
        <v>14</v>
      </c>
      <c r="D17" s="369">
        <f>IF(IFERROR(--TRIM(C17),0)=0,0,'Tinh phi QL'!$H$13/1000)</f>
        <v>10000</v>
      </c>
      <c r="E17" s="370">
        <f t="shared" si="1"/>
        <v>2270</v>
      </c>
      <c r="F17" s="370">
        <f ca="1">VLOOKUP('Tinh phi QL'!$I$8+B16,TCYT!$A$2:$B$60,2,0)*'Tinh phi QL'!$G$15/100000</f>
        <v>0</v>
      </c>
      <c r="G17" s="370">
        <f ca="1">'Tinh phi QL'!$G$16/1000000*IF('Tinh phi QL'!$H$9="nam",VLOOKUP('Tinh phi QL'!$I$8+B16,BHN!$A$2:$C$87,2,0),VLOOKUP('Tinh phi QL'!$I$8+B16,BHN!$A$2:$C$87,3,0))</f>
        <v>1611</v>
      </c>
      <c r="H17" s="370">
        <f ca="1">IF($H$4=0,0,IF('Tinh phi QL'!$F$17="Việt Nam",INDEX(TTD!$B$3:$E$102,MATCH('Tinh phi QL'!$I$8+B16,TTD!$A$3:$A$102,0),MATCH('Tinh phi QL'!$G$17,TTD!$B$2:$E$2,0)),IF('Tinh phi QL'!$F$17="Toàn cầu",INDEX(TTD!$F$3:$I$102,MATCH('Tinh phi QL'!$I$8+B16,TTD!$A$3:$A$102,0),MATCH('Tinh phi QL'!$G$17,TTD!$F$2:$I$2,0)))))/1000</f>
        <v>4652</v>
      </c>
      <c r="I17" s="370">
        <f>IF($I$4=0,0,INDEX(TTD!$J$3:$M$102,MATCH('Tinh phi QL'!$I$8+B16,TTD!$A$3:$A$102,0),MATCH('Tinh phi QL'!$G$19,TTD!$J$2:$M$2,0)))/1000</f>
        <v>0</v>
      </c>
      <c r="J17" s="370">
        <f>IF($J$4=0,0,INDEX(TTD!$N$3:$Q$102,MATCH('Tinh phi QL'!$I$8+B16,TTD!$A$3:$A$102,0),MATCH('Tinh phi QL'!$G$21,TTD!$N$2:$Q$2,0)))/1000</f>
        <v>0</v>
      </c>
      <c r="K17" s="370">
        <f ca="1">'Tinh phi QL'!$G$25/1000000*IF('Tinh phi QL'!$H$9="nam",VLOOKUP('Tinh phi QL'!$I$8+B16,Tuky!$A$2:$C$87,2,0),VLOOKUP('Tinh phi QL'!$I$8+B16,Tuky!$A$2:$C$87,3,0))</f>
        <v>0</v>
      </c>
      <c r="L17" s="370">
        <f t="shared" si="2"/>
        <v>0</v>
      </c>
      <c r="M17" s="370">
        <f ca="1">VLOOKUP('Tinh phi QL'!$I$29+B16,TCYT!$A$2:$B$60,2,0)*'Tinh phi QL'!$G$34/100000</f>
        <v>0</v>
      </c>
      <c r="N17" s="370">
        <f ca="1">'Tinh phi QL'!$G$35/1000000*IF('Tinh phi QL'!$H$30="nam",VLOOKUP('Tinh phi QL'!$I$29+B16,BHN!$A$2:$C$87,2,0),VLOOKUP('Tinh phi QL'!$I$29+B16,BHN!$A$2:$C$87,3,0))</f>
        <v>0</v>
      </c>
      <c r="O17" s="370">
        <f>IF($O$4=0,0,IF('Tinh phi QL'!$F$36="Việt Nam",INDEX(TTD!$B$3:$E$102,MATCH('Tinh phi QL'!$I$29+B16,TTD!$A$3:$A$102,0),MATCH('Tinh phi QL'!$G$36,TTD!$B$2:$E$2,0)),IF('Tinh phi QL'!$F$36="Toàn cầu",INDEX(TTD!$F$3:$I$102,MATCH('Tinh phi QL'!$I$29+B16,TTD!$A$3:$A$102,0),MATCH('Tinh phi QL'!$G$36,TTD!$F$2:$I$2,0)))))/1000</f>
        <v>0</v>
      </c>
      <c r="P17" s="370">
        <f>IF($P$4=0,0,INDEX(TTD!$J$3:$M$102,MATCH('Tinh phi QL'!$I$29+B16,TTD!$A$3:$A$102,0),MATCH('Tinh phi QL'!$G$38,TTD!$J$2:$M$2,0)))/1000</f>
        <v>0</v>
      </c>
      <c r="Q17" s="370">
        <f>IF($Q$4=0,0,INDEX(TTD!$N$3:$Q$102,MATCH('Tinh phi QL'!$I$29+B16,TTD!$A$3:$A$102,0),MATCH('Tinh phi QL'!$G$40,TTD!$N$2:$Q$2,0)))/1000</f>
        <v>0</v>
      </c>
      <c r="R17" s="370">
        <f ca="1">'Tinh phi QL'!$G$44/1000000*IF('Tinh phi QL'!$H$30="nam",VLOOKUP('Tinh phi QL'!$I$29+B16,Tuky!$A$2:$C$87,2,0),VLOOKUP('Tinh phi QL'!$I$29+B16,Tuky!$A$2:$C$87,3,0))</f>
        <v>0</v>
      </c>
      <c r="S17" s="370">
        <f>IF('Tinh phi QL'!$G$45=0,0,((SUM(D17:R17)+SUM(T17:AG17))/1000*IF('Tinh phi QL'!$H$30="nam",INDEX(MTPNam!$B$2:$AR$44,MATCH('Tinh phi QL'!$I$29+B16,MTPNam!$A$2:$A$44,0),MATCH('Tinh phi QL'!$E$45-B16,MTPNam!$B$1:$AR$1,0)),IF('Tinh phi QL'!$H$30="nữ",INDEX(MTPNu!$B$2:$AR$44,MATCH('Tinh phi QL'!$I$29+B16,MTPNu!$A$2:$A$44,0),MATCH('Tinh phi QL'!$E$45-B16,MTPNu!$B$1:$AR$1,0))))))</f>
        <v>0</v>
      </c>
      <c r="T17" s="370">
        <f t="shared" si="3"/>
        <v>0</v>
      </c>
      <c r="U17" s="370">
        <f ca="1">VLOOKUP('Tinh phi QL'!$I$49+B16,TCYT!$A$2:$B$60,2,0)*'Tinh phi QL'!$G$54/100000</f>
        <v>0</v>
      </c>
      <c r="V17" s="370">
        <f ca="1">'Tinh phi QL'!$G$55/1000000*IF('Tinh phi QL'!$H$50="nam",VLOOKUP('Tinh phi QL'!$I$49+B16,BHN!$A$2:$C$87,2,0),VLOOKUP('Tinh phi QL'!$I$49+B16,BHN!$A$2:$C$87,3,0))</f>
        <v>0</v>
      </c>
      <c r="W17" s="370">
        <f>IF($W$4=0,0,IF('Tinh phi QL'!$F$56="Việt Nam",INDEX(TTD!$B$3:$E$102,MATCH('Tinh phi QL'!$I$49+B16,TTD!$A$3:$A$102,0),MATCH('Tinh phi QL'!$G$56,TTD!$B$2:$E$2,0)),IF('Tinh phi QL'!$F$56="Toàn cầu",INDEX(TTD!$F$3:$I$102,MATCH('Tinh phi QL'!$I$49+B16,TTD!$A$3:$A$102,0),MATCH('Tinh phi QL'!$G$56,TTD!$F$2:$I$2,0)))))/1000</f>
        <v>0</v>
      </c>
      <c r="X17" s="370">
        <f>IF($X$4=0,0,INDEX(TTD!$J$3:$M$102,MATCH('Tinh phi QL'!$I$49+B16,TTD!$A$3:$A$102,0),MATCH('Tinh phi QL'!$G$58,TTD!$J$2:$M$2,0)))/1000</f>
        <v>0</v>
      </c>
      <c r="Y17" s="370">
        <f>IF($Y$4=0,0,INDEX(TTD!$N$3:$Q$102,MATCH('Tinh phi QL'!$I$49+B16,TTD!$A$3:$A$102,0),MATCH('Tinh phi QL'!$G$60,TTD!$N$2:$Q$2,0)))/1000</f>
        <v>0</v>
      </c>
      <c r="Z17" s="370">
        <f ca="1">'Tinh phi QL'!$G$64/1000000*IF('Tinh phi QL'!$H$50="nam",VLOOKUP('Tinh phi QL'!$I$49+B16,Tuky!$A$2:$C$87,2,0),VLOOKUP('Tinh phi QL'!$I$49+B16,Tuky!$A$2:$C$87,3,0))</f>
        <v>0</v>
      </c>
      <c r="AA17" s="370">
        <f t="shared" si="4"/>
        <v>0</v>
      </c>
      <c r="AB17" s="370">
        <f ca="1">VLOOKUP('Tinh phi QL'!$I$68+B16,TCYT!$A$2:$B$60,2,0)*'Tinh phi QL'!$G$73/100000</f>
        <v>0</v>
      </c>
      <c r="AC17" s="370">
        <f ca="1">'Tinh phi QL'!$G$74/1000000*IF('Tinh phi QL'!$H$69="nam",VLOOKUP('Tinh phi QL'!$I$68+B16,BHN!$A$2:$C$87,2,0),VLOOKUP('Tinh phi QL'!$I$68+B16,BHN!$A$2:$C$87,3,0))</f>
        <v>0</v>
      </c>
      <c r="AD17" s="370">
        <f>IF($AD$4=0,0,IF('Tinh phi QL'!$F$75="Việt Nam",INDEX(TTD!$B$3:$E$102,MATCH('Tinh phi QL'!$I$68+B16,TTD!$A$3:$A$102,0),MATCH('Tinh phi QL'!$G$75,TTD!$B$2:$E$2,0)),IF('Tinh phi QL'!$F$75="Toàn cầu",INDEX(TTD!$F$3:$I$102,MATCH('Tinh phi QL'!$I$68+B16,TTD!$A$3:$A$102,0),MATCH('Tinh phi QL'!$G$75,TTD!$F$2:$I$2,0)))))/1000</f>
        <v>0</v>
      </c>
      <c r="AE17" s="370">
        <f>IF($AE$4=0,0,INDEX(TTD!$J$3:$M$102,MATCH('Tinh phi QL'!$I$68+B16,TTD!$A$3:$A$102,0),MATCH('Tinh phi QL'!$G$77,TTD!$J$2:$M$2,0)))/1000</f>
        <v>0</v>
      </c>
      <c r="AF17" s="370">
        <f>IF($AF$4=0,0,INDEX(TTD!$N$3:$Q$102,MATCH('Tinh phi QL'!$I$68+B16,TTD!$A$3:$A$102,0),MATCH('Tinh phi QL'!$G$79,TTD!$N$2:$Q$2,0)))/1000</f>
        <v>0</v>
      </c>
      <c r="AG17" s="370">
        <f ca="1">'Tinh phi QL'!$G$83/1000000*IF('Tinh phi QL'!$H$69="nam",VLOOKUP('Tinh phi QL'!$I$68+B16,Tuky!$A$2:$C$87,2,0),VLOOKUP('Tinh phi QL'!$I$68+B16,Tuky!$A$2:$C$87,3,0))</f>
        <v>0</v>
      </c>
      <c r="AH17" s="371">
        <f t="shared" ca="1" si="0"/>
        <v>18533</v>
      </c>
      <c r="AI17" s="609">
        <f t="shared" ca="1" si="5"/>
        <v>104462</v>
      </c>
    </row>
    <row r="18" spans="2:35">
      <c r="B18" s="368">
        <v>15</v>
      </c>
      <c r="C18" s="368">
        <f>IF(ROW(A15)&gt;'Tinh phi QL'!$D$13,"",ROW(A15))</f>
        <v>15</v>
      </c>
      <c r="D18" s="369">
        <f>IF(IFERROR(--TRIM(C18),0)=0,0,'Tinh phi QL'!$H$13/1000)</f>
        <v>10000</v>
      </c>
      <c r="E18" s="370">
        <f t="shared" si="1"/>
        <v>2270</v>
      </c>
      <c r="F18" s="370">
        <f ca="1">VLOOKUP('Tinh phi QL'!$I$8+B17,TCYT!$A$2:$B$60,2,0)*'Tinh phi QL'!$G$15/100000</f>
        <v>0</v>
      </c>
      <c r="G18" s="370">
        <f ca="1">'Tinh phi QL'!$G$16/1000000*IF('Tinh phi QL'!$H$9="nam",VLOOKUP('Tinh phi QL'!$I$8+B17,BHN!$A$2:$C$87,2,0),VLOOKUP('Tinh phi QL'!$I$8+B17,BHN!$A$2:$C$87,3,0))</f>
        <v>1611</v>
      </c>
      <c r="H18" s="370">
        <f ca="1">IF($H$4=0,0,IF('Tinh phi QL'!$F$17="Việt Nam",INDEX(TTD!$B$3:$E$102,MATCH('Tinh phi QL'!$I$8+B17,TTD!$A$3:$A$102,0),MATCH('Tinh phi QL'!$G$17,TTD!$B$2:$E$2,0)),IF('Tinh phi QL'!$F$17="Toàn cầu",INDEX(TTD!$F$3:$I$102,MATCH('Tinh phi QL'!$I$8+B17,TTD!$A$3:$A$102,0),MATCH('Tinh phi QL'!$G$17,TTD!$F$2:$I$2,0)))))/1000</f>
        <v>4652</v>
      </c>
      <c r="I18" s="370">
        <f>IF($I$4=0,0,INDEX(TTD!$J$3:$M$102,MATCH('Tinh phi QL'!$I$8+B17,TTD!$A$3:$A$102,0),MATCH('Tinh phi QL'!$G$19,TTD!$J$2:$M$2,0)))/1000</f>
        <v>0</v>
      </c>
      <c r="J18" s="370">
        <f>IF($J$4=0,0,INDEX(TTD!$N$3:$Q$102,MATCH('Tinh phi QL'!$I$8+B17,TTD!$A$3:$A$102,0),MATCH('Tinh phi QL'!$G$21,TTD!$N$2:$Q$2,0)))/1000</f>
        <v>0</v>
      </c>
      <c r="K18" s="370">
        <f ca="1">'Tinh phi QL'!$G$25/1000000*IF('Tinh phi QL'!$H$9="nam",VLOOKUP('Tinh phi QL'!$I$8+B17,Tuky!$A$2:$C$87,2,0),VLOOKUP('Tinh phi QL'!$I$8+B17,Tuky!$A$2:$C$87,3,0))</f>
        <v>0</v>
      </c>
      <c r="L18" s="370">
        <f t="shared" si="2"/>
        <v>0</v>
      </c>
      <c r="M18" s="370">
        <f ca="1">VLOOKUP('Tinh phi QL'!$I$29+B17,TCYT!$A$2:$B$60,2,0)*'Tinh phi QL'!$G$34/100000</f>
        <v>0</v>
      </c>
      <c r="N18" s="370">
        <f ca="1">'Tinh phi QL'!$G$35/1000000*IF('Tinh phi QL'!$H$30="nam",VLOOKUP('Tinh phi QL'!$I$29+B17,BHN!$A$2:$C$87,2,0),VLOOKUP('Tinh phi QL'!$I$29+B17,BHN!$A$2:$C$87,3,0))</f>
        <v>0</v>
      </c>
      <c r="O18" s="370">
        <f>IF($O$4=0,0,IF('Tinh phi QL'!$F$36="Việt Nam",INDEX(TTD!$B$3:$E$102,MATCH('Tinh phi QL'!$I$29+B17,TTD!$A$3:$A$102,0),MATCH('Tinh phi QL'!$G$36,TTD!$B$2:$E$2,0)),IF('Tinh phi QL'!$F$36="Toàn cầu",INDEX(TTD!$F$3:$I$102,MATCH('Tinh phi QL'!$I$29+B17,TTD!$A$3:$A$102,0),MATCH('Tinh phi QL'!$G$36,TTD!$F$2:$I$2,0)))))/1000</f>
        <v>0</v>
      </c>
      <c r="P18" s="370">
        <f>IF($P$4=0,0,INDEX(TTD!$J$3:$M$102,MATCH('Tinh phi QL'!$I$29+B17,TTD!$A$3:$A$102,0),MATCH('Tinh phi QL'!$G$38,TTD!$J$2:$M$2,0)))/1000</f>
        <v>0</v>
      </c>
      <c r="Q18" s="370">
        <f>IF($Q$4=0,0,INDEX(TTD!$N$3:$Q$102,MATCH('Tinh phi QL'!$I$29+B17,TTD!$A$3:$A$102,0),MATCH('Tinh phi QL'!$G$40,TTD!$N$2:$Q$2,0)))/1000</f>
        <v>0</v>
      </c>
      <c r="R18" s="370">
        <f ca="1">'Tinh phi QL'!$G$44/1000000*IF('Tinh phi QL'!$H$30="nam",VLOOKUP('Tinh phi QL'!$I$29+B17,Tuky!$A$2:$C$87,2,0),VLOOKUP('Tinh phi QL'!$I$29+B17,Tuky!$A$2:$C$87,3,0))</f>
        <v>0</v>
      </c>
      <c r="S18" s="370">
        <f>IF('Tinh phi QL'!$G$45=0,0,((SUM(D18:R18)+SUM(T18:AG18))/1000*IF('Tinh phi QL'!$H$30="nam",INDEX(MTPNam!$B$2:$AR$44,MATCH('Tinh phi QL'!$I$29+B17,MTPNam!$A$2:$A$44,0),MATCH('Tinh phi QL'!$E$45-B17,MTPNam!$B$1:$AR$1,0)),IF('Tinh phi QL'!$H$30="nữ",INDEX(MTPNu!$B$2:$AR$44,MATCH('Tinh phi QL'!$I$29+B17,MTPNu!$A$2:$A$44,0),MATCH('Tinh phi QL'!$E$45-B17,MTPNu!$B$1:$AR$1,0))))))</f>
        <v>0</v>
      </c>
      <c r="T18" s="370">
        <f t="shared" si="3"/>
        <v>0</v>
      </c>
      <c r="U18" s="370">
        <f ca="1">VLOOKUP('Tinh phi QL'!$I$49+B17,TCYT!$A$2:$B$60,2,0)*'Tinh phi QL'!$G$54/100000</f>
        <v>0</v>
      </c>
      <c r="V18" s="370">
        <f ca="1">'Tinh phi QL'!$G$55/1000000*IF('Tinh phi QL'!$H$50="nam",VLOOKUP('Tinh phi QL'!$I$49+B17,BHN!$A$2:$C$87,2,0),VLOOKUP('Tinh phi QL'!$I$49+B17,BHN!$A$2:$C$87,3,0))</f>
        <v>0</v>
      </c>
      <c r="W18" s="370">
        <f>IF($W$4=0,0,IF('Tinh phi QL'!$F$56="Việt Nam",INDEX(TTD!$B$3:$E$102,MATCH('Tinh phi QL'!$I$49+B17,TTD!$A$3:$A$102,0),MATCH('Tinh phi QL'!$G$56,TTD!$B$2:$E$2,0)),IF('Tinh phi QL'!$F$56="Toàn cầu",INDEX(TTD!$F$3:$I$102,MATCH('Tinh phi QL'!$I$49+B17,TTD!$A$3:$A$102,0),MATCH('Tinh phi QL'!$G$56,TTD!$F$2:$I$2,0)))))/1000</f>
        <v>0</v>
      </c>
      <c r="X18" s="370">
        <f>IF($X$4=0,0,INDEX(TTD!$J$3:$M$102,MATCH('Tinh phi QL'!$I$49+B17,TTD!$A$3:$A$102,0),MATCH('Tinh phi QL'!$G$58,TTD!$J$2:$M$2,0)))/1000</f>
        <v>0</v>
      </c>
      <c r="Y18" s="370">
        <f>IF($Y$4=0,0,INDEX(TTD!$N$3:$Q$102,MATCH('Tinh phi QL'!$I$49+B17,TTD!$A$3:$A$102,0),MATCH('Tinh phi QL'!$G$60,TTD!$N$2:$Q$2,0)))/1000</f>
        <v>0</v>
      </c>
      <c r="Z18" s="370">
        <f ca="1">'Tinh phi QL'!$G$64/1000000*IF('Tinh phi QL'!$H$50="nam",VLOOKUP('Tinh phi QL'!$I$49+B17,Tuky!$A$2:$C$87,2,0),VLOOKUP('Tinh phi QL'!$I$49+B17,Tuky!$A$2:$C$87,3,0))</f>
        <v>0</v>
      </c>
      <c r="AA18" s="370">
        <f t="shared" si="4"/>
        <v>0</v>
      </c>
      <c r="AB18" s="370">
        <f ca="1">VLOOKUP('Tinh phi QL'!$I$68+B17,TCYT!$A$2:$B$60,2,0)*'Tinh phi QL'!$G$73/100000</f>
        <v>0</v>
      </c>
      <c r="AC18" s="370">
        <f ca="1">'Tinh phi QL'!$G$74/1000000*IF('Tinh phi QL'!$H$69="nam",VLOOKUP('Tinh phi QL'!$I$68+B17,BHN!$A$2:$C$87,2,0),VLOOKUP('Tinh phi QL'!$I$68+B17,BHN!$A$2:$C$87,3,0))</f>
        <v>0</v>
      </c>
      <c r="AD18" s="370">
        <f>IF($AD$4=0,0,IF('Tinh phi QL'!$F$75="Việt Nam",INDEX(TTD!$B$3:$E$102,MATCH('Tinh phi QL'!$I$68+B17,TTD!$A$3:$A$102,0),MATCH('Tinh phi QL'!$G$75,TTD!$B$2:$E$2,0)),IF('Tinh phi QL'!$F$75="Toàn cầu",INDEX(TTD!$F$3:$I$102,MATCH('Tinh phi QL'!$I$68+B17,TTD!$A$3:$A$102,0),MATCH('Tinh phi QL'!$G$75,TTD!$F$2:$I$2,0)))))/1000</f>
        <v>0</v>
      </c>
      <c r="AE18" s="370">
        <f>IF($AE$4=0,0,INDEX(TTD!$J$3:$M$102,MATCH('Tinh phi QL'!$I$68+B17,TTD!$A$3:$A$102,0),MATCH('Tinh phi QL'!$G$77,TTD!$J$2:$M$2,0)))/1000</f>
        <v>0</v>
      </c>
      <c r="AF18" s="370">
        <f>IF($AF$4=0,0,INDEX(TTD!$N$3:$Q$102,MATCH('Tinh phi QL'!$I$68+B17,TTD!$A$3:$A$102,0),MATCH('Tinh phi QL'!$G$79,TTD!$N$2:$Q$2,0)))/1000</f>
        <v>0</v>
      </c>
      <c r="AG18" s="370">
        <f ca="1">'Tinh phi QL'!$G$83/1000000*IF('Tinh phi QL'!$H$69="nam",VLOOKUP('Tinh phi QL'!$I$68+B17,Tuky!$A$2:$C$87,2,0),VLOOKUP('Tinh phi QL'!$I$68+B17,Tuky!$A$2:$C$87,3,0))</f>
        <v>0</v>
      </c>
      <c r="AH18" s="371">
        <f t="shared" ca="1" si="0"/>
        <v>18533</v>
      </c>
      <c r="AI18" s="609">
        <f t="shared" ca="1" si="5"/>
        <v>112995</v>
      </c>
    </row>
    <row r="19" spans="2:35">
      <c r="B19" s="368">
        <v>16</v>
      </c>
      <c r="C19" s="368">
        <f>IF(ROW(A16)&gt;'Tinh phi QL'!$D$13,"",ROW(A16))</f>
        <v>16</v>
      </c>
      <c r="D19" s="369">
        <f>IF(IFERROR(--TRIM(C19),0)=0,0,'Tinh phi QL'!$H$13/1000)</f>
        <v>10000</v>
      </c>
      <c r="E19" s="370">
        <f t="shared" si="1"/>
        <v>2270</v>
      </c>
      <c r="F19" s="370">
        <f ca="1">VLOOKUP('Tinh phi QL'!$I$8+B18,TCYT!$A$2:$B$60,2,0)*'Tinh phi QL'!$G$15/100000</f>
        <v>0</v>
      </c>
      <c r="G19" s="370">
        <f ca="1">'Tinh phi QL'!$G$16/1000000*IF('Tinh phi QL'!$H$9="nam",VLOOKUP('Tinh phi QL'!$I$8+B18,BHN!$A$2:$C$87,2,0),VLOOKUP('Tinh phi QL'!$I$8+B18,BHN!$A$2:$C$87,3,0))</f>
        <v>2601</v>
      </c>
      <c r="H19" s="370">
        <f ca="1">IF($H$4=0,0,IF('Tinh phi QL'!$F$17="Việt Nam",INDEX(TTD!$B$3:$E$102,MATCH('Tinh phi QL'!$I$8+B18,TTD!$A$3:$A$102,0),MATCH('Tinh phi QL'!$G$17,TTD!$B$2:$E$2,0)),IF('Tinh phi QL'!$F$17="Toàn cầu",INDEX(TTD!$F$3:$I$102,MATCH('Tinh phi QL'!$I$8+B18,TTD!$A$3:$A$102,0),MATCH('Tinh phi QL'!$G$17,TTD!$F$2:$I$2,0)))))/1000</f>
        <v>5598</v>
      </c>
      <c r="I19" s="370">
        <f>IF($I$4=0,0,INDEX(TTD!$J$3:$M$102,MATCH('Tinh phi QL'!$I$8+B18,TTD!$A$3:$A$102,0),MATCH('Tinh phi QL'!$G$19,TTD!$J$2:$M$2,0)))/1000</f>
        <v>0</v>
      </c>
      <c r="J19" s="370">
        <f>IF($J$4=0,0,INDEX(TTD!$N$3:$Q$102,MATCH('Tinh phi QL'!$I$8+B18,TTD!$A$3:$A$102,0),MATCH('Tinh phi QL'!$G$21,TTD!$N$2:$Q$2,0)))/1000</f>
        <v>0</v>
      </c>
      <c r="K19" s="370">
        <f ca="1">'Tinh phi QL'!$G$25/1000000*IF('Tinh phi QL'!$H$9="nam",VLOOKUP('Tinh phi QL'!$I$8+B18,Tuky!$A$2:$C$87,2,0),VLOOKUP('Tinh phi QL'!$I$8+B18,Tuky!$A$2:$C$87,3,0))</f>
        <v>0</v>
      </c>
      <c r="L19" s="370">
        <f t="shared" si="2"/>
        <v>0</v>
      </c>
      <c r="M19" s="370">
        <f ca="1">VLOOKUP('Tinh phi QL'!$I$29+B18,TCYT!$A$2:$B$60,2,0)*'Tinh phi QL'!$G$34/100000</f>
        <v>0</v>
      </c>
      <c r="N19" s="370">
        <f ca="1">'Tinh phi QL'!$G$35/1000000*IF('Tinh phi QL'!$H$30="nam",VLOOKUP('Tinh phi QL'!$I$29+B18,BHN!$A$2:$C$87,2,0),VLOOKUP('Tinh phi QL'!$I$29+B18,BHN!$A$2:$C$87,3,0))</f>
        <v>0</v>
      </c>
      <c r="O19" s="370">
        <f>IF($O$4=0,0,IF('Tinh phi QL'!$F$36="Việt Nam",INDEX(TTD!$B$3:$E$102,MATCH('Tinh phi QL'!$I$29+B18,TTD!$A$3:$A$102,0),MATCH('Tinh phi QL'!$G$36,TTD!$B$2:$E$2,0)),IF('Tinh phi QL'!$F$36="Toàn cầu",INDEX(TTD!$F$3:$I$102,MATCH('Tinh phi QL'!$I$29+B18,TTD!$A$3:$A$102,0),MATCH('Tinh phi QL'!$G$36,TTD!$F$2:$I$2,0)))))/1000</f>
        <v>0</v>
      </c>
      <c r="P19" s="370">
        <f>IF($P$4=0,0,INDEX(TTD!$J$3:$M$102,MATCH('Tinh phi QL'!$I$29+B18,TTD!$A$3:$A$102,0),MATCH('Tinh phi QL'!$G$38,TTD!$J$2:$M$2,0)))/1000</f>
        <v>0</v>
      </c>
      <c r="Q19" s="370">
        <f>IF($Q$4=0,0,INDEX(TTD!$N$3:$Q$102,MATCH('Tinh phi QL'!$I$29+B18,TTD!$A$3:$A$102,0),MATCH('Tinh phi QL'!$G$40,TTD!$N$2:$Q$2,0)))/1000</f>
        <v>0</v>
      </c>
      <c r="R19" s="370">
        <f ca="1">'Tinh phi QL'!$G$44/1000000*IF('Tinh phi QL'!$H$30="nam",VLOOKUP('Tinh phi QL'!$I$29+B18,Tuky!$A$2:$C$87,2,0),VLOOKUP('Tinh phi QL'!$I$29+B18,Tuky!$A$2:$C$87,3,0))</f>
        <v>0</v>
      </c>
      <c r="S19" s="370">
        <f>IF('Tinh phi QL'!$G$45=0,0,((SUM(D19:R19)+SUM(T19:AG19))/1000*IF('Tinh phi QL'!$H$30="nam",INDEX(MTPNam!$B$2:$AR$44,MATCH('Tinh phi QL'!$I$29+B18,MTPNam!$A$2:$A$44,0),MATCH('Tinh phi QL'!$E$45-B18,MTPNam!$B$1:$AR$1,0)),IF('Tinh phi QL'!$H$30="nữ",INDEX(MTPNu!$B$2:$AR$44,MATCH('Tinh phi QL'!$I$29+B18,MTPNu!$A$2:$A$44,0),MATCH('Tinh phi QL'!$E$45-B18,MTPNu!$B$1:$AR$1,0))))))</f>
        <v>0</v>
      </c>
      <c r="T19" s="370">
        <f t="shared" si="3"/>
        <v>0</v>
      </c>
      <c r="U19" s="370">
        <f ca="1">VLOOKUP('Tinh phi QL'!$I$49+B18,TCYT!$A$2:$B$60,2,0)*'Tinh phi QL'!$G$54/100000</f>
        <v>0</v>
      </c>
      <c r="V19" s="370">
        <f ca="1">'Tinh phi QL'!$G$55/1000000*IF('Tinh phi QL'!$H$50="nam",VLOOKUP('Tinh phi QL'!$I$49+B18,BHN!$A$2:$C$87,2,0),VLOOKUP('Tinh phi QL'!$I$49+B18,BHN!$A$2:$C$87,3,0))</f>
        <v>0</v>
      </c>
      <c r="W19" s="370">
        <f>IF($W$4=0,0,IF('Tinh phi QL'!$F$56="Việt Nam",INDEX(TTD!$B$3:$E$102,MATCH('Tinh phi QL'!$I$49+B18,TTD!$A$3:$A$102,0),MATCH('Tinh phi QL'!$G$56,TTD!$B$2:$E$2,0)),IF('Tinh phi QL'!$F$56="Toàn cầu",INDEX(TTD!$F$3:$I$102,MATCH('Tinh phi QL'!$I$49+B18,TTD!$A$3:$A$102,0),MATCH('Tinh phi QL'!$G$56,TTD!$F$2:$I$2,0)))))/1000</f>
        <v>0</v>
      </c>
      <c r="X19" s="370">
        <f>IF($X$4=0,0,INDEX(TTD!$J$3:$M$102,MATCH('Tinh phi QL'!$I$49+B18,TTD!$A$3:$A$102,0),MATCH('Tinh phi QL'!$G$58,TTD!$J$2:$M$2,0)))/1000</f>
        <v>0</v>
      </c>
      <c r="Y19" s="370">
        <f>IF($Y$4=0,0,INDEX(TTD!$N$3:$Q$102,MATCH('Tinh phi QL'!$I$49+B18,TTD!$A$3:$A$102,0),MATCH('Tinh phi QL'!$G$60,TTD!$N$2:$Q$2,0)))/1000</f>
        <v>0</v>
      </c>
      <c r="Z19" s="370">
        <f ca="1">'Tinh phi QL'!$G$64/1000000*IF('Tinh phi QL'!$H$50="nam",VLOOKUP('Tinh phi QL'!$I$49+B18,Tuky!$A$2:$C$87,2,0),VLOOKUP('Tinh phi QL'!$I$49+B18,Tuky!$A$2:$C$87,3,0))</f>
        <v>0</v>
      </c>
      <c r="AA19" s="370">
        <f t="shared" si="4"/>
        <v>0</v>
      </c>
      <c r="AB19" s="370">
        <f ca="1">VLOOKUP('Tinh phi QL'!$I$68+B18,TCYT!$A$2:$B$60,2,0)*'Tinh phi QL'!$G$73/100000</f>
        <v>0</v>
      </c>
      <c r="AC19" s="370">
        <f ca="1">'Tinh phi QL'!$G$74/1000000*IF('Tinh phi QL'!$H$69="nam",VLOOKUP('Tinh phi QL'!$I$68+B18,BHN!$A$2:$C$87,2,0),VLOOKUP('Tinh phi QL'!$I$68+B18,BHN!$A$2:$C$87,3,0))</f>
        <v>0</v>
      </c>
      <c r="AD19" s="370">
        <f>IF($AD$4=0,0,IF('Tinh phi QL'!$F$75="Việt Nam",INDEX(TTD!$B$3:$E$102,MATCH('Tinh phi QL'!$I$68+B18,TTD!$A$3:$A$102,0),MATCH('Tinh phi QL'!$G$75,TTD!$B$2:$E$2,0)),IF('Tinh phi QL'!$F$75="Toàn cầu",INDEX(TTD!$F$3:$I$102,MATCH('Tinh phi QL'!$I$68+B18,TTD!$A$3:$A$102,0),MATCH('Tinh phi QL'!$G$75,TTD!$F$2:$I$2,0)))))/1000</f>
        <v>0</v>
      </c>
      <c r="AE19" s="370">
        <f>IF($AE$4=0,0,INDEX(TTD!$J$3:$M$102,MATCH('Tinh phi QL'!$I$68+B18,TTD!$A$3:$A$102,0),MATCH('Tinh phi QL'!$G$77,TTD!$J$2:$M$2,0)))/1000</f>
        <v>0</v>
      </c>
      <c r="AF19" s="370">
        <f>IF($AF$4=0,0,INDEX(TTD!$N$3:$Q$102,MATCH('Tinh phi QL'!$I$68+B18,TTD!$A$3:$A$102,0),MATCH('Tinh phi QL'!$G$79,TTD!$N$2:$Q$2,0)))/1000</f>
        <v>0</v>
      </c>
      <c r="AG19" s="370">
        <f ca="1">'Tinh phi QL'!$G$83/1000000*IF('Tinh phi QL'!$H$69="nam",VLOOKUP('Tinh phi QL'!$I$68+B18,Tuky!$A$2:$C$87,2,0),VLOOKUP('Tinh phi QL'!$I$68+B18,Tuky!$A$2:$C$87,3,0))</f>
        <v>0</v>
      </c>
      <c r="AH19" s="371">
        <f t="shared" ca="1" si="0"/>
        <v>20469</v>
      </c>
      <c r="AI19" s="609">
        <f t="shared" ca="1" si="5"/>
        <v>123464</v>
      </c>
    </row>
    <row r="20" spans="2:35">
      <c r="B20" s="368">
        <v>17</v>
      </c>
      <c r="C20" s="368">
        <f>IF(ROW(A17)&gt;'Tinh phi QL'!$D$13,"",ROW(A17))</f>
        <v>17</v>
      </c>
      <c r="D20" s="369">
        <f>IF(IFERROR(--TRIM(C20),0)=0,0,'Tinh phi QL'!$H$13/1000)</f>
        <v>10000</v>
      </c>
      <c r="E20" s="370">
        <f t="shared" si="1"/>
        <v>2270</v>
      </c>
      <c r="F20" s="370">
        <f ca="1">VLOOKUP('Tinh phi QL'!$I$8+B19,TCYT!$A$2:$B$60,2,0)*'Tinh phi QL'!$G$15/100000</f>
        <v>0</v>
      </c>
      <c r="G20" s="370">
        <f ca="1">'Tinh phi QL'!$G$16/1000000*IF('Tinh phi QL'!$H$9="nam",VLOOKUP('Tinh phi QL'!$I$8+B19,BHN!$A$2:$C$87,2,0),VLOOKUP('Tinh phi QL'!$I$8+B19,BHN!$A$2:$C$87,3,0))</f>
        <v>2601</v>
      </c>
      <c r="H20" s="370">
        <f ca="1">IF($H$4=0,0,IF('Tinh phi QL'!$F$17="Việt Nam",INDEX(TTD!$B$3:$E$102,MATCH('Tinh phi QL'!$I$8+B19,TTD!$A$3:$A$102,0),MATCH('Tinh phi QL'!$G$17,TTD!$B$2:$E$2,0)),IF('Tinh phi QL'!$F$17="Toàn cầu",INDEX(TTD!$F$3:$I$102,MATCH('Tinh phi QL'!$I$8+B19,TTD!$A$3:$A$102,0),MATCH('Tinh phi QL'!$G$17,TTD!$F$2:$I$2,0)))))/1000</f>
        <v>5598</v>
      </c>
      <c r="I20" s="370">
        <f>IF($I$4=0,0,INDEX(TTD!$J$3:$M$102,MATCH('Tinh phi QL'!$I$8+B19,TTD!$A$3:$A$102,0),MATCH('Tinh phi QL'!$G$19,TTD!$J$2:$M$2,0)))/1000</f>
        <v>0</v>
      </c>
      <c r="J20" s="370">
        <f>IF($J$4=0,0,INDEX(TTD!$N$3:$Q$102,MATCH('Tinh phi QL'!$I$8+B19,TTD!$A$3:$A$102,0),MATCH('Tinh phi QL'!$G$21,TTD!$N$2:$Q$2,0)))/1000</f>
        <v>0</v>
      </c>
      <c r="K20" s="370">
        <f ca="1">'Tinh phi QL'!$G$25/1000000*IF('Tinh phi QL'!$H$9="nam",VLOOKUP('Tinh phi QL'!$I$8+B19,Tuky!$A$2:$C$87,2,0),VLOOKUP('Tinh phi QL'!$I$8+B19,Tuky!$A$2:$C$87,3,0))</f>
        <v>0</v>
      </c>
      <c r="L20" s="370">
        <f t="shared" si="2"/>
        <v>0</v>
      </c>
      <c r="M20" s="370">
        <f ca="1">VLOOKUP('Tinh phi QL'!$I$29+B19,TCYT!$A$2:$B$60,2,0)*'Tinh phi QL'!$G$34/100000</f>
        <v>0</v>
      </c>
      <c r="N20" s="370">
        <f ca="1">'Tinh phi QL'!$G$35/1000000*IF('Tinh phi QL'!$H$30="nam",VLOOKUP('Tinh phi QL'!$I$29+B19,BHN!$A$2:$C$87,2,0),VLOOKUP('Tinh phi QL'!$I$29+B19,BHN!$A$2:$C$87,3,0))</f>
        <v>0</v>
      </c>
      <c r="O20" s="370">
        <f>IF($O$4=0,0,IF('Tinh phi QL'!$F$36="Việt Nam",INDEX(TTD!$B$3:$E$102,MATCH('Tinh phi QL'!$I$29+B19,TTD!$A$3:$A$102,0),MATCH('Tinh phi QL'!$G$36,TTD!$B$2:$E$2,0)),IF('Tinh phi QL'!$F$36="Toàn cầu",INDEX(TTD!$F$3:$I$102,MATCH('Tinh phi QL'!$I$29+B19,TTD!$A$3:$A$102,0),MATCH('Tinh phi QL'!$G$36,TTD!$F$2:$I$2,0)))))/1000</f>
        <v>0</v>
      </c>
      <c r="P20" s="370">
        <f>IF($P$4=0,0,INDEX(TTD!$J$3:$M$102,MATCH('Tinh phi QL'!$I$29+B19,TTD!$A$3:$A$102,0),MATCH('Tinh phi QL'!$G$38,TTD!$J$2:$M$2,0)))/1000</f>
        <v>0</v>
      </c>
      <c r="Q20" s="370">
        <f>IF($Q$4=0,0,INDEX(TTD!$N$3:$Q$102,MATCH('Tinh phi QL'!$I$29+B19,TTD!$A$3:$A$102,0),MATCH('Tinh phi QL'!$G$40,TTD!$N$2:$Q$2,0)))/1000</f>
        <v>0</v>
      </c>
      <c r="R20" s="370">
        <f ca="1">'Tinh phi QL'!$G$44/1000000*IF('Tinh phi QL'!$H$30="nam",VLOOKUP('Tinh phi QL'!$I$29+B19,Tuky!$A$2:$C$87,2,0),VLOOKUP('Tinh phi QL'!$I$29+B19,Tuky!$A$2:$C$87,3,0))</f>
        <v>0</v>
      </c>
      <c r="S20" s="370">
        <f>IF('Tinh phi QL'!$G$45=0,0,((SUM(D20:R20)+SUM(T20:AG20))/1000*IF('Tinh phi QL'!$H$30="nam",INDEX(MTPNam!$B$2:$AR$44,MATCH('Tinh phi QL'!$I$29+B19,MTPNam!$A$2:$A$44,0),MATCH('Tinh phi QL'!$E$45-B19,MTPNam!$B$1:$AR$1,0)),IF('Tinh phi QL'!$H$30="nữ",INDEX(MTPNu!$B$2:$AR$44,MATCH('Tinh phi QL'!$I$29+B19,MTPNu!$A$2:$A$44,0),MATCH('Tinh phi QL'!$E$45-B19,MTPNu!$B$1:$AR$1,0))))))</f>
        <v>0</v>
      </c>
      <c r="T20" s="370">
        <f t="shared" si="3"/>
        <v>0</v>
      </c>
      <c r="U20" s="370">
        <f ca="1">VLOOKUP('Tinh phi QL'!$I$49+B19,TCYT!$A$2:$B$60,2,0)*'Tinh phi QL'!$G$54/100000</f>
        <v>0</v>
      </c>
      <c r="V20" s="370">
        <f ca="1">'Tinh phi QL'!$G$55/1000000*IF('Tinh phi QL'!$H$50="nam",VLOOKUP('Tinh phi QL'!$I$49+B19,BHN!$A$2:$C$87,2,0),VLOOKUP('Tinh phi QL'!$I$49+B19,BHN!$A$2:$C$87,3,0))</f>
        <v>0</v>
      </c>
      <c r="W20" s="370">
        <f>IF($W$4=0,0,IF('Tinh phi QL'!$F$56="Việt Nam",INDEX(TTD!$B$3:$E$102,MATCH('Tinh phi QL'!$I$49+B19,TTD!$A$3:$A$102,0),MATCH('Tinh phi QL'!$G$56,TTD!$B$2:$E$2,0)),IF('Tinh phi QL'!$F$56="Toàn cầu",INDEX(TTD!$F$3:$I$102,MATCH('Tinh phi QL'!$I$49+B19,TTD!$A$3:$A$102,0),MATCH('Tinh phi QL'!$G$56,TTD!$F$2:$I$2,0)))))/1000</f>
        <v>0</v>
      </c>
      <c r="X20" s="370">
        <f>IF($X$4=0,0,INDEX(TTD!$J$3:$M$102,MATCH('Tinh phi QL'!$I$49+B19,TTD!$A$3:$A$102,0),MATCH('Tinh phi QL'!$G$58,TTD!$J$2:$M$2,0)))/1000</f>
        <v>0</v>
      </c>
      <c r="Y20" s="370">
        <f>IF($Y$4=0,0,INDEX(TTD!$N$3:$Q$102,MATCH('Tinh phi QL'!$I$49+B19,TTD!$A$3:$A$102,0),MATCH('Tinh phi QL'!$G$60,TTD!$N$2:$Q$2,0)))/1000</f>
        <v>0</v>
      </c>
      <c r="Z20" s="370">
        <f ca="1">'Tinh phi QL'!$G$64/1000000*IF('Tinh phi QL'!$H$50="nam",VLOOKUP('Tinh phi QL'!$I$49+B19,Tuky!$A$2:$C$87,2,0),VLOOKUP('Tinh phi QL'!$I$49+B19,Tuky!$A$2:$C$87,3,0))</f>
        <v>0</v>
      </c>
      <c r="AA20" s="370">
        <f t="shared" si="4"/>
        <v>0</v>
      </c>
      <c r="AB20" s="370">
        <f ca="1">VLOOKUP('Tinh phi QL'!$I$68+B19,TCYT!$A$2:$B$60,2,0)*'Tinh phi QL'!$G$73/100000</f>
        <v>0</v>
      </c>
      <c r="AC20" s="370">
        <f ca="1">'Tinh phi QL'!$G$74/1000000*IF('Tinh phi QL'!$H$69="nam",VLOOKUP('Tinh phi QL'!$I$68+B19,BHN!$A$2:$C$87,2,0),VLOOKUP('Tinh phi QL'!$I$68+B19,BHN!$A$2:$C$87,3,0))</f>
        <v>0</v>
      </c>
      <c r="AD20" s="370">
        <f>IF($AD$4=0,0,IF('Tinh phi QL'!$F$75="Việt Nam",INDEX(TTD!$B$3:$E$102,MATCH('Tinh phi QL'!$I$68+B19,TTD!$A$3:$A$102,0),MATCH('Tinh phi QL'!$G$75,TTD!$B$2:$E$2,0)),IF('Tinh phi QL'!$F$75="Toàn cầu",INDEX(TTD!$F$3:$I$102,MATCH('Tinh phi QL'!$I$68+B19,TTD!$A$3:$A$102,0),MATCH('Tinh phi QL'!$G$75,TTD!$F$2:$I$2,0)))))/1000</f>
        <v>0</v>
      </c>
      <c r="AE20" s="370">
        <f>IF($AE$4=0,0,INDEX(TTD!$J$3:$M$102,MATCH('Tinh phi QL'!$I$68+B19,TTD!$A$3:$A$102,0),MATCH('Tinh phi QL'!$G$77,TTD!$J$2:$M$2,0)))/1000</f>
        <v>0</v>
      </c>
      <c r="AF20" s="370">
        <f>IF($AF$4=0,0,INDEX(TTD!$N$3:$Q$102,MATCH('Tinh phi QL'!$I$68+B19,TTD!$A$3:$A$102,0),MATCH('Tinh phi QL'!$G$79,TTD!$N$2:$Q$2,0)))/1000</f>
        <v>0</v>
      </c>
      <c r="AG20" s="370">
        <f ca="1">'Tinh phi QL'!$G$83/1000000*IF('Tinh phi QL'!$H$69="nam",VLOOKUP('Tinh phi QL'!$I$68+B19,Tuky!$A$2:$C$87,2,0),VLOOKUP('Tinh phi QL'!$I$68+B19,Tuky!$A$2:$C$87,3,0))</f>
        <v>0</v>
      </c>
      <c r="AH20" s="371">
        <f t="shared" ca="1" si="0"/>
        <v>20469</v>
      </c>
      <c r="AI20" s="609">
        <f t="shared" ca="1" si="5"/>
        <v>133933</v>
      </c>
    </row>
    <row r="21" spans="2:35">
      <c r="B21" s="368">
        <v>18</v>
      </c>
      <c r="C21" s="368">
        <f>IF(ROW(A18)&gt;'Tinh phi QL'!$D$13,"",ROW(A18))</f>
        <v>18</v>
      </c>
      <c r="D21" s="369">
        <f>IF(IFERROR(--TRIM(C21),0)=0,0,'Tinh phi QL'!$H$13/1000)</f>
        <v>10000</v>
      </c>
      <c r="E21" s="370">
        <f t="shared" si="1"/>
        <v>2270</v>
      </c>
      <c r="F21" s="370">
        <f ca="1">VLOOKUP('Tinh phi QL'!$I$8+B20,TCYT!$A$2:$B$60,2,0)*'Tinh phi QL'!$G$15/100000</f>
        <v>0</v>
      </c>
      <c r="G21" s="370">
        <f ca="1">'Tinh phi QL'!$G$16/1000000*IF('Tinh phi QL'!$H$9="nam",VLOOKUP('Tinh phi QL'!$I$8+B20,BHN!$A$2:$C$87,2,0),VLOOKUP('Tinh phi QL'!$I$8+B20,BHN!$A$2:$C$87,3,0))</f>
        <v>2601</v>
      </c>
      <c r="H21" s="370">
        <f ca="1">IF($H$4=0,0,IF('Tinh phi QL'!$F$17="Việt Nam",INDEX(TTD!$B$3:$E$102,MATCH('Tinh phi QL'!$I$8+B20,TTD!$A$3:$A$102,0),MATCH('Tinh phi QL'!$G$17,TTD!$B$2:$E$2,0)),IF('Tinh phi QL'!$F$17="Toàn cầu",INDEX(TTD!$F$3:$I$102,MATCH('Tinh phi QL'!$I$8+B20,TTD!$A$3:$A$102,0),MATCH('Tinh phi QL'!$G$17,TTD!$F$2:$I$2,0)))))/1000</f>
        <v>5598</v>
      </c>
      <c r="I21" s="370">
        <f>IF($I$4=0,0,INDEX(TTD!$J$3:$M$102,MATCH('Tinh phi QL'!$I$8+B20,TTD!$A$3:$A$102,0),MATCH('Tinh phi QL'!$G$19,TTD!$J$2:$M$2,0)))/1000</f>
        <v>0</v>
      </c>
      <c r="J21" s="370">
        <f>IF($J$4=0,0,INDEX(TTD!$N$3:$Q$102,MATCH('Tinh phi QL'!$I$8+B20,TTD!$A$3:$A$102,0),MATCH('Tinh phi QL'!$G$21,TTD!$N$2:$Q$2,0)))/1000</f>
        <v>0</v>
      </c>
      <c r="K21" s="370">
        <f ca="1">'Tinh phi QL'!$G$25/1000000*IF('Tinh phi QL'!$H$9="nam",VLOOKUP('Tinh phi QL'!$I$8+B20,Tuky!$A$2:$C$87,2,0),VLOOKUP('Tinh phi QL'!$I$8+B20,Tuky!$A$2:$C$87,3,0))</f>
        <v>0</v>
      </c>
      <c r="L21" s="370">
        <f t="shared" si="2"/>
        <v>0</v>
      </c>
      <c r="M21" s="370">
        <f ca="1">VLOOKUP('Tinh phi QL'!$I$29+B20,TCYT!$A$2:$B$60,2,0)*'Tinh phi QL'!$G$34/100000</f>
        <v>0</v>
      </c>
      <c r="N21" s="370">
        <f ca="1">'Tinh phi QL'!$G$35/1000000*IF('Tinh phi QL'!$H$30="nam",VLOOKUP('Tinh phi QL'!$I$29+B20,BHN!$A$2:$C$87,2,0),VLOOKUP('Tinh phi QL'!$I$29+B20,BHN!$A$2:$C$87,3,0))</f>
        <v>0</v>
      </c>
      <c r="O21" s="370">
        <f>IF($O$4=0,0,IF('Tinh phi QL'!$F$36="Việt Nam",INDEX(TTD!$B$3:$E$102,MATCH('Tinh phi QL'!$I$29+B20,TTD!$A$3:$A$102,0),MATCH('Tinh phi QL'!$G$36,TTD!$B$2:$E$2,0)),IF('Tinh phi QL'!$F$36="Toàn cầu",INDEX(TTD!$F$3:$I$102,MATCH('Tinh phi QL'!$I$29+B20,TTD!$A$3:$A$102,0),MATCH('Tinh phi QL'!$G$36,TTD!$F$2:$I$2,0)))))/1000</f>
        <v>0</v>
      </c>
      <c r="P21" s="370">
        <f>IF($P$4=0,0,INDEX(TTD!$J$3:$M$102,MATCH('Tinh phi QL'!$I$29+B20,TTD!$A$3:$A$102,0),MATCH('Tinh phi QL'!$G$38,TTD!$J$2:$M$2,0)))/1000</f>
        <v>0</v>
      </c>
      <c r="Q21" s="370">
        <f>IF($Q$4=0,0,INDEX(TTD!$N$3:$Q$102,MATCH('Tinh phi QL'!$I$29+B20,TTD!$A$3:$A$102,0),MATCH('Tinh phi QL'!$G$40,TTD!$N$2:$Q$2,0)))/1000</f>
        <v>0</v>
      </c>
      <c r="R21" s="370">
        <f ca="1">'Tinh phi QL'!$G$44/1000000*IF('Tinh phi QL'!$H$30="nam",VLOOKUP('Tinh phi QL'!$I$29+B20,Tuky!$A$2:$C$87,2,0),VLOOKUP('Tinh phi QL'!$I$29+B20,Tuky!$A$2:$C$87,3,0))</f>
        <v>0</v>
      </c>
      <c r="S21" s="370">
        <f>IF('Tinh phi QL'!$G$45=0,0,((SUM(D21:R21)+SUM(T21:AG21))/1000*IF('Tinh phi QL'!$H$30="nam",INDEX(MTPNam!$B$2:$AR$44,MATCH('Tinh phi QL'!$I$29+B20,MTPNam!$A$2:$A$44,0),MATCH('Tinh phi QL'!$E$45-B20,MTPNam!$B$1:$AR$1,0)),IF('Tinh phi QL'!$H$30="nữ",INDEX(MTPNu!$B$2:$AR$44,MATCH('Tinh phi QL'!$I$29+B20,MTPNu!$A$2:$A$44,0),MATCH('Tinh phi QL'!$E$45-B20,MTPNu!$B$1:$AR$1,0))))))</f>
        <v>0</v>
      </c>
      <c r="T21" s="370">
        <f t="shared" si="3"/>
        <v>0</v>
      </c>
      <c r="U21" s="370">
        <f ca="1">VLOOKUP('Tinh phi QL'!$I$49+B20,TCYT!$A$2:$B$60,2,0)*'Tinh phi QL'!$G$54/100000</f>
        <v>0</v>
      </c>
      <c r="V21" s="370">
        <f ca="1">'Tinh phi QL'!$G$55/1000000*IF('Tinh phi QL'!$H$50="nam",VLOOKUP('Tinh phi QL'!$I$49+B20,BHN!$A$2:$C$87,2,0),VLOOKUP('Tinh phi QL'!$I$49+B20,BHN!$A$2:$C$87,3,0))</f>
        <v>0</v>
      </c>
      <c r="W21" s="370">
        <f>IF($W$4=0,0,IF('Tinh phi QL'!$F$56="Việt Nam",INDEX(TTD!$B$3:$E$102,MATCH('Tinh phi QL'!$I$49+B20,TTD!$A$3:$A$102,0),MATCH('Tinh phi QL'!$G$56,TTD!$B$2:$E$2,0)),IF('Tinh phi QL'!$F$56="Toàn cầu",INDEX(TTD!$F$3:$I$102,MATCH('Tinh phi QL'!$I$49+B20,TTD!$A$3:$A$102,0),MATCH('Tinh phi QL'!$G$56,TTD!$F$2:$I$2,0)))))/1000</f>
        <v>0</v>
      </c>
      <c r="X21" s="370">
        <f>IF($X$4=0,0,INDEX(TTD!$J$3:$M$102,MATCH('Tinh phi QL'!$I$49+B20,TTD!$A$3:$A$102,0),MATCH('Tinh phi QL'!$G$58,TTD!$J$2:$M$2,0)))/1000</f>
        <v>0</v>
      </c>
      <c r="Y21" s="370">
        <f>IF($Y$4=0,0,INDEX(TTD!$N$3:$Q$102,MATCH('Tinh phi QL'!$I$49+B20,TTD!$A$3:$A$102,0),MATCH('Tinh phi QL'!$G$60,TTD!$N$2:$Q$2,0)))/1000</f>
        <v>0</v>
      </c>
      <c r="Z21" s="370">
        <f ca="1">'Tinh phi QL'!$G$64/1000000*IF('Tinh phi QL'!$H$50="nam",VLOOKUP('Tinh phi QL'!$I$49+B20,Tuky!$A$2:$C$87,2,0),VLOOKUP('Tinh phi QL'!$I$49+B20,Tuky!$A$2:$C$87,3,0))</f>
        <v>0</v>
      </c>
      <c r="AA21" s="370">
        <f t="shared" si="4"/>
        <v>0</v>
      </c>
      <c r="AB21" s="370">
        <f ca="1">VLOOKUP('Tinh phi QL'!$I$68+B20,TCYT!$A$2:$B$60,2,0)*'Tinh phi QL'!$G$73/100000</f>
        <v>0</v>
      </c>
      <c r="AC21" s="370">
        <f ca="1">'Tinh phi QL'!$G$74/1000000*IF('Tinh phi QL'!$H$69="nam",VLOOKUP('Tinh phi QL'!$I$68+B20,BHN!$A$2:$C$87,2,0),VLOOKUP('Tinh phi QL'!$I$68+B20,BHN!$A$2:$C$87,3,0))</f>
        <v>0</v>
      </c>
      <c r="AD21" s="370">
        <f>IF($AD$4=0,0,IF('Tinh phi QL'!$F$75="Việt Nam",INDEX(TTD!$B$3:$E$102,MATCH('Tinh phi QL'!$I$68+B20,TTD!$A$3:$A$102,0),MATCH('Tinh phi QL'!$G$75,TTD!$B$2:$E$2,0)),IF('Tinh phi QL'!$F$75="Toàn cầu",INDEX(TTD!$F$3:$I$102,MATCH('Tinh phi QL'!$I$68+B20,TTD!$A$3:$A$102,0),MATCH('Tinh phi QL'!$G$75,TTD!$F$2:$I$2,0)))))/1000</f>
        <v>0</v>
      </c>
      <c r="AE21" s="370">
        <f>IF($AE$4=0,0,INDEX(TTD!$J$3:$M$102,MATCH('Tinh phi QL'!$I$68+B20,TTD!$A$3:$A$102,0),MATCH('Tinh phi QL'!$G$77,TTD!$J$2:$M$2,0)))/1000</f>
        <v>0</v>
      </c>
      <c r="AF21" s="370">
        <f>IF($AF$4=0,0,INDEX(TTD!$N$3:$Q$102,MATCH('Tinh phi QL'!$I$68+B20,TTD!$A$3:$A$102,0),MATCH('Tinh phi QL'!$G$79,TTD!$N$2:$Q$2,0)))/1000</f>
        <v>0</v>
      </c>
      <c r="AG21" s="370">
        <f ca="1">'Tinh phi QL'!$G$83/1000000*IF('Tinh phi QL'!$H$69="nam",VLOOKUP('Tinh phi QL'!$I$68+B20,Tuky!$A$2:$C$87,2,0),VLOOKUP('Tinh phi QL'!$I$68+B20,Tuky!$A$2:$C$87,3,0))</f>
        <v>0</v>
      </c>
      <c r="AH21" s="371">
        <f t="shared" ca="1" si="0"/>
        <v>20469</v>
      </c>
      <c r="AI21" s="609">
        <f t="shared" ca="1" si="5"/>
        <v>144402</v>
      </c>
    </row>
    <row r="22" spans="2:35">
      <c r="B22" s="368">
        <v>19</v>
      </c>
      <c r="C22" s="368">
        <f>IF(ROW(A19)&gt;'Tinh phi QL'!$D$13,"",ROW(A19))</f>
        <v>19</v>
      </c>
      <c r="D22" s="369">
        <f>IF(IFERROR(--TRIM(C22),0)=0,0,'Tinh phi QL'!$H$13/1000)</f>
        <v>10000</v>
      </c>
      <c r="E22" s="370">
        <f t="shared" ref="E22:E23" si="6">E21</f>
        <v>2270</v>
      </c>
      <c r="F22" s="370">
        <f ca="1">VLOOKUP('Tinh phi QL'!$I$8+B21,TCYT!$A$2:$B$60,2,0)*'Tinh phi QL'!$G$15/100000</f>
        <v>0</v>
      </c>
      <c r="G22" s="370">
        <f ca="1">'Tinh phi QL'!$G$16/1000000*IF('Tinh phi QL'!$H$9="nam",VLOOKUP('Tinh phi QL'!$I$8+B21,BHN!$A$2:$C$87,2,0),VLOOKUP('Tinh phi QL'!$I$8+B21,BHN!$A$2:$C$87,3,0))</f>
        <v>2601</v>
      </c>
      <c r="H22" s="370">
        <f ca="1">IF($H$4=0,0,IF('Tinh phi QL'!$F$17="Việt Nam",INDEX(TTD!$B$3:$E$102,MATCH('Tinh phi QL'!$I$8+B21,TTD!$A$3:$A$102,0),MATCH('Tinh phi QL'!$G$17,TTD!$B$2:$E$2,0)),IF('Tinh phi QL'!$F$17="Toàn cầu",INDEX(TTD!$F$3:$I$102,MATCH('Tinh phi QL'!$I$8+B21,TTD!$A$3:$A$102,0),MATCH('Tinh phi QL'!$G$17,TTD!$F$2:$I$2,0)))))/1000</f>
        <v>5598</v>
      </c>
      <c r="I22" s="370">
        <f>IF($I$4=0,0,INDEX(TTD!$J$3:$M$102,MATCH('Tinh phi QL'!$I$8+B21,TTD!$A$3:$A$102,0),MATCH('Tinh phi QL'!$G$19,TTD!$J$2:$M$2,0)))/1000</f>
        <v>0</v>
      </c>
      <c r="J22" s="370">
        <f>IF($J$4=0,0,INDEX(TTD!$N$3:$Q$102,MATCH('Tinh phi QL'!$I$8+B21,TTD!$A$3:$A$102,0),MATCH('Tinh phi QL'!$G$21,TTD!$N$2:$Q$2,0)))/1000</f>
        <v>0</v>
      </c>
      <c r="K22" s="370">
        <f ca="1">'Tinh phi QL'!$G$25/1000000*IF('Tinh phi QL'!$H$9="nam",VLOOKUP('Tinh phi QL'!$I$8+B21,Tuky!$A$2:$C$87,2,0),VLOOKUP('Tinh phi QL'!$I$8+B21,Tuky!$A$2:$C$87,3,0))</f>
        <v>0</v>
      </c>
      <c r="L22" s="370">
        <f t="shared" si="2"/>
        <v>0</v>
      </c>
      <c r="M22" s="370">
        <f ca="1">VLOOKUP('Tinh phi QL'!$I$29+B21,TCYT!$A$2:$B$60,2,0)*'Tinh phi QL'!$G$34/100000</f>
        <v>0</v>
      </c>
      <c r="N22" s="370">
        <f ca="1">'Tinh phi QL'!$G$35/1000000*IF('Tinh phi QL'!$H$30="nam",VLOOKUP('Tinh phi QL'!$I$29+B21,BHN!$A$2:$C$87,2,0),VLOOKUP('Tinh phi QL'!$I$29+B21,BHN!$A$2:$C$87,3,0))</f>
        <v>0</v>
      </c>
      <c r="O22" s="370">
        <f>IF($O$4=0,0,IF('Tinh phi QL'!$F$36="Việt Nam",INDEX(TTD!$B$3:$E$102,MATCH('Tinh phi QL'!$I$29+B21,TTD!$A$3:$A$102,0),MATCH('Tinh phi QL'!$G$36,TTD!$B$2:$E$2,0)),IF('Tinh phi QL'!$F$36="Toàn cầu",INDEX(TTD!$F$3:$I$102,MATCH('Tinh phi QL'!$I$29+B21,TTD!$A$3:$A$102,0),MATCH('Tinh phi QL'!$G$36,TTD!$F$2:$I$2,0)))))/1000</f>
        <v>0</v>
      </c>
      <c r="P22" s="370">
        <f>IF($P$4=0,0,INDEX(TTD!$J$3:$M$102,MATCH('Tinh phi QL'!$I$29+B21,TTD!$A$3:$A$102,0),MATCH('Tinh phi QL'!$G$38,TTD!$J$2:$M$2,0)))/1000</f>
        <v>0</v>
      </c>
      <c r="Q22" s="370">
        <f>IF($Q$4=0,0,INDEX(TTD!$N$3:$Q$102,MATCH('Tinh phi QL'!$I$29+B21,TTD!$A$3:$A$102,0),MATCH('Tinh phi QL'!$G$40,TTD!$N$2:$Q$2,0)))/1000</f>
        <v>0</v>
      </c>
      <c r="R22" s="370">
        <f ca="1">'Tinh phi QL'!$G$44/1000000*IF('Tinh phi QL'!$H$30="nam",VLOOKUP('Tinh phi QL'!$I$29+B21,Tuky!$A$2:$C$87,2,0),VLOOKUP('Tinh phi QL'!$I$29+B21,Tuky!$A$2:$C$87,3,0))</f>
        <v>0</v>
      </c>
      <c r="S22" s="370">
        <f>IF('Tinh phi QL'!$G$45=0,0,((SUM(D22:R22)+SUM(T22:AG22))/1000*IF('Tinh phi QL'!$H$30="nam",INDEX(MTPNam!$B$2:$AR$44,MATCH('Tinh phi QL'!$I$29+B21,MTPNam!$A$2:$A$44,0),MATCH('Tinh phi QL'!$E$45-B21,MTPNam!$B$1:$AR$1,0)),IF('Tinh phi QL'!$H$30="nữ",INDEX(MTPNu!$B$2:$AR$44,MATCH('Tinh phi QL'!$I$29+B21,MTPNu!$A$2:$A$44,0),MATCH('Tinh phi QL'!$E$45-B21,MTPNu!$B$1:$AR$1,0))))))</f>
        <v>0</v>
      </c>
      <c r="T22" s="370">
        <f t="shared" si="3"/>
        <v>0</v>
      </c>
      <c r="U22" s="370">
        <f ca="1">VLOOKUP('Tinh phi QL'!$I$49+B21,TCYT!$A$2:$B$60,2,0)*'Tinh phi QL'!$G$54/100000</f>
        <v>0</v>
      </c>
      <c r="V22" s="370">
        <f ca="1">'Tinh phi QL'!$G$55/1000000*IF('Tinh phi QL'!$H$50="nam",VLOOKUP('Tinh phi QL'!$I$49+B21,BHN!$A$2:$C$87,2,0),VLOOKUP('Tinh phi QL'!$I$49+B21,BHN!$A$2:$C$87,3,0))</f>
        <v>0</v>
      </c>
      <c r="W22" s="370">
        <f>IF($W$4=0,0,IF('Tinh phi QL'!$F$56="Việt Nam",INDEX(TTD!$B$3:$E$102,MATCH('Tinh phi QL'!$I$49+B21,TTD!$A$3:$A$102,0),MATCH('Tinh phi QL'!$G$56,TTD!$B$2:$E$2,0)),IF('Tinh phi QL'!$F$56="Toàn cầu",INDEX(TTD!$F$3:$I$102,MATCH('Tinh phi QL'!$I$49+B21,TTD!$A$3:$A$102,0),MATCH('Tinh phi QL'!$G$56,TTD!$F$2:$I$2,0)))))/1000</f>
        <v>0</v>
      </c>
      <c r="X22" s="370">
        <f>IF($X$4=0,0,INDEX(TTD!$J$3:$M$102,MATCH('Tinh phi QL'!$I$49+B21,TTD!$A$3:$A$102,0),MATCH('Tinh phi QL'!$G$58,TTD!$J$2:$M$2,0)))/1000</f>
        <v>0</v>
      </c>
      <c r="Y22" s="370">
        <f>IF($Y$4=0,0,INDEX(TTD!$N$3:$Q$102,MATCH('Tinh phi QL'!$I$49+B21,TTD!$A$3:$A$102,0),MATCH('Tinh phi QL'!$G$60,TTD!$N$2:$Q$2,0)))/1000</f>
        <v>0</v>
      </c>
      <c r="Z22" s="370">
        <f ca="1">'Tinh phi QL'!$G$64/1000000*IF('Tinh phi QL'!$H$50="nam",VLOOKUP('Tinh phi QL'!$I$49+B21,Tuky!$A$2:$C$87,2,0),VLOOKUP('Tinh phi QL'!$I$49+B21,Tuky!$A$2:$C$87,3,0))</f>
        <v>0</v>
      </c>
      <c r="AA22" s="370">
        <f t="shared" si="4"/>
        <v>0</v>
      </c>
      <c r="AB22" s="370">
        <f ca="1">VLOOKUP('Tinh phi QL'!$I$68+B21,TCYT!$A$2:$B$60,2,0)*'Tinh phi QL'!$G$73/100000</f>
        <v>0</v>
      </c>
      <c r="AC22" s="370">
        <f ca="1">'Tinh phi QL'!$G$74/1000000*IF('Tinh phi QL'!$H$69="nam",VLOOKUP('Tinh phi QL'!$I$68+B21,BHN!$A$2:$C$87,2,0),VLOOKUP('Tinh phi QL'!$I$68+B21,BHN!$A$2:$C$87,3,0))</f>
        <v>0</v>
      </c>
      <c r="AD22" s="370">
        <f>IF($AD$4=0,0,IF('Tinh phi QL'!$F$75="Việt Nam",INDEX(TTD!$B$3:$E$102,MATCH('Tinh phi QL'!$I$68+B21,TTD!$A$3:$A$102,0),MATCH('Tinh phi QL'!$G$75,TTD!$B$2:$E$2,0)),IF('Tinh phi QL'!$F$75="Toàn cầu",INDEX(TTD!$F$3:$I$102,MATCH('Tinh phi QL'!$I$68+B21,TTD!$A$3:$A$102,0),MATCH('Tinh phi QL'!$G$75,TTD!$F$2:$I$2,0)))))/1000</f>
        <v>0</v>
      </c>
      <c r="AE22" s="370">
        <f>IF($AE$4=0,0,INDEX(TTD!$J$3:$M$102,MATCH('Tinh phi QL'!$I$68+B21,TTD!$A$3:$A$102,0),MATCH('Tinh phi QL'!$G$77,TTD!$J$2:$M$2,0)))/1000</f>
        <v>0</v>
      </c>
      <c r="AF22" s="370">
        <f>IF($AF$4=0,0,INDEX(TTD!$N$3:$Q$102,MATCH('Tinh phi QL'!$I$68+B21,TTD!$A$3:$A$102,0),MATCH('Tinh phi QL'!$G$79,TTD!$N$2:$Q$2,0)))/1000</f>
        <v>0</v>
      </c>
      <c r="AG22" s="370">
        <f ca="1">'Tinh phi QL'!$G$83/1000000*IF('Tinh phi QL'!$H$69="nam",VLOOKUP('Tinh phi QL'!$I$68+B21,Tuky!$A$2:$C$87,2,0),VLOOKUP('Tinh phi QL'!$I$68+B21,Tuky!$A$2:$C$87,3,0))</f>
        <v>0</v>
      </c>
      <c r="AH22" s="371">
        <f t="shared" ca="1" si="0"/>
        <v>20469</v>
      </c>
      <c r="AI22" s="609">
        <f t="shared" ca="1" si="5"/>
        <v>154871</v>
      </c>
    </row>
    <row r="23" spans="2:35">
      <c r="B23" s="368">
        <v>20</v>
      </c>
      <c r="C23" s="368">
        <f>IF(ROW(A20)&gt;'Tinh phi QL'!$D$13,"",ROW(A20))</f>
        <v>20</v>
      </c>
      <c r="D23" s="369">
        <f>IF(IFERROR(--TRIM(C23),0)=0,0,'Tinh phi QL'!$H$13/1000)</f>
        <v>10000</v>
      </c>
      <c r="E23" s="370">
        <f t="shared" si="6"/>
        <v>2270</v>
      </c>
      <c r="F23" s="370">
        <f ca="1">VLOOKUP('Tinh phi QL'!$I$8+B22,TCYT!$A$2:$B$60,2,0)*'Tinh phi QL'!$G$15/100000</f>
        <v>0</v>
      </c>
      <c r="G23" s="370">
        <f ca="1">'Tinh phi QL'!$G$16/1000000*IF('Tinh phi QL'!$H$9="nam",VLOOKUP('Tinh phi QL'!$I$8+B22,BHN!$A$2:$C$87,2,0),VLOOKUP('Tinh phi QL'!$I$8+B22,BHN!$A$2:$C$87,3,0))</f>
        <v>2601</v>
      </c>
      <c r="H23" s="370">
        <f ca="1">IF($H$4=0,0,IF('Tinh phi QL'!$F$17="Việt Nam",INDEX(TTD!$B$3:$E$102,MATCH('Tinh phi QL'!$I$8+B22,TTD!$A$3:$A$102,0),MATCH('Tinh phi QL'!$G$17,TTD!$B$2:$E$2,0)),IF('Tinh phi QL'!$F$17="Toàn cầu",INDEX(TTD!$F$3:$I$102,MATCH('Tinh phi QL'!$I$8+B22,TTD!$A$3:$A$102,0),MATCH('Tinh phi QL'!$G$17,TTD!$F$2:$I$2,0)))))/1000</f>
        <v>5598</v>
      </c>
      <c r="I23" s="370">
        <f>IF($I$4=0,0,INDEX(TTD!$J$3:$M$102,MATCH('Tinh phi QL'!$I$8+B22,TTD!$A$3:$A$102,0),MATCH('Tinh phi QL'!$G$19,TTD!$J$2:$M$2,0)))/1000</f>
        <v>0</v>
      </c>
      <c r="J23" s="370">
        <f>IF($J$4=0,0,INDEX(TTD!$N$3:$Q$102,MATCH('Tinh phi QL'!$I$8+B22,TTD!$A$3:$A$102,0),MATCH('Tinh phi QL'!$G$21,TTD!$N$2:$Q$2,0)))/1000</f>
        <v>0</v>
      </c>
      <c r="K23" s="370">
        <f ca="1">'Tinh phi QL'!$G$25/1000000*IF('Tinh phi QL'!$H$9="nam",VLOOKUP('Tinh phi QL'!$I$8+B22,Tuky!$A$2:$C$87,2,0),VLOOKUP('Tinh phi QL'!$I$8+B22,Tuky!$A$2:$C$87,3,0))</f>
        <v>0</v>
      </c>
      <c r="L23" s="370">
        <f t="shared" si="2"/>
        <v>0</v>
      </c>
      <c r="M23" s="370">
        <f ca="1">VLOOKUP('Tinh phi QL'!$I$29+B22,TCYT!$A$2:$B$60,2,0)*'Tinh phi QL'!$G$34/100000</f>
        <v>0</v>
      </c>
      <c r="N23" s="370">
        <f ca="1">'Tinh phi QL'!$G$35/1000000*IF('Tinh phi QL'!$H$30="nam",VLOOKUP('Tinh phi QL'!$I$29+B22,BHN!$A$2:$C$87,2,0),VLOOKUP('Tinh phi QL'!$I$29+B22,BHN!$A$2:$C$87,3,0))</f>
        <v>0</v>
      </c>
      <c r="O23" s="370">
        <f>IF($O$4=0,0,IF('Tinh phi QL'!$F$36="Việt Nam",INDEX(TTD!$B$3:$E$102,MATCH('Tinh phi QL'!$I$29+B22,TTD!$A$3:$A$102,0),MATCH('Tinh phi QL'!$G$36,TTD!$B$2:$E$2,0)),IF('Tinh phi QL'!$F$36="Toàn cầu",INDEX(TTD!$F$3:$I$102,MATCH('Tinh phi QL'!$I$29+B22,TTD!$A$3:$A$102,0),MATCH('Tinh phi QL'!$G$36,TTD!$F$2:$I$2,0)))))/1000</f>
        <v>0</v>
      </c>
      <c r="P23" s="370">
        <f>IF($P$4=0,0,INDEX(TTD!$J$3:$M$102,MATCH('Tinh phi QL'!$I$29+B22,TTD!$A$3:$A$102,0),MATCH('Tinh phi QL'!$G$38,TTD!$J$2:$M$2,0)))/1000</f>
        <v>0</v>
      </c>
      <c r="Q23" s="370">
        <f>IF($Q$4=0,0,INDEX(TTD!$N$3:$Q$102,MATCH('Tinh phi QL'!$I$29+B22,TTD!$A$3:$A$102,0),MATCH('Tinh phi QL'!$G$40,TTD!$N$2:$Q$2,0)))/1000</f>
        <v>0</v>
      </c>
      <c r="R23" s="370">
        <f ca="1">'Tinh phi QL'!$G$44/1000000*IF('Tinh phi QL'!$H$30="nam",VLOOKUP('Tinh phi QL'!$I$29+B22,Tuky!$A$2:$C$87,2,0),VLOOKUP('Tinh phi QL'!$I$29+B22,Tuky!$A$2:$C$87,3,0))</f>
        <v>0</v>
      </c>
      <c r="S23" s="370">
        <f>IF('Tinh phi QL'!$G$45=0,0,((SUM(D23:R23)+SUM(T23:AG23))/1000*IF('Tinh phi QL'!$H$30="nam",INDEX(MTPNam!$B$2:$AR$44,MATCH('Tinh phi QL'!$I$29+B22,MTPNam!$A$2:$A$44,0),MATCH('Tinh phi QL'!$E$45-B22,MTPNam!$B$1:$AR$1,0)),IF('Tinh phi QL'!$H$30="nữ",INDEX(MTPNu!$B$2:$AR$44,MATCH('Tinh phi QL'!$I$29+B22,MTPNu!$A$2:$A$44,0),MATCH('Tinh phi QL'!$E$45-B22,MTPNu!$B$1:$AR$1,0))))))</f>
        <v>0</v>
      </c>
      <c r="T23" s="370">
        <f t="shared" si="3"/>
        <v>0</v>
      </c>
      <c r="U23" s="370">
        <f ca="1">VLOOKUP('Tinh phi QL'!$I$49+B22,TCYT!$A$2:$B$60,2,0)*'Tinh phi QL'!$G$54/100000</f>
        <v>0</v>
      </c>
      <c r="V23" s="370">
        <f ca="1">'Tinh phi QL'!$G$55/1000000*IF('Tinh phi QL'!$H$50="nam",VLOOKUP('Tinh phi QL'!$I$49+B22,BHN!$A$2:$C$87,2,0),VLOOKUP('Tinh phi QL'!$I$49+B22,BHN!$A$2:$C$87,3,0))</f>
        <v>0</v>
      </c>
      <c r="W23" s="370">
        <f>IF($W$4=0,0,IF('Tinh phi QL'!$F$56="Việt Nam",INDEX(TTD!$B$3:$E$102,MATCH('Tinh phi QL'!$I$49+B22,TTD!$A$3:$A$102,0),MATCH('Tinh phi QL'!$G$56,TTD!$B$2:$E$2,0)),IF('Tinh phi QL'!$F$56="Toàn cầu",INDEX(TTD!$F$3:$I$102,MATCH('Tinh phi QL'!$I$49+B22,TTD!$A$3:$A$102,0),MATCH('Tinh phi QL'!$G$56,TTD!$F$2:$I$2,0)))))/1000</f>
        <v>0</v>
      </c>
      <c r="X23" s="370">
        <f>IF($X$4=0,0,INDEX(TTD!$J$3:$M$102,MATCH('Tinh phi QL'!$I$49+B22,TTD!$A$3:$A$102,0),MATCH('Tinh phi QL'!$G$58,TTD!$J$2:$M$2,0)))/1000</f>
        <v>0</v>
      </c>
      <c r="Y23" s="370">
        <f>IF($Y$4=0,0,INDEX(TTD!$N$3:$Q$102,MATCH('Tinh phi QL'!$I$49+B22,TTD!$A$3:$A$102,0),MATCH('Tinh phi QL'!$G$60,TTD!$N$2:$Q$2,0)))/1000</f>
        <v>0</v>
      </c>
      <c r="Z23" s="370">
        <f ca="1">'Tinh phi QL'!$G$64/1000000*IF('Tinh phi QL'!$H$50="nam",VLOOKUP('Tinh phi QL'!$I$49+B22,Tuky!$A$2:$C$87,2,0),VLOOKUP('Tinh phi QL'!$I$49+B22,Tuky!$A$2:$C$87,3,0))</f>
        <v>0</v>
      </c>
      <c r="AA23" s="370">
        <f t="shared" si="4"/>
        <v>0</v>
      </c>
      <c r="AB23" s="370">
        <f ca="1">VLOOKUP('Tinh phi QL'!$I$68+B22,TCYT!$A$2:$B$60,2,0)*'Tinh phi QL'!$G$73/100000</f>
        <v>0</v>
      </c>
      <c r="AC23" s="370">
        <f ca="1">'Tinh phi QL'!$G$74/1000000*IF('Tinh phi QL'!$H$69="nam",VLOOKUP('Tinh phi QL'!$I$68+B22,BHN!$A$2:$C$87,2,0),VLOOKUP('Tinh phi QL'!$I$68+B22,BHN!$A$2:$C$87,3,0))</f>
        <v>0</v>
      </c>
      <c r="AD23" s="370">
        <f>IF($AD$4=0,0,IF('Tinh phi QL'!$F$75="Việt Nam",INDEX(TTD!$B$3:$E$102,MATCH('Tinh phi QL'!$I$68+B22,TTD!$A$3:$A$102,0),MATCH('Tinh phi QL'!$G$75,TTD!$B$2:$E$2,0)),IF('Tinh phi QL'!$F$75="Toàn cầu",INDEX(TTD!$F$3:$I$102,MATCH('Tinh phi QL'!$I$68+B22,TTD!$A$3:$A$102,0),MATCH('Tinh phi QL'!$G$75,TTD!$F$2:$I$2,0)))))/1000</f>
        <v>0</v>
      </c>
      <c r="AE23" s="370">
        <f>IF($AE$4=0,0,INDEX(TTD!$J$3:$M$102,MATCH('Tinh phi QL'!$I$68+B22,TTD!$A$3:$A$102,0),MATCH('Tinh phi QL'!$G$77,TTD!$J$2:$M$2,0)))/1000</f>
        <v>0</v>
      </c>
      <c r="AF23" s="370">
        <f>IF($AF$4=0,0,INDEX(TTD!$N$3:$Q$102,MATCH('Tinh phi QL'!$I$68+B22,TTD!$A$3:$A$102,0),MATCH('Tinh phi QL'!$G$79,TTD!$N$2:$Q$2,0)))/1000</f>
        <v>0</v>
      </c>
      <c r="AG23" s="370">
        <f ca="1">'Tinh phi QL'!$G$83/1000000*IF('Tinh phi QL'!$H$69="nam",VLOOKUP('Tinh phi QL'!$I$68+B22,Tuky!$A$2:$C$87,2,0),VLOOKUP('Tinh phi QL'!$I$68+B22,Tuky!$A$2:$C$87,3,0))</f>
        <v>0</v>
      </c>
      <c r="AH23" s="371">
        <f t="shared" ca="1" si="0"/>
        <v>20469</v>
      </c>
      <c r="AI23" s="609">
        <f t="shared" ca="1" si="5"/>
        <v>165340</v>
      </c>
    </row>
    <row r="24" spans="2:35" s="365" customFormat="1" ht="12.75" customHeight="1">
      <c r="B24" s="963" t="s">
        <v>53</v>
      </c>
      <c r="C24" s="963"/>
      <c r="D24" s="963"/>
      <c r="E24" s="963"/>
      <c r="F24" s="963"/>
      <c r="G24" s="963"/>
      <c r="H24" s="963"/>
      <c r="I24" s="963"/>
      <c r="J24" s="963"/>
      <c r="K24" s="963"/>
      <c r="L24" s="963"/>
      <c r="M24" s="963"/>
      <c r="N24" s="963"/>
      <c r="O24" s="963"/>
      <c r="P24" s="963"/>
      <c r="Q24" s="963"/>
      <c r="R24" s="963"/>
      <c r="S24" s="963"/>
      <c r="T24" s="963"/>
      <c r="U24" s="963"/>
      <c r="V24" s="963"/>
      <c r="W24" s="963"/>
      <c r="X24" s="963"/>
      <c r="Y24" s="963"/>
      <c r="Z24" s="963"/>
      <c r="AA24" s="963"/>
      <c r="AB24" s="963"/>
      <c r="AC24" s="963"/>
      <c r="AD24" s="963"/>
      <c r="AE24" s="963"/>
      <c r="AF24" s="963"/>
      <c r="AG24" s="963"/>
      <c r="AH24" s="427">
        <f ca="1">SUM(AH4:AH23)</f>
        <v>365340</v>
      </c>
    </row>
  </sheetData>
  <mergeCells count="6">
    <mergeCell ref="B24:AG24"/>
    <mergeCell ref="B1:H1"/>
    <mergeCell ref="B2:K2"/>
    <mergeCell ref="L2:R2"/>
    <mergeCell ref="T2:Z2"/>
    <mergeCell ref="AA2:AG2"/>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032E59-832C-4E3E-A6F3-14D152E70C67}">
  <dimension ref="A1:Q270"/>
  <sheetViews>
    <sheetView workbookViewId="0">
      <selection activeCell="A3" sqref="A3"/>
    </sheetView>
  </sheetViews>
  <sheetFormatPr defaultColWidth="9.296875" defaultRowHeight="10"/>
  <cols>
    <col min="1" max="1" width="9.296875" style="429"/>
    <col min="2" max="9" width="9.69921875" style="429" customWidth="1"/>
    <col min="10" max="16384" width="9.296875" style="429"/>
  </cols>
  <sheetData>
    <row r="1" spans="1:17" ht="9.75" customHeight="1">
      <c r="B1" s="1017" t="s">
        <v>626</v>
      </c>
      <c r="C1" s="1018"/>
      <c r="D1" s="1018"/>
      <c r="E1" s="1019"/>
      <c r="F1" s="1017" t="s">
        <v>627</v>
      </c>
      <c r="G1" s="1018"/>
      <c r="H1" s="1018"/>
      <c r="I1" s="1019"/>
      <c r="J1" s="1017" t="s">
        <v>628</v>
      </c>
      <c r="K1" s="1018"/>
      <c r="L1" s="1018"/>
      <c r="M1" s="1019"/>
      <c r="N1" s="1017" t="s">
        <v>720</v>
      </c>
      <c r="O1" s="1018"/>
      <c r="P1" s="1018"/>
      <c r="Q1" s="1019"/>
    </row>
    <row r="2" spans="1:17" s="430" customFormat="1" ht="9.75" customHeight="1">
      <c r="B2" s="431" t="s">
        <v>624</v>
      </c>
      <c r="C2" s="432" t="s">
        <v>780</v>
      </c>
      <c r="D2" s="433" t="s">
        <v>724</v>
      </c>
      <c r="E2" s="431" t="s">
        <v>781</v>
      </c>
      <c r="F2" s="431" t="s">
        <v>624</v>
      </c>
      <c r="G2" s="432" t="s">
        <v>780</v>
      </c>
      <c r="H2" s="433" t="s">
        <v>724</v>
      </c>
      <c r="I2" s="431" t="s">
        <v>781</v>
      </c>
      <c r="J2" s="431" t="s">
        <v>624</v>
      </c>
      <c r="K2" s="432" t="s">
        <v>780</v>
      </c>
      <c r="L2" s="433" t="s">
        <v>724</v>
      </c>
      <c r="M2" s="431" t="s">
        <v>781</v>
      </c>
      <c r="N2" s="431" t="s">
        <v>624</v>
      </c>
      <c r="O2" s="432" t="s">
        <v>780</v>
      </c>
      <c r="P2" s="433" t="s">
        <v>724</v>
      </c>
      <c r="Q2" s="431" t="s">
        <v>781</v>
      </c>
    </row>
    <row r="3" spans="1:17" ht="9.75" customHeight="1">
      <c r="A3" s="429">
        <v>0</v>
      </c>
      <c r="B3" s="434">
        <v>2976000</v>
      </c>
      <c r="C3" s="435">
        <v>5417000</v>
      </c>
      <c r="D3" s="436">
        <v>10697000</v>
      </c>
      <c r="E3" s="434">
        <v>15309000</v>
      </c>
      <c r="F3" s="437">
        <v>3990000</v>
      </c>
      <c r="G3" s="437">
        <v>7264000</v>
      </c>
      <c r="H3" s="437">
        <v>14344000</v>
      </c>
      <c r="I3" s="437">
        <v>20528000</v>
      </c>
      <c r="J3" s="437">
        <v>2013000</v>
      </c>
      <c r="K3" s="437">
        <v>3789000</v>
      </c>
      <c r="L3" s="437">
        <v>8147000</v>
      </c>
      <c r="M3" s="437">
        <v>12089000</v>
      </c>
      <c r="N3" s="437">
        <v>509000</v>
      </c>
      <c r="O3" s="437">
        <v>939000</v>
      </c>
      <c r="P3" s="437">
        <v>2189000</v>
      </c>
      <c r="Q3" s="437">
        <v>4009000</v>
      </c>
    </row>
    <row r="4" spans="1:17" ht="9.75" customHeight="1">
      <c r="A4" s="429">
        <v>1</v>
      </c>
      <c r="B4" s="434">
        <v>2976000</v>
      </c>
      <c r="C4" s="435">
        <v>5417000</v>
      </c>
      <c r="D4" s="436">
        <v>10697000</v>
      </c>
      <c r="E4" s="434">
        <v>15309000</v>
      </c>
      <c r="F4" s="437">
        <v>3990000</v>
      </c>
      <c r="G4" s="437">
        <v>7264000</v>
      </c>
      <c r="H4" s="437">
        <v>14344000</v>
      </c>
      <c r="I4" s="437">
        <v>20528000</v>
      </c>
      <c r="J4" s="437">
        <v>2013000</v>
      </c>
      <c r="K4" s="437">
        <v>3789000</v>
      </c>
      <c r="L4" s="437">
        <v>8147000</v>
      </c>
      <c r="M4" s="437">
        <v>12089000</v>
      </c>
      <c r="N4" s="437">
        <v>509000</v>
      </c>
      <c r="O4" s="437">
        <v>939000</v>
      </c>
      <c r="P4" s="437">
        <v>2189000</v>
      </c>
      <c r="Q4" s="437">
        <v>4009000</v>
      </c>
    </row>
    <row r="5" spans="1:17" ht="9.75" customHeight="1">
      <c r="A5" s="429">
        <v>2</v>
      </c>
      <c r="B5" s="434">
        <v>2976000</v>
      </c>
      <c r="C5" s="435">
        <v>5417000</v>
      </c>
      <c r="D5" s="436">
        <v>10697000</v>
      </c>
      <c r="E5" s="434">
        <v>15309000</v>
      </c>
      <c r="F5" s="437">
        <v>3990000</v>
      </c>
      <c r="G5" s="437">
        <v>7264000</v>
      </c>
      <c r="H5" s="437">
        <v>14344000</v>
      </c>
      <c r="I5" s="437">
        <v>20528000</v>
      </c>
      <c r="J5" s="437">
        <v>2013000</v>
      </c>
      <c r="K5" s="437">
        <v>3789000</v>
      </c>
      <c r="L5" s="437">
        <v>8147000</v>
      </c>
      <c r="M5" s="437">
        <v>12089000</v>
      </c>
      <c r="N5" s="437">
        <v>509000</v>
      </c>
      <c r="O5" s="437">
        <v>939000</v>
      </c>
      <c r="P5" s="437">
        <v>2189000</v>
      </c>
      <c r="Q5" s="437">
        <v>4009000</v>
      </c>
    </row>
    <row r="6" spans="1:17" ht="9.75" customHeight="1">
      <c r="A6" s="429">
        <v>3</v>
      </c>
      <c r="B6" s="434">
        <v>2976000</v>
      </c>
      <c r="C6" s="435">
        <v>5417000</v>
      </c>
      <c r="D6" s="436">
        <v>10697000</v>
      </c>
      <c r="E6" s="434">
        <v>15309000</v>
      </c>
      <c r="F6" s="437">
        <v>3990000</v>
      </c>
      <c r="G6" s="437">
        <v>7264000</v>
      </c>
      <c r="H6" s="437">
        <v>14344000</v>
      </c>
      <c r="I6" s="437">
        <v>20528000</v>
      </c>
      <c r="J6" s="437">
        <v>2013000</v>
      </c>
      <c r="K6" s="437">
        <v>3789000</v>
      </c>
      <c r="L6" s="437">
        <v>8147000</v>
      </c>
      <c r="M6" s="437">
        <v>12089000</v>
      </c>
      <c r="N6" s="437">
        <v>509000</v>
      </c>
      <c r="O6" s="437">
        <v>939000</v>
      </c>
      <c r="P6" s="437">
        <v>2189000</v>
      </c>
      <c r="Q6" s="437">
        <v>4009000</v>
      </c>
    </row>
    <row r="7" spans="1:17" ht="9.75" customHeight="1">
      <c r="A7" s="429">
        <v>4</v>
      </c>
      <c r="B7" s="434">
        <v>2976000</v>
      </c>
      <c r="C7" s="435">
        <v>5417000</v>
      </c>
      <c r="D7" s="436">
        <v>10697000</v>
      </c>
      <c r="E7" s="434">
        <v>15309000</v>
      </c>
      <c r="F7" s="437">
        <v>3990000</v>
      </c>
      <c r="G7" s="437">
        <v>7264000</v>
      </c>
      <c r="H7" s="437">
        <v>14344000</v>
      </c>
      <c r="I7" s="437">
        <v>20528000</v>
      </c>
      <c r="J7" s="437">
        <v>2013000</v>
      </c>
      <c r="K7" s="437">
        <v>3789000</v>
      </c>
      <c r="L7" s="437">
        <v>8147000</v>
      </c>
      <c r="M7" s="437">
        <v>12089000</v>
      </c>
      <c r="N7" s="437">
        <v>509000</v>
      </c>
      <c r="O7" s="437">
        <v>939000</v>
      </c>
      <c r="P7" s="437">
        <v>2189000</v>
      </c>
      <c r="Q7" s="437">
        <v>4009000</v>
      </c>
    </row>
    <row r="8" spans="1:17" ht="9.75" customHeight="1">
      <c r="A8" s="429">
        <v>5</v>
      </c>
      <c r="B8" s="434">
        <v>1930000</v>
      </c>
      <c r="C8" s="435">
        <v>3608000</v>
      </c>
      <c r="D8" s="438">
        <v>6477000</v>
      </c>
      <c r="E8" s="434">
        <v>9269000</v>
      </c>
      <c r="F8" s="437">
        <v>2588000</v>
      </c>
      <c r="G8" s="437">
        <v>4838000</v>
      </c>
      <c r="H8" s="437">
        <v>8684000</v>
      </c>
      <c r="I8" s="437">
        <v>12429000</v>
      </c>
      <c r="J8" s="437">
        <v>1049000</v>
      </c>
      <c r="K8" s="437">
        <v>1975000</v>
      </c>
      <c r="L8" s="437">
        <v>4247000</v>
      </c>
      <c r="M8" s="437">
        <v>6302000</v>
      </c>
      <c r="N8" s="437">
        <v>869000</v>
      </c>
      <c r="O8" s="437">
        <v>1619000</v>
      </c>
      <c r="P8" s="437">
        <v>3749000</v>
      </c>
      <c r="Q8" s="437">
        <v>6869000</v>
      </c>
    </row>
    <row r="9" spans="1:17" ht="9.75" customHeight="1">
      <c r="A9" s="429">
        <v>6</v>
      </c>
      <c r="B9" s="434">
        <v>1930000</v>
      </c>
      <c r="C9" s="435">
        <v>3608000</v>
      </c>
      <c r="D9" s="438">
        <v>6477000</v>
      </c>
      <c r="E9" s="434">
        <v>9269000</v>
      </c>
      <c r="F9" s="437">
        <v>2588000</v>
      </c>
      <c r="G9" s="437">
        <v>4838000</v>
      </c>
      <c r="H9" s="437">
        <v>8684000</v>
      </c>
      <c r="I9" s="437">
        <v>12429000</v>
      </c>
      <c r="J9" s="437">
        <v>1049000</v>
      </c>
      <c r="K9" s="437">
        <v>1975000</v>
      </c>
      <c r="L9" s="437">
        <v>4247000</v>
      </c>
      <c r="M9" s="437">
        <v>6302000</v>
      </c>
      <c r="N9" s="437">
        <v>869000</v>
      </c>
      <c r="O9" s="437">
        <v>1619000</v>
      </c>
      <c r="P9" s="437">
        <v>3749000</v>
      </c>
      <c r="Q9" s="437">
        <v>6869000</v>
      </c>
    </row>
    <row r="10" spans="1:17" ht="9.75" customHeight="1">
      <c r="A10" s="429">
        <v>7</v>
      </c>
      <c r="B10" s="434">
        <v>1930000</v>
      </c>
      <c r="C10" s="435">
        <v>3608000</v>
      </c>
      <c r="D10" s="438">
        <v>6477000</v>
      </c>
      <c r="E10" s="434">
        <v>9269000</v>
      </c>
      <c r="F10" s="437">
        <v>2588000</v>
      </c>
      <c r="G10" s="437">
        <v>4838000</v>
      </c>
      <c r="H10" s="437">
        <v>8684000</v>
      </c>
      <c r="I10" s="437">
        <v>12429000</v>
      </c>
      <c r="J10" s="437">
        <v>1049000</v>
      </c>
      <c r="K10" s="437">
        <v>1975000</v>
      </c>
      <c r="L10" s="437">
        <v>4247000</v>
      </c>
      <c r="M10" s="437">
        <v>6302000</v>
      </c>
      <c r="N10" s="437">
        <v>869000</v>
      </c>
      <c r="O10" s="437">
        <v>1619000</v>
      </c>
      <c r="P10" s="437">
        <v>3749000</v>
      </c>
      <c r="Q10" s="437">
        <v>6869000</v>
      </c>
    </row>
    <row r="11" spans="1:17" ht="9.75" customHeight="1">
      <c r="A11" s="429">
        <v>8</v>
      </c>
      <c r="B11" s="434">
        <v>1930000</v>
      </c>
      <c r="C11" s="435">
        <v>3608000</v>
      </c>
      <c r="D11" s="438">
        <v>6477000</v>
      </c>
      <c r="E11" s="434">
        <v>9269000</v>
      </c>
      <c r="F11" s="437">
        <v>2588000</v>
      </c>
      <c r="G11" s="437">
        <v>4838000</v>
      </c>
      <c r="H11" s="437">
        <v>8684000</v>
      </c>
      <c r="I11" s="437">
        <v>12429000</v>
      </c>
      <c r="J11" s="437">
        <v>1049000</v>
      </c>
      <c r="K11" s="437">
        <v>1975000</v>
      </c>
      <c r="L11" s="437">
        <v>4247000</v>
      </c>
      <c r="M11" s="437">
        <v>6302000</v>
      </c>
      <c r="N11" s="437">
        <v>869000</v>
      </c>
      <c r="O11" s="437">
        <v>1619000</v>
      </c>
      <c r="P11" s="437">
        <v>3749000</v>
      </c>
      <c r="Q11" s="437">
        <v>6869000</v>
      </c>
    </row>
    <row r="12" spans="1:17" ht="9.75" customHeight="1">
      <c r="A12" s="429">
        <v>9</v>
      </c>
      <c r="B12" s="434">
        <v>1930000</v>
      </c>
      <c r="C12" s="435">
        <v>3608000</v>
      </c>
      <c r="D12" s="438">
        <v>6477000</v>
      </c>
      <c r="E12" s="434">
        <v>9269000</v>
      </c>
      <c r="F12" s="437">
        <v>2588000</v>
      </c>
      <c r="G12" s="437">
        <v>4838000</v>
      </c>
      <c r="H12" s="437">
        <v>8684000</v>
      </c>
      <c r="I12" s="437">
        <v>12429000</v>
      </c>
      <c r="J12" s="437">
        <v>1049000</v>
      </c>
      <c r="K12" s="437">
        <v>1975000</v>
      </c>
      <c r="L12" s="437">
        <v>4247000</v>
      </c>
      <c r="M12" s="437">
        <v>6302000</v>
      </c>
      <c r="N12" s="437">
        <v>869000</v>
      </c>
      <c r="O12" s="437">
        <v>1619000</v>
      </c>
      <c r="P12" s="437">
        <v>3749000</v>
      </c>
      <c r="Q12" s="437">
        <v>6869000</v>
      </c>
    </row>
    <row r="13" spans="1:17" ht="9.75" customHeight="1">
      <c r="A13" s="429">
        <v>10</v>
      </c>
      <c r="B13" s="434">
        <v>1121000</v>
      </c>
      <c r="C13" s="435">
        <v>2174000</v>
      </c>
      <c r="D13" s="438">
        <v>3978000</v>
      </c>
      <c r="E13" s="434">
        <v>5920000</v>
      </c>
      <c r="F13" s="437">
        <v>1503000</v>
      </c>
      <c r="G13" s="437">
        <v>2915000</v>
      </c>
      <c r="H13" s="437">
        <v>5334000</v>
      </c>
      <c r="I13" s="437">
        <v>7939000</v>
      </c>
      <c r="J13" s="437">
        <v>927000</v>
      </c>
      <c r="K13" s="437">
        <v>1744000</v>
      </c>
      <c r="L13" s="437">
        <v>3750000</v>
      </c>
      <c r="M13" s="437">
        <v>5565000</v>
      </c>
      <c r="N13" s="437">
        <v>779000</v>
      </c>
      <c r="O13" s="437">
        <v>1449000</v>
      </c>
      <c r="P13" s="437">
        <v>3359000</v>
      </c>
      <c r="Q13" s="437">
        <v>6149000</v>
      </c>
    </row>
    <row r="14" spans="1:17" ht="9.75" customHeight="1">
      <c r="A14" s="429">
        <v>11</v>
      </c>
      <c r="B14" s="434">
        <v>1121000</v>
      </c>
      <c r="C14" s="435">
        <v>2174000</v>
      </c>
      <c r="D14" s="438">
        <v>3978000</v>
      </c>
      <c r="E14" s="434">
        <v>5920000</v>
      </c>
      <c r="F14" s="437">
        <v>1503000</v>
      </c>
      <c r="G14" s="437">
        <v>2915000</v>
      </c>
      <c r="H14" s="437">
        <v>5334000</v>
      </c>
      <c r="I14" s="437">
        <v>7939000</v>
      </c>
      <c r="J14" s="437">
        <v>927000</v>
      </c>
      <c r="K14" s="437">
        <v>1744000</v>
      </c>
      <c r="L14" s="437">
        <v>3750000</v>
      </c>
      <c r="M14" s="437">
        <v>5565000</v>
      </c>
      <c r="N14" s="437">
        <v>779000</v>
      </c>
      <c r="O14" s="437">
        <v>1449000</v>
      </c>
      <c r="P14" s="437">
        <v>3359000</v>
      </c>
      <c r="Q14" s="437">
        <v>6149000</v>
      </c>
    </row>
    <row r="15" spans="1:17" ht="9.75" customHeight="1">
      <c r="A15" s="429">
        <v>12</v>
      </c>
      <c r="B15" s="434">
        <v>1121000</v>
      </c>
      <c r="C15" s="435">
        <v>2174000</v>
      </c>
      <c r="D15" s="438">
        <v>3978000</v>
      </c>
      <c r="E15" s="434">
        <v>5920000</v>
      </c>
      <c r="F15" s="437">
        <v>1503000</v>
      </c>
      <c r="G15" s="437">
        <v>2915000</v>
      </c>
      <c r="H15" s="437">
        <v>5334000</v>
      </c>
      <c r="I15" s="437">
        <v>7939000</v>
      </c>
      <c r="J15" s="437">
        <v>927000</v>
      </c>
      <c r="K15" s="437">
        <v>1744000</v>
      </c>
      <c r="L15" s="437">
        <v>3750000</v>
      </c>
      <c r="M15" s="437">
        <v>5565000</v>
      </c>
      <c r="N15" s="437">
        <v>779000</v>
      </c>
      <c r="O15" s="437">
        <v>1449000</v>
      </c>
      <c r="P15" s="437">
        <v>3359000</v>
      </c>
      <c r="Q15" s="437">
        <v>6149000</v>
      </c>
    </row>
    <row r="16" spans="1:17" ht="9.75" customHeight="1">
      <c r="A16" s="429">
        <v>13</v>
      </c>
      <c r="B16" s="434">
        <v>1121000</v>
      </c>
      <c r="C16" s="435">
        <v>2174000</v>
      </c>
      <c r="D16" s="438">
        <v>3978000</v>
      </c>
      <c r="E16" s="434">
        <v>5920000</v>
      </c>
      <c r="F16" s="437">
        <v>1503000</v>
      </c>
      <c r="G16" s="437">
        <v>2915000</v>
      </c>
      <c r="H16" s="437">
        <v>5334000</v>
      </c>
      <c r="I16" s="437">
        <v>7939000</v>
      </c>
      <c r="J16" s="437">
        <v>927000</v>
      </c>
      <c r="K16" s="437">
        <v>1744000</v>
      </c>
      <c r="L16" s="437">
        <v>3750000</v>
      </c>
      <c r="M16" s="437">
        <v>5565000</v>
      </c>
      <c r="N16" s="437">
        <v>779000</v>
      </c>
      <c r="O16" s="437">
        <v>1449000</v>
      </c>
      <c r="P16" s="437">
        <v>3359000</v>
      </c>
      <c r="Q16" s="437">
        <v>6149000</v>
      </c>
    </row>
    <row r="17" spans="1:17" ht="9.75" customHeight="1">
      <c r="A17" s="429">
        <v>14</v>
      </c>
      <c r="B17" s="434">
        <v>1121000</v>
      </c>
      <c r="C17" s="435">
        <v>2174000</v>
      </c>
      <c r="D17" s="438">
        <v>3978000</v>
      </c>
      <c r="E17" s="434">
        <v>5920000</v>
      </c>
      <c r="F17" s="437">
        <v>1503000</v>
      </c>
      <c r="G17" s="437">
        <v>2915000</v>
      </c>
      <c r="H17" s="437">
        <v>5334000</v>
      </c>
      <c r="I17" s="437">
        <v>7939000</v>
      </c>
      <c r="J17" s="437">
        <v>927000</v>
      </c>
      <c r="K17" s="437">
        <v>1744000</v>
      </c>
      <c r="L17" s="437">
        <v>3750000</v>
      </c>
      <c r="M17" s="437">
        <v>5565000</v>
      </c>
      <c r="N17" s="437">
        <v>779000</v>
      </c>
      <c r="O17" s="437">
        <v>1449000</v>
      </c>
      <c r="P17" s="437">
        <v>3359000</v>
      </c>
      <c r="Q17" s="437">
        <v>6149000</v>
      </c>
    </row>
    <row r="18" spans="1:17" ht="9.75" customHeight="1">
      <c r="A18" s="429">
        <v>15</v>
      </c>
      <c r="B18" s="434">
        <v>1396000</v>
      </c>
      <c r="C18" s="435">
        <v>2610000</v>
      </c>
      <c r="D18" s="438">
        <v>4685000</v>
      </c>
      <c r="E18" s="434">
        <v>6874000</v>
      </c>
      <c r="F18" s="437">
        <v>1873000</v>
      </c>
      <c r="G18" s="437">
        <v>3500000</v>
      </c>
      <c r="H18" s="437">
        <v>6283000</v>
      </c>
      <c r="I18" s="437">
        <v>9217000</v>
      </c>
      <c r="J18" s="437">
        <v>963000</v>
      </c>
      <c r="K18" s="437">
        <v>1813000</v>
      </c>
      <c r="L18" s="437">
        <v>3899000</v>
      </c>
      <c r="M18" s="437">
        <v>5786000</v>
      </c>
      <c r="N18" s="437">
        <v>709000</v>
      </c>
      <c r="O18" s="437">
        <v>1329000</v>
      </c>
      <c r="P18" s="437">
        <v>3079000</v>
      </c>
      <c r="Q18" s="437">
        <v>5649000</v>
      </c>
    </row>
    <row r="19" spans="1:17" ht="9.75" customHeight="1">
      <c r="A19" s="429">
        <v>16</v>
      </c>
      <c r="B19" s="434">
        <v>1396000</v>
      </c>
      <c r="C19" s="435">
        <v>2610000</v>
      </c>
      <c r="D19" s="438">
        <v>4685000</v>
      </c>
      <c r="E19" s="434">
        <v>6874000</v>
      </c>
      <c r="F19" s="437">
        <v>1873000</v>
      </c>
      <c r="G19" s="437">
        <v>3500000</v>
      </c>
      <c r="H19" s="437">
        <v>6283000</v>
      </c>
      <c r="I19" s="437">
        <v>9217000</v>
      </c>
      <c r="J19" s="437">
        <v>963000</v>
      </c>
      <c r="K19" s="437">
        <v>1813000</v>
      </c>
      <c r="L19" s="437">
        <v>3899000</v>
      </c>
      <c r="M19" s="437">
        <v>5786000</v>
      </c>
      <c r="N19" s="437">
        <v>709000</v>
      </c>
      <c r="O19" s="437">
        <v>1329000</v>
      </c>
      <c r="P19" s="437">
        <v>3079000</v>
      </c>
      <c r="Q19" s="437">
        <v>5649000</v>
      </c>
    </row>
    <row r="20" spans="1:17" ht="9.75" customHeight="1">
      <c r="A20" s="429">
        <v>17</v>
      </c>
      <c r="B20" s="434">
        <v>1396000</v>
      </c>
      <c r="C20" s="435">
        <v>2610000</v>
      </c>
      <c r="D20" s="438">
        <v>4685000</v>
      </c>
      <c r="E20" s="434">
        <v>6874000</v>
      </c>
      <c r="F20" s="437">
        <v>1873000</v>
      </c>
      <c r="G20" s="437">
        <v>3500000</v>
      </c>
      <c r="H20" s="437">
        <v>6283000</v>
      </c>
      <c r="I20" s="437">
        <v>9217000</v>
      </c>
      <c r="J20" s="437">
        <v>963000</v>
      </c>
      <c r="K20" s="437">
        <v>1813000</v>
      </c>
      <c r="L20" s="437">
        <v>3899000</v>
      </c>
      <c r="M20" s="437">
        <v>5786000</v>
      </c>
      <c r="N20" s="437">
        <v>709000</v>
      </c>
      <c r="O20" s="437">
        <v>1329000</v>
      </c>
      <c r="P20" s="437">
        <v>3079000</v>
      </c>
      <c r="Q20" s="437">
        <v>5649000</v>
      </c>
    </row>
    <row r="21" spans="1:17" ht="9.75" customHeight="1">
      <c r="A21" s="429">
        <v>18</v>
      </c>
      <c r="B21" s="434">
        <v>1396000</v>
      </c>
      <c r="C21" s="435">
        <v>2610000</v>
      </c>
      <c r="D21" s="438">
        <v>4685000</v>
      </c>
      <c r="E21" s="434">
        <v>6874000</v>
      </c>
      <c r="F21" s="437">
        <v>1873000</v>
      </c>
      <c r="G21" s="437">
        <v>3500000</v>
      </c>
      <c r="H21" s="437">
        <v>6283000</v>
      </c>
      <c r="I21" s="437">
        <v>9217000</v>
      </c>
      <c r="J21" s="437">
        <v>963000</v>
      </c>
      <c r="K21" s="437">
        <v>1813000</v>
      </c>
      <c r="L21" s="437">
        <v>3899000</v>
      </c>
      <c r="M21" s="437">
        <v>5786000</v>
      </c>
      <c r="N21" s="437">
        <v>709000</v>
      </c>
      <c r="O21" s="437">
        <v>1329000</v>
      </c>
      <c r="P21" s="437">
        <v>3079000</v>
      </c>
      <c r="Q21" s="437">
        <v>5649000</v>
      </c>
    </row>
    <row r="22" spans="1:17" ht="9.75" customHeight="1">
      <c r="A22" s="429">
        <v>19</v>
      </c>
      <c r="B22" s="434">
        <v>1396000</v>
      </c>
      <c r="C22" s="435">
        <v>2610000</v>
      </c>
      <c r="D22" s="438">
        <v>4685000</v>
      </c>
      <c r="E22" s="434">
        <v>6874000</v>
      </c>
      <c r="F22" s="437">
        <v>1873000</v>
      </c>
      <c r="G22" s="437">
        <v>3500000</v>
      </c>
      <c r="H22" s="437">
        <v>6283000</v>
      </c>
      <c r="I22" s="437">
        <v>9217000</v>
      </c>
      <c r="J22" s="437">
        <v>963000</v>
      </c>
      <c r="K22" s="437">
        <v>1813000</v>
      </c>
      <c r="L22" s="437">
        <v>3899000</v>
      </c>
      <c r="M22" s="437">
        <v>5786000</v>
      </c>
      <c r="N22" s="437">
        <v>709000</v>
      </c>
      <c r="O22" s="437">
        <v>1329000</v>
      </c>
      <c r="P22" s="437">
        <v>3079000</v>
      </c>
      <c r="Q22" s="437">
        <v>5649000</v>
      </c>
    </row>
    <row r="23" spans="1:17" ht="9.75" customHeight="1">
      <c r="A23" s="429">
        <v>20</v>
      </c>
      <c r="B23" s="434">
        <v>1517000</v>
      </c>
      <c r="C23" s="435">
        <v>3038000</v>
      </c>
      <c r="D23" s="438">
        <v>5493000</v>
      </c>
      <c r="E23" s="434">
        <v>7845000</v>
      </c>
      <c r="F23" s="437">
        <v>2130000</v>
      </c>
      <c r="G23" s="439">
        <v>4179000</v>
      </c>
      <c r="H23" s="437">
        <v>7334000</v>
      </c>
      <c r="I23" s="437">
        <v>10829000</v>
      </c>
      <c r="J23" s="437">
        <v>871000</v>
      </c>
      <c r="K23" s="437">
        <v>1640000</v>
      </c>
      <c r="L23" s="437">
        <v>3527000</v>
      </c>
      <c r="M23" s="437">
        <v>5233000</v>
      </c>
      <c r="N23" s="437">
        <v>579000</v>
      </c>
      <c r="O23" s="437">
        <v>1089000</v>
      </c>
      <c r="P23" s="437">
        <v>2539000</v>
      </c>
      <c r="Q23" s="437">
        <v>4639000</v>
      </c>
    </row>
    <row r="24" spans="1:17" ht="9.75" customHeight="1">
      <c r="A24" s="429">
        <v>21</v>
      </c>
      <c r="B24" s="434">
        <v>1517000</v>
      </c>
      <c r="C24" s="435">
        <v>3038000</v>
      </c>
      <c r="D24" s="438">
        <v>5493000</v>
      </c>
      <c r="E24" s="434">
        <v>7845000</v>
      </c>
      <c r="F24" s="437">
        <v>2130000</v>
      </c>
      <c r="G24" s="439">
        <v>4179000</v>
      </c>
      <c r="H24" s="437">
        <v>7334000</v>
      </c>
      <c r="I24" s="437">
        <v>10829000</v>
      </c>
      <c r="J24" s="437">
        <v>871000</v>
      </c>
      <c r="K24" s="437">
        <v>1640000</v>
      </c>
      <c r="L24" s="437">
        <v>3527000</v>
      </c>
      <c r="M24" s="437">
        <v>5233000</v>
      </c>
      <c r="N24" s="437">
        <v>579000</v>
      </c>
      <c r="O24" s="437">
        <v>1089000</v>
      </c>
      <c r="P24" s="437">
        <v>2539000</v>
      </c>
      <c r="Q24" s="437">
        <v>4639000</v>
      </c>
    </row>
    <row r="25" spans="1:17" ht="9.75" customHeight="1">
      <c r="A25" s="429">
        <v>22</v>
      </c>
      <c r="B25" s="434">
        <v>1517000</v>
      </c>
      <c r="C25" s="435">
        <v>3038000</v>
      </c>
      <c r="D25" s="438">
        <v>5493000</v>
      </c>
      <c r="E25" s="434">
        <v>7845000</v>
      </c>
      <c r="F25" s="437">
        <v>2130000</v>
      </c>
      <c r="G25" s="439">
        <v>4179000</v>
      </c>
      <c r="H25" s="437">
        <v>7334000</v>
      </c>
      <c r="I25" s="437">
        <v>10829000</v>
      </c>
      <c r="J25" s="437">
        <v>871000</v>
      </c>
      <c r="K25" s="437">
        <v>1640000</v>
      </c>
      <c r="L25" s="437">
        <v>3527000</v>
      </c>
      <c r="M25" s="437">
        <v>5233000</v>
      </c>
      <c r="N25" s="437">
        <v>579000</v>
      </c>
      <c r="O25" s="437">
        <v>1089000</v>
      </c>
      <c r="P25" s="437">
        <v>2539000</v>
      </c>
      <c r="Q25" s="437">
        <v>4639000</v>
      </c>
    </row>
    <row r="26" spans="1:17" ht="9.75" customHeight="1">
      <c r="A26" s="429">
        <v>23</v>
      </c>
      <c r="B26" s="434">
        <v>1517000</v>
      </c>
      <c r="C26" s="435">
        <v>3038000</v>
      </c>
      <c r="D26" s="438">
        <v>5493000</v>
      </c>
      <c r="E26" s="434">
        <v>7845000</v>
      </c>
      <c r="F26" s="437">
        <v>2130000</v>
      </c>
      <c r="G26" s="439">
        <v>4179000</v>
      </c>
      <c r="H26" s="437">
        <v>7334000</v>
      </c>
      <c r="I26" s="437">
        <v>10829000</v>
      </c>
      <c r="J26" s="437">
        <v>871000</v>
      </c>
      <c r="K26" s="437">
        <v>1640000</v>
      </c>
      <c r="L26" s="437">
        <v>3527000</v>
      </c>
      <c r="M26" s="437">
        <v>5233000</v>
      </c>
      <c r="N26" s="437">
        <v>579000</v>
      </c>
      <c r="O26" s="437">
        <v>1089000</v>
      </c>
      <c r="P26" s="437">
        <v>2539000</v>
      </c>
      <c r="Q26" s="437">
        <v>4639000</v>
      </c>
    </row>
    <row r="27" spans="1:17" ht="9.75" customHeight="1">
      <c r="A27" s="429">
        <v>24</v>
      </c>
      <c r="B27" s="434">
        <v>1517000</v>
      </c>
      <c r="C27" s="435">
        <v>3038000</v>
      </c>
      <c r="D27" s="438">
        <v>5493000</v>
      </c>
      <c r="E27" s="434">
        <v>7845000</v>
      </c>
      <c r="F27" s="437">
        <v>2130000</v>
      </c>
      <c r="G27" s="439">
        <v>4179000</v>
      </c>
      <c r="H27" s="437">
        <v>7334000</v>
      </c>
      <c r="I27" s="437">
        <v>10829000</v>
      </c>
      <c r="J27" s="437">
        <v>871000</v>
      </c>
      <c r="K27" s="437">
        <v>1640000</v>
      </c>
      <c r="L27" s="437">
        <v>3527000</v>
      </c>
      <c r="M27" s="437">
        <v>5233000</v>
      </c>
      <c r="N27" s="437">
        <v>579000</v>
      </c>
      <c r="O27" s="437">
        <v>1089000</v>
      </c>
      <c r="P27" s="437">
        <v>2539000</v>
      </c>
      <c r="Q27" s="437">
        <v>4639000</v>
      </c>
    </row>
    <row r="28" spans="1:17" ht="9.75" customHeight="1">
      <c r="A28" s="429">
        <v>25</v>
      </c>
      <c r="B28" s="434">
        <v>1818000</v>
      </c>
      <c r="C28" s="435">
        <v>3376000</v>
      </c>
      <c r="D28" s="438">
        <v>6169000</v>
      </c>
      <c r="E28" s="434">
        <v>9089000</v>
      </c>
      <c r="F28" s="437">
        <v>2382000</v>
      </c>
      <c r="G28" s="439">
        <v>4575000</v>
      </c>
      <c r="H28" s="437">
        <v>8372000</v>
      </c>
      <c r="I28" s="437">
        <v>12140000</v>
      </c>
      <c r="J28" s="437">
        <v>927000</v>
      </c>
      <c r="K28" s="437">
        <v>1744000</v>
      </c>
      <c r="L28" s="437">
        <v>3750000</v>
      </c>
      <c r="M28" s="437">
        <v>5565000</v>
      </c>
      <c r="N28" s="437">
        <v>579000</v>
      </c>
      <c r="O28" s="437">
        <v>1079000</v>
      </c>
      <c r="P28" s="437">
        <v>2519000</v>
      </c>
      <c r="Q28" s="437">
        <v>4599000</v>
      </c>
    </row>
    <row r="29" spans="1:17" ht="9.75" customHeight="1">
      <c r="A29" s="429">
        <v>26</v>
      </c>
      <c r="B29" s="434">
        <v>1818000</v>
      </c>
      <c r="C29" s="435">
        <v>3376000</v>
      </c>
      <c r="D29" s="438">
        <v>6169000</v>
      </c>
      <c r="E29" s="434">
        <v>9089000</v>
      </c>
      <c r="F29" s="437">
        <v>2382000</v>
      </c>
      <c r="G29" s="439">
        <v>4575000</v>
      </c>
      <c r="H29" s="437">
        <v>8372000</v>
      </c>
      <c r="I29" s="437">
        <v>12140000</v>
      </c>
      <c r="J29" s="437">
        <v>927000</v>
      </c>
      <c r="K29" s="437">
        <v>1744000</v>
      </c>
      <c r="L29" s="437">
        <v>3750000</v>
      </c>
      <c r="M29" s="437">
        <v>5565000</v>
      </c>
      <c r="N29" s="437">
        <v>579000</v>
      </c>
      <c r="O29" s="437">
        <v>1079000</v>
      </c>
      <c r="P29" s="437">
        <v>2519000</v>
      </c>
      <c r="Q29" s="437">
        <v>4599000</v>
      </c>
    </row>
    <row r="30" spans="1:17" ht="9.75" customHeight="1">
      <c r="A30" s="429">
        <v>27</v>
      </c>
      <c r="B30" s="434">
        <v>1818000</v>
      </c>
      <c r="C30" s="435">
        <v>3376000</v>
      </c>
      <c r="D30" s="438">
        <v>6169000</v>
      </c>
      <c r="E30" s="434">
        <v>9089000</v>
      </c>
      <c r="F30" s="437">
        <v>2382000</v>
      </c>
      <c r="G30" s="439">
        <v>4575000</v>
      </c>
      <c r="H30" s="437">
        <v>8372000</v>
      </c>
      <c r="I30" s="437">
        <v>12140000</v>
      </c>
      <c r="J30" s="437">
        <v>927000</v>
      </c>
      <c r="K30" s="437">
        <v>1744000</v>
      </c>
      <c r="L30" s="437">
        <v>3750000</v>
      </c>
      <c r="M30" s="437">
        <v>5565000</v>
      </c>
      <c r="N30" s="437">
        <v>579000</v>
      </c>
      <c r="O30" s="437">
        <v>1079000</v>
      </c>
      <c r="P30" s="437">
        <v>2519000</v>
      </c>
      <c r="Q30" s="437">
        <v>4599000</v>
      </c>
    </row>
    <row r="31" spans="1:17" ht="9.75" customHeight="1">
      <c r="A31" s="429">
        <v>28</v>
      </c>
      <c r="B31" s="434">
        <v>1818000</v>
      </c>
      <c r="C31" s="435">
        <v>3376000</v>
      </c>
      <c r="D31" s="438">
        <v>6169000</v>
      </c>
      <c r="E31" s="434">
        <v>9089000</v>
      </c>
      <c r="F31" s="437">
        <v>2382000</v>
      </c>
      <c r="G31" s="439">
        <v>4575000</v>
      </c>
      <c r="H31" s="437">
        <v>8372000</v>
      </c>
      <c r="I31" s="437">
        <v>12140000</v>
      </c>
      <c r="J31" s="437">
        <v>927000</v>
      </c>
      <c r="K31" s="437">
        <v>1744000</v>
      </c>
      <c r="L31" s="437">
        <v>3750000</v>
      </c>
      <c r="M31" s="437">
        <v>5565000</v>
      </c>
      <c r="N31" s="437">
        <v>579000</v>
      </c>
      <c r="O31" s="437">
        <v>1079000</v>
      </c>
      <c r="P31" s="437">
        <v>2519000</v>
      </c>
      <c r="Q31" s="437">
        <v>4599000</v>
      </c>
    </row>
    <row r="32" spans="1:17" ht="9.75" customHeight="1">
      <c r="A32" s="429">
        <v>29</v>
      </c>
      <c r="B32" s="434">
        <v>1818000</v>
      </c>
      <c r="C32" s="435">
        <v>3376000</v>
      </c>
      <c r="D32" s="438">
        <v>6169000</v>
      </c>
      <c r="E32" s="434">
        <v>9089000</v>
      </c>
      <c r="F32" s="437">
        <v>2382000</v>
      </c>
      <c r="G32" s="439">
        <v>4575000</v>
      </c>
      <c r="H32" s="437">
        <v>8372000</v>
      </c>
      <c r="I32" s="437">
        <v>12140000</v>
      </c>
      <c r="J32" s="437">
        <v>927000</v>
      </c>
      <c r="K32" s="437">
        <v>1744000</v>
      </c>
      <c r="L32" s="437">
        <v>3750000</v>
      </c>
      <c r="M32" s="437">
        <v>5565000</v>
      </c>
      <c r="N32" s="437">
        <v>579000</v>
      </c>
      <c r="O32" s="437">
        <v>1079000</v>
      </c>
      <c r="P32" s="437">
        <v>2519000</v>
      </c>
      <c r="Q32" s="437">
        <v>4599000</v>
      </c>
    </row>
    <row r="33" spans="1:17" ht="9.75" customHeight="1">
      <c r="A33" s="429">
        <v>30</v>
      </c>
      <c r="B33" s="434">
        <v>2233000</v>
      </c>
      <c r="C33" s="435">
        <v>3695000</v>
      </c>
      <c r="D33" s="438">
        <v>6722000</v>
      </c>
      <c r="E33" s="434">
        <v>9940000</v>
      </c>
      <c r="F33" s="437">
        <v>2647000</v>
      </c>
      <c r="G33" s="439">
        <v>4960000</v>
      </c>
      <c r="H33" s="437">
        <v>9075000</v>
      </c>
      <c r="I33" s="437">
        <v>13356000</v>
      </c>
      <c r="J33" s="437">
        <v>1012000</v>
      </c>
      <c r="K33" s="437">
        <v>1906000</v>
      </c>
      <c r="L33" s="437">
        <v>4098000</v>
      </c>
      <c r="M33" s="437">
        <v>6081000</v>
      </c>
      <c r="N33" s="437">
        <v>599000</v>
      </c>
      <c r="O33" s="437">
        <v>1129000</v>
      </c>
      <c r="P33" s="437">
        <v>2629000</v>
      </c>
      <c r="Q33" s="437">
        <v>4819000</v>
      </c>
    </row>
    <row r="34" spans="1:17" ht="9.75" customHeight="1">
      <c r="A34" s="429">
        <v>31</v>
      </c>
      <c r="B34" s="434">
        <v>2233000</v>
      </c>
      <c r="C34" s="435">
        <v>3695000</v>
      </c>
      <c r="D34" s="438">
        <v>6722000</v>
      </c>
      <c r="E34" s="434">
        <v>9940000</v>
      </c>
      <c r="F34" s="437">
        <v>2647000</v>
      </c>
      <c r="G34" s="439">
        <v>4960000</v>
      </c>
      <c r="H34" s="437">
        <v>9075000</v>
      </c>
      <c r="I34" s="437">
        <v>13356000</v>
      </c>
      <c r="J34" s="437">
        <v>1012000</v>
      </c>
      <c r="K34" s="437">
        <v>1906000</v>
      </c>
      <c r="L34" s="437">
        <v>4098000</v>
      </c>
      <c r="M34" s="437">
        <v>6081000</v>
      </c>
      <c r="N34" s="437">
        <v>599000</v>
      </c>
      <c r="O34" s="437">
        <v>1129000</v>
      </c>
      <c r="P34" s="437">
        <v>2629000</v>
      </c>
      <c r="Q34" s="437">
        <v>4819000</v>
      </c>
    </row>
    <row r="35" spans="1:17" ht="9.75" customHeight="1">
      <c r="A35" s="429">
        <v>32</v>
      </c>
      <c r="B35" s="434">
        <v>2233000</v>
      </c>
      <c r="C35" s="435">
        <v>3695000</v>
      </c>
      <c r="D35" s="438">
        <v>6722000</v>
      </c>
      <c r="E35" s="434">
        <v>9940000</v>
      </c>
      <c r="F35" s="437">
        <v>2647000</v>
      </c>
      <c r="G35" s="439">
        <v>4960000</v>
      </c>
      <c r="H35" s="437">
        <v>9075000</v>
      </c>
      <c r="I35" s="437">
        <v>13356000</v>
      </c>
      <c r="J35" s="437">
        <v>1012000</v>
      </c>
      <c r="K35" s="437">
        <v>1906000</v>
      </c>
      <c r="L35" s="437">
        <v>4098000</v>
      </c>
      <c r="M35" s="437">
        <v>6081000</v>
      </c>
      <c r="N35" s="437">
        <v>599000</v>
      </c>
      <c r="O35" s="437">
        <v>1129000</v>
      </c>
      <c r="P35" s="437">
        <v>2629000</v>
      </c>
      <c r="Q35" s="437">
        <v>4819000</v>
      </c>
    </row>
    <row r="36" spans="1:17" ht="9.75" customHeight="1">
      <c r="A36" s="429">
        <v>33</v>
      </c>
      <c r="B36" s="434">
        <v>2233000</v>
      </c>
      <c r="C36" s="435">
        <v>3695000</v>
      </c>
      <c r="D36" s="438">
        <v>6722000</v>
      </c>
      <c r="E36" s="434">
        <v>9940000</v>
      </c>
      <c r="F36" s="437">
        <v>2647000</v>
      </c>
      <c r="G36" s="439">
        <v>4960000</v>
      </c>
      <c r="H36" s="437">
        <v>9075000</v>
      </c>
      <c r="I36" s="437">
        <v>13356000</v>
      </c>
      <c r="J36" s="437">
        <v>1012000</v>
      </c>
      <c r="K36" s="437">
        <v>1906000</v>
      </c>
      <c r="L36" s="437">
        <v>4098000</v>
      </c>
      <c r="M36" s="437">
        <v>6081000</v>
      </c>
      <c r="N36" s="437">
        <v>599000</v>
      </c>
      <c r="O36" s="437">
        <v>1129000</v>
      </c>
      <c r="P36" s="437">
        <v>2629000</v>
      </c>
      <c r="Q36" s="437">
        <v>4819000</v>
      </c>
    </row>
    <row r="37" spans="1:17" ht="9.75" customHeight="1">
      <c r="A37" s="429">
        <v>34</v>
      </c>
      <c r="B37" s="434">
        <v>2233000</v>
      </c>
      <c r="C37" s="435">
        <v>3695000</v>
      </c>
      <c r="D37" s="438">
        <v>6722000</v>
      </c>
      <c r="E37" s="434">
        <v>9940000</v>
      </c>
      <c r="F37" s="437">
        <v>2647000</v>
      </c>
      <c r="G37" s="439">
        <v>4960000</v>
      </c>
      <c r="H37" s="437">
        <v>9075000</v>
      </c>
      <c r="I37" s="437">
        <v>13356000</v>
      </c>
      <c r="J37" s="437">
        <v>1012000</v>
      </c>
      <c r="K37" s="437">
        <v>1906000</v>
      </c>
      <c r="L37" s="437">
        <v>4098000</v>
      </c>
      <c r="M37" s="437">
        <v>6081000</v>
      </c>
      <c r="N37" s="437">
        <v>599000</v>
      </c>
      <c r="O37" s="437">
        <v>1129000</v>
      </c>
      <c r="P37" s="437">
        <v>2629000</v>
      </c>
      <c r="Q37" s="437">
        <v>4819000</v>
      </c>
    </row>
    <row r="38" spans="1:17" ht="9.75" customHeight="1">
      <c r="A38" s="429">
        <v>35</v>
      </c>
      <c r="B38" s="434">
        <v>2463000</v>
      </c>
      <c r="C38" s="435">
        <v>4223000</v>
      </c>
      <c r="D38" s="438">
        <v>7688000</v>
      </c>
      <c r="E38" s="434">
        <v>11081000</v>
      </c>
      <c r="F38" s="437">
        <v>2981000</v>
      </c>
      <c r="G38" s="439">
        <v>5708000</v>
      </c>
      <c r="H38" s="437">
        <v>10366000</v>
      </c>
      <c r="I38" s="437">
        <v>14915000</v>
      </c>
      <c r="J38" s="437">
        <v>1092000</v>
      </c>
      <c r="K38" s="437">
        <v>2056000</v>
      </c>
      <c r="L38" s="437">
        <v>4421000</v>
      </c>
      <c r="M38" s="437">
        <v>6560000</v>
      </c>
      <c r="N38" s="437">
        <v>629000</v>
      </c>
      <c r="O38" s="437">
        <v>1189000</v>
      </c>
      <c r="P38" s="437">
        <v>2749000</v>
      </c>
      <c r="Q38" s="437">
        <v>5039000</v>
      </c>
    </row>
    <row r="39" spans="1:17" ht="9.75" customHeight="1">
      <c r="A39" s="429">
        <v>36</v>
      </c>
      <c r="B39" s="434">
        <v>2463000</v>
      </c>
      <c r="C39" s="435">
        <v>4223000</v>
      </c>
      <c r="D39" s="438">
        <v>7688000</v>
      </c>
      <c r="E39" s="434">
        <v>11081000</v>
      </c>
      <c r="F39" s="437">
        <v>2981000</v>
      </c>
      <c r="G39" s="439">
        <v>5708000</v>
      </c>
      <c r="H39" s="437">
        <v>10366000</v>
      </c>
      <c r="I39" s="437">
        <v>14915000</v>
      </c>
      <c r="J39" s="437">
        <v>1092000</v>
      </c>
      <c r="K39" s="437">
        <v>2056000</v>
      </c>
      <c r="L39" s="437">
        <v>4421000</v>
      </c>
      <c r="M39" s="437">
        <v>6560000</v>
      </c>
      <c r="N39" s="437">
        <v>629000</v>
      </c>
      <c r="O39" s="437">
        <v>1189000</v>
      </c>
      <c r="P39" s="437">
        <v>2749000</v>
      </c>
      <c r="Q39" s="437">
        <v>5039000</v>
      </c>
    </row>
    <row r="40" spans="1:17" ht="9.75" customHeight="1">
      <c r="A40" s="429">
        <v>37</v>
      </c>
      <c r="B40" s="434">
        <v>2463000</v>
      </c>
      <c r="C40" s="435">
        <v>4223000</v>
      </c>
      <c r="D40" s="438">
        <v>7688000</v>
      </c>
      <c r="E40" s="434">
        <v>11081000</v>
      </c>
      <c r="F40" s="437">
        <v>2981000</v>
      </c>
      <c r="G40" s="439">
        <v>5708000</v>
      </c>
      <c r="H40" s="437">
        <v>10366000</v>
      </c>
      <c r="I40" s="437">
        <v>14915000</v>
      </c>
      <c r="J40" s="437">
        <v>1092000</v>
      </c>
      <c r="K40" s="437">
        <v>2056000</v>
      </c>
      <c r="L40" s="437">
        <v>4421000</v>
      </c>
      <c r="M40" s="437">
        <v>6560000</v>
      </c>
      <c r="N40" s="437">
        <v>629000</v>
      </c>
      <c r="O40" s="437">
        <v>1189000</v>
      </c>
      <c r="P40" s="437">
        <v>2749000</v>
      </c>
      <c r="Q40" s="437">
        <v>5039000</v>
      </c>
    </row>
    <row r="41" spans="1:17" ht="9.75" customHeight="1">
      <c r="A41" s="429">
        <v>38</v>
      </c>
      <c r="B41" s="434">
        <v>2463000</v>
      </c>
      <c r="C41" s="435">
        <v>4223000</v>
      </c>
      <c r="D41" s="438">
        <v>7688000</v>
      </c>
      <c r="E41" s="434">
        <v>11081000</v>
      </c>
      <c r="F41" s="437">
        <v>2981000</v>
      </c>
      <c r="G41" s="439">
        <v>5708000</v>
      </c>
      <c r="H41" s="437">
        <v>10366000</v>
      </c>
      <c r="I41" s="437">
        <v>14915000</v>
      </c>
      <c r="J41" s="437">
        <v>1092000</v>
      </c>
      <c r="K41" s="437">
        <v>2056000</v>
      </c>
      <c r="L41" s="437">
        <v>4421000</v>
      </c>
      <c r="M41" s="437">
        <v>6560000</v>
      </c>
      <c r="N41" s="437">
        <v>629000</v>
      </c>
      <c r="O41" s="437">
        <v>1189000</v>
      </c>
      <c r="P41" s="437">
        <v>2749000</v>
      </c>
      <c r="Q41" s="437">
        <v>5039000</v>
      </c>
    </row>
    <row r="42" spans="1:17" ht="9.75" customHeight="1">
      <c r="A42" s="429">
        <v>39</v>
      </c>
      <c r="B42" s="434">
        <v>2463000</v>
      </c>
      <c r="C42" s="435">
        <v>4223000</v>
      </c>
      <c r="D42" s="438">
        <v>7688000</v>
      </c>
      <c r="E42" s="434">
        <v>11081000</v>
      </c>
      <c r="F42" s="437">
        <v>2981000</v>
      </c>
      <c r="G42" s="439">
        <v>5708000</v>
      </c>
      <c r="H42" s="437">
        <v>10366000</v>
      </c>
      <c r="I42" s="437">
        <v>14915000</v>
      </c>
      <c r="J42" s="437">
        <v>1092000</v>
      </c>
      <c r="K42" s="437">
        <v>2056000</v>
      </c>
      <c r="L42" s="437">
        <v>4421000</v>
      </c>
      <c r="M42" s="437">
        <v>6560000</v>
      </c>
      <c r="N42" s="437">
        <v>629000</v>
      </c>
      <c r="O42" s="437">
        <v>1189000</v>
      </c>
      <c r="P42" s="437">
        <v>2749000</v>
      </c>
      <c r="Q42" s="437">
        <v>5039000</v>
      </c>
    </row>
    <row r="43" spans="1:17" ht="9.75" customHeight="1">
      <c r="A43" s="429">
        <v>40</v>
      </c>
      <c r="B43" s="434">
        <v>2716000</v>
      </c>
      <c r="C43" s="435">
        <v>4652000</v>
      </c>
      <c r="D43" s="438">
        <v>8543000</v>
      </c>
      <c r="E43" s="434">
        <v>12428000</v>
      </c>
      <c r="F43" s="437">
        <v>3315000</v>
      </c>
      <c r="G43" s="439">
        <v>6236000</v>
      </c>
      <c r="H43" s="437">
        <v>11532000</v>
      </c>
      <c r="I43" s="437">
        <v>16680000</v>
      </c>
      <c r="J43" s="437">
        <v>1111000</v>
      </c>
      <c r="K43" s="437">
        <v>2090000</v>
      </c>
      <c r="L43" s="437">
        <v>4496000</v>
      </c>
      <c r="M43" s="437">
        <v>6671000</v>
      </c>
      <c r="N43" s="437">
        <v>719000</v>
      </c>
      <c r="O43" s="437">
        <v>1349000</v>
      </c>
      <c r="P43" s="437">
        <v>3129000</v>
      </c>
      <c r="Q43" s="437">
        <v>5729000</v>
      </c>
    </row>
    <row r="44" spans="1:17" ht="9.75" customHeight="1">
      <c r="A44" s="429">
        <v>41</v>
      </c>
      <c r="B44" s="434">
        <v>2716000</v>
      </c>
      <c r="C44" s="435">
        <v>4652000</v>
      </c>
      <c r="D44" s="438">
        <v>8543000</v>
      </c>
      <c r="E44" s="434">
        <v>12428000</v>
      </c>
      <c r="F44" s="437">
        <v>3315000</v>
      </c>
      <c r="G44" s="439">
        <v>6236000</v>
      </c>
      <c r="H44" s="437">
        <v>11532000</v>
      </c>
      <c r="I44" s="437">
        <v>16680000</v>
      </c>
      <c r="J44" s="437">
        <v>1111000</v>
      </c>
      <c r="K44" s="437">
        <v>2090000</v>
      </c>
      <c r="L44" s="437">
        <v>4496000</v>
      </c>
      <c r="M44" s="437">
        <v>6671000</v>
      </c>
      <c r="N44" s="437">
        <v>719000</v>
      </c>
      <c r="O44" s="437">
        <v>1349000</v>
      </c>
      <c r="P44" s="437">
        <v>3129000</v>
      </c>
      <c r="Q44" s="437">
        <v>5729000</v>
      </c>
    </row>
    <row r="45" spans="1:17" ht="9.75" customHeight="1">
      <c r="A45" s="429">
        <v>42</v>
      </c>
      <c r="B45" s="434">
        <v>2716000</v>
      </c>
      <c r="C45" s="435">
        <v>4652000</v>
      </c>
      <c r="D45" s="438">
        <v>8543000</v>
      </c>
      <c r="E45" s="434">
        <v>12428000</v>
      </c>
      <c r="F45" s="437">
        <v>3315000</v>
      </c>
      <c r="G45" s="439">
        <v>6236000</v>
      </c>
      <c r="H45" s="437">
        <v>11532000</v>
      </c>
      <c r="I45" s="437">
        <v>16680000</v>
      </c>
      <c r="J45" s="437">
        <v>1111000</v>
      </c>
      <c r="K45" s="437">
        <v>2090000</v>
      </c>
      <c r="L45" s="437">
        <v>4496000</v>
      </c>
      <c r="M45" s="437">
        <v>6671000</v>
      </c>
      <c r="N45" s="437">
        <v>719000</v>
      </c>
      <c r="O45" s="437">
        <v>1349000</v>
      </c>
      <c r="P45" s="437">
        <v>3129000</v>
      </c>
      <c r="Q45" s="437">
        <v>5729000</v>
      </c>
    </row>
    <row r="46" spans="1:17" ht="9.75" customHeight="1">
      <c r="A46" s="429">
        <v>43</v>
      </c>
      <c r="B46" s="434">
        <v>2716000</v>
      </c>
      <c r="C46" s="435">
        <v>4652000</v>
      </c>
      <c r="D46" s="438">
        <v>8543000</v>
      </c>
      <c r="E46" s="434">
        <v>12428000</v>
      </c>
      <c r="F46" s="437">
        <v>3315000</v>
      </c>
      <c r="G46" s="439">
        <v>6236000</v>
      </c>
      <c r="H46" s="437">
        <v>11532000</v>
      </c>
      <c r="I46" s="437">
        <v>16680000</v>
      </c>
      <c r="J46" s="437">
        <v>1111000</v>
      </c>
      <c r="K46" s="437">
        <v>2090000</v>
      </c>
      <c r="L46" s="437">
        <v>4496000</v>
      </c>
      <c r="M46" s="437">
        <v>6671000</v>
      </c>
      <c r="N46" s="437">
        <v>719000</v>
      </c>
      <c r="O46" s="437">
        <v>1349000</v>
      </c>
      <c r="P46" s="437">
        <v>3129000</v>
      </c>
      <c r="Q46" s="437">
        <v>5729000</v>
      </c>
    </row>
    <row r="47" spans="1:17" ht="9.75" customHeight="1">
      <c r="A47" s="429">
        <v>44</v>
      </c>
      <c r="B47" s="434">
        <v>2716000</v>
      </c>
      <c r="C47" s="435">
        <v>4652000</v>
      </c>
      <c r="D47" s="438">
        <v>8543000</v>
      </c>
      <c r="E47" s="434">
        <v>12428000</v>
      </c>
      <c r="F47" s="437">
        <v>3315000</v>
      </c>
      <c r="G47" s="439">
        <v>6236000</v>
      </c>
      <c r="H47" s="437">
        <v>11532000</v>
      </c>
      <c r="I47" s="437">
        <v>16680000</v>
      </c>
      <c r="J47" s="437">
        <v>1111000</v>
      </c>
      <c r="K47" s="437">
        <v>2090000</v>
      </c>
      <c r="L47" s="437">
        <v>4496000</v>
      </c>
      <c r="M47" s="437">
        <v>6671000</v>
      </c>
      <c r="N47" s="437">
        <v>719000</v>
      </c>
      <c r="O47" s="437">
        <v>1349000</v>
      </c>
      <c r="P47" s="437">
        <v>3129000</v>
      </c>
      <c r="Q47" s="437">
        <v>5729000</v>
      </c>
    </row>
    <row r="48" spans="1:17" ht="9.75" customHeight="1">
      <c r="A48" s="429">
        <v>45</v>
      </c>
      <c r="B48" s="434">
        <v>3350000</v>
      </c>
      <c r="C48" s="435">
        <v>5598000</v>
      </c>
      <c r="D48" s="436">
        <v>10254000</v>
      </c>
      <c r="E48" s="434">
        <v>14806000</v>
      </c>
      <c r="F48" s="437">
        <v>3972000</v>
      </c>
      <c r="G48" s="439">
        <v>7512000</v>
      </c>
      <c r="H48" s="437">
        <v>13890000</v>
      </c>
      <c r="I48" s="437">
        <v>19885000</v>
      </c>
      <c r="J48" s="437">
        <v>1172000</v>
      </c>
      <c r="K48" s="437">
        <v>2206000</v>
      </c>
      <c r="L48" s="437">
        <v>4744000</v>
      </c>
      <c r="M48" s="437">
        <v>7039000</v>
      </c>
      <c r="N48" s="437">
        <v>759000</v>
      </c>
      <c r="O48" s="437">
        <v>1429000</v>
      </c>
      <c r="P48" s="437">
        <v>3309000</v>
      </c>
      <c r="Q48" s="437">
        <v>6069000</v>
      </c>
    </row>
    <row r="49" spans="1:17" ht="9.75" customHeight="1">
      <c r="A49" s="429">
        <v>46</v>
      </c>
      <c r="B49" s="434">
        <v>3350000</v>
      </c>
      <c r="C49" s="435">
        <v>5598000</v>
      </c>
      <c r="D49" s="436">
        <v>10254000</v>
      </c>
      <c r="E49" s="434">
        <v>14806000</v>
      </c>
      <c r="F49" s="437">
        <v>3972000</v>
      </c>
      <c r="G49" s="439">
        <v>7512000</v>
      </c>
      <c r="H49" s="437">
        <v>13890000</v>
      </c>
      <c r="I49" s="437">
        <v>19885000</v>
      </c>
      <c r="J49" s="437">
        <v>1172000</v>
      </c>
      <c r="K49" s="437">
        <v>2206000</v>
      </c>
      <c r="L49" s="437">
        <v>4744000</v>
      </c>
      <c r="M49" s="437">
        <v>7039000</v>
      </c>
      <c r="N49" s="437">
        <v>759000</v>
      </c>
      <c r="O49" s="437">
        <v>1429000</v>
      </c>
      <c r="P49" s="437">
        <v>3309000</v>
      </c>
      <c r="Q49" s="437">
        <v>6069000</v>
      </c>
    </row>
    <row r="50" spans="1:17" ht="9.75" customHeight="1">
      <c r="A50" s="429">
        <v>47</v>
      </c>
      <c r="B50" s="434">
        <v>3350000</v>
      </c>
      <c r="C50" s="435">
        <v>5598000</v>
      </c>
      <c r="D50" s="436">
        <v>10254000</v>
      </c>
      <c r="E50" s="434">
        <v>14806000</v>
      </c>
      <c r="F50" s="437">
        <v>3972000</v>
      </c>
      <c r="G50" s="439">
        <v>7512000</v>
      </c>
      <c r="H50" s="437">
        <v>13890000</v>
      </c>
      <c r="I50" s="437">
        <v>19885000</v>
      </c>
      <c r="J50" s="437">
        <v>1172000</v>
      </c>
      <c r="K50" s="437">
        <v>2206000</v>
      </c>
      <c r="L50" s="437">
        <v>4744000</v>
      </c>
      <c r="M50" s="437">
        <v>7039000</v>
      </c>
      <c r="N50" s="437">
        <v>759000</v>
      </c>
      <c r="O50" s="437">
        <v>1429000</v>
      </c>
      <c r="P50" s="437">
        <v>3309000</v>
      </c>
      <c r="Q50" s="437">
        <v>6069000</v>
      </c>
    </row>
    <row r="51" spans="1:17" ht="9.75" customHeight="1">
      <c r="A51" s="429">
        <v>48</v>
      </c>
      <c r="B51" s="434">
        <v>3350000</v>
      </c>
      <c r="C51" s="435">
        <v>5598000</v>
      </c>
      <c r="D51" s="436">
        <v>10254000</v>
      </c>
      <c r="E51" s="434">
        <v>14806000</v>
      </c>
      <c r="F51" s="437">
        <v>3972000</v>
      </c>
      <c r="G51" s="439">
        <v>7512000</v>
      </c>
      <c r="H51" s="437">
        <v>13890000</v>
      </c>
      <c r="I51" s="437">
        <v>19885000</v>
      </c>
      <c r="J51" s="437">
        <v>1172000</v>
      </c>
      <c r="K51" s="437">
        <v>2206000</v>
      </c>
      <c r="L51" s="437">
        <v>4744000</v>
      </c>
      <c r="M51" s="437">
        <v>7039000</v>
      </c>
      <c r="N51" s="437">
        <v>759000</v>
      </c>
      <c r="O51" s="437">
        <v>1429000</v>
      </c>
      <c r="P51" s="437">
        <v>3309000</v>
      </c>
      <c r="Q51" s="437">
        <v>6069000</v>
      </c>
    </row>
    <row r="52" spans="1:17" ht="9.75" customHeight="1">
      <c r="A52" s="429">
        <v>49</v>
      </c>
      <c r="B52" s="434">
        <v>3350000</v>
      </c>
      <c r="C52" s="435">
        <v>5598000</v>
      </c>
      <c r="D52" s="436">
        <v>10254000</v>
      </c>
      <c r="E52" s="434">
        <v>14806000</v>
      </c>
      <c r="F52" s="437">
        <v>3972000</v>
      </c>
      <c r="G52" s="439">
        <v>7512000</v>
      </c>
      <c r="H52" s="437">
        <v>13890000</v>
      </c>
      <c r="I52" s="437">
        <v>19885000</v>
      </c>
      <c r="J52" s="437">
        <v>1172000</v>
      </c>
      <c r="K52" s="437">
        <v>2206000</v>
      </c>
      <c r="L52" s="437">
        <v>4744000</v>
      </c>
      <c r="M52" s="437">
        <v>7039000</v>
      </c>
      <c r="N52" s="437">
        <v>759000</v>
      </c>
      <c r="O52" s="437">
        <v>1429000</v>
      </c>
      <c r="P52" s="437">
        <v>3309000</v>
      </c>
      <c r="Q52" s="437">
        <v>6069000</v>
      </c>
    </row>
    <row r="53" spans="1:17" ht="9.75" customHeight="1">
      <c r="A53" s="429">
        <v>50</v>
      </c>
      <c r="B53" s="434">
        <v>3844000</v>
      </c>
      <c r="C53" s="435">
        <v>6769000</v>
      </c>
      <c r="D53" s="436">
        <v>12331000</v>
      </c>
      <c r="E53" s="434">
        <v>17884000</v>
      </c>
      <c r="F53" s="437">
        <v>4877000</v>
      </c>
      <c r="G53" s="439">
        <v>9112000</v>
      </c>
      <c r="H53" s="437">
        <v>16716000</v>
      </c>
      <c r="I53" s="437">
        <v>24094000</v>
      </c>
      <c r="J53" s="437">
        <v>1178000</v>
      </c>
      <c r="K53" s="437">
        <v>2218000</v>
      </c>
      <c r="L53" s="437">
        <v>4769000</v>
      </c>
      <c r="M53" s="437">
        <v>7076000</v>
      </c>
      <c r="N53" s="437">
        <v>739000</v>
      </c>
      <c r="O53" s="437">
        <v>1389000</v>
      </c>
      <c r="P53" s="437">
        <v>3209000</v>
      </c>
      <c r="Q53" s="437">
        <v>5889000</v>
      </c>
    </row>
    <row r="54" spans="1:17" ht="9.75" customHeight="1">
      <c r="A54" s="429">
        <v>51</v>
      </c>
      <c r="B54" s="434">
        <v>3844000</v>
      </c>
      <c r="C54" s="435">
        <v>6769000</v>
      </c>
      <c r="D54" s="436">
        <v>12331000</v>
      </c>
      <c r="E54" s="434">
        <v>17884000</v>
      </c>
      <c r="F54" s="437">
        <v>4877000</v>
      </c>
      <c r="G54" s="439">
        <v>9112000</v>
      </c>
      <c r="H54" s="437">
        <v>16716000</v>
      </c>
      <c r="I54" s="437">
        <v>24094000</v>
      </c>
      <c r="J54" s="437">
        <v>1178000</v>
      </c>
      <c r="K54" s="437">
        <v>2218000</v>
      </c>
      <c r="L54" s="437">
        <v>4769000</v>
      </c>
      <c r="M54" s="437">
        <v>7076000</v>
      </c>
      <c r="N54" s="437">
        <v>739000</v>
      </c>
      <c r="O54" s="437">
        <v>1389000</v>
      </c>
      <c r="P54" s="437">
        <v>3209000</v>
      </c>
      <c r="Q54" s="437">
        <v>5889000</v>
      </c>
    </row>
    <row r="55" spans="1:17" ht="9.75" customHeight="1">
      <c r="A55" s="429">
        <v>52</v>
      </c>
      <c r="B55" s="434">
        <v>3844000</v>
      </c>
      <c r="C55" s="435">
        <v>6769000</v>
      </c>
      <c r="D55" s="436">
        <v>12331000</v>
      </c>
      <c r="E55" s="434">
        <v>17884000</v>
      </c>
      <c r="F55" s="437">
        <v>4877000</v>
      </c>
      <c r="G55" s="439">
        <v>9112000</v>
      </c>
      <c r="H55" s="437">
        <v>16716000</v>
      </c>
      <c r="I55" s="437">
        <v>24094000</v>
      </c>
      <c r="J55" s="437">
        <v>1178000</v>
      </c>
      <c r="K55" s="437">
        <v>2218000</v>
      </c>
      <c r="L55" s="437">
        <v>4769000</v>
      </c>
      <c r="M55" s="437">
        <v>7076000</v>
      </c>
      <c r="N55" s="437">
        <v>739000</v>
      </c>
      <c r="O55" s="437">
        <v>1389000</v>
      </c>
      <c r="P55" s="437">
        <v>3209000</v>
      </c>
      <c r="Q55" s="437">
        <v>5889000</v>
      </c>
    </row>
    <row r="56" spans="1:17" ht="9.75" customHeight="1">
      <c r="A56" s="429">
        <v>53</v>
      </c>
      <c r="B56" s="434">
        <v>3844000</v>
      </c>
      <c r="C56" s="435">
        <v>6769000</v>
      </c>
      <c r="D56" s="436">
        <v>12331000</v>
      </c>
      <c r="E56" s="434">
        <v>17884000</v>
      </c>
      <c r="F56" s="437">
        <v>4877000</v>
      </c>
      <c r="G56" s="439">
        <v>9112000</v>
      </c>
      <c r="H56" s="437">
        <v>16716000</v>
      </c>
      <c r="I56" s="437">
        <v>24094000</v>
      </c>
      <c r="J56" s="437">
        <v>1178000</v>
      </c>
      <c r="K56" s="437">
        <v>2218000</v>
      </c>
      <c r="L56" s="437">
        <v>4769000</v>
      </c>
      <c r="M56" s="437">
        <v>7076000</v>
      </c>
      <c r="N56" s="437">
        <v>739000</v>
      </c>
      <c r="O56" s="437">
        <v>1389000</v>
      </c>
      <c r="P56" s="437">
        <v>3209000</v>
      </c>
      <c r="Q56" s="437">
        <v>5889000</v>
      </c>
    </row>
    <row r="57" spans="1:17" ht="9.75" customHeight="1">
      <c r="A57" s="429">
        <v>54</v>
      </c>
      <c r="B57" s="434">
        <v>3844000</v>
      </c>
      <c r="C57" s="435">
        <v>6769000</v>
      </c>
      <c r="D57" s="436">
        <v>12331000</v>
      </c>
      <c r="E57" s="434">
        <v>17884000</v>
      </c>
      <c r="F57" s="437">
        <v>4877000</v>
      </c>
      <c r="G57" s="439">
        <v>9112000</v>
      </c>
      <c r="H57" s="437">
        <v>16716000</v>
      </c>
      <c r="I57" s="437">
        <v>24094000</v>
      </c>
      <c r="J57" s="437">
        <v>1178000</v>
      </c>
      <c r="K57" s="437">
        <v>2218000</v>
      </c>
      <c r="L57" s="437">
        <v>4769000</v>
      </c>
      <c r="M57" s="437">
        <v>7076000</v>
      </c>
      <c r="N57" s="437">
        <v>739000</v>
      </c>
      <c r="O57" s="437">
        <v>1389000</v>
      </c>
      <c r="P57" s="437">
        <v>3209000</v>
      </c>
      <c r="Q57" s="437">
        <v>5889000</v>
      </c>
    </row>
    <row r="58" spans="1:17" ht="9.75" customHeight="1">
      <c r="A58" s="429">
        <v>55</v>
      </c>
      <c r="B58" s="434">
        <v>4152000</v>
      </c>
      <c r="C58" s="435">
        <v>7764000</v>
      </c>
      <c r="D58" s="436">
        <v>14217000</v>
      </c>
      <c r="E58" s="434">
        <v>20444000</v>
      </c>
      <c r="F58" s="437">
        <v>5620000</v>
      </c>
      <c r="G58" s="440">
        <v>10505000</v>
      </c>
      <c r="H58" s="437">
        <v>19214000</v>
      </c>
      <c r="I58" s="437">
        <v>27454000</v>
      </c>
      <c r="J58" s="437">
        <v>1197000</v>
      </c>
      <c r="K58" s="437">
        <v>2252000</v>
      </c>
      <c r="L58" s="437">
        <v>4843000</v>
      </c>
      <c r="M58" s="437">
        <v>7187000</v>
      </c>
      <c r="N58" s="437">
        <v>729000</v>
      </c>
      <c r="O58" s="437">
        <v>1379000</v>
      </c>
      <c r="P58" s="437">
        <v>3179000</v>
      </c>
      <c r="Q58" s="437">
        <v>5839000</v>
      </c>
    </row>
    <row r="59" spans="1:17" ht="9.75" customHeight="1">
      <c r="A59" s="429">
        <v>56</v>
      </c>
      <c r="B59" s="434">
        <v>4152000</v>
      </c>
      <c r="C59" s="435">
        <v>7764000</v>
      </c>
      <c r="D59" s="436">
        <v>14217000</v>
      </c>
      <c r="E59" s="434">
        <v>20444000</v>
      </c>
      <c r="F59" s="437">
        <v>5620000</v>
      </c>
      <c r="G59" s="440">
        <v>10505000</v>
      </c>
      <c r="H59" s="437">
        <v>19214000</v>
      </c>
      <c r="I59" s="437">
        <v>27454000</v>
      </c>
      <c r="J59" s="437">
        <v>1197000</v>
      </c>
      <c r="K59" s="437">
        <v>2252000</v>
      </c>
      <c r="L59" s="437">
        <v>4843000</v>
      </c>
      <c r="M59" s="437">
        <v>7187000</v>
      </c>
      <c r="N59" s="437">
        <v>729000</v>
      </c>
      <c r="O59" s="437">
        <v>1379000</v>
      </c>
      <c r="P59" s="437">
        <v>3179000</v>
      </c>
      <c r="Q59" s="437">
        <v>5839000</v>
      </c>
    </row>
    <row r="60" spans="1:17" ht="9.75" customHeight="1">
      <c r="A60" s="429">
        <v>57</v>
      </c>
      <c r="B60" s="434">
        <v>4152000</v>
      </c>
      <c r="C60" s="435">
        <v>7764000</v>
      </c>
      <c r="D60" s="436">
        <v>14217000</v>
      </c>
      <c r="E60" s="434">
        <v>20444000</v>
      </c>
      <c r="F60" s="437">
        <v>5620000</v>
      </c>
      <c r="G60" s="440">
        <v>10505000</v>
      </c>
      <c r="H60" s="437">
        <v>19214000</v>
      </c>
      <c r="I60" s="437">
        <v>27454000</v>
      </c>
      <c r="J60" s="437">
        <v>1197000</v>
      </c>
      <c r="K60" s="437">
        <v>2252000</v>
      </c>
      <c r="L60" s="437">
        <v>4843000</v>
      </c>
      <c r="M60" s="437">
        <v>7187000</v>
      </c>
      <c r="N60" s="437">
        <v>729000</v>
      </c>
      <c r="O60" s="437">
        <v>1379000</v>
      </c>
      <c r="P60" s="437">
        <v>3179000</v>
      </c>
      <c r="Q60" s="437">
        <v>5839000</v>
      </c>
    </row>
    <row r="61" spans="1:17" ht="9.75" customHeight="1">
      <c r="A61" s="429">
        <v>58</v>
      </c>
      <c r="B61" s="434">
        <v>4152000</v>
      </c>
      <c r="C61" s="435">
        <v>7764000</v>
      </c>
      <c r="D61" s="436">
        <v>14217000</v>
      </c>
      <c r="E61" s="434">
        <v>20444000</v>
      </c>
      <c r="F61" s="437">
        <v>5620000</v>
      </c>
      <c r="G61" s="440">
        <v>10505000</v>
      </c>
      <c r="H61" s="437">
        <v>19214000</v>
      </c>
      <c r="I61" s="437">
        <v>27454000</v>
      </c>
      <c r="J61" s="437">
        <v>1197000</v>
      </c>
      <c r="K61" s="437">
        <v>2252000</v>
      </c>
      <c r="L61" s="437">
        <v>4843000</v>
      </c>
      <c r="M61" s="437">
        <v>7187000</v>
      </c>
      <c r="N61" s="437">
        <v>729000</v>
      </c>
      <c r="O61" s="437">
        <v>1379000</v>
      </c>
      <c r="P61" s="437">
        <v>3179000</v>
      </c>
      <c r="Q61" s="437">
        <v>5839000</v>
      </c>
    </row>
    <row r="62" spans="1:17" ht="9.75" customHeight="1">
      <c r="A62" s="429">
        <v>59</v>
      </c>
      <c r="B62" s="434">
        <v>4152000</v>
      </c>
      <c r="C62" s="435">
        <v>7764000</v>
      </c>
      <c r="D62" s="436">
        <v>14217000</v>
      </c>
      <c r="E62" s="434">
        <v>20444000</v>
      </c>
      <c r="F62" s="437">
        <v>5620000</v>
      </c>
      <c r="G62" s="440">
        <v>10505000</v>
      </c>
      <c r="H62" s="437">
        <v>19214000</v>
      </c>
      <c r="I62" s="437">
        <v>27454000</v>
      </c>
      <c r="J62" s="437">
        <v>1197000</v>
      </c>
      <c r="K62" s="437">
        <v>2252000</v>
      </c>
      <c r="L62" s="437">
        <v>4843000</v>
      </c>
      <c r="M62" s="437">
        <v>7187000</v>
      </c>
      <c r="N62" s="437">
        <v>729000</v>
      </c>
      <c r="O62" s="437">
        <v>1379000</v>
      </c>
      <c r="P62" s="437">
        <v>3179000</v>
      </c>
      <c r="Q62" s="437">
        <v>5839000</v>
      </c>
    </row>
    <row r="63" spans="1:17" ht="9.75" customHeight="1">
      <c r="A63" s="429">
        <v>60</v>
      </c>
      <c r="B63" s="434">
        <v>4784000</v>
      </c>
      <c r="C63" s="435">
        <v>9082000</v>
      </c>
      <c r="D63" s="436">
        <v>16454000</v>
      </c>
      <c r="E63" s="434">
        <v>23768000</v>
      </c>
      <c r="F63" s="437">
        <v>6472000</v>
      </c>
      <c r="G63" s="440">
        <v>12233000</v>
      </c>
      <c r="H63" s="437">
        <v>22270000</v>
      </c>
      <c r="I63" s="437">
        <v>31969000</v>
      </c>
      <c r="J63" s="437">
        <v>1203000</v>
      </c>
      <c r="K63" s="437">
        <v>2264000</v>
      </c>
      <c r="L63" s="437">
        <v>4868000</v>
      </c>
      <c r="M63" s="437">
        <v>7224000</v>
      </c>
      <c r="N63" s="437">
        <v>729000</v>
      </c>
      <c r="O63" s="437">
        <v>1379000</v>
      </c>
      <c r="P63" s="437">
        <v>3179000</v>
      </c>
      <c r="Q63" s="437">
        <v>5839000</v>
      </c>
    </row>
    <row r="64" spans="1:17" ht="9.75" customHeight="1">
      <c r="A64" s="429">
        <v>61</v>
      </c>
      <c r="B64" s="434">
        <v>4784000</v>
      </c>
      <c r="C64" s="435">
        <v>9082000</v>
      </c>
      <c r="D64" s="436">
        <v>16454000</v>
      </c>
      <c r="E64" s="434">
        <v>23768000</v>
      </c>
      <c r="F64" s="437">
        <v>6472000</v>
      </c>
      <c r="G64" s="440">
        <v>12233000</v>
      </c>
      <c r="H64" s="437">
        <v>22270000</v>
      </c>
      <c r="I64" s="437">
        <v>31969000</v>
      </c>
      <c r="J64" s="437">
        <v>1203000</v>
      </c>
      <c r="K64" s="437">
        <v>2264000</v>
      </c>
      <c r="L64" s="437">
        <v>4868000</v>
      </c>
      <c r="M64" s="437">
        <v>7224000</v>
      </c>
      <c r="N64" s="437">
        <v>729000</v>
      </c>
      <c r="O64" s="437">
        <v>1379000</v>
      </c>
      <c r="P64" s="437">
        <v>3179000</v>
      </c>
      <c r="Q64" s="437">
        <v>5839000</v>
      </c>
    </row>
    <row r="65" spans="1:17" ht="9.75" customHeight="1">
      <c r="A65" s="429">
        <v>62</v>
      </c>
      <c r="B65" s="434">
        <v>4784000</v>
      </c>
      <c r="C65" s="435">
        <v>9082000</v>
      </c>
      <c r="D65" s="436">
        <v>16454000</v>
      </c>
      <c r="E65" s="434">
        <v>23768000</v>
      </c>
      <c r="F65" s="437">
        <v>6472000</v>
      </c>
      <c r="G65" s="440">
        <v>12233000</v>
      </c>
      <c r="H65" s="437">
        <v>22270000</v>
      </c>
      <c r="I65" s="437">
        <v>31969000</v>
      </c>
      <c r="J65" s="437">
        <v>1203000</v>
      </c>
      <c r="K65" s="437">
        <v>2264000</v>
      </c>
      <c r="L65" s="437">
        <v>4868000</v>
      </c>
      <c r="M65" s="437">
        <v>7224000</v>
      </c>
      <c r="N65" s="437">
        <v>729000</v>
      </c>
      <c r="O65" s="437">
        <v>1379000</v>
      </c>
      <c r="P65" s="437">
        <v>3179000</v>
      </c>
      <c r="Q65" s="437">
        <v>5839000</v>
      </c>
    </row>
    <row r="66" spans="1:17" ht="9.75" customHeight="1">
      <c r="A66" s="429">
        <v>63</v>
      </c>
      <c r="B66" s="434">
        <v>4784000</v>
      </c>
      <c r="C66" s="435">
        <v>9082000</v>
      </c>
      <c r="D66" s="436">
        <v>16454000</v>
      </c>
      <c r="E66" s="434">
        <v>23768000</v>
      </c>
      <c r="F66" s="437">
        <v>6472000</v>
      </c>
      <c r="G66" s="440">
        <v>12233000</v>
      </c>
      <c r="H66" s="437">
        <v>22270000</v>
      </c>
      <c r="I66" s="437">
        <v>31969000</v>
      </c>
      <c r="J66" s="437">
        <v>1203000</v>
      </c>
      <c r="K66" s="437">
        <v>2264000</v>
      </c>
      <c r="L66" s="437">
        <v>4868000</v>
      </c>
      <c r="M66" s="437">
        <v>7224000</v>
      </c>
      <c r="N66" s="437">
        <v>729000</v>
      </c>
      <c r="O66" s="437">
        <v>1379000</v>
      </c>
      <c r="P66" s="437">
        <v>3179000</v>
      </c>
      <c r="Q66" s="437">
        <v>5839000</v>
      </c>
    </row>
    <row r="67" spans="1:17" ht="9.75" customHeight="1">
      <c r="A67" s="429">
        <v>64</v>
      </c>
      <c r="B67" s="434">
        <v>4784000</v>
      </c>
      <c r="C67" s="435">
        <v>9082000</v>
      </c>
      <c r="D67" s="436">
        <v>16454000</v>
      </c>
      <c r="E67" s="434">
        <v>23768000</v>
      </c>
      <c r="F67" s="437">
        <v>6472000</v>
      </c>
      <c r="G67" s="440">
        <v>12233000</v>
      </c>
      <c r="H67" s="437">
        <v>22270000</v>
      </c>
      <c r="I67" s="437">
        <v>31969000</v>
      </c>
      <c r="J67" s="437">
        <v>1203000</v>
      </c>
      <c r="K67" s="437">
        <v>2264000</v>
      </c>
      <c r="L67" s="437">
        <v>4868000</v>
      </c>
      <c r="M67" s="437">
        <v>7224000</v>
      </c>
      <c r="N67" s="437">
        <v>729000</v>
      </c>
      <c r="O67" s="437">
        <v>1379000</v>
      </c>
      <c r="P67" s="437">
        <v>3179000</v>
      </c>
      <c r="Q67" s="437">
        <v>5839000</v>
      </c>
    </row>
    <row r="68" spans="1:17" ht="9.75" customHeight="1">
      <c r="A68" s="429">
        <v>65</v>
      </c>
      <c r="B68" s="434">
        <v>5274000</v>
      </c>
      <c r="C68" s="435">
        <v>9873000</v>
      </c>
      <c r="D68" s="436">
        <v>17994000</v>
      </c>
      <c r="E68" s="434">
        <v>25964000</v>
      </c>
      <c r="F68" s="437">
        <v>7116000</v>
      </c>
      <c r="G68" s="440">
        <v>13342000</v>
      </c>
      <c r="H68" s="437">
        <v>24345000</v>
      </c>
      <c r="I68" s="437">
        <v>34920000</v>
      </c>
      <c r="J68" s="437">
        <v>1209000</v>
      </c>
      <c r="K68" s="437">
        <v>2275000</v>
      </c>
      <c r="L68" s="437">
        <v>4893000</v>
      </c>
      <c r="M68" s="437">
        <v>7261000</v>
      </c>
      <c r="N68" s="437">
        <v>729000</v>
      </c>
      <c r="O68" s="437">
        <v>1379000</v>
      </c>
      <c r="P68" s="437">
        <v>3179000</v>
      </c>
      <c r="Q68" s="437">
        <v>5839000</v>
      </c>
    </row>
    <row r="69" spans="1:17" ht="9.75" customHeight="1">
      <c r="A69" s="429">
        <v>66</v>
      </c>
      <c r="B69" s="434">
        <v>5274000</v>
      </c>
      <c r="C69" s="435">
        <v>9873000</v>
      </c>
      <c r="D69" s="436">
        <v>17994000</v>
      </c>
      <c r="E69" s="434">
        <v>25964000</v>
      </c>
      <c r="F69" s="437">
        <v>7116000</v>
      </c>
      <c r="G69" s="440">
        <v>13342000</v>
      </c>
      <c r="H69" s="437">
        <v>24345000</v>
      </c>
      <c r="I69" s="437">
        <v>34920000</v>
      </c>
      <c r="J69" s="437">
        <v>1209000</v>
      </c>
      <c r="K69" s="437">
        <v>2275000</v>
      </c>
      <c r="L69" s="437">
        <v>4893000</v>
      </c>
      <c r="M69" s="437">
        <v>7261000</v>
      </c>
      <c r="N69" s="437">
        <v>729000</v>
      </c>
      <c r="O69" s="437">
        <v>1379000</v>
      </c>
      <c r="P69" s="437">
        <v>3179000</v>
      </c>
      <c r="Q69" s="437">
        <v>5839000</v>
      </c>
    </row>
    <row r="70" spans="1:17" ht="9.75" customHeight="1">
      <c r="A70" s="429">
        <v>67</v>
      </c>
      <c r="B70" s="434">
        <v>5274000</v>
      </c>
      <c r="C70" s="435">
        <v>9873000</v>
      </c>
      <c r="D70" s="436">
        <v>17994000</v>
      </c>
      <c r="E70" s="434">
        <v>25964000</v>
      </c>
      <c r="F70" s="437">
        <v>7116000</v>
      </c>
      <c r="G70" s="440">
        <v>13342000</v>
      </c>
      <c r="H70" s="437">
        <v>24345000</v>
      </c>
      <c r="I70" s="437">
        <v>34920000</v>
      </c>
      <c r="J70" s="437">
        <v>1209000</v>
      </c>
      <c r="K70" s="437">
        <v>2275000</v>
      </c>
      <c r="L70" s="437">
        <v>4893000</v>
      </c>
      <c r="M70" s="437">
        <v>7261000</v>
      </c>
      <c r="N70" s="437">
        <v>729000</v>
      </c>
      <c r="O70" s="437">
        <v>1379000</v>
      </c>
      <c r="P70" s="437">
        <v>3179000</v>
      </c>
      <c r="Q70" s="437">
        <v>5839000</v>
      </c>
    </row>
    <row r="71" spans="1:17" ht="9.75" customHeight="1">
      <c r="A71" s="429">
        <v>68</v>
      </c>
      <c r="B71" s="434">
        <v>5274000</v>
      </c>
      <c r="C71" s="435">
        <v>9873000</v>
      </c>
      <c r="D71" s="436">
        <v>17994000</v>
      </c>
      <c r="E71" s="434">
        <v>25964000</v>
      </c>
      <c r="F71" s="437">
        <v>7116000</v>
      </c>
      <c r="G71" s="440">
        <v>13342000</v>
      </c>
      <c r="H71" s="437">
        <v>24345000</v>
      </c>
      <c r="I71" s="437">
        <v>34920000</v>
      </c>
      <c r="J71" s="437">
        <v>1209000</v>
      </c>
      <c r="K71" s="437">
        <v>2275000</v>
      </c>
      <c r="L71" s="437">
        <v>4893000</v>
      </c>
      <c r="M71" s="437">
        <v>7261000</v>
      </c>
      <c r="N71" s="437">
        <v>729000</v>
      </c>
      <c r="O71" s="437">
        <v>1379000</v>
      </c>
      <c r="P71" s="437">
        <v>3179000</v>
      </c>
      <c r="Q71" s="437">
        <v>5839000</v>
      </c>
    </row>
    <row r="72" spans="1:17" ht="9.75" customHeight="1">
      <c r="A72" s="429">
        <v>69</v>
      </c>
      <c r="B72" s="434">
        <v>5274000</v>
      </c>
      <c r="C72" s="435">
        <v>9873000</v>
      </c>
      <c r="D72" s="436">
        <v>17994000</v>
      </c>
      <c r="E72" s="434">
        <v>25964000</v>
      </c>
      <c r="F72" s="437">
        <v>7116000</v>
      </c>
      <c r="G72" s="440">
        <v>13342000</v>
      </c>
      <c r="H72" s="437">
        <v>24345000</v>
      </c>
      <c r="I72" s="437">
        <v>34920000</v>
      </c>
      <c r="J72" s="437">
        <v>1209000</v>
      </c>
      <c r="K72" s="437">
        <v>2275000</v>
      </c>
      <c r="L72" s="437">
        <v>4893000</v>
      </c>
      <c r="M72" s="437">
        <v>7261000</v>
      </c>
      <c r="N72" s="437">
        <v>729000</v>
      </c>
      <c r="O72" s="437">
        <v>1379000</v>
      </c>
      <c r="P72" s="437">
        <v>3179000</v>
      </c>
      <c r="Q72" s="437">
        <v>5839000</v>
      </c>
    </row>
    <row r="73" spans="1:17" ht="9.75" customHeight="1">
      <c r="A73" s="429">
        <v>70</v>
      </c>
      <c r="B73" s="434">
        <v>5879000</v>
      </c>
      <c r="C73" s="441">
        <v>11097000</v>
      </c>
      <c r="D73" s="436">
        <v>20180000</v>
      </c>
      <c r="E73" s="434">
        <v>29097000</v>
      </c>
      <c r="F73" s="437">
        <v>7815000</v>
      </c>
      <c r="G73" s="440">
        <v>14808000</v>
      </c>
      <c r="H73" s="437">
        <v>27021000</v>
      </c>
      <c r="I73" s="437">
        <v>38671000</v>
      </c>
      <c r="J73" s="437">
        <v>1516000</v>
      </c>
      <c r="K73" s="437">
        <v>2853000</v>
      </c>
      <c r="L73" s="437">
        <v>6135000</v>
      </c>
      <c r="M73" s="437">
        <v>9103000</v>
      </c>
      <c r="N73" s="437">
        <v>729000</v>
      </c>
      <c r="O73" s="437">
        <v>1379000</v>
      </c>
      <c r="P73" s="437">
        <v>3179000</v>
      </c>
      <c r="Q73" s="437">
        <v>5839000</v>
      </c>
    </row>
    <row r="74" spans="1:17" ht="9.75" customHeight="1">
      <c r="A74" s="429">
        <v>71</v>
      </c>
      <c r="B74" s="434">
        <v>5879000</v>
      </c>
      <c r="C74" s="441">
        <v>11097000</v>
      </c>
      <c r="D74" s="436">
        <v>20180000</v>
      </c>
      <c r="E74" s="434">
        <v>29097000</v>
      </c>
      <c r="F74" s="437">
        <v>7815000</v>
      </c>
      <c r="G74" s="440">
        <v>14808000</v>
      </c>
      <c r="H74" s="437">
        <v>27021000</v>
      </c>
      <c r="I74" s="437">
        <v>38671000</v>
      </c>
      <c r="J74" s="437">
        <v>1516000</v>
      </c>
      <c r="K74" s="437">
        <v>2853000</v>
      </c>
      <c r="L74" s="437">
        <v>6135000</v>
      </c>
      <c r="M74" s="437">
        <v>9103000</v>
      </c>
      <c r="N74" s="437">
        <v>729000</v>
      </c>
      <c r="O74" s="437">
        <v>1379000</v>
      </c>
      <c r="P74" s="437">
        <v>3179000</v>
      </c>
      <c r="Q74" s="437">
        <v>5839000</v>
      </c>
    </row>
    <row r="75" spans="1:17" ht="9.75" customHeight="1">
      <c r="A75" s="429">
        <v>72</v>
      </c>
      <c r="B75" s="434">
        <v>5879000</v>
      </c>
      <c r="C75" s="441">
        <v>11097000</v>
      </c>
      <c r="D75" s="436">
        <v>20180000</v>
      </c>
      <c r="E75" s="434">
        <v>29097000</v>
      </c>
      <c r="F75" s="437">
        <v>7815000</v>
      </c>
      <c r="G75" s="440">
        <v>14808000</v>
      </c>
      <c r="H75" s="437">
        <v>27021000</v>
      </c>
      <c r="I75" s="437">
        <v>38671000</v>
      </c>
      <c r="J75" s="437">
        <v>1516000</v>
      </c>
      <c r="K75" s="437">
        <v>2853000</v>
      </c>
      <c r="L75" s="437">
        <v>6135000</v>
      </c>
      <c r="M75" s="437">
        <v>9103000</v>
      </c>
      <c r="N75" s="437">
        <v>729000</v>
      </c>
      <c r="O75" s="437">
        <v>1379000</v>
      </c>
      <c r="P75" s="437">
        <v>3179000</v>
      </c>
      <c r="Q75" s="437">
        <v>5839000</v>
      </c>
    </row>
    <row r="76" spans="1:17" ht="9.75" customHeight="1">
      <c r="A76" s="429">
        <v>73</v>
      </c>
      <c r="B76" s="434">
        <v>5879000</v>
      </c>
      <c r="C76" s="441">
        <v>11097000</v>
      </c>
      <c r="D76" s="436">
        <v>20180000</v>
      </c>
      <c r="E76" s="434">
        <v>29097000</v>
      </c>
      <c r="F76" s="437">
        <v>7815000</v>
      </c>
      <c r="G76" s="440">
        <v>14808000</v>
      </c>
      <c r="H76" s="437">
        <v>27021000</v>
      </c>
      <c r="I76" s="437">
        <v>38671000</v>
      </c>
      <c r="J76" s="437">
        <v>1516000</v>
      </c>
      <c r="K76" s="437">
        <v>2853000</v>
      </c>
      <c r="L76" s="437">
        <v>6135000</v>
      </c>
      <c r="M76" s="437">
        <v>9103000</v>
      </c>
      <c r="N76" s="437">
        <v>729000</v>
      </c>
      <c r="O76" s="437">
        <v>1379000</v>
      </c>
      <c r="P76" s="437">
        <v>3179000</v>
      </c>
      <c r="Q76" s="437">
        <v>5839000</v>
      </c>
    </row>
    <row r="77" spans="1:17" ht="9.75" customHeight="1">
      <c r="A77" s="429">
        <v>74</v>
      </c>
      <c r="B77" s="434">
        <v>5879000</v>
      </c>
      <c r="C77" s="441">
        <v>11097000</v>
      </c>
      <c r="D77" s="436">
        <v>20180000</v>
      </c>
      <c r="E77" s="434">
        <v>29097000</v>
      </c>
      <c r="F77" s="437">
        <v>7815000</v>
      </c>
      <c r="G77" s="440">
        <v>14808000</v>
      </c>
      <c r="H77" s="437">
        <v>27021000</v>
      </c>
      <c r="I77" s="437">
        <v>38671000</v>
      </c>
      <c r="J77" s="437">
        <v>1516000</v>
      </c>
      <c r="K77" s="437">
        <v>2853000</v>
      </c>
      <c r="L77" s="437">
        <v>6135000</v>
      </c>
      <c r="M77" s="437">
        <v>9103000</v>
      </c>
      <c r="N77" s="437">
        <v>729000</v>
      </c>
      <c r="O77" s="437">
        <v>1379000</v>
      </c>
      <c r="P77" s="437">
        <v>3179000</v>
      </c>
      <c r="Q77" s="437">
        <v>5839000</v>
      </c>
    </row>
    <row r="78" spans="1:17" ht="9.75" customHeight="1">
      <c r="A78" s="429">
        <v>75</v>
      </c>
      <c r="B78" s="434">
        <v>5539000</v>
      </c>
      <c r="C78" s="441">
        <v>10352000</v>
      </c>
      <c r="D78" s="436">
        <v>18583000</v>
      </c>
      <c r="E78" s="434">
        <v>26594000</v>
      </c>
      <c r="F78" s="437">
        <v>7428000</v>
      </c>
      <c r="G78" s="440">
        <v>13882000</v>
      </c>
      <c r="H78" s="437">
        <v>24917000</v>
      </c>
      <c r="I78" s="437">
        <v>35660000</v>
      </c>
      <c r="J78" s="437">
        <v>2111000</v>
      </c>
      <c r="K78" s="437">
        <v>3972000</v>
      </c>
      <c r="L78" s="437">
        <v>8542000</v>
      </c>
      <c r="M78" s="437">
        <v>12675000</v>
      </c>
      <c r="N78" s="437">
        <v>729000</v>
      </c>
      <c r="O78" s="437">
        <v>1379000</v>
      </c>
      <c r="P78" s="437">
        <v>3179000</v>
      </c>
      <c r="Q78" s="437">
        <v>5839000</v>
      </c>
    </row>
    <row r="79" spans="1:17" ht="9.75" customHeight="1">
      <c r="A79" s="429">
        <v>76</v>
      </c>
      <c r="B79" s="434">
        <v>5539000</v>
      </c>
      <c r="C79" s="441">
        <v>10352000</v>
      </c>
      <c r="D79" s="436">
        <v>18583000</v>
      </c>
      <c r="E79" s="434">
        <v>26594000</v>
      </c>
      <c r="F79" s="437">
        <v>7428000</v>
      </c>
      <c r="G79" s="440">
        <v>13882000</v>
      </c>
      <c r="H79" s="437">
        <v>24917000</v>
      </c>
      <c r="I79" s="437">
        <v>35660000</v>
      </c>
      <c r="J79" s="437">
        <v>2111000</v>
      </c>
      <c r="K79" s="437">
        <v>3972000</v>
      </c>
      <c r="L79" s="437">
        <v>8542000</v>
      </c>
      <c r="M79" s="437">
        <v>12675000</v>
      </c>
      <c r="N79" s="437">
        <v>729000</v>
      </c>
      <c r="O79" s="437">
        <v>1379000</v>
      </c>
      <c r="P79" s="437">
        <v>3179000</v>
      </c>
      <c r="Q79" s="437">
        <v>5839000</v>
      </c>
    </row>
    <row r="80" spans="1:17" ht="9.75" customHeight="1">
      <c r="A80" s="429">
        <v>77</v>
      </c>
      <c r="B80" s="434">
        <v>5539000</v>
      </c>
      <c r="C80" s="441">
        <v>10352000</v>
      </c>
      <c r="D80" s="436">
        <v>18583000</v>
      </c>
      <c r="E80" s="434">
        <v>26594000</v>
      </c>
      <c r="F80" s="437">
        <v>7428000</v>
      </c>
      <c r="G80" s="440">
        <v>13882000</v>
      </c>
      <c r="H80" s="437">
        <v>24917000</v>
      </c>
      <c r="I80" s="437">
        <v>35660000</v>
      </c>
      <c r="J80" s="437">
        <v>2111000</v>
      </c>
      <c r="K80" s="437">
        <v>3972000</v>
      </c>
      <c r="L80" s="437">
        <v>8542000</v>
      </c>
      <c r="M80" s="437">
        <v>12675000</v>
      </c>
      <c r="N80" s="437">
        <v>729000</v>
      </c>
      <c r="O80" s="437">
        <v>1379000</v>
      </c>
      <c r="P80" s="437">
        <v>3179000</v>
      </c>
      <c r="Q80" s="437">
        <v>5839000</v>
      </c>
    </row>
    <row r="81" spans="1:17" ht="9.75" customHeight="1">
      <c r="A81" s="429">
        <v>78</v>
      </c>
      <c r="B81" s="434">
        <v>5539000</v>
      </c>
      <c r="C81" s="441">
        <v>10352000</v>
      </c>
      <c r="D81" s="436">
        <v>18583000</v>
      </c>
      <c r="E81" s="434">
        <v>26594000</v>
      </c>
      <c r="F81" s="437">
        <v>7428000</v>
      </c>
      <c r="G81" s="440">
        <v>13882000</v>
      </c>
      <c r="H81" s="437">
        <v>24917000</v>
      </c>
      <c r="I81" s="437">
        <v>35660000</v>
      </c>
      <c r="J81" s="437">
        <v>2111000</v>
      </c>
      <c r="K81" s="437">
        <v>3972000</v>
      </c>
      <c r="L81" s="437">
        <v>8542000</v>
      </c>
      <c r="M81" s="437">
        <v>12675000</v>
      </c>
      <c r="N81" s="437">
        <v>729000</v>
      </c>
      <c r="O81" s="437">
        <v>1379000</v>
      </c>
      <c r="P81" s="437">
        <v>3179000</v>
      </c>
      <c r="Q81" s="437">
        <v>5839000</v>
      </c>
    </row>
    <row r="82" spans="1:17" ht="9.75" customHeight="1">
      <c r="A82" s="429">
        <v>79</v>
      </c>
      <c r="B82" s="434">
        <v>5539000</v>
      </c>
      <c r="C82" s="441">
        <v>10352000</v>
      </c>
      <c r="D82" s="436">
        <v>18583000</v>
      </c>
      <c r="E82" s="434">
        <v>26594000</v>
      </c>
      <c r="F82" s="437">
        <v>7428000</v>
      </c>
      <c r="G82" s="440">
        <v>13882000</v>
      </c>
      <c r="H82" s="437">
        <v>24917000</v>
      </c>
      <c r="I82" s="437">
        <v>35660000</v>
      </c>
      <c r="J82" s="437">
        <v>2111000</v>
      </c>
      <c r="K82" s="437">
        <v>3972000</v>
      </c>
      <c r="L82" s="437">
        <v>8542000</v>
      </c>
      <c r="M82" s="437">
        <v>12675000</v>
      </c>
      <c r="N82" s="437">
        <v>729000</v>
      </c>
      <c r="O82" s="437">
        <v>1379000</v>
      </c>
      <c r="P82" s="437">
        <v>3179000</v>
      </c>
      <c r="Q82" s="437">
        <v>5839000</v>
      </c>
    </row>
    <row r="83" spans="1:17" ht="9.75" customHeight="1">
      <c r="A83" s="429">
        <v>80</v>
      </c>
      <c r="B83" s="434">
        <v>7437000</v>
      </c>
      <c r="C83" s="441">
        <v>13900000</v>
      </c>
      <c r="D83" s="436">
        <v>24950000</v>
      </c>
      <c r="E83" s="434">
        <v>35708000</v>
      </c>
      <c r="F83" s="437">
        <v>9973000</v>
      </c>
      <c r="G83" s="440">
        <v>18639000</v>
      </c>
      <c r="H83" s="437">
        <v>33456000</v>
      </c>
      <c r="I83" s="437">
        <v>47880000</v>
      </c>
      <c r="J83" s="437">
        <v>2969000</v>
      </c>
      <c r="K83" s="437">
        <v>5588000</v>
      </c>
      <c r="L83" s="437">
        <v>12016000</v>
      </c>
      <c r="M83" s="437">
        <v>17829000</v>
      </c>
      <c r="N83" s="437">
        <v>729000</v>
      </c>
      <c r="O83" s="437">
        <v>1379000</v>
      </c>
      <c r="P83" s="437">
        <v>3179000</v>
      </c>
      <c r="Q83" s="437">
        <v>5839000</v>
      </c>
    </row>
    <row r="84" spans="1:17" ht="9.75" customHeight="1">
      <c r="A84" s="429">
        <v>81</v>
      </c>
      <c r="B84" s="434">
        <v>7437000</v>
      </c>
      <c r="C84" s="441">
        <v>13900000</v>
      </c>
      <c r="D84" s="436">
        <v>24950000</v>
      </c>
      <c r="E84" s="434">
        <v>35708000</v>
      </c>
      <c r="F84" s="437">
        <v>9973000</v>
      </c>
      <c r="G84" s="440">
        <v>18639000</v>
      </c>
      <c r="H84" s="437">
        <v>33456000</v>
      </c>
      <c r="I84" s="437">
        <v>47880000</v>
      </c>
      <c r="J84" s="437">
        <v>2969000</v>
      </c>
      <c r="K84" s="437">
        <v>5588000</v>
      </c>
      <c r="L84" s="437">
        <v>12016000</v>
      </c>
      <c r="M84" s="437">
        <v>17829000</v>
      </c>
      <c r="N84" s="437">
        <v>729000</v>
      </c>
      <c r="O84" s="437">
        <v>1379000</v>
      </c>
      <c r="P84" s="437">
        <v>3179000</v>
      </c>
      <c r="Q84" s="437">
        <v>5839000</v>
      </c>
    </row>
    <row r="85" spans="1:17" ht="9.75" customHeight="1">
      <c r="A85" s="429">
        <v>82</v>
      </c>
      <c r="B85" s="434">
        <v>7437000</v>
      </c>
      <c r="C85" s="441">
        <v>13900000</v>
      </c>
      <c r="D85" s="436">
        <v>24950000</v>
      </c>
      <c r="E85" s="434">
        <v>35708000</v>
      </c>
      <c r="F85" s="437">
        <v>9973000</v>
      </c>
      <c r="G85" s="440">
        <v>18639000</v>
      </c>
      <c r="H85" s="437">
        <v>33456000</v>
      </c>
      <c r="I85" s="437">
        <v>47880000</v>
      </c>
      <c r="J85" s="437">
        <v>2969000</v>
      </c>
      <c r="K85" s="437">
        <v>5588000</v>
      </c>
      <c r="L85" s="437">
        <v>12016000</v>
      </c>
      <c r="M85" s="437">
        <v>17829000</v>
      </c>
      <c r="N85" s="437">
        <v>729000</v>
      </c>
      <c r="O85" s="437">
        <v>1379000</v>
      </c>
      <c r="P85" s="437">
        <v>3179000</v>
      </c>
      <c r="Q85" s="437">
        <v>5839000</v>
      </c>
    </row>
    <row r="86" spans="1:17" ht="9.75" customHeight="1">
      <c r="A86" s="429">
        <v>83</v>
      </c>
      <c r="B86" s="434">
        <v>7437000</v>
      </c>
      <c r="C86" s="441">
        <v>13900000</v>
      </c>
      <c r="D86" s="436">
        <v>24950000</v>
      </c>
      <c r="E86" s="434">
        <v>35708000</v>
      </c>
      <c r="F86" s="437">
        <v>9973000</v>
      </c>
      <c r="G86" s="440">
        <v>18639000</v>
      </c>
      <c r="H86" s="437">
        <v>33456000</v>
      </c>
      <c r="I86" s="437">
        <v>47880000</v>
      </c>
      <c r="J86" s="437">
        <v>2969000</v>
      </c>
      <c r="K86" s="437">
        <v>5588000</v>
      </c>
      <c r="L86" s="437">
        <v>12016000</v>
      </c>
      <c r="M86" s="437">
        <v>17829000</v>
      </c>
      <c r="N86" s="437">
        <v>729000</v>
      </c>
      <c r="O86" s="437">
        <v>1379000</v>
      </c>
      <c r="P86" s="437">
        <v>3179000</v>
      </c>
      <c r="Q86" s="437">
        <v>5839000</v>
      </c>
    </row>
    <row r="87" spans="1:17" ht="9.75" customHeight="1">
      <c r="A87" s="429">
        <v>84</v>
      </c>
      <c r="B87" s="434">
        <v>7437000</v>
      </c>
      <c r="C87" s="441">
        <v>13900000</v>
      </c>
      <c r="D87" s="436">
        <v>24950000</v>
      </c>
      <c r="E87" s="434">
        <v>35708000</v>
      </c>
      <c r="F87" s="437">
        <v>9973000</v>
      </c>
      <c r="G87" s="440">
        <v>18639000</v>
      </c>
      <c r="H87" s="437">
        <v>33456000</v>
      </c>
      <c r="I87" s="437">
        <v>47880000</v>
      </c>
      <c r="J87" s="437">
        <v>2969000</v>
      </c>
      <c r="K87" s="437">
        <v>5588000</v>
      </c>
      <c r="L87" s="437">
        <v>12016000</v>
      </c>
      <c r="M87" s="437">
        <v>17829000</v>
      </c>
      <c r="N87" s="437">
        <v>729000</v>
      </c>
      <c r="O87" s="437">
        <v>1379000</v>
      </c>
      <c r="P87" s="437">
        <v>3179000</v>
      </c>
      <c r="Q87" s="437">
        <v>5839000</v>
      </c>
    </row>
    <row r="88" spans="1:17" ht="9.75" customHeight="1">
      <c r="A88" s="429">
        <v>85</v>
      </c>
      <c r="B88" s="434">
        <v>7809000</v>
      </c>
      <c r="C88" s="441">
        <v>14595000</v>
      </c>
      <c r="D88" s="436">
        <v>26198000</v>
      </c>
      <c r="E88" s="434">
        <v>37493000</v>
      </c>
      <c r="F88" s="437">
        <v>10472000</v>
      </c>
      <c r="G88" s="440">
        <v>19571000</v>
      </c>
      <c r="H88" s="437">
        <v>35129000</v>
      </c>
      <c r="I88" s="437">
        <v>50274000</v>
      </c>
      <c r="J88" s="437">
        <v>3274000</v>
      </c>
      <c r="K88" s="437">
        <v>6161000</v>
      </c>
      <c r="L88" s="437">
        <v>13248000</v>
      </c>
      <c r="M88" s="437">
        <v>19657000</v>
      </c>
      <c r="N88" s="437">
        <v>729000</v>
      </c>
      <c r="O88" s="437">
        <v>1379000</v>
      </c>
      <c r="P88" s="437">
        <v>3179000</v>
      </c>
      <c r="Q88" s="437">
        <v>5839000</v>
      </c>
    </row>
    <row r="89" spans="1:17" ht="9.75" customHeight="1">
      <c r="A89" s="429">
        <v>86</v>
      </c>
      <c r="B89" s="434">
        <v>7809000</v>
      </c>
      <c r="C89" s="441">
        <v>14595000</v>
      </c>
      <c r="D89" s="436">
        <v>26198000</v>
      </c>
      <c r="E89" s="434">
        <v>37493000</v>
      </c>
      <c r="F89" s="437">
        <v>10472000</v>
      </c>
      <c r="G89" s="440">
        <v>19571000</v>
      </c>
      <c r="H89" s="437">
        <v>35129000</v>
      </c>
      <c r="I89" s="437">
        <v>50274000</v>
      </c>
      <c r="J89" s="437">
        <v>3274000</v>
      </c>
      <c r="K89" s="437">
        <v>6161000</v>
      </c>
      <c r="L89" s="437">
        <v>13248000</v>
      </c>
      <c r="M89" s="437">
        <v>19657000</v>
      </c>
      <c r="N89" s="437">
        <v>729000</v>
      </c>
      <c r="O89" s="437">
        <v>1379000</v>
      </c>
      <c r="P89" s="437">
        <v>3179000</v>
      </c>
      <c r="Q89" s="437">
        <v>5839000</v>
      </c>
    </row>
    <row r="90" spans="1:17" ht="9.75" customHeight="1">
      <c r="A90" s="429">
        <v>87</v>
      </c>
      <c r="B90" s="434">
        <v>7809000</v>
      </c>
      <c r="C90" s="441">
        <v>14595000</v>
      </c>
      <c r="D90" s="436">
        <v>26198000</v>
      </c>
      <c r="E90" s="434">
        <v>37493000</v>
      </c>
      <c r="F90" s="437">
        <v>10472000</v>
      </c>
      <c r="G90" s="440">
        <v>19571000</v>
      </c>
      <c r="H90" s="437">
        <v>35129000</v>
      </c>
      <c r="I90" s="437">
        <v>50274000</v>
      </c>
      <c r="J90" s="437">
        <v>3274000</v>
      </c>
      <c r="K90" s="437">
        <v>6161000</v>
      </c>
      <c r="L90" s="437">
        <v>13248000</v>
      </c>
      <c r="M90" s="437">
        <v>19657000</v>
      </c>
      <c r="N90" s="437">
        <v>729000</v>
      </c>
      <c r="O90" s="437">
        <v>1379000</v>
      </c>
      <c r="P90" s="437">
        <v>3179000</v>
      </c>
      <c r="Q90" s="437">
        <v>5839000</v>
      </c>
    </row>
    <row r="91" spans="1:17" ht="9.75" customHeight="1">
      <c r="A91" s="429">
        <v>88</v>
      </c>
      <c r="B91" s="434">
        <v>7809000</v>
      </c>
      <c r="C91" s="441">
        <v>14595000</v>
      </c>
      <c r="D91" s="436">
        <v>26198000</v>
      </c>
      <c r="E91" s="434">
        <v>37493000</v>
      </c>
      <c r="F91" s="437">
        <v>10472000</v>
      </c>
      <c r="G91" s="440">
        <v>19571000</v>
      </c>
      <c r="H91" s="437">
        <v>35129000</v>
      </c>
      <c r="I91" s="437">
        <v>50274000</v>
      </c>
      <c r="J91" s="437">
        <v>3274000</v>
      </c>
      <c r="K91" s="437">
        <v>6161000</v>
      </c>
      <c r="L91" s="437">
        <v>13248000</v>
      </c>
      <c r="M91" s="437">
        <v>19657000</v>
      </c>
      <c r="N91" s="437">
        <v>729000</v>
      </c>
      <c r="O91" s="437">
        <v>1379000</v>
      </c>
      <c r="P91" s="437">
        <v>3179000</v>
      </c>
      <c r="Q91" s="437">
        <v>5839000</v>
      </c>
    </row>
    <row r="92" spans="1:17" ht="9.75" customHeight="1">
      <c r="A92" s="429">
        <v>89</v>
      </c>
      <c r="B92" s="434">
        <v>7809000</v>
      </c>
      <c r="C92" s="441">
        <v>14595000</v>
      </c>
      <c r="D92" s="436">
        <v>26198000</v>
      </c>
      <c r="E92" s="434">
        <v>37493000</v>
      </c>
      <c r="F92" s="437">
        <v>10472000</v>
      </c>
      <c r="G92" s="440">
        <v>19571000</v>
      </c>
      <c r="H92" s="437">
        <v>35129000</v>
      </c>
      <c r="I92" s="437">
        <v>50274000</v>
      </c>
      <c r="J92" s="437">
        <v>3274000</v>
      </c>
      <c r="K92" s="437">
        <v>6161000</v>
      </c>
      <c r="L92" s="437">
        <v>13248000</v>
      </c>
      <c r="M92" s="437">
        <v>19657000</v>
      </c>
      <c r="N92" s="437">
        <v>729000</v>
      </c>
      <c r="O92" s="437">
        <v>1379000</v>
      </c>
      <c r="P92" s="437">
        <v>3179000</v>
      </c>
      <c r="Q92" s="437">
        <v>5839000</v>
      </c>
    </row>
    <row r="93" spans="1:17" ht="9.75" customHeight="1">
      <c r="A93" s="429">
        <v>90</v>
      </c>
      <c r="B93" s="434">
        <v>8981000</v>
      </c>
      <c r="C93" s="441">
        <v>16785000</v>
      </c>
      <c r="D93" s="436">
        <v>30128000</v>
      </c>
      <c r="E93" s="434">
        <v>43117000</v>
      </c>
      <c r="F93" s="437">
        <v>12042000</v>
      </c>
      <c r="G93" s="440">
        <v>22506000</v>
      </c>
      <c r="H93" s="437">
        <v>40398000</v>
      </c>
      <c r="I93" s="437">
        <v>57815000</v>
      </c>
      <c r="J93" s="437">
        <v>3765000</v>
      </c>
      <c r="K93" s="437">
        <v>7085000</v>
      </c>
      <c r="L93" s="437">
        <v>15235000</v>
      </c>
      <c r="M93" s="437">
        <v>22605000</v>
      </c>
      <c r="N93" s="437">
        <v>729000</v>
      </c>
      <c r="O93" s="437">
        <v>1379000</v>
      </c>
      <c r="P93" s="437">
        <v>3179000</v>
      </c>
      <c r="Q93" s="437">
        <v>5839000</v>
      </c>
    </row>
    <row r="94" spans="1:17" ht="9.75" customHeight="1">
      <c r="A94" s="429">
        <v>91</v>
      </c>
      <c r="B94" s="434">
        <v>8981000</v>
      </c>
      <c r="C94" s="441">
        <v>16785000</v>
      </c>
      <c r="D94" s="436">
        <v>30128000</v>
      </c>
      <c r="E94" s="434">
        <v>43117000</v>
      </c>
      <c r="F94" s="437">
        <v>12042000</v>
      </c>
      <c r="G94" s="440">
        <v>22506000</v>
      </c>
      <c r="H94" s="437">
        <v>40398000</v>
      </c>
      <c r="I94" s="437">
        <v>57815000</v>
      </c>
      <c r="J94" s="437">
        <v>3765000</v>
      </c>
      <c r="K94" s="437">
        <v>7085000</v>
      </c>
      <c r="L94" s="437">
        <v>15235000</v>
      </c>
      <c r="M94" s="437">
        <v>22605000</v>
      </c>
      <c r="N94" s="437">
        <v>729000</v>
      </c>
      <c r="O94" s="437">
        <v>1379000</v>
      </c>
      <c r="P94" s="437">
        <v>3179000</v>
      </c>
      <c r="Q94" s="437">
        <v>5839000</v>
      </c>
    </row>
    <row r="95" spans="1:17" ht="9.75" customHeight="1">
      <c r="A95" s="429">
        <v>92</v>
      </c>
      <c r="B95" s="434">
        <v>8981000</v>
      </c>
      <c r="C95" s="441">
        <v>16785000</v>
      </c>
      <c r="D95" s="436">
        <v>30128000</v>
      </c>
      <c r="E95" s="434">
        <v>43117000</v>
      </c>
      <c r="F95" s="437">
        <v>12042000</v>
      </c>
      <c r="G95" s="440">
        <v>22506000</v>
      </c>
      <c r="H95" s="437">
        <v>40398000</v>
      </c>
      <c r="I95" s="437">
        <v>57815000</v>
      </c>
      <c r="J95" s="437">
        <v>3765000</v>
      </c>
      <c r="K95" s="437">
        <v>7085000</v>
      </c>
      <c r="L95" s="437">
        <v>15235000</v>
      </c>
      <c r="M95" s="437">
        <v>22605000</v>
      </c>
      <c r="N95" s="437">
        <v>729000</v>
      </c>
      <c r="O95" s="437">
        <v>1379000</v>
      </c>
      <c r="P95" s="437">
        <v>3179000</v>
      </c>
      <c r="Q95" s="437">
        <v>5839000</v>
      </c>
    </row>
    <row r="96" spans="1:17" ht="9.75" customHeight="1">
      <c r="A96" s="429">
        <v>93</v>
      </c>
      <c r="B96" s="434">
        <v>8981000</v>
      </c>
      <c r="C96" s="441">
        <v>16785000</v>
      </c>
      <c r="D96" s="436">
        <v>30128000</v>
      </c>
      <c r="E96" s="434">
        <v>43117000</v>
      </c>
      <c r="F96" s="437">
        <v>12042000</v>
      </c>
      <c r="G96" s="440">
        <v>22506000</v>
      </c>
      <c r="H96" s="437">
        <v>40398000</v>
      </c>
      <c r="I96" s="437">
        <v>57815000</v>
      </c>
      <c r="J96" s="437">
        <v>3765000</v>
      </c>
      <c r="K96" s="437">
        <v>7085000</v>
      </c>
      <c r="L96" s="437">
        <v>15235000</v>
      </c>
      <c r="M96" s="437">
        <v>22605000</v>
      </c>
      <c r="N96" s="437">
        <v>729000</v>
      </c>
      <c r="O96" s="437">
        <v>1379000</v>
      </c>
      <c r="P96" s="437">
        <v>3179000</v>
      </c>
      <c r="Q96" s="437">
        <v>5839000</v>
      </c>
    </row>
    <row r="97" spans="1:17" ht="9.75" customHeight="1">
      <c r="A97" s="429">
        <v>94</v>
      </c>
      <c r="B97" s="434">
        <v>8981000</v>
      </c>
      <c r="C97" s="441">
        <v>16785000</v>
      </c>
      <c r="D97" s="436">
        <v>30128000</v>
      </c>
      <c r="E97" s="434">
        <v>43117000</v>
      </c>
      <c r="F97" s="437">
        <v>12042000</v>
      </c>
      <c r="G97" s="440">
        <v>22506000</v>
      </c>
      <c r="H97" s="437">
        <v>40398000</v>
      </c>
      <c r="I97" s="437">
        <v>57815000</v>
      </c>
      <c r="J97" s="437">
        <v>3765000</v>
      </c>
      <c r="K97" s="437">
        <v>7085000</v>
      </c>
      <c r="L97" s="437">
        <v>15235000</v>
      </c>
      <c r="M97" s="437">
        <v>22605000</v>
      </c>
      <c r="N97" s="437">
        <v>729000</v>
      </c>
      <c r="O97" s="437">
        <v>1379000</v>
      </c>
      <c r="P97" s="437">
        <v>3179000</v>
      </c>
      <c r="Q97" s="437">
        <v>5839000</v>
      </c>
    </row>
    <row r="98" spans="1:17" ht="9.75" customHeight="1">
      <c r="A98" s="429">
        <v>95</v>
      </c>
      <c r="B98" s="434">
        <v>10328000</v>
      </c>
      <c r="C98" s="441">
        <v>19302000</v>
      </c>
      <c r="D98" s="436">
        <v>34647000</v>
      </c>
      <c r="E98" s="434">
        <v>49585000</v>
      </c>
      <c r="F98" s="437">
        <v>13849000</v>
      </c>
      <c r="G98" s="440">
        <v>25882000</v>
      </c>
      <c r="H98" s="437">
        <v>46458000</v>
      </c>
      <c r="I98" s="437">
        <v>66488000</v>
      </c>
      <c r="J98" s="437">
        <v>4330000</v>
      </c>
      <c r="K98" s="437">
        <v>8148000</v>
      </c>
      <c r="L98" s="437">
        <v>17520000</v>
      </c>
      <c r="M98" s="437">
        <v>25996000</v>
      </c>
      <c r="N98" s="437">
        <v>729000</v>
      </c>
      <c r="O98" s="437">
        <v>1379000</v>
      </c>
      <c r="P98" s="437">
        <v>3179000</v>
      </c>
      <c r="Q98" s="437">
        <v>5839000</v>
      </c>
    </row>
    <row r="99" spans="1:17" ht="9.75" customHeight="1">
      <c r="A99" s="429">
        <v>96</v>
      </c>
      <c r="B99" s="434">
        <v>10328000</v>
      </c>
      <c r="C99" s="441">
        <v>19302000</v>
      </c>
      <c r="D99" s="436">
        <v>34647000</v>
      </c>
      <c r="E99" s="434">
        <v>49585000</v>
      </c>
      <c r="F99" s="437">
        <v>13849000</v>
      </c>
      <c r="G99" s="440">
        <v>25882000</v>
      </c>
      <c r="H99" s="437">
        <v>46458000</v>
      </c>
      <c r="I99" s="437">
        <v>66488000</v>
      </c>
      <c r="J99" s="437">
        <v>4330000</v>
      </c>
      <c r="K99" s="437">
        <v>8148000</v>
      </c>
      <c r="L99" s="437">
        <v>17520000</v>
      </c>
      <c r="M99" s="437">
        <v>25996000</v>
      </c>
      <c r="N99" s="437">
        <v>729000</v>
      </c>
      <c r="O99" s="437">
        <v>1379000</v>
      </c>
      <c r="P99" s="437">
        <v>3179000</v>
      </c>
      <c r="Q99" s="437">
        <v>5839000</v>
      </c>
    </row>
    <row r="100" spans="1:17" ht="9.75" customHeight="1">
      <c r="A100" s="429">
        <v>97</v>
      </c>
      <c r="B100" s="434">
        <v>10328000</v>
      </c>
      <c r="C100" s="441">
        <v>19302000</v>
      </c>
      <c r="D100" s="436">
        <v>34647000</v>
      </c>
      <c r="E100" s="434">
        <v>49585000</v>
      </c>
      <c r="F100" s="437">
        <v>13849000</v>
      </c>
      <c r="G100" s="440">
        <v>25882000</v>
      </c>
      <c r="H100" s="437">
        <v>46458000</v>
      </c>
      <c r="I100" s="437">
        <v>66488000</v>
      </c>
      <c r="J100" s="437">
        <v>4330000</v>
      </c>
      <c r="K100" s="437">
        <v>8148000</v>
      </c>
      <c r="L100" s="437">
        <v>17520000</v>
      </c>
      <c r="M100" s="437">
        <v>25996000</v>
      </c>
      <c r="N100" s="437">
        <v>729000</v>
      </c>
      <c r="O100" s="437">
        <v>1379000</v>
      </c>
      <c r="P100" s="437">
        <v>3179000</v>
      </c>
      <c r="Q100" s="437">
        <v>5839000</v>
      </c>
    </row>
    <row r="101" spans="1:17" ht="9.75" customHeight="1">
      <c r="A101" s="429">
        <v>98</v>
      </c>
      <c r="B101" s="434">
        <v>10328000</v>
      </c>
      <c r="C101" s="441">
        <v>19302000</v>
      </c>
      <c r="D101" s="436">
        <v>34647000</v>
      </c>
      <c r="E101" s="434">
        <v>49585000</v>
      </c>
      <c r="F101" s="437">
        <v>13849000</v>
      </c>
      <c r="G101" s="440">
        <v>25882000</v>
      </c>
      <c r="H101" s="437">
        <v>46458000</v>
      </c>
      <c r="I101" s="437">
        <v>66488000</v>
      </c>
      <c r="J101" s="437">
        <v>4330000</v>
      </c>
      <c r="K101" s="437">
        <v>8148000</v>
      </c>
      <c r="L101" s="437">
        <v>17520000</v>
      </c>
      <c r="M101" s="437">
        <v>25996000</v>
      </c>
      <c r="N101" s="437">
        <v>729000</v>
      </c>
      <c r="O101" s="437">
        <v>1379000</v>
      </c>
      <c r="P101" s="437">
        <v>3179000</v>
      </c>
      <c r="Q101" s="437">
        <v>5839000</v>
      </c>
    </row>
    <row r="102" spans="1:17" ht="9.75" customHeight="1">
      <c r="A102" s="429">
        <v>99</v>
      </c>
      <c r="B102" s="434">
        <v>10328000</v>
      </c>
      <c r="C102" s="441">
        <v>19302000</v>
      </c>
      <c r="D102" s="436">
        <v>34647000</v>
      </c>
      <c r="E102" s="434">
        <v>49585000</v>
      </c>
      <c r="F102" s="437">
        <v>13849000</v>
      </c>
      <c r="G102" s="440">
        <v>25882000</v>
      </c>
      <c r="H102" s="437">
        <v>46458000</v>
      </c>
      <c r="I102" s="437">
        <v>66488000</v>
      </c>
      <c r="J102" s="437">
        <v>4330000</v>
      </c>
      <c r="K102" s="437">
        <v>8148000</v>
      </c>
      <c r="L102" s="437">
        <v>17520000</v>
      </c>
      <c r="M102" s="437">
        <v>25996000</v>
      </c>
      <c r="N102" s="437">
        <v>729000</v>
      </c>
      <c r="O102" s="437">
        <v>1379000</v>
      </c>
      <c r="P102" s="437">
        <v>3179000</v>
      </c>
      <c r="Q102" s="437">
        <v>5839000</v>
      </c>
    </row>
    <row r="103" spans="1:17" ht="9.75" customHeight="1"/>
    <row r="104" spans="1:17" ht="9.75" customHeight="1"/>
    <row r="105" spans="1:17" ht="9.75" customHeight="1"/>
    <row r="106" spans="1:17" ht="9.75" customHeight="1"/>
    <row r="107" spans="1:17" ht="9.75" customHeight="1"/>
    <row r="108" spans="1:17" ht="9.75" customHeight="1"/>
    <row r="109" spans="1:17" ht="9.75" customHeight="1"/>
    <row r="110" spans="1:17" ht="9.75" customHeight="1"/>
    <row r="111" spans="1:17" ht="9.75" customHeight="1"/>
    <row r="112" spans="1:17" ht="9.75" customHeight="1"/>
    <row r="113" ht="9.75" customHeight="1"/>
    <row r="114" ht="9.75" customHeight="1"/>
    <row r="115" ht="9.75" customHeight="1"/>
    <row r="116" ht="9.75" customHeight="1"/>
    <row r="117" ht="9.75" customHeight="1"/>
    <row r="118" ht="9.75" customHeight="1"/>
    <row r="119" ht="9.75" customHeight="1"/>
    <row r="120" ht="9.75" customHeight="1"/>
    <row r="121" ht="9.75" customHeight="1"/>
    <row r="122" ht="9.75" customHeight="1"/>
    <row r="123" ht="9.75" customHeight="1"/>
    <row r="124" ht="9.75" customHeight="1"/>
    <row r="125" ht="9.75" customHeight="1"/>
    <row r="126" ht="9.75" customHeight="1"/>
    <row r="127" ht="9.75" customHeight="1"/>
    <row r="128" ht="9.75" customHeight="1"/>
    <row r="129" ht="9.75" customHeight="1"/>
    <row r="130" ht="9.75" customHeight="1"/>
    <row r="131" ht="9.75" customHeight="1"/>
    <row r="132" ht="9.75" customHeight="1"/>
    <row r="133" ht="9.75" customHeight="1"/>
    <row r="134" ht="9.75" customHeight="1"/>
    <row r="135" ht="9.75" customHeight="1"/>
    <row r="136" ht="9.75" customHeight="1"/>
    <row r="137" ht="9.75" customHeight="1"/>
    <row r="138" ht="9.75" customHeight="1"/>
    <row r="139" ht="9.75" customHeight="1"/>
    <row r="140" ht="9.75" customHeight="1"/>
    <row r="141" ht="9.75" customHeight="1"/>
    <row r="142" ht="9.75" customHeight="1"/>
    <row r="143" ht="9.75" customHeight="1"/>
    <row r="144" ht="9.75" customHeight="1"/>
    <row r="145" ht="9.75" customHeight="1"/>
    <row r="146" ht="9.75" customHeight="1"/>
    <row r="147" ht="9.75" customHeight="1"/>
    <row r="148" ht="9.75" customHeight="1"/>
    <row r="149" ht="9.75" customHeight="1"/>
    <row r="150" ht="9.75" customHeight="1"/>
    <row r="151" ht="9.75" customHeight="1"/>
    <row r="152" ht="9.75" customHeight="1"/>
    <row r="153" ht="9.75" customHeight="1"/>
    <row r="154" ht="9.75" customHeight="1"/>
    <row r="155" ht="9.75" customHeight="1"/>
    <row r="156" ht="9.75" customHeight="1"/>
    <row r="157" ht="9.75" customHeight="1"/>
    <row r="158" ht="9.75" customHeight="1"/>
    <row r="159" ht="9.75" customHeight="1"/>
    <row r="160" ht="9.75" customHeight="1"/>
    <row r="161" ht="9.75" customHeight="1"/>
    <row r="162" ht="9.75" customHeight="1"/>
    <row r="163" ht="9.75" customHeight="1"/>
    <row r="164" ht="9.75" customHeight="1"/>
    <row r="165" ht="9.75" customHeight="1"/>
    <row r="166" ht="9.75" customHeight="1"/>
    <row r="167" ht="9.75" customHeight="1"/>
    <row r="168" ht="9.75" customHeight="1"/>
    <row r="169" ht="9.75" customHeight="1"/>
    <row r="170" ht="9.75" customHeight="1"/>
    <row r="171" ht="9.75" customHeight="1"/>
    <row r="172" ht="9.75" customHeight="1"/>
    <row r="173" ht="9.75" customHeight="1"/>
    <row r="174" ht="9.75" customHeight="1"/>
    <row r="175" ht="9.75" customHeight="1"/>
    <row r="176" ht="9.75" customHeight="1"/>
    <row r="177" ht="9.75" customHeight="1"/>
    <row r="178" ht="9.75" customHeight="1"/>
    <row r="179" ht="9.75" customHeight="1"/>
    <row r="180" ht="9.75" customHeight="1"/>
    <row r="181" ht="9.75" customHeight="1"/>
    <row r="182" ht="9.75" customHeight="1"/>
    <row r="183" ht="9.75" customHeight="1"/>
    <row r="184" ht="9.75" customHeight="1"/>
    <row r="185" ht="9.75" customHeight="1"/>
    <row r="186" ht="9.75" customHeight="1"/>
    <row r="187" ht="9.75" customHeight="1"/>
    <row r="188" ht="9.75" customHeight="1"/>
    <row r="189" ht="9.75" customHeight="1"/>
    <row r="190" ht="9.75" customHeight="1"/>
    <row r="191" ht="9.75" customHeight="1"/>
    <row r="192" ht="9.75" customHeight="1"/>
    <row r="193" ht="9.75" customHeight="1"/>
    <row r="194" ht="9.75" customHeight="1"/>
    <row r="195" ht="9.75" customHeight="1"/>
    <row r="196" ht="9.75" customHeight="1"/>
    <row r="197" ht="9.75" customHeight="1"/>
    <row r="198" ht="9.75" customHeight="1"/>
    <row r="199" ht="9.75" customHeight="1"/>
    <row r="200" ht="9.75" customHeight="1"/>
    <row r="201" ht="9.75" customHeight="1"/>
    <row r="202" ht="9.75" customHeight="1"/>
    <row r="203" ht="9.75" customHeight="1"/>
    <row r="204" ht="9.75" customHeight="1"/>
    <row r="205" ht="9.75" customHeight="1"/>
    <row r="206" ht="9.75" customHeight="1"/>
    <row r="207" ht="9.75" customHeight="1"/>
    <row r="208" ht="9.75" customHeight="1"/>
    <row r="209" ht="9.75" customHeight="1"/>
    <row r="210" ht="9.75" customHeight="1"/>
    <row r="211" ht="9.75" customHeight="1"/>
    <row r="212" ht="9.75" customHeight="1"/>
    <row r="213" ht="9.75" customHeight="1"/>
    <row r="214" ht="9.75" customHeight="1"/>
    <row r="215" ht="9.75" customHeight="1"/>
    <row r="216" ht="9.75" customHeight="1"/>
    <row r="217" ht="9.75" customHeight="1"/>
    <row r="218" ht="9.75" customHeight="1"/>
    <row r="219" ht="9.75" customHeight="1"/>
    <row r="220" ht="9.75" customHeight="1"/>
    <row r="221" ht="9.75" customHeight="1"/>
    <row r="222" ht="9.75" customHeight="1"/>
    <row r="223" ht="9.75" customHeight="1"/>
    <row r="224" ht="9.75" customHeight="1"/>
    <row r="225" ht="9.75" customHeight="1"/>
    <row r="226" ht="9.75" customHeight="1"/>
    <row r="227" ht="9.75" customHeight="1"/>
    <row r="228" ht="9.75" customHeight="1"/>
    <row r="229" ht="9.75" customHeight="1"/>
    <row r="230" ht="9.75" customHeight="1"/>
    <row r="231" ht="9.75" customHeight="1"/>
    <row r="232" ht="9.75" customHeight="1"/>
    <row r="233" ht="9.75" customHeight="1"/>
    <row r="234" ht="9.75" customHeight="1"/>
    <row r="235" ht="9.75" customHeight="1"/>
    <row r="236" ht="9.75" customHeight="1"/>
    <row r="237" ht="9.75" customHeight="1"/>
    <row r="238" ht="9.75" customHeight="1"/>
    <row r="239" ht="9.75" customHeight="1"/>
    <row r="240" ht="9.75" customHeight="1"/>
    <row r="241" ht="9.75" customHeight="1"/>
    <row r="242" ht="9.75" customHeight="1"/>
    <row r="243" ht="9.75" customHeight="1"/>
    <row r="244" ht="9.75" customHeight="1"/>
    <row r="245" ht="9.75" customHeight="1"/>
    <row r="246" ht="9.75" customHeight="1"/>
    <row r="247" ht="9.75" customHeight="1"/>
    <row r="248" ht="9.75" customHeight="1"/>
    <row r="249" ht="9.75" customHeight="1"/>
    <row r="250" ht="9.75" customHeight="1"/>
    <row r="251" ht="9.75" customHeight="1"/>
    <row r="252" ht="9.75" customHeight="1"/>
    <row r="253" ht="9.75" customHeight="1"/>
    <row r="254" ht="9.75" customHeight="1"/>
    <row r="255" ht="9.75" customHeight="1"/>
    <row r="256" ht="9.75" customHeight="1"/>
    <row r="257" ht="9.75" customHeight="1"/>
    <row r="258" ht="9.75" customHeight="1"/>
    <row r="259" ht="9.75" customHeight="1"/>
    <row r="260" ht="9.75" customHeight="1"/>
    <row r="261" ht="9.75" customHeight="1"/>
    <row r="262" ht="9.75" customHeight="1"/>
    <row r="263" ht="9.75" customHeight="1"/>
    <row r="264" ht="9.75" customHeight="1"/>
    <row r="265" ht="9.75" customHeight="1"/>
    <row r="266" ht="9.75" customHeight="1"/>
    <row r="267" ht="9.75" customHeight="1"/>
    <row r="268" ht="9.75" customHeight="1"/>
    <row r="269" ht="9.75" customHeight="1"/>
    <row r="270" ht="9.75" customHeight="1"/>
  </sheetData>
  <mergeCells count="4">
    <mergeCell ref="B1:E1"/>
    <mergeCell ref="F1:I1"/>
    <mergeCell ref="J1:M1"/>
    <mergeCell ref="N1:Q1"/>
  </mergeCells>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833D00-4F25-4852-8896-33D8E2AD9997}">
  <dimension ref="A5:S21"/>
  <sheetViews>
    <sheetView topLeftCell="A6" zoomScale="70" zoomScaleNormal="70" workbookViewId="0">
      <selection activeCell="C19" sqref="C19"/>
    </sheetView>
  </sheetViews>
  <sheetFormatPr defaultColWidth="9.296875" defaultRowHeight="13"/>
  <cols>
    <col min="1" max="1" width="16.69921875" style="428" customWidth="1"/>
    <col min="2" max="2" width="17.69921875" style="428" customWidth="1"/>
    <col min="3" max="3" width="12.5" style="428" customWidth="1"/>
    <col min="4" max="4" width="15.19921875" style="428" customWidth="1"/>
    <col min="5" max="5" width="16" style="428" customWidth="1"/>
    <col min="6" max="7" width="15.69921875" style="428" customWidth="1"/>
    <col min="8" max="8" width="23.296875" style="428" customWidth="1"/>
    <col min="9" max="9" width="16.69921875" style="428" customWidth="1"/>
    <col min="10" max="10" width="14.796875" style="428" customWidth="1"/>
    <col min="11" max="13" width="9.296875" style="428"/>
    <col min="14" max="14" width="13.5" style="428" customWidth="1"/>
    <col min="15" max="15" width="14.69921875" style="428" customWidth="1"/>
    <col min="16" max="16" width="9.296875" style="428"/>
    <col min="17" max="17" width="13.796875" style="428" customWidth="1"/>
    <col min="18" max="18" width="11.796875" style="428" bestFit="1" customWidth="1"/>
    <col min="19" max="16384" width="9.296875" style="428"/>
  </cols>
  <sheetData>
    <row r="5" spans="1:19" ht="65">
      <c r="B5" s="428" t="s">
        <v>635</v>
      </c>
      <c r="C5" s="428" t="s">
        <v>636</v>
      </c>
      <c r="D5" s="428" t="s">
        <v>637</v>
      </c>
      <c r="E5" s="428" t="s">
        <v>638</v>
      </c>
      <c r="F5" s="428" t="s">
        <v>639</v>
      </c>
      <c r="G5" s="428" t="s">
        <v>640</v>
      </c>
      <c r="H5" s="428" t="s">
        <v>641</v>
      </c>
      <c r="I5" s="428" t="s">
        <v>642</v>
      </c>
      <c r="J5" s="428" t="s">
        <v>643</v>
      </c>
      <c r="K5" s="428" t="s">
        <v>644</v>
      </c>
      <c r="L5" s="428" t="s">
        <v>645</v>
      </c>
      <c r="M5" s="428" t="s">
        <v>647</v>
      </c>
      <c r="N5" s="428" t="s">
        <v>648</v>
      </c>
      <c r="O5" s="428" t="s">
        <v>649</v>
      </c>
      <c r="P5" s="428" t="s">
        <v>650</v>
      </c>
      <c r="Q5" s="428" t="s">
        <v>651</v>
      </c>
      <c r="R5" s="428" t="s">
        <v>652</v>
      </c>
    </row>
    <row r="6" spans="1:19" ht="39">
      <c r="A6" s="428" t="s">
        <v>624</v>
      </c>
      <c r="B6" s="249">
        <v>150000000</v>
      </c>
      <c r="C6" s="249">
        <v>850000</v>
      </c>
      <c r="D6" s="250" t="s">
        <v>559</v>
      </c>
      <c r="E6" s="249">
        <v>150000</v>
      </c>
      <c r="F6" s="250" t="s">
        <v>559</v>
      </c>
      <c r="G6" s="250" t="s">
        <v>559</v>
      </c>
      <c r="H6" s="250" t="s">
        <v>559</v>
      </c>
      <c r="I6" s="250" t="s">
        <v>559</v>
      </c>
      <c r="J6" s="249">
        <v>150000</v>
      </c>
      <c r="K6" s="250" t="s">
        <v>559</v>
      </c>
      <c r="L6" s="250" t="s">
        <v>646</v>
      </c>
      <c r="M6" s="250" t="s">
        <v>559</v>
      </c>
      <c r="N6" s="249">
        <v>1500000</v>
      </c>
      <c r="O6" s="249">
        <v>5000000</v>
      </c>
      <c r="P6" s="250" t="s">
        <v>559</v>
      </c>
      <c r="Q6" s="249">
        <v>3000000</v>
      </c>
      <c r="R6" s="249">
        <f>Q6/2</f>
        <v>1500000</v>
      </c>
      <c r="S6" s="249"/>
    </row>
    <row r="7" spans="1:19" ht="39">
      <c r="A7" s="428" t="s">
        <v>625</v>
      </c>
      <c r="B7" s="249">
        <v>350000000</v>
      </c>
      <c r="C7" s="249">
        <v>2000000</v>
      </c>
      <c r="D7" s="250" t="s">
        <v>559</v>
      </c>
      <c r="E7" s="249">
        <v>250000</v>
      </c>
      <c r="F7" s="250" t="s">
        <v>559</v>
      </c>
      <c r="G7" s="250" t="s">
        <v>559</v>
      </c>
      <c r="H7" s="250" t="s">
        <v>559</v>
      </c>
      <c r="I7" s="250" t="s">
        <v>559</v>
      </c>
      <c r="J7" s="249">
        <v>250000</v>
      </c>
      <c r="K7" s="250" t="s">
        <v>559</v>
      </c>
      <c r="L7" s="250" t="s">
        <v>646</v>
      </c>
      <c r="M7" s="250" t="s">
        <v>559</v>
      </c>
      <c r="N7" s="249">
        <v>2500000</v>
      </c>
      <c r="O7" s="249">
        <v>7000000</v>
      </c>
      <c r="P7" s="250" t="s">
        <v>559</v>
      </c>
      <c r="Q7" s="249">
        <v>6000000</v>
      </c>
      <c r="R7" s="249">
        <f t="shared" ref="R7:R8" si="0">Q7/2</f>
        <v>3000000</v>
      </c>
      <c r="S7" s="249"/>
    </row>
    <row r="8" spans="1:19" ht="39">
      <c r="A8" s="428" t="s">
        <v>629</v>
      </c>
      <c r="B8" s="249">
        <v>700000000</v>
      </c>
      <c r="C8" s="249">
        <v>3000000</v>
      </c>
      <c r="D8" s="250" t="s">
        <v>559</v>
      </c>
      <c r="E8" s="249">
        <v>500000</v>
      </c>
      <c r="F8" s="250" t="s">
        <v>559</v>
      </c>
      <c r="G8" s="250" t="s">
        <v>559</v>
      </c>
      <c r="H8" s="250" t="s">
        <v>559</v>
      </c>
      <c r="I8" s="250" t="s">
        <v>559</v>
      </c>
      <c r="J8" s="249">
        <v>500000</v>
      </c>
      <c r="K8" s="250" t="s">
        <v>559</v>
      </c>
      <c r="L8" s="250" t="s">
        <v>646</v>
      </c>
      <c r="M8" s="250" t="s">
        <v>559</v>
      </c>
      <c r="N8" s="249">
        <v>5000000</v>
      </c>
      <c r="O8" s="249">
        <v>10000000</v>
      </c>
      <c r="P8" s="250" t="s">
        <v>559</v>
      </c>
      <c r="Q8" s="249">
        <v>10000000</v>
      </c>
      <c r="R8" s="249">
        <f t="shared" si="0"/>
        <v>5000000</v>
      </c>
      <c r="S8" s="249"/>
    </row>
    <row r="9" spans="1:19" ht="39">
      <c r="A9" s="428" t="s">
        <v>630</v>
      </c>
      <c r="B9" s="249">
        <v>1200000000</v>
      </c>
      <c r="C9" s="249">
        <v>5500000</v>
      </c>
      <c r="D9" s="250" t="s">
        <v>559</v>
      </c>
      <c r="E9" s="249">
        <v>1000000</v>
      </c>
      <c r="F9" s="250" t="s">
        <v>559</v>
      </c>
      <c r="G9" s="250" t="s">
        <v>559</v>
      </c>
      <c r="H9" s="250" t="s">
        <v>559</v>
      </c>
      <c r="I9" s="250" t="s">
        <v>559</v>
      </c>
      <c r="J9" s="249">
        <v>1000000</v>
      </c>
      <c r="K9" s="250" t="s">
        <v>559</v>
      </c>
      <c r="L9" s="250" t="s">
        <v>646</v>
      </c>
      <c r="M9" s="250" t="s">
        <v>559</v>
      </c>
      <c r="N9" s="250">
        <v>10000000</v>
      </c>
      <c r="O9" s="249">
        <v>50000000</v>
      </c>
      <c r="P9" s="250" t="s">
        <v>559</v>
      </c>
      <c r="Q9" s="250" t="s">
        <v>559</v>
      </c>
      <c r="R9" s="250" t="s">
        <v>559</v>
      </c>
      <c r="S9" s="249"/>
    </row>
    <row r="11" spans="1:19" ht="39">
      <c r="B11" s="428" t="s">
        <v>653</v>
      </c>
      <c r="C11" s="428" t="s">
        <v>654</v>
      </c>
      <c r="D11" s="428" t="s">
        <v>655</v>
      </c>
      <c r="E11" s="428" t="s">
        <v>637</v>
      </c>
      <c r="F11" s="428" t="s">
        <v>656</v>
      </c>
      <c r="G11" s="428" t="s">
        <v>657</v>
      </c>
      <c r="H11" s="428" t="s">
        <v>658</v>
      </c>
    </row>
    <row r="12" spans="1:19">
      <c r="A12" s="428" t="s">
        <v>629</v>
      </c>
      <c r="B12" s="249">
        <v>25000000</v>
      </c>
      <c r="C12" s="249">
        <v>1000000</v>
      </c>
      <c r="D12" s="249">
        <v>2500000</v>
      </c>
      <c r="E12" s="250" t="s">
        <v>559</v>
      </c>
      <c r="F12" s="250" t="s">
        <v>559</v>
      </c>
      <c r="G12" s="250" t="s">
        <v>559</v>
      </c>
      <c r="H12" s="250" t="s">
        <v>559</v>
      </c>
      <c r="I12" s="249"/>
      <c r="J12" s="249"/>
      <c r="K12" s="249"/>
    </row>
    <row r="13" spans="1:19">
      <c r="A13" s="428" t="s">
        <v>630</v>
      </c>
      <c r="B13" s="249">
        <v>25000000</v>
      </c>
      <c r="C13" s="249">
        <v>1500000</v>
      </c>
      <c r="D13" s="249">
        <v>5000000</v>
      </c>
      <c r="E13" s="250" t="s">
        <v>559</v>
      </c>
      <c r="F13" s="250" t="s">
        <v>559</v>
      </c>
      <c r="G13" s="250" t="s">
        <v>559</v>
      </c>
      <c r="H13" s="250" t="s">
        <v>559</v>
      </c>
      <c r="I13" s="249"/>
      <c r="J13" s="249"/>
      <c r="K13" s="249"/>
    </row>
    <row r="14" spans="1:19">
      <c r="A14" s="428" t="s">
        <v>624</v>
      </c>
      <c r="B14" s="428" t="s">
        <v>662</v>
      </c>
    </row>
    <row r="15" spans="1:19">
      <c r="A15" s="428" t="s">
        <v>625</v>
      </c>
      <c r="B15" s="428" t="s">
        <v>662</v>
      </c>
    </row>
    <row r="17" spans="1:10" ht="78">
      <c r="C17" s="428" t="s">
        <v>660</v>
      </c>
      <c r="D17" s="428" t="s">
        <v>661</v>
      </c>
    </row>
    <row r="18" spans="1:10">
      <c r="A18" s="428" t="s">
        <v>624</v>
      </c>
      <c r="B18" s="249">
        <v>6000000</v>
      </c>
      <c r="C18" s="249">
        <f>B18/10</f>
        <v>600000</v>
      </c>
      <c r="D18" s="250" t="s">
        <v>662</v>
      </c>
      <c r="E18" s="249"/>
      <c r="F18" s="250"/>
      <c r="G18" s="250"/>
      <c r="H18" s="250"/>
      <c r="I18" s="250"/>
      <c r="J18" s="249"/>
    </row>
    <row r="19" spans="1:10">
      <c r="A19" s="428" t="s">
        <v>625</v>
      </c>
      <c r="B19" s="249">
        <v>12000000</v>
      </c>
      <c r="C19" s="249">
        <f t="shared" ref="C19:C21" si="1">B19/10</f>
        <v>1200000</v>
      </c>
      <c r="D19" s="250" t="s">
        <v>662</v>
      </c>
      <c r="E19" s="249"/>
      <c r="F19" s="250"/>
      <c r="G19" s="250"/>
      <c r="H19" s="250"/>
      <c r="I19" s="250"/>
      <c r="J19" s="249"/>
    </row>
    <row r="20" spans="1:10">
      <c r="A20" s="428" t="s">
        <v>629</v>
      </c>
      <c r="B20" s="249">
        <v>24000000</v>
      </c>
      <c r="C20" s="249">
        <f t="shared" si="1"/>
        <v>2400000</v>
      </c>
      <c r="D20" s="250">
        <v>2000000</v>
      </c>
      <c r="E20" s="249"/>
      <c r="F20" s="250"/>
      <c r="G20" s="250"/>
      <c r="H20" s="250"/>
      <c r="I20" s="250"/>
      <c r="J20" s="249"/>
    </row>
    <row r="21" spans="1:10">
      <c r="A21" s="428" t="s">
        <v>630</v>
      </c>
      <c r="B21" s="249">
        <v>48000000</v>
      </c>
      <c r="C21" s="249">
        <f t="shared" si="1"/>
        <v>4800000</v>
      </c>
      <c r="D21" s="250">
        <v>4000000</v>
      </c>
      <c r="E21" s="249"/>
      <c r="F21" s="250"/>
      <c r="G21" s="250"/>
      <c r="H21" s="250"/>
      <c r="I21" s="250"/>
      <c r="J21" s="249"/>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389BBB-4312-42B9-A3F9-F7E754A4FC44}">
  <dimension ref="B1:K25"/>
  <sheetViews>
    <sheetView showGridLines="0" zoomScale="85" zoomScaleNormal="85" workbookViewId="0">
      <selection activeCell="K8" sqref="K8"/>
    </sheetView>
  </sheetViews>
  <sheetFormatPr defaultColWidth="9.296875" defaultRowHeight="14.5"/>
  <cols>
    <col min="1" max="1" width="4" style="373" customWidth="1"/>
    <col min="2" max="2" width="56.296875" style="373" customWidth="1"/>
    <col min="3" max="3" width="22.5" style="375" customWidth="1"/>
    <col min="4" max="4" width="9.296875" style="373"/>
    <col min="5" max="5" width="10.69921875" style="373" customWidth="1"/>
    <col min="6" max="6" width="23" style="373" customWidth="1"/>
    <col min="7" max="7" width="24.296875" style="373" customWidth="1"/>
    <col min="8" max="10" width="9.296875" style="373"/>
    <col min="11" max="11" width="23.5" style="373" customWidth="1"/>
    <col min="12" max="16384" width="9.296875" style="373"/>
  </cols>
  <sheetData>
    <row r="1" spans="2:11" ht="15.75" customHeight="1">
      <c r="B1" s="1020" t="s">
        <v>744</v>
      </c>
      <c r="C1" s="1021"/>
      <c r="D1" s="1021"/>
      <c r="E1" s="1021"/>
      <c r="F1" s="1021"/>
      <c r="G1" s="1021"/>
    </row>
    <row r="2" spans="2:11">
      <c r="B2" s="401" t="s">
        <v>32</v>
      </c>
      <c r="C2" s="565">
        <f>'Hoach dinh tai chinh'!J10</f>
        <v>0</v>
      </c>
      <c r="E2" s="1022"/>
      <c r="F2" s="1022"/>
      <c r="G2" s="1022"/>
    </row>
    <row r="3" spans="2:11" ht="39.75" customHeight="1">
      <c r="B3" s="1023" t="s">
        <v>33</v>
      </c>
      <c r="C3" s="1023"/>
      <c r="E3" s="400" t="s">
        <v>34</v>
      </c>
      <c r="F3" s="596" t="s">
        <v>35</v>
      </c>
      <c r="G3" s="596" t="s">
        <v>36</v>
      </c>
    </row>
    <row r="4" spans="2:11">
      <c r="B4" s="373" t="s">
        <v>37</v>
      </c>
      <c r="C4" s="374">
        <v>50000000</v>
      </c>
      <c r="E4" s="563">
        <f>IF(ROW(A1)&gt;$C$8,"",ROW(A1))</f>
        <v>1</v>
      </c>
      <c r="F4" s="564">
        <f>IF(ROW(A1)&gt;$C$8,"",ROUND($C$7*(1+$C$18)^(ROW(A1)-1),0))</f>
        <v>600000000</v>
      </c>
      <c r="G4" s="564">
        <f>IF(ROW(A1)&gt;$C$8,"",ROUND($C$7*(1+$C$18)^(ROW(A1)-1)/(1+$C$19)^(ROW(A1)),0))</f>
        <v>571428571</v>
      </c>
    </row>
    <row r="5" spans="2:11">
      <c r="B5" s="373" t="s">
        <v>38</v>
      </c>
      <c r="C5" s="566">
        <f>C4*12</f>
        <v>600000000</v>
      </c>
      <c r="E5" s="563">
        <f t="shared" ref="E5:E23" si="0">IF(ROW(A2)&gt;$C$8,"",ROW(A2))</f>
        <v>2</v>
      </c>
      <c r="F5" s="564">
        <f t="shared" ref="F5:F23" si="1">IF(ROW(A2)&gt;$C$8,"",ROUND($C$7*(1+$C$18)^(ROW(A2)-1),0))</f>
        <v>618000000</v>
      </c>
      <c r="G5" s="564">
        <f t="shared" ref="G5:G23" si="2">IF(ROW(A2)&gt;$C$8,"",ROUND($C$7*(1+$C$18)^(ROW(A2)-1)/(1+$C$19)^(ROW(A2)),0))</f>
        <v>560544218</v>
      </c>
    </row>
    <row r="6" spans="2:11">
      <c r="B6" s="373" t="s">
        <v>39</v>
      </c>
      <c r="C6" s="376">
        <v>1</v>
      </c>
      <c r="E6" s="563">
        <f t="shared" si="0"/>
        <v>3</v>
      </c>
      <c r="F6" s="564">
        <f t="shared" si="1"/>
        <v>636540000</v>
      </c>
      <c r="G6" s="564">
        <f t="shared" si="2"/>
        <v>549867185</v>
      </c>
      <c r="K6" s="377"/>
    </row>
    <row r="7" spans="2:11">
      <c r="B7" s="373" t="s">
        <v>40</v>
      </c>
      <c r="C7" s="566">
        <f>C5*C6</f>
        <v>600000000</v>
      </c>
      <c r="E7" s="563">
        <f t="shared" si="0"/>
        <v>4</v>
      </c>
      <c r="F7" s="564">
        <f t="shared" si="1"/>
        <v>655636200</v>
      </c>
      <c r="G7" s="564">
        <f t="shared" si="2"/>
        <v>539393524</v>
      </c>
      <c r="K7" s="377"/>
    </row>
    <row r="8" spans="2:11">
      <c r="B8" s="373" t="s">
        <v>745</v>
      </c>
      <c r="C8" s="374">
        <v>15</v>
      </c>
      <c r="E8" s="563">
        <f t="shared" si="0"/>
        <v>5</v>
      </c>
      <c r="F8" s="564">
        <f t="shared" si="1"/>
        <v>675305286</v>
      </c>
      <c r="G8" s="564">
        <f t="shared" si="2"/>
        <v>529119362</v>
      </c>
    </row>
    <row r="9" spans="2:11">
      <c r="B9" s="373" t="s">
        <v>42</v>
      </c>
      <c r="C9" s="374">
        <v>0</v>
      </c>
      <c r="E9" s="563">
        <f t="shared" si="0"/>
        <v>6</v>
      </c>
      <c r="F9" s="564">
        <f t="shared" si="1"/>
        <v>695564445</v>
      </c>
      <c r="G9" s="564">
        <f t="shared" si="2"/>
        <v>519040898</v>
      </c>
    </row>
    <row r="10" spans="2:11">
      <c r="B10" s="373" t="s">
        <v>43</v>
      </c>
      <c r="C10" s="374">
        <v>1000000000</v>
      </c>
      <c r="E10" s="563">
        <f t="shared" si="0"/>
        <v>7</v>
      </c>
      <c r="F10" s="564">
        <f t="shared" si="1"/>
        <v>716431378</v>
      </c>
      <c r="G10" s="564">
        <f t="shared" si="2"/>
        <v>509154405</v>
      </c>
      <c r="I10" s="378"/>
      <c r="K10" s="377"/>
    </row>
    <row r="11" spans="2:11">
      <c r="B11" s="373" t="s">
        <v>44</v>
      </c>
      <c r="C11" s="374">
        <v>0</v>
      </c>
      <c r="E11" s="563">
        <f t="shared" si="0"/>
        <v>8</v>
      </c>
      <c r="F11" s="564">
        <f t="shared" si="1"/>
        <v>737924319</v>
      </c>
      <c r="G11" s="564">
        <f t="shared" si="2"/>
        <v>499456225</v>
      </c>
    </row>
    <row r="12" spans="2:11">
      <c r="C12" s="379"/>
      <c r="E12" s="563">
        <f t="shared" si="0"/>
        <v>9</v>
      </c>
      <c r="F12" s="564">
        <f t="shared" si="1"/>
        <v>760062049</v>
      </c>
      <c r="G12" s="564">
        <f t="shared" si="2"/>
        <v>489942774</v>
      </c>
    </row>
    <row r="13" spans="2:11">
      <c r="B13" s="373" t="s">
        <v>45</v>
      </c>
      <c r="C13" s="566">
        <f>C11</f>
        <v>0</v>
      </c>
      <c r="E13" s="563">
        <f t="shared" si="0"/>
        <v>10</v>
      </c>
      <c r="F13" s="564">
        <f t="shared" si="1"/>
        <v>782863910</v>
      </c>
      <c r="G13" s="564">
        <f t="shared" si="2"/>
        <v>480610530</v>
      </c>
    </row>
    <row r="14" spans="2:11">
      <c r="B14" s="373" t="s">
        <v>46</v>
      </c>
      <c r="C14" s="566">
        <f>C7*C8</f>
        <v>9000000000</v>
      </c>
      <c r="E14" s="563">
        <f t="shared" si="0"/>
        <v>11</v>
      </c>
      <c r="F14" s="564">
        <f t="shared" si="1"/>
        <v>806349828</v>
      </c>
      <c r="G14" s="564">
        <f t="shared" si="2"/>
        <v>471456044</v>
      </c>
      <c r="J14" s="380"/>
    </row>
    <row r="15" spans="2:11">
      <c r="B15" s="373" t="s">
        <v>47</v>
      </c>
      <c r="C15" s="566">
        <f>C10+C9</f>
        <v>1000000000</v>
      </c>
      <c r="E15" s="563">
        <f t="shared" si="0"/>
        <v>12</v>
      </c>
      <c r="F15" s="564">
        <f t="shared" si="1"/>
        <v>830540322</v>
      </c>
      <c r="G15" s="564">
        <f t="shared" si="2"/>
        <v>462475929</v>
      </c>
    </row>
    <row r="16" spans="2:11">
      <c r="B16" s="373" t="s">
        <v>48</v>
      </c>
      <c r="C16" s="566">
        <f>C14+C13-C15</f>
        <v>8000000000</v>
      </c>
      <c r="E16" s="563">
        <f t="shared" si="0"/>
        <v>13</v>
      </c>
      <c r="F16" s="564">
        <f t="shared" si="1"/>
        <v>855456532</v>
      </c>
      <c r="G16" s="564">
        <f t="shared" si="2"/>
        <v>453666864</v>
      </c>
    </row>
    <row r="17" spans="2:10">
      <c r="C17" s="379"/>
      <c r="E17" s="563">
        <f t="shared" si="0"/>
        <v>14</v>
      </c>
      <c r="F17" s="564">
        <f t="shared" si="1"/>
        <v>881120228</v>
      </c>
      <c r="G17" s="564">
        <f t="shared" si="2"/>
        <v>445025590</v>
      </c>
    </row>
    <row r="18" spans="2:10">
      <c r="B18" s="373" t="s">
        <v>49</v>
      </c>
      <c r="C18" s="376">
        <v>0.03</v>
      </c>
      <c r="E18" s="563">
        <f t="shared" si="0"/>
        <v>15</v>
      </c>
      <c r="F18" s="564">
        <f t="shared" si="1"/>
        <v>907553835</v>
      </c>
      <c r="G18" s="564">
        <f t="shared" si="2"/>
        <v>436548912</v>
      </c>
    </row>
    <row r="19" spans="2:10">
      <c r="B19" s="373" t="s">
        <v>746</v>
      </c>
      <c r="C19" s="376">
        <v>0.05</v>
      </c>
      <c r="E19" s="563" t="str">
        <f t="shared" si="0"/>
        <v/>
      </c>
      <c r="F19" s="564" t="str">
        <f t="shared" si="1"/>
        <v/>
      </c>
      <c r="G19" s="564" t="str">
        <f t="shared" si="2"/>
        <v/>
      </c>
    </row>
    <row r="20" spans="2:10">
      <c r="E20" s="563" t="str">
        <f t="shared" si="0"/>
        <v/>
      </c>
      <c r="F20" s="564" t="str">
        <f t="shared" si="1"/>
        <v/>
      </c>
      <c r="G20" s="564" t="str">
        <f t="shared" si="2"/>
        <v/>
      </c>
    </row>
    <row r="21" spans="2:10">
      <c r="B21" s="373" t="s">
        <v>50</v>
      </c>
      <c r="C21" s="567">
        <f>F24</f>
        <v>11159348332</v>
      </c>
      <c r="E21" s="563" t="str">
        <f t="shared" si="0"/>
        <v/>
      </c>
      <c r="F21" s="564" t="str">
        <f t="shared" si="1"/>
        <v/>
      </c>
      <c r="G21" s="564" t="str">
        <f t="shared" si="2"/>
        <v/>
      </c>
    </row>
    <row r="22" spans="2:10">
      <c r="B22" s="373" t="s">
        <v>51</v>
      </c>
      <c r="C22" s="568">
        <f>G24</f>
        <v>7517731031</v>
      </c>
      <c r="E22" s="563" t="str">
        <f t="shared" si="0"/>
        <v/>
      </c>
      <c r="F22" s="564" t="str">
        <f t="shared" si="1"/>
        <v/>
      </c>
      <c r="G22" s="564" t="str">
        <f t="shared" si="2"/>
        <v/>
      </c>
      <c r="J22" s="381"/>
    </row>
    <row r="23" spans="2:10">
      <c r="B23" s="403" t="s">
        <v>52</v>
      </c>
      <c r="C23" s="569">
        <f>C22-C15+C11</f>
        <v>6517731031</v>
      </c>
      <c r="E23" s="563" t="str">
        <f t="shared" si="0"/>
        <v/>
      </c>
      <c r="F23" s="564" t="str">
        <f t="shared" si="1"/>
        <v/>
      </c>
      <c r="G23" s="564" t="str">
        <f t="shared" si="2"/>
        <v/>
      </c>
    </row>
    <row r="24" spans="2:10">
      <c r="E24" s="402" t="s">
        <v>53</v>
      </c>
      <c r="F24" s="570">
        <f>SUM(F4:F23)</f>
        <v>11159348332</v>
      </c>
      <c r="G24" s="570">
        <f>SUM(G4:G23)</f>
        <v>7517731031</v>
      </c>
    </row>
    <row r="25" spans="2:10">
      <c r="E25" s="375"/>
      <c r="F25" s="375"/>
      <c r="G25" s="375"/>
    </row>
  </sheetData>
  <sheetProtection algorithmName="SHA-512" hashValue="8UWOOUSkGEQLuc83SdGaed5yv7r2jjV7xqTnRqsosRQYsic/+GIJ33jkmXqjg2NbinquD35ZARoOz3//zc5Tng==" saltValue="pxHbz53kcujpkFIUZBVT3Q==" spinCount="100000" sheet="1" objects="1" scenarios="1" selectLockedCells="1"/>
  <mergeCells count="3">
    <mergeCell ref="B1:G1"/>
    <mergeCell ref="E2:G2"/>
    <mergeCell ref="B3:C3"/>
  </mergeCells>
  <conditionalFormatting sqref="B4:B16 B18:B22">
    <cfRule type="expression" dxfId="179" priority="17">
      <formula>MOD(ROW(),2)&gt;0</formula>
    </cfRule>
  </conditionalFormatting>
  <conditionalFormatting sqref="C2">
    <cfRule type="containsText" dxfId="178" priority="14" operator="containsText" text="CÓ">
      <formula>NOT(ISERROR(SEARCH("CÓ",C2)))</formula>
    </cfRule>
    <cfRule type="containsText" dxfId="177" priority="15" operator="containsText" text="KHÔNG">
      <formula>NOT(ISERROR(SEARCH("KHÔNG",C2)))</formula>
    </cfRule>
  </conditionalFormatting>
  <conditionalFormatting sqref="E2:E3">
    <cfRule type="duplicateValues" dxfId="176" priority="11"/>
    <cfRule type="duplicateValues" dxfId="175" priority="12"/>
  </conditionalFormatting>
  <conditionalFormatting sqref="E4:E23">
    <cfRule type="duplicateValues" dxfId="174" priority="1"/>
    <cfRule type="duplicateValues" dxfId="173" priority="2"/>
  </conditionalFormatting>
  <conditionalFormatting sqref="E4:G23">
    <cfRule type="expression" dxfId="172" priority="3">
      <formula>MOD(ROW(),2)&gt;0</formula>
    </cfRule>
  </conditionalFormatting>
  <pageMargins left="0.7" right="0.7" top="0.75" bottom="0.75" header="0.3" footer="0.3"/>
  <pageSetup paperSize="9" orientation="portrait" verticalDpi="0" r:id="rId1"/>
  <drawing r:id="rId2"/>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65DC0C-FCB4-48F1-9964-E2D166BAE963}">
  <dimension ref="B1:L96"/>
  <sheetViews>
    <sheetView showGridLines="0" zoomScaleNormal="100" workbookViewId="0">
      <selection activeCell="C2" sqref="C2 F5:G13 H5:H12 C7 J5:J8 E5:E12 C15:C20 F24:G32 H24:H31 C26 J24:J27 C28 E24:E31 C31:C32 C34:C39 F43:G51 H43:H50 C45 J43:J46 C47 E43:E50 C50:C51 C53:C58 F62:G70 H62:H69 C64 J62:J65 C66 E62:E69 C69:C70 C72:C77 F81:G89 H81:H88 C83 J81:J84 C85 E81:E88 C88:C89 C91:C96"/>
    </sheetView>
  </sheetViews>
  <sheetFormatPr defaultColWidth="9.296875" defaultRowHeight="14.5"/>
  <cols>
    <col min="1" max="1" width="4" style="480" customWidth="1"/>
    <col min="2" max="2" width="56.296875" style="480" customWidth="1"/>
    <col min="3" max="3" width="23" style="484" customWidth="1"/>
    <col min="4" max="4" width="9.296875" style="480"/>
    <col min="5" max="5" width="14.69921875" style="480" customWidth="1"/>
    <col min="6" max="6" width="23" style="480" customWidth="1"/>
    <col min="7" max="7" width="21.69921875" style="480" customWidth="1"/>
    <col min="8" max="8" width="24.69921875" style="480" customWidth="1"/>
    <col min="9" max="9" width="27.5" style="480" customWidth="1"/>
    <col min="10" max="10" width="16.5" style="480" customWidth="1"/>
    <col min="11" max="11" width="9.296875" style="480"/>
    <col min="12" max="12" width="23.5" style="480" customWidth="1"/>
    <col min="13" max="16384" width="9.296875" style="480"/>
  </cols>
  <sheetData>
    <row r="1" spans="2:12">
      <c r="B1" s="1025" t="s">
        <v>744</v>
      </c>
      <c r="C1" s="1025"/>
    </row>
    <row r="2" spans="2:12">
      <c r="B2" s="481" t="s">
        <v>826</v>
      </c>
      <c r="C2" s="482">
        <f>'Hoach dinh tai chinh'!J12</f>
        <v>0</v>
      </c>
    </row>
    <row r="3" spans="2:12" ht="39.75" customHeight="1">
      <c r="B3" s="1026" t="s">
        <v>33</v>
      </c>
      <c r="C3" s="1026"/>
      <c r="E3" s="595" t="s">
        <v>54</v>
      </c>
      <c r="F3" s="504" t="s">
        <v>35</v>
      </c>
      <c r="G3" s="595" t="s">
        <v>36</v>
      </c>
      <c r="H3" s="595" t="s">
        <v>55</v>
      </c>
      <c r="I3" s="1027" t="s">
        <v>56</v>
      </c>
      <c r="J3" s="1027"/>
    </row>
    <row r="4" spans="2:12" ht="23.25" customHeight="1">
      <c r="B4" s="1028" t="s">
        <v>57</v>
      </c>
      <c r="C4" s="1028"/>
      <c r="E4" s="505"/>
      <c r="F4" s="595"/>
      <c r="G4" s="595"/>
      <c r="H4" s="595"/>
      <c r="I4" s="595"/>
      <c r="J4" s="595"/>
    </row>
    <row r="5" spans="2:12" ht="15" customHeight="1">
      <c r="B5" s="480" t="s">
        <v>827</v>
      </c>
      <c r="C5" s="483">
        <v>0</v>
      </c>
      <c r="E5" s="606">
        <f>IF(ROW(A1)&gt;$C$10,"",ROW(A1))</f>
        <v>1</v>
      </c>
      <c r="F5" s="607">
        <f>IF(ROW(A1)&gt;$C$10,"",ROUND($C$11*(1+$C$12)^(($C$9-$C$8)+(ROW(A1)-1)),0))</f>
        <v>113045198</v>
      </c>
      <c r="G5" s="607">
        <f>IF(ROWS(G5:G5)&gt;C10,"",ROUND(F5/(1+C13)^(ROWS(G5:G5)-1),0))</f>
        <v>113045198</v>
      </c>
      <c r="H5" s="1029">
        <f>FV(C13,C7,,-C6,1)</f>
        <v>0</v>
      </c>
      <c r="I5" s="485" t="s">
        <v>58</v>
      </c>
      <c r="J5" s="486">
        <f>C5</f>
        <v>0</v>
      </c>
    </row>
    <row r="6" spans="2:12" ht="15" customHeight="1">
      <c r="B6" s="480" t="s">
        <v>828</v>
      </c>
      <c r="C6" s="483">
        <v>0</v>
      </c>
      <c r="E6" s="606">
        <f t="shared" ref="E6:E12" si="0">IF(ROW(A2)&gt;$C$10,"",ROW(A2))</f>
        <v>2</v>
      </c>
      <c r="F6" s="607">
        <f t="shared" ref="F6:F12" si="1">IF(ROW(A2)&gt;$C$10,"",ROUND($C$11*(1+$C$12)^(($C$9-$C$8)+(ROW(A2)-1)),0))</f>
        <v>119827910</v>
      </c>
      <c r="G6" s="607">
        <f>IF(ROWS(G5:G6)&gt;C10,"",ROUND(F6/(1+C13)^(ROWS(G5:G6)-1),0))</f>
        <v>114121819</v>
      </c>
      <c r="H6" s="1029"/>
      <c r="I6" s="485" t="s">
        <v>59</v>
      </c>
      <c r="J6" s="486">
        <f>C7*12</f>
        <v>168</v>
      </c>
    </row>
    <row r="7" spans="2:12" ht="15" customHeight="1">
      <c r="B7" s="480" t="s">
        <v>60</v>
      </c>
      <c r="C7" s="487">
        <f>C9-C8</f>
        <v>14</v>
      </c>
      <c r="E7" s="606">
        <f t="shared" si="0"/>
        <v>3</v>
      </c>
      <c r="F7" s="607">
        <f t="shared" si="1"/>
        <v>127017584</v>
      </c>
      <c r="G7" s="607">
        <f>IF(ROWS(G5:G7)&gt;C10,"",ROUND(F7/(1+C13)^(ROWS(G5:G7)-1),0))</f>
        <v>115208693</v>
      </c>
      <c r="H7" s="1029"/>
      <c r="I7" s="485" t="s">
        <v>61</v>
      </c>
      <c r="J7" s="488">
        <f>((1+C13)^(1/12))-1</f>
        <v>4.0741237836483535E-3</v>
      </c>
      <c r="L7" s="489"/>
    </row>
    <row r="8" spans="2:12" ht="15" customHeight="1">
      <c r="B8" s="480" t="s">
        <v>62</v>
      </c>
      <c r="C8" s="490">
        <v>4</v>
      </c>
      <c r="E8" s="606">
        <f t="shared" si="0"/>
        <v>4</v>
      </c>
      <c r="F8" s="607">
        <f t="shared" si="1"/>
        <v>134638639</v>
      </c>
      <c r="G8" s="607">
        <f>IF(ROWS(G5:G8)&gt;C10,"",ROUND(F8/(1+C13)^(ROWS(G5:G8)-1),0))</f>
        <v>116305919</v>
      </c>
      <c r="H8" s="1029"/>
      <c r="I8" s="485" t="s">
        <v>63</v>
      </c>
      <c r="J8" s="491">
        <f>FV(J7,J6,-J5,,1)</f>
        <v>0</v>
      </c>
      <c r="L8" s="489"/>
    </row>
    <row r="9" spans="2:12" ht="15" customHeight="1">
      <c r="B9" s="480" t="s">
        <v>64</v>
      </c>
      <c r="C9" s="492">
        <v>18</v>
      </c>
      <c r="E9" s="606" t="str">
        <f t="shared" si="0"/>
        <v/>
      </c>
      <c r="F9" s="607" t="str">
        <f t="shared" si="1"/>
        <v/>
      </c>
      <c r="G9" s="607" t="str">
        <f>IF(ROWS(G5:G9)&gt;C10,"",ROUND(F9/(1+C13)^(ROWS(G5:G9)-1),0))</f>
        <v/>
      </c>
      <c r="H9" s="1029"/>
    </row>
    <row r="10" spans="2:12" ht="15" customHeight="1">
      <c r="B10" s="480" t="s">
        <v>829</v>
      </c>
      <c r="C10" s="483">
        <v>4</v>
      </c>
      <c r="E10" s="606" t="str">
        <f t="shared" si="0"/>
        <v/>
      </c>
      <c r="F10" s="607" t="str">
        <f t="shared" si="1"/>
        <v/>
      </c>
      <c r="G10" s="607" t="str">
        <f>IF(ROWS(G5:G10)&gt;C10,"",ROUND(F10/(1+C13)^(ROWS(G5:G10)-1),0))</f>
        <v/>
      </c>
      <c r="H10" s="1029"/>
    </row>
    <row r="11" spans="2:12" ht="15" customHeight="1">
      <c r="B11" s="480" t="s">
        <v>65</v>
      </c>
      <c r="C11" s="483">
        <v>50000000</v>
      </c>
      <c r="E11" s="606" t="str">
        <f t="shared" si="0"/>
        <v/>
      </c>
      <c r="F11" s="607" t="str">
        <f t="shared" si="1"/>
        <v/>
      </c>
      <c r="G11" s="607" t="str">
        <f>IF(ROWS(G5:G11)&gt;C10,"",ROUND(F11/(1+C13)^(ROWS(G5:G11)-1),0))</f>
        <v/>
      </c>
      <c r="H11" s="1029"/>
    </row>
    <row r="12" spans="2:12">
      <c r="B12" s="480" t="s">
        <v>830</v>
      </c>
      <c r="C12" s="493">
        <v>0.06</v>
      </c>
      <c r="E12" s="606" t="str">
        <f t="shared" si="0"/>
        <v/>
      </c>
      <c r="F12" s="607" t="str">
        <f t="shared" si="1"/>
        <v/>
      </c>
      <c r="G12" s="607" t="str">
        <f>IF(ROWS(G5:G12)&gt;C10,"",ROUND(F12/(1+C13)^(ROWS(G5:G12)-1),0))</f>
        <v/>
      </c>
      <c r="H12" s="1029"/>
    </row>
    <row r="13" spans="2:12">
      <c r="B13" s="480" t="s">
        <v>753</v>
      </c>
      <c r="C13" s="493">
        <v>0.05</v>
      </c>
      <c r="E13" s="505" t="s">
        <v>53</v>
      </c>
      <c r="F13" s="506">
        <f>SUM(F5:F12)</f>
        <v>494529331</v>
      </c>
      <c r="G13" s="506">
        <f>SUM(G5:G12)</f>
        <v>458681629</v>
      </c>
    </row>
    <row r="14" spans="2:12">
      <c r="B14" s="1024" t="s">
        <v>66</v>
      </c>
      <c r="C14" s="1024"/>
    </row>
    <row r="15" spans="2:12">
      <c r="B15" s="480" t="s">
        <v>67</v>
      </c>
      <c r="C15" s="494">
        <f>MIN(F13:G13)</f>
        <v>458681629</v>
      </c>
    </row>
    <row r="16" spans="2:12">
      <c r="B16" s="480" t="s">
        <v>68</v>
      </c>
      <c r="C16" s="486">
        <f>J8</f>
        <v>0</v>
      </c>
      <c r="G16" s="495"/>
    </row>
    <row r="17" spans="2:10">
      <c r="B17" s="480" t="s">
        <v>69</v>
      </c>
      <c r="C17" s="496">
        <f>H5</f>
        <v>0</v>
      </c>
    </row>
    <row r="18" spans="2:10">
      <c r="B18" s="480" t="s">
        <v>70</v>
      </c>
      <c r="C18" s="497">
        <f>C16+C17</f>
        <v>0</v>
      </c>
    </row>
    <row r="19" spans="2:10">
      <c r="B19" s="480" t="s">
        <v>71</v>
      </c>
      <c r="C19" s="487">
        <f>C15-C18</f>
        <v>458681629</v>
      </c>
    </row>
    <row r="20" spans="2:10">
      <c r="B20" s="498" t="s">
        <v>72</v>
      </c>
      <c r="C20" s="507">
        <f>PMT(J7,C7*12,,-C19,1)</f>
        <v>1899258.2820022339</v>
      </c>
    </row>
    <row r="21" spans="2:10">
      <c r="B21" s="498"/>
      <c r="C21" s="499"/>
    </row>
    <row r="22" spans="2:10" ht="29">
      <c r="B22" s="1026" t="s">
        <v>33</v>
      </c>
      <c r="C22" s="1026"/>
      <c r="E22" s="595" t="s">
        <v>54</v>
      </c>
      <c r="F22" s="504" t="s">
        <v>35</v>
      </c>
      <c r="G22" s="595" t="s">
        <v>36</v>
      </c>
      <c r="H22" s="595" t="s">
        <v>55</v>
      </c>
      <c r="I22" s="1027" t="s">
        <v>56</v>
      </c>
      <c r="J22" s="1027"/>
    </row>
    <row r="23" spans="2:10" ht="23.5">
      <c r="B23" s="1028" t="s">
        <v>73</v>
      </c>
      <c r="C23" s="1028"/>
      <c r="E23" s="505"/>
      <c r="F23" s="595"/>
      <c r="G23" s="595"/>
      <c r="H23" s="595"/>
      <c r="I23" s="595"/>
      <c r="J23" s="595"/>
    </row>
    <row r="24" spans="2:10" ht="15" customHeight="1">
      <c r="B24" s="480" t="s">
        <v>827</v>
      </c>
      <c r="C24" s="483">
        <v>0</v>
      </c>
      <c r="E24" s="606">
        <f>IF(ROW(A1)&gt;$C$29,"",ROW(A1))</f>
        <v>1</v>
      </c>
      <c r="F24" s="607">
        <f>IF(ROW(A1)&gt;$C$29,"",ROUND($C$30*(1+$C$31)^(($C$28-$C$27)+(ROW(A1)-1)),0))</f>
        <v>0</v>
      </c>
      <c r="G24" s="607">
        <f>IF(ROWS(G24:G24)&gt;C29,"",ROUND(F24/(1+C32)^(ROWS(G24:G24)-1),0))</f>
        <v>0</v>
      </c>
      <c r="H24" s="1029">
        <f>FV(C32,C26,,-C25,1)</f>
        <v>0</v>
      </c>
      <c r="I24" s="485" t="s">
        <v>58</v>
      </c>
      <c r="J24" s="486">
        <f>C24</f>
        <v>0</v>
      </c>
    </row>
    <row r="25" spans="2:10" ht="15" customHeight="1">
      <c r="B25" s="480" t="s">
        <v>828</v>
      </c>
      <c r="C25" s="483">
        <v>0</v>
      </c>
      <c r="E25" s="606">
        <f t="shared" ref="E25:E31" si="2">IF(ROW(A2)&gt;$C$29,"",ROW(A2))</f>
        <v>2</v>
      </c>
      <c r="F25" s="607">
        <f t="shared" ref="F25:F31" si="3">IF(ROW(A2)&gt;$C$29,"",ROUND($C$30*(1+$C$31)^(($C$28-$C$27)+(ROW(A2)-1)),0))</f>
        <v>0</v>
      </c>
      <c r="G25" s="607">
        <f>IF(ROWS(G24:G25)&gt;C29,"",ROUND(F25/(1+C32)^(ROWS(G24:G25)-1),0))</f>
        <v>0</v>
      </c>
      <c r="H25" s="1029"/>
      <c r="I25" s="485" t="s">
        <v>59</v>
      </c>
      <c r="J25" s="486">
        <f>C26*12</f>
        <v>192</v>
      </c>
    </row>
    <row r="26" spans="2:10" ht="15" customHeight="1">
      <c r="B26" s="480" t="s">
        <v>60</v>
      </c>
      <c r="C26" s="500">
        <f>C28-C27</f>
        <v>16</v>
      </c>
      <c r="E26" s="606">
        <f t="shared" si="2"/>
        <v>3</v>
      </c>
      <c r="F26" s="607">
        <f t="shared" si="3"/>
        <v>0</v>
      </c>
      <c r="G26" s="607">
        <f>IF(ROWS(G24:G26)&gt;C29,"",ROUND(F26/(1+C32)^(ROWS(G24:G26)-1),0))</f>
        <v>0</v>
      </c>
      <c r="H26" s="1029"/>
      <c r="I26" s="485" t="s">
        <v>61</v>
      </c>
      <c r="J26" s="488">
        <f>((1+C32)^(1/12))-1</f>
        <v>4.0741237836483535E-3</v>
      </c>
    </row>
    <row r="27" spans="2:10" ht="15" customHeight="1">
      <c r="B27" s="480" t="s">
        <v>62</v>
      </c>
      <c r="C27" s="490">
        <v>2</v>
      </c>
      <c r="E27" s="606">
        <f t="shared" si="2"/>
        <v>4</v>
      </c>
      <c r="F27" s="607">
        <f t="shared" si="3"/>
        <v>0</v>
      </c>
      <c r="G27" s="607">
        <f>IF(ROWS(G24:G27)&gt;C29,"",ROUND(F27/(1+C32)^(ROWS(G24:G27)-1),0))</f>
        <v>0</v>
      </c>
      <c r="H27" s="1029"/>
      <c r="I27" s="485" t="s">
        <v>63</v>
      </c>
      <c r="J27" s="491">
        <f>FV(J26,J25,-J24,,1)</f>
        <v>0</v>
      </c>
    </row>
    <row r="28" spans="2:10" ht="15" customHeight="1">
      <c r="B28" s="480" t="s">
        <v>64</v>
      </c>
      <c r="C28" s="501">
        <f>C9</f>
        <v>18</v>
      </c>
      <c r="E28" s="606" t="str">
        <f t="shared" si="2"/>
        <v/>
      </c>
      <c r="F28" s="607" t="str">
        <f t="shared" si="3"/>
        <v/>
      </c>
      <c r="G28" s="607" t="str">
        <f>IF(ROWS(G24:G28)&gt;C29,"",ROUND(F28/(1+C32)^(ROWS(G24:G28)-1),0))</f>
        <v/>
      </c>
      <c r="H28" s="1029"/>
    </row>
    <row r="29" spans="2:10" ht="15" customHeight="1">
      <c r="B29" s="480" t="s">
        <v>829</v>
      </c>
      <c r="C29" s="483">
        <v>4</v>
      </c>
      <c r="E29" s="606" t="str">
        <f t="shared" si="2"/>
        <v/>
      </c>
      <c r="F29" s="607" t="str">
        <f t="shared" si="3"/>
        <v/>
      </c>
      <c r="G29" s="607" t="str">
        <f>IF(ROWS(G24:G29)&gt;C29,"",ROUND(F29/(1+C32)^(ROWS(G24:G29)-1),0))</f>
        <v/>
      </c>
      <c r="H29" s="1029"/>
    </row>
    <row r="30" spans="2:10" ht="15" customHeight="1">
      <c r="B30" s="480" t="s">
        <v>65</v>
      </c>
      <c r="C30" s="483">
        <v>0</v>
      </c>
      <c r="E30" s="606" t="str">
        <f t="shared" si="2"/>
        <v/>
      </c>
      <c r="F30" s="607" t="str">
        <f t="shared" si="3"/>
        <v/>
      </c>
      <c r="G30" s="607" t="str">
        <f>IF(ROWS(G24:G30)&gt;C29,"",ROUND(F30/(1+C32)^(ROWS(G24:G30)-1),0))</f>
        <v/>
      </c>
      <c r="H30" s="1029"/>
    </row>
    <row r="31" spans="2:10">
      <c r="B31" s="480" t="s">
        <v>830</v>
      </c>
      <c r="C31" s="502">
        <f>C12</f>
        <v>0.06</v>
      </c>
      <c r="E31" s="606" t="str">
        <f t="shared" si="2"/>
        <v/>
      </c>
      <c r="F31" s="607" t="str">
        <f t="shared" si="3"/>
        <v/>
      </c>
      <c r="G31" s="607" t="str">
        <f>IF(ROWS(G24:G31)&gt;C29,"",ROUND(F31/(1+C32)^(ROWS(G24:G31)-1),0))</f>
        <v/>
      </c>
      <c r="H31" s="1029"/>
    </row>
    <row r="32" spans="2:10">
      <c r="B32" s="480" t="s">
        <v>753</v>
      </c>
      <c r="C32" s="502">
        <f>C13</f>
        <v>0.05</v>
      </c>
      <c r="E32" s="505" t="s">
        <v>53</v>
      </c>
      <c r="F32" s="506">
        <f>SUM(F24:F31)</f>
        <v>0</v>
      </c>
      <c r="G32" s="506">
        <f>SUM(G24:G31)</f>
        <v>0</v>
      </c>
    </row>
    <row r="33" spans="2:10">
      <c r="B33" s="1024" t="s">
        <v>66</v>
      </c>
      <c r="C33" s="1024"/>
    </row>
    <row r="34" spans="2:10">
      <c r="B34" s="480" t="s">
        <v>67</v>
      </c>
      <c r="C34" s="494">
        <f>MIN(F32:G32)</f>
        <v>0</v>
      </c>
    </row>
    <row r="35" spans="2:10">
      <c r="B35" s="480" t="s">
        <v>68</v>
      </c>
      <c r="C35" s="486">
        <f>J27</f>
        <v>0</v>
      </c>
    </row>
    <row r="36" spans="2:10">
      <c r="B36" s="480" t="s">
        <v>69</v>
      </c>
      <c r="C36" s="496">
        <f>H24</f>
        <v>0</v>
      </c>
    </row>
    <row r="37" spans="2:10">
      <c r="B37" s="480" t="s">
        <v>70</v>
      </c>
      <c r="C37" s="497">
        <f>C35+C36</f>
        <v>0</v>
      </c>
    </row>
    <row r="38" spans="2:10">
      <c r="B38" s="480" t="s">
        <v>71</v>
      </c>
      <c r="C38" s="487">
        <f>C34-C37</f>
        <v>0</v>
      </c>
    </row>
    <row r="39" spans="2:10">
      <c r="B39" s="498" t="s">
        <v>72</v>
      </c>
      <c r="C39" s="507">
        <f>PMT(J26,C26*12,,-C38,1)</f>
        <v>0</v>
      </c>
    </row>
    <row r="41" spans="2:10" ht="45" customHeight="1">
      <c r="B41" s="1026" t="s">
        <v>33</v>
      </c>
      <c r="C41" s="1026"/>
      <c r="E41" s="595" t="s">
        <v>54</v>
      </c>
      <c r="F41" s="504" t="s">
        <v>35</v>
      </c>
      <c r="G41" s="595" t="s">
        <v>36</v>
      </c>
      <c r="H41" s="595" t="s">
        <v>55</v>
      </c>
      <c r="I41" s="1027" t="s">
        <v>56</v>
      </c>
      <c r="J41" s="1027"/>
    </row>
    <row r="42" spans="2:10" ht="23.5">
      <c r="B42" s="1028" t="s">
        <v>74</v>
      </c>
      <c r="C42" s="1028"/>
      <c r="E42" s="505"/>
      <c r="F42" s="595"/>
      <c r="G42" s="595"/>
      <c r="H42" s="595"/>
      <c r="I42" s="595"/>
      <c r="J42" s="595"/>
    </row>
    <row r="43" spans="2:10" ht="15" customHeight="1">
      <c r="B43" s="480" t="s">
        <v>827</v>
      </c>
      <c r="C43" s="483"/>
      <c r="E43" s="606">
        <f>IF(ROW(A1)&gt;$C$48,"",ROW(A1))</f>
        <v>1</v>
      </c>
      <c r="F43" s="607">
        <f>IF(ROW(A1)&gt;$C$48,"",ROUND($C$49*(1+$C$50)^(($C$47-$C$46)+(ROW(A1)-1)),0))</f>
        <v>0</v>
      </c>
      <c r="G43" s="607">
        <f>IF(ROWS(G43:G43)&gt;C48,"",ROUND(F43/(1+C51)^(ROWS(G43:G43)-1),0))</f>
        <v>0</v>
      </c>
      <c r="H43" s="1029">
        <f>FV(C51,C45,,-C44,1)</f>
        <v>0</v>
      </c>
      <c r="I43" s="485" t="s">
        <v>58</v>
      </c>
      <c r="J43" s="486">
        <f>C43</f>
        <v>0</v>
      </c>
    </row>
    <row r="44" spans="2:10" ht="15" customHeight="1">
      <c r="B44" s="480" t="s">
        <v>828</v>
      </c>
      <c r="C44" s="483"/>
      <c r="E44" s="606">
        <f t="shared" ref="E44:E50" si="4">IF(ROW(A2)&gt;$C$48,"",ROW(A2))</f>
        <v>2</v>
      </c>
      <c r="F44" s="607">
        <f t="shared" ref="F44:F50" si="5">IF(ROW(A2)&gt;$C$48,"",ROUND($C$49*(1+$C$50)^(($C$47-$C$46)+(ROW(A2)-1)),0))</f>
        <v>0</v>
      </c>
      <c r="G44" s="607">
        <f>IF(ROWS(G43:G44)&gt;C48,"",ROUND(F44/(1+C51)^(ROWS(G43:G44)-1),0))</f>
        <v>0</v>
      </c>
      <c r="H44" s="1029"/>
      <c r="I44" s="485" t="s">
        <v>59</v>
      </c>
      <c r="J44" s="486">
        <f>C45*12</f>
        <v>108</v>
      </c>
    </row>
    <row r="45" spans="2:10" ht="15" customHeight="1">
      <c r="B45" s="480" t="s">
        <v>60</v>
      </c>
      <c r="C45" s="487">
        <f>C47-C46</f>
        <v>9</v>
      </c>
      <c r="E45" s="606">
        <f t="shared" si="4"/>
        <v>3</v>
      </c>
      <c r="F45" s="607">
        <f t="shared" si="5"/>
        <v>0</v>
      </c>
      <c r="G45" s="607">
        <f>IF(ROWS(G43:G45)&gt;C48,"",ROUND(F45/(1+C51)^(ROWS(G43:G45)-1),0))</f>
        <v>0</v>
      </c>
      <c r="H45" s="1029"/>
      <c r="I45" s="485" t="s">
        <v>61</v>
      </c>
      <c r="J45" s="488">
        <f>((1+C51)^(1/12))-1</f>
        <v>4.0741237836483535E-3</v>
      </c>
    </row>
    <row r="46" spans="2:10" ht="15" customHeight="1">
      <c r="B46" s="480" t="s">
        <v>62</v>
      </c>
      <c r="C46" s="503">
        <v>9</v>
      </c>
      <c r="E46" s="606">
        <f t="shared" si="4"/>
        <v>4</v>
      </c>
      <c r="F46" s="607">
        <f t="shared" si="5"/>
        <v>0</v>
      </c>
      <c r="G46" s="607">
        <f>IF(ROWS(G43:G46)&gt;C48,"",ROUND(F46/(1+C51)^(ROWS(G43:G46)-1),0))</f>
        <v>0</v>
      </c>
      <c r="H46" s="1029"/>
      <c r="I46" s="485" t="s">
        <v>63</v>
      </c>
      <c r="J46" s="491">
        <f>FV(J45,J44,-J43,,1)</f>
        <v>0</v>
      </c>
    </row>
    <row r="47" spans="2:10" ht="15" customHeight="1">
      <c r="B47" s="480" t="s">
        <v>64</v>
      </c>
      <c r="C47" s="494">
        <f>C28</f>
        <v>18</v>
      </c>
      <c r="E47" s="606" t="str">
        <f t="shared" si="4"/>
        <v/>
      </c>
      <c r="F47" s="607" t="str">
        <f t="shared" si="5"/>
        <v/>
      </c>
      <c r="G47" s="607" t="str">
        <f>IF(ROWS(G43:G47)&gt;C48,"",ROUND(F47/(1+C51)^(ROWS(G43:G47)-1),0))</f>
        <v/>
      </c>
      <c r="H47" s="1029"/>
    </row>
    <row r="48" spans="2:10" ht="15" customHeight="1">
      <c r="B48" s="480" t="s">
        <v>829</v>
      </c>
      <c r="C48" s="483">
        <v>4</v>
      </c>
      <c r="E48" s="606" t="str">
        <f t="shared" si="4"/>
        <v/>
      </c>
      <c r="F48" s="607" t="str">
        <f t="shared" si="5"/>
        <v/>
      </c>
      <c r="G48" s="607" t="str">
        <f>IF(ROWS(G43:G48)&gt;C48,"",ROUND(F48/(1+C51)^(ROWS(G43:G48)-1),0))</f>
        <v/>
      </c>
      <c r="H48" s="1029"/>
    </row>
    <row r="49" spans="2:10" ht="15" customHeight="1">
      <c r="B49" s="480" t="s">
        <v>65</v>
      </c>
      <c r="C49" s="483">
        <v>0</v>
      </c>
      <c r="E49" s="606" t="str">
        <f t="shared" si="4"/>
        <v/>
      </c>
      <c r="F49" s="607" t="str">
        <f t="shared" si="5"/>
        <v/>
      </c>
      <c r="G49" s="607" t="str">
        <f>IF(ROWS(G43:G49)&gt;C48,"",ROUND(F49/(1+C51)^(ROWS(G43:G49)-1),0))</f>
        <v/>
      </c>
      <c r="H49" s="1029"/>
    </row>
    <row r="50" spans="2:10">
      <c r="B50" s="480" t="s">
        <v>830</v>
      </c>
      <c r="C50" s="502">
        <f>C31</f>
        <v>0.06</v>
      </c>
      <c r="E50" s="606" t="str">
        <f t="shared" si="4"/>
        <v/>
      </c>
      <c r="F50" s="607" t="str">
        <f t="shared" si="5"/>
        <v/>
      </c>
      <c r="G50" s="607" t="str">
        <f>IF(ROWS(G43:G50)&gt;C48,"",ROUND(F50/(1+C51)^(ROWS(G43:G50)-1),0))</f>
        <v/>
      </c>
      <c r="H50" s="1029"/>
    </row>
    <row r="51" spans="2:10">
      <c r="B51" s="480" t="s">
        <v>753</v>
      </c>
      <c r="C51" s="502">
        <f>C32</f>
        <v>0.05</v>
      </c>
      <c r="E51" s="505" t="s">
        <v>53</v>
      </c>
      <c r="F51" s="506">
        <f>SUM(F43:F50)</f>
        <v>0</v>
      </c>
      <c r="G51" s="506">
        <f>SUM(G43:G50)</f>
        <v>0</v>
      </c>
    </row>
    <row r="52" spans="2:10">
      <c r="B52" s="1024" t="s">
        <v>66</v>
      </c>
      <c r="C52" s="1024"/>
    </row>
    <row r="53" spans="2:10">
      <c r="B53" s="480" t="s">
        <v>67</v>
      </c>
      <c r="C53" s="494">
        <f>MIN(F51:G51)</f>
        <v>0</v>
      </c>
    </row>
    <row r="54" spans="2:10">
      <c r="B54" s="480" t="s">
        <v>68</v>
      </c>
      <c r="C54" s="486">
        <f>J46</f>
        <v>0</v>
      </c>
    </row>
    <row r="55" spans="2:10">
      <c r="B55" s="480" t="s">
        <v>69</v>
      </c>
      <c r="C55" s="496">
        <f>H43</f>
        <v>0</v>
      </c>
    </row>
    <row r="56" spans="2:10">
      <c r="B56" s="480" t="s">
        <v>70</v>
      </c>
      <c r="C56" s="497">
        <f>C54+C55</f>
        <v>0</v>
      </c>
    </row>
    <row r="57" spans="2:10">
      <c r="B57" s="480" t="s">
        <v>71</v>
      </c>
      <c r="C57" s="487">
        <f>C53-C56</f>
        <v>0</v>
      </c>
    </row>
    <row r="58" spans="2:10">
      <c r="B58" s="498" t="s">
        <v>72</v>
      </c>
      <c r="C58" s="507">
        <f>PMT(J45,C45*12,,-C57,1)</f>
        <v>0</v>
      </c>
    </row>
    <row r="60" spans="2:10" ht="29">
      <c r="B60" s="1026" t="s">
        <v>33</v>
      </c>
      <c r="C60" s="1026"/>
      <c r="E60" s="595" t="s">
        <v>54</v>
      </c>
      <c r="F60" s="504" t="s">
        <v>35</v>
      </c>
      <c r="G60" s="595" t="s">
        <v>36</v>
      </c>
      <c r="H60" s="595" t="s">
        <v>55</v>
      </c>
      <c r="I60" s="1027" t="s">
        <v>56</v>
      </c>
      <c r="J60" s="1027"/>
    </row>
    <row r="61" spans="2:10" ht="23.5">
      <c r="B61" s="1028" t="s">
        <v>75</v>
      </c>
      <c r="C61" s="1028"/>
      <c r="E61" s="505"/>
      <c r="F61" s="595"/>
      <c r="G61" s="595"/>
      <c r="H61" s="595"/>
      <c r="I61" s="595"/>
      <c r="J61" s="595"/>
    </row>
    <row r="62" spans="2:10" ht="15" customHeight="1">
      <c r="B62" s="480" t="s">
        <v>827</v>
      </c>
      <c r="C62" s="483"/>
      <c r="E62" s="606">
        <f>IF(ROW(A1)&gt;$C$67,"",ROW(A1))</f>
        <v>1</v>
      </c>
      <c r="F62" s="607">
        <f>IF(ROW(A1)&gt;$C$67,"",ROUND($C$68*(1+$C$69)^(($C$66-$C$65)+(ROW(A1)-1)),0))</f>
        <v>0</v>
      </c>
      <c r="G62" s="607">
        <f>IF(ROWS(G62:G62)&gt;C67,"",ROUND(F62/(1+C70)^(ROWS(G62:G62)-1),0))</f>
        <v>0</v>
      </c>
      <c r="H62" s="1029">
        <f>FV(C70,C64,,-C63,1)</f>
        <v>0</v>
      </c>
      <c r="I62" s="485" t="s">
        <v>58</v>
      </c>
      <c r="J62" s="486">
        <f>C62</f>
        <v>0</v>
      </c>
    </row>
    <row r="63" spans="2:10" ht="15" customHeight="1">
      <c r="B63" s="480" t="s">
        <v>828</v>
      </c>
      <c r="C63" s="483"/>
      <c r="E63" s="606">
        <f t="shared" ref="E63:E69" si="6">IF(ROW(A2)&gt;$C$67,"",ROW(A2))</f>
        <v>2</v>
      </c>
      <c r="F63" s="607">
        <f t="shared" ref="F63:F69" si="7">IF(ROW(A2)&gt;$C$67,"",ROUND($C$68*(1+$C$69)^(($C$66-$C$65)+(ROW(A2)-1)),0))</f>
        <v>0</v>
      </c>
      <c r="G63" s="607">
        <f>IF(ROWS(G62:G63)&gt;C67,"",ROUND(F63/(1+C70)^(ROWS(G62:G63)-1),0))</f>
        <v>0</v>
      </c>
      <c r="H63" s="1029"/>
      <c r="I63" s="485" t="s">
        <v>59</v>
      </c>
      <c r="J63" s="486">
        <f>C64*12</f>
        <v>216</v>
      </c>
    </row>
    <row r="64" spans="2:10" ht="15" customHeight="1">
      <c r="B64" s="480" t="s">
        <v>60</v>
      </c>
      <c r="C64" s="500">
        <f>C66-C65</f>
        <v>18</v>
      </c>
      <c r="E64" s="606">
        <f t="shared" si="6"/>
        <v>3</v>
      </c>
      <c r="F64" s="607">
        <f t="shared" si="7"/>
        <v>0</v>
      </c>
      <c r="G64" s="607">
        <f>IF(ROWS(G62:G64)&gt;C67,"",ROUND(F64/(1+C70)^(ROWS(G62:G64)-1),0))</f>
        <v>0</v>
      </c>
      <c r="H64" s="1029"/>
      <c r="I64" s="485" t="s">
        <v>61</v>
      </c>
      <c r="J64" s="488">
        <f>((1+C70)^(1/12))-1</f>
        <v>4.0741237836483535E-3</v>
      </c>
    </row>
    <row r="65" spans="2:10" ht="15" customHeight="1">
      <c r="B65" s="480" t="s">
        <v>62</v>
      </c>
      <c r="C65" s="490"/>
      <c r="E65" s="606">
        <f t="shared" si="6"/>
        <v>4</v>
      </c>
      <c r="F65" s="607">
        <f t="shared" si="7"/>
        <v>0</v>
      </c>
      <c r="G65" s="607">
        <f>IF(ROWS(G62:G65)&gt;C67,"",ROUND(F65/(1+C70)^(ROWS(G62:G65)-1),0))</f>
        <v>0</v>
      </c>
      <c r="H65" s="1029"/>
      <c r="I65" s="485" t="s">
        <v>63</v>
      </c>
      <c r="J65" s="491">
        <f>FV(J64,J63,-J62,,1)</f>
        <v>0</v>
      </c>
    </row>
    <row r="66" spans="2:10" ht="15" customHeight="1">
      <c r="B66" s="480" t="s">
        <v>64</v>
      </c>
      <c r="C66" s="501">
        <f>C47</f>
        <v>18</v>
      </c>
      <c r="E66" s="606" t="str">
        <f t="shared" si="6"/>
        <v/>
      </c>
      <c r="F66" s="607" t="str">
        <f t="shared" si="7"/>
        <v/>
      </c>
      <c r="G66" s="607" t="str">
        <f>IF(ROWS(G62:G66)&gt;C67,"",ROUND(F66/(1+C70)^(ROWS(G62:G66)-1),0))</f>
        <v/>
      </c>
      <c r="H66" s="1029"/>
    </row>
    <row r="67" spans="2:10">
      <c r="B67" s="480" t="s">
        <v>829</v>
      </c>
      <c r="C67" s="483">
        <v>4</v>
      </c>
      <c r="E67" s="606" t="str">
        <f t="shared" si="6"/>
        <v/>
      </c>
      <c r="F67" s="607" t="str">
        <f t="shared" si="7"/>
        <v/>
      </c>
      <c r="G67" s="607" t="str">
        <f>IF(ROWS(G62:G67)&gt;C67,"",ROUND(F67/(1+C70)^(ROWS(G62:G67)-1),0))</f>
        <v/>
      </c>
      <c r="H67" s="1029"/>
    </row>
    <row r="68" spans="2:10">
      <c r="B68" s="480" t="s">
        <v>65</v>
      </c>
      <c r="C68" s="483">
        <v>0</v>
      </c>
      <c r="E68" s="606" t="str">
        <f t="shared" si="6"/>
        <v/>
      </c>
      <c r="F68" s="607" t="str">
        <f t="shared" si="7"/>
        <v/>
      </c>
      <c r="G68" s="607" t="str">
        <f>IF(ROWS(G62:G68)&gt;C67,"",ROUND(F68/(1+C70)^(ROWS(G62:G68)-1),0))</f>
        <v/>
      </c>
      <c r="H68" s="1029"/>
    </row>
    <row r="69" spans="2:10">
      <c r="B69" s="480" t="s">
        <v>830</v>
      </c>
      <c r="C69" s="502">
        <f>C50</f>
        <v>0.06</v>
      </c>
      <c r="E69" s="606" t="str">
        <f t="shared" si="6"/>
        <v/>
      </c>
      <c r="F69" s="607" t="str">
        <f t="shared" si="7"/>
        <v/>
      </c>
      <c r="G69" s="607" t="str">
        <f>IF(ROWS(G62:G69)&gt;C67,"",ROUND(F69/(1+C70)^(ROWS(G62:G69)-1),0))</f>
        <v/>
      </c>
      <c r="H69" s="1029"/>
    </row>
    <row r="70" spans="2:10">
      <c r="B70" s="480" t="s">
        <v>753</v>
      </c>
      <c r="C70" s="502">
        <f>C51</f>
        <v>0.05</v>
      </c>
      <c r="E70" s="505" t="s">
        <v>53</v>
      </c>
      <c r="F70" s="506">
        <f>SUM(F62:F69)</f>
        <v>0</v>
      </c>
      <c r="G70" s="506">
        <f>SUM(G62:G69)</f>
        <v>0</v>
      </c>
    </row>
    <row r="71" spans="2:10">
      <c r="B71" s="1024" t="s">
        <v>66</v>
      </c>
      <c r="C71" s="1024"/>
    </row>
    <row r="72" spans="2:10">
      <c r="B72" s="480" t="s">
        <v>67</v>
      </c>
      <c r="C72" s="494">
        <f>MIN(F70:G70)</f>
        <v>0</v>
      </c>
    </row>
    <row r="73" spans="2:10">
      <c r="B73" s="480" t="s">
        <v>68</v>
      </c>
      <c r="C73" s="486">
        <f>J65</f>
        <v>0</v>
      </c>
    </row>
    <row r="74" spans="2:10">
      <c r="B74" s="480" t="s">
        <v>69</v>
      </c>
      <c r="C74" s="496">
        <f>H62</f>
        <v>0</v>
      </c>
    </row>
    <row r="75" spans="2:10">
      <c r="B75" s="480" t="s">
        <v>70</v>
      </c>
      <c r="C75" s="497">
        <f>C73+C74</f>
        <v>0</v>
      </c>
    </row>
    <row r="76" spans="2:10">
      <c r="B76" s="480" t="s">
        <v>71</v>
      </c>
      <c r="C76" s="487">
        <f>C72-C75</f>
        <v>0</v>
      </c>
    </row>
    <row r="77" spans="2:10">
      <c r="B77" s="498" t="s">
        <v>72</v>
      </c>
      <c r="C77" s="507">
        <f>PMT(J64,C64*12,,-C76,1)</f>
        <v>0</v>
      </c>
    </row>
    <row r="79" spans="2:10" ht="29">
      <c r="B79" s="1026" t="s">
        <v>33</v>
      </c>
      <c r="C79" s="1026"/>
      <c r="E79" s="595" t="s">
        <v>54</v>
      </c>
      <c r="F79" s="504" t="s">
        <v>35</v>
      </c>
      <c r="G79" s="595" t="s">
        <v>36</v>
      </c>
      <c r="H79" s="595" t="s">
        <v>55</v>
      </c>
      <c r="I79" s="1027" t="s">
        <v>56</v>
      </c>
      <c r="J79" s="1027"/>
    </row>
    <row r="80" spans="2:10" ht="23.5">
      <c r="B80" s="1028" t="s">
        <v>76</v>
      </c>
      <c r="C80" s="1028"/>
      <c r="E80" s="505"/>
      <c r="F80" s="595"/>
      <c r="G80" s="595"/>
      <c r="H80" s="595"/>
      <c r="I80" s="595"/>
      <c r="J80" s="595"/>
    </row>
    <row r="81" spans="2:10" ht="15" customHeight="1">
      <c r="B81" s="480" t="s">
        <v>827</v>
      </c>
      <c r="C81" s="483"/>
      <c r="E81" s="606">
        <f>IF(ROW(A1)&gt;$C$86,"",ROW(A1))</f>
        <v>1</v>
      </c>
      <c r="F81" s="607">
        <f>IF(ROW(A1)&gt;$C$86,"",ROUND($C$87*(1+$C$88)^(($C$85-$C$84)+(ROW(A1)-1)),0))</f>
        <v>0</v>
      </c>
      <c r="G81" s="607">
        <f>IF(ROWS(G81:G81)&gt;C86,"",ROUND(F81/(1+C89)^(ROWS(G81:G81)-1),0))</f>
        <v>0</v>
      </c>
      <c r="H81" s="1029">
        <f>FV(C89,C83,,-C82,1)</f>
        <v>0</v>
      </c>
      <c r="I81" s="485" t="s">
        <v>58</v>
      </c>
      <c r="J81" s="486">
        <f>C81</f>
        <v>0</v>
      </c>
    </row>
    <row r="82" spans="2:10" ht="15" customHeight="1">
      <c r="B82" s="480" t="s">
        <v>828</v>
      </c>
      <c r="C82" s="483"/>
      <c r="E82" s="606">
        <f t="shared" ref="E82:E88" si="8">IF(ROW(A2)&gt;$C$86,"",ROW(A2))</f>
        <v>2</v>
      </c>
      <c r="F82" s="607">
        <f t="shared" ref="F82:F88" si="9">IF(ROW(A2)&gt;$C$86,"",ROUND($C$87*(1+$C$88)^(($C$85-$C$84)+(ROW(A2)-1)),0))</f>
        <v>0</v>
      </c>
      <c r="G82" s="607">
        <f>IF(ROWS(G81:G82)&gt;C86,"",ROUND(F82/(1+C89)^(ROWS(G81:G82)-1),0))</f>
        <v>0</v>
      </c>
      <c r="H82" s="1029"/>
      <c r="I82" s="485" t="s">
        <v>59</v>
      </c>
      <c r="J82" s="486">
        <f>C83*12</f>
        <v>216</v>
      </c>
    </row>
    <row r="83" spans="2:10" ht="15" customHeight="1">
      <c r="B83" s="480" t="s">
        <v>60</v>
      </c>
      <c r="C83" s="487">
        <f>C85-C84</f>
        <v>18</v>
      </c>
      <c r="E83" s="606">
        <f t="shared" si="8"/>
        <v>3</v>
      </c>
      <c r="F83" s="607">
        <f t="shared" si="9"/>
        <v>0</v>
      </c>
      <c r="G83" s="607">
        <f>IF(ROWS(G81:G83)&gt;C86,"",ROUND(F83/(1+C89)^(ROWS(G81:G83)-1),0))</f>
        <v>0</v>
      </c>
      <c r="H83" s="1029"/>
      <c r="I83" s="485" t="s">
        <v>61</v>
      </c>
      <c r="J83" s="488">
        <f>((1+C89)^(1/12))-1</f>
        <v>4.0741237836483535E-3</v>
      </c>
    </row>
    <row r="84" spans="2:10" ht="15" customHeight="1">
      <c r="B84" s="480" t="s">
        <v>62</v>
      </c>
      <c r="C84" s="490">
        <v>0</v>
      </c>
      <c r="E84" s="606">
        <f t="shared" si="8"/>
        <v>4</v>
      </c>
      <c r="F84" s="607">
        <f t="shared" si="9"/>
        <v>0</v>
      </c>
      <c r="G84" s="607">
        <f>IF(ROWS(G81:G84)&gt;C86,"",ROUND(F84/(1+C89)^(ROWS(G81:G84)-1),0))</f>
        <v>0</v>
      </c>
      <c r="H84" s="1029"/>
      <c r="I84" s="485" t="s">
        <v>63</v>
      </c>
      <c r="J84" s="491">
        <f>FV(J83,J82,-J81,,1)</f>
        <v>0</v>
      </c>
    </row>
    <row r="85" spans="2:10" ht="15" customHeight="1">
      <c r="B85" s="480" t="s">
        <v>64</v>
      </c>
      <c r="C85" s="494">
        <f>C66</f>
        <v>18</v>
      </c>
      <c r="E85" s="606" t="str">
        <f t="shared" si="8"/>
        <v/>
      </c>
      <c r="F85" s="607" t="str">
        <f t="shared" si="9"/>
        <v/>
      </c>
      <c r="G85" s="607" t="str">
        <f>IF(ROWS(G81:G85)&gt;C86,"",ROUND(F85/(1+C89)^(ROWS(G81:G85)-1),0))</f>
        <v/>
      </c>
      <c r="H85" s="1029"/>
    </row>
    <row r="86" spans="2:10">
      <c r="B86" s="480" t="s">
        <v>829</v>
      </c>
      <c r="C86" s="483">
        <v>4</v>
      </c>
      <c r="E86" s="606" t="str">
        <f t="shared" si="8"/>
        <v/>
      </c>
      <c r="F86" s="607" t="str">
        <f t="shared" si="9"/>
        <v/>
      </c>
      <c r="G86" s="607" t="str">
        <f>IF(ROWS(G81:G86)&gt;C86,"",ROUND(F86/(1+C89)^(ROWS(G81:G86)-1),0))</f>
        <v/>
      </c>
      <c r="H86" s="1029"/>
    </row>
    <row r="87" spans="2:10">
      <c r="B87" s="480" t="s">
        <v>65</v>
      </c>
      <c r="C87" s="483">
        <v>0</v>
      </c>
      <c r="E87" s="606" t="str">
        <f t="shared" si="8"/>
        <v/>
      </c>
      <c r="F87" s="607" t="str">
        <f t="shared" si="9"/>
        <v/>
      </c>
      <c r="G87" s="607" t="str">
        <f>IF(ROWS(G81:G87)&gt;C86,"",ROUND(F87/(1+C89)^(ROWS(G81:G87)-1),0))</f>
        <v/>
      </c>
      <c r="H87" s="1029"/>
    </row>
    <row r="88" spans="2:10">
      <c r="B88" s="480" t="s">
        <v>830</v>
      </c>
      <c r="C88" s="502">
        <f>C69</f>
        <v>0.06</v>
      </c>
      <c r="E88" s="606" t="str">
        <f t="shared" si="8"/>
        <v/>
      </c>
      <c r="F88" s="607" t="str">
        <f t="shared" si="9"/>
        <v/>
      </c>
      <c r="G88" s="607" t="str">
        <f>IF(ROWS(G81:G88)&gt;C86,"",ROUND(F88/(1+C89)^(ROWS(G81:G88)-1),0))</f>
        <v/>
      </c>
      <c r="H88" s="1029"/>
    </row>
    <row r="89" spans="2:10">
      <c r="B89" s="480" t="s">
        <v>753</v>
      </c>
      <c r="C89" s="502">
        <f>C70</f>
        <v>0.05</v>
      </c>
      <c r="E89" s="505" t="s">
        <v>53</v>
      </c>
      <c r="F89" s="506">
        <f>SUM(F81:F88)</f>
        <v>0</v>
      </c>
      <c r="G89" s="506">
        <f>SUM(G81:G88)</f>
        <v>0</v>
      </c>
    </row>
    <row r="90" spans="2:10">
      <c r="B90" s="1024" t="s">
        <v>66</v>
      </c>
      <c r="C90" s="1024"/>
    </row>
    <row r="91" spans="2:10">
      <c r="B91" s="480" t="s">
        <v>67</v>
      </c>
      <c r="C91" s="494">
        <f>MIN(F89:G89)</f>
        <v>0</v>
      </c>
    </row>
    <row r="92" spans="2:10">
      <c r="B92" s="480" t="s">
        <v>68</v>
      </c>
      <c r="C92" s="486">
        <f>J84</f>
        <v>0</v>
      </c>
    </row>
    <row r="93" spans="2:10">
      <c r="B93" s="480" t="s">
        <v>69</v>
      </c>
      <c r="C93" s="496">
        <f>H81</f>
        <v>0</v>
      </c>
    </row>
    <row r="94" spans="2:10">
      <c r="B94" s="480" t="s">
        <v>70</v>
      </c>
      <c r="C94" s="497">
        <f>C92+C93</f>
        <v>0</v>
      </c>
    </row>
    <row r="95" spans="2:10">
      <c r="B95" s="480" t="s">
        <v>71</v>
      </c>
      <c r="C95" s="487">
        <f>C91-C94</f>
        <v>0</v>
      </c>
    </row>
    <row r="96" spans="2:10">
      <c r="B96" s="498" t="s">
        <v>72</v>
      </c>
      <c r="C96" s="507">
        <f>PMT(J83,C83*12,,-C95,1)</f>
        <v>0</v>
      </c>
    </row>
  </sheetData>
  <sheetProtection algorithmName="SHA-512" hashValue="Wy479iDnhMMVAdTAlE0kgDAOdadmE5y7c24LzJxCCeLQRF+lI/y2nzEm+jsBwtoI8l//q2Q+v4JNstnXD/bAzw==" saltValue="/CeaoEegRtpcGhExFjGwGw==" spinCount="100000" sheet="1" objects="1" scenarios="1"/>
  <mergeCells count="26">
    <mergeCell ref="B90:C90"/>
    <mergeCell ref="H62:H69"/>
    <mergeCell ref="B71:C71"/>
    <mergeCell ref="B79:C79"/>
    <mergeCell ref="I79:J79"/>
    <mergeCell ref="B80:C80"/>
    <mergeCell ref="H81:H88"/>
    <mergeCell ref="B61:C61"/>
    <mergeCell ref="B22:C22"/>
    <mergeCell ref="I22:J22"/>
    <mergeCell ref="B23:C23"/>
    <mergeCell ref="H24:H31"/>
    <mergeCell ref="B33:C33"/>
    <mergeCell ref="B41:C41"/>
    <mergeCell ref="I41:J41"/>
    <mergeCell ref="B42:C42"/>
    <mergeCell ref="H43:H50"/>
    <mergeCell ref="B52:C52"/>
    <mergeCell ref="B60:C60"/>
    <mergeCell ref="I60:J60"/>
    <mergeCell ref="B14:C14"/>
    <mergeCell ref="B1:C1"/>
    <mergeCell ref="B3:C3"/>
    <mergeCell ref="I3:J3"/>
    <mergeCell ref="B4:C4"/>
    <mergeCell ref="H5:H12"/>
  </mergeCells>
  <conditionalFormatting sqref="B5:B20 H24 H43 H62 H81">
    <cfRule type="expression" dxfId="171" priority="29">
      <formula>MOD(ROW(),2)&gt;0</formula>
    </cfRule>
  </conditionalFormatting>
  <conditionalFormatting sqref="B24:B32">
    <cfRule type="expression" dxfId="170" priority="21">
      <formula>MOD(ROW(),2)&gt;0</formula>
    </cfRule>
  </conditionalFormatting>
  <conditionalFormatting sqref="B34:B39">
    <cfRule type="expression" dxfId="169" priority="30">
      <formula>MOD(ROW(),2)&gt;0</formula>
    </cfRule>
  </conditionalFormatting>
  <conditionalFormatting sqref="B43:B58">
    <cfRule type="expression" dxfId="168" priority="20">
      <formula>MOD(ROW(),2)&gt;0</formula>
    </cfRule>
  </conditionalFormatting>
  <conditionalFormatting sqref="B62:B70">
    <cfRule type="expression" dxfId="167" priority="19">
      <formula>MOD(ROW(),2)&gt;0</formula>
    </cfRule>
  </conditionalFormatting>
  <conditionalFormatting sqref="B72:B77">
    <cfRule type="expression" dxfId="166" priority="26">
      <formula>MOD(ROW(),2)&gt;0</formula>
    </cfRule>
  </conditionalFormatting>
  <conditionalFormatting sqref="B81:B96">
    <cfRule type="expression" dxfId="165" priority="18">
      <formula>MOD(ROW(),2)&gt;0</formula>
    </cfRule>
  </conditionalFormatting>
  <conditionalFormatting sqref="C2">
    <cfRule type="containsText" dxfId="164" priority="31" operator="containsText" text="CÓ">
      <formula>NOT(ISERROR(SEARCH("CÓ",C2)))</formula>
    </cfRule>
    <cfRule type="containsText" dxfId="163" priority="32" operator="containsText" text="KHÔNG">
      <formula>NOT(ISERROR(SEARCH("KHÔNG",C2)))</formula>
    </cfRule>
  </conditionalFormatting>
  <conditionalFormatting sqref="E5:G12">
    <cfRule type="expression" dxfId="162" priority="5">
      <formula>MOD(ROW(),2)&gt;0</formula>
    </cfRule>
  </conditionalFormatting>
  <conditionalFormatting sqref="E24:G31">
    <cfRule type="expression" dxfId="161" priority="4">
      <formula>MOD(ROW(),2)&gt;0</formula>
    </cfRule>
  </conditionalFormatting>
  <conditionalFormatting sqref="E43:G50">
    <cfRule type="expression" dxfId="160" priority="3">
      <formula>MOD(ROW(),2)&gt;0</formula>
    </cfRule>
  </conditionalFormatting>
  <conditionalFormatting sqref="E62:G69">
    <cfRule type="expression" dxfId="159" priority="2">
      <formula>MOD(ROW(),2)&gt;0</formula>
    </cfRule>
  </conditionalFormatting>
  <conditionalFormatting sqref="E81:G88">
    <cfRule type="expression" dxfId="158" priority="1">
      <formula>MOD(ROW(),2)&gt;0</formula>
    </cfRule>
  </conditionalFormatting>
  <conditionalFormatting sqref="H5">
    <cfRule type="expression" dxfId="157" priority="35">
      <formula>MOD(ROW(),2)&gt;0</formula>
    </cfRule>
  </conditionalFormatting>
  <conditionalFormatting sqref="I5:J8">
    <cfRule type="expression" dxfId="156" priority="33">
      <formula>MOD(ROW(),2)&gt;0</formula>
    </cfRule>
  </conditionalFormatting>
  <conditionalFormatting sqref="I24:J27">
    <cfRule type="expression" dxfId="155" priority="28">
      <formula>MOD(ROW(),2)&gt;0</formula>
    </cfRule>
  </conditionalFormatting>
  <conditionalFormatting sqref="I43:J46">
    <cfRule type="expression" dxfId="154" priority="27">
      <formula>MOD(ROW(),2)&gt;0</formula>
    </cfRule>
  </conditionalFormatting>
  <conditionalFormatting sqref="I62:J65">
    <cfRule type="expression" dxfId="153" priority="25">
      <formula>MOD(ROW(),2)&gt;0</formula>
    </cfRule>
  </conditionalFormatting>
  <conditionalFormatting sqref="I81:J84">
    <cfRule type="expression" dxfId="152" priority="24">
      <formula>MOD(ROW(),2)&gt;0</formula>
    </cfRule>
  </conditionalFormatting>
  <pageMargins left="0.7" right="0.7" top="0.75" bottom="0.75" header="0.3" footer="0.3"/>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D2C2A3-395E-46A8-83DB-76A51E172F03}">
  <dimension ref="B1:L34"/>
  <sheetViews>
    <sheetView showGridLines="0" zoomScaleNormal="100" workbookViewId="0">
      <pane ySplit="3" topLeftCell="A4" activePane="bottomLeft" state="frozen"/>
      <selection activeCell="G35" sqref="G35"/>
      <selection pane="bottomLeft" activeCell="D2" sqref="D2"/>
    </sheetView>
  </sheetViews>
  <sheetFormatPr defaultColWidth="9.296875" defaultRowHeight="14.5"/>
  <cols>
    <col min="1" max="1" width="2.69921875" style="373" customWidth="1"/>
    <col min="2" max="2" width="64.19921875" style="373" customWidth="1"/>
    <col min="3" max="3" width="23.5" style="375" customWidth="1"/>
    <col min="4" max="4" width="3.5" style="373" customWidth="1"/>
    <col min="5" max="5" width="10.69921875" style="373" customWidth="1"/>
    <col min="6" max="7" width="24.796875" style="373" customWidth="1"/>
    <col min="8" max="8" width="23.5" style="373" customWidth="1"/>
    <col min="9" max="9" width="24.19921875" style="373" customWidth="1"/>
    <col min="10" max="10" width="16.69921875" style="373" customWidth="1"/>
    <col min="11" max="11" width="9.296875" style="373"/>
    <col min="12" max="12" width="23.5" style="373" customWidth="1"/>
    <col min="13" max="16384" width="9.296875" style="373"/>
  </cols>
  <sheetData>
    <row r="1" spans="2:12" ht="16.5" customHeight="1">
      <c r="B1" s="1030" t="s">
        <v>744</v>
      </c>
      <c r="C1" s="1030"/>
    </row>
    <row r="2" spans="2:12">
      <c r="B2" s="401" t="s">
        <v>32</v>
      </c>
      <c r="C2" s="565">
        <f>'Hoach dinh tai chinh'!J12</f>
        <v>0</v>
      </c>
    </row>
    <row r="3" spans="2:12" ht="30.75" customHeight="1">
      <c r="B3" s="1023" t="s">
        <v>33</v>
      </c>
      <c r="C3" s="1023"/>
      <c r="E3" s="404" t="s">
        <v>747</v>
      </c>
      <c r="F3" s="404" t="s">
        <v>748</v>
      </c>
      <c r="G3" s="404" t="s">
        <v>749</v>
      </c>
      <c r="H3" s="404" t="s">
        <v>750</v>
      </c>
      <c r="I3" s="1031" t="s">
        <v>56</v>
      </c>
      <c r="J3" s="1031"/>
    </row>
    <row r="4" spans="2:12">
      <c r="B4" s="382" t="s">
        <v>77</v>
      </c>
      <c r="C4" s="571">
        <f>BVTC!C4</f>
        <v>50000000</v>
      </c>
      <c r="E4" s="606">
        <f>IF(ROW(A1)&gt;$C$7,"",ROW(A1))</f>
        <v>1</v>
      </c>
      <c r="F4" s="607">
        <f ca="1">IF(ROW(A1)&gt;$C$7,"",ROUND($C$8*12*(1+$C$12)^(($C$6-$C$5)+(ROW(A1)-1)),0))</f>
        <v>436907245</v>
      </c>
      <c r="G4" s="607">
        <f t="shared" ref="G4:G33" ca="1" si="0">IF(ROW(A1)&gt;$C$7,"",ROUND(INDEX($F:$F,ROW($F$4)+ROW(A1)-1)/(1+$C$13)^(ROW(A1)-1),0))</f>
        <v>436907245</v>
      </c>
      <c r="H4" s="607">
        <f ca="1">IF(ROW(A1)&gt;($C$6-$C$5),"",ROUND($C$9*(1+$C$13)^(ROW(A1)),0))</f>
        <v>0</v>
      </c>
      <c r="I4" s="383" t="s">
        <v>78</v>
      </c>
      <c r="J4" s="573">
        <f>C10</f>
        <v>0</v>
      </c>
    </row>
    <row r="5" spans="2:12">
      <c r="B5" s="384" t="s">
        <v>79</v>
      </c>
      <c r="C5" s="572">
        <f ca="1">'Hoach dinh tai chinh'!J7</f>
        <v>30</v>
      </c>
      <c r="E5" s="606">
        <f t="shared" ref="E5:E33" si="1">IF(ROW(A2)&gt;$C$7,"",ROW(A2))</f>
        <v>2</v>
      </c>
      <c r="F5" s="607">
        <f t="shared" ref="F5:F33" ca="1" si="2">IF(ROW(A2)&gt;$C$7,"",ROUND($C$8*12*(1+$C$12)^(($C$6-$C$5)+(ROW(A2)-1)),0))</f>
        <v>450014462</v>
      </c>
      <c r="G5" s="607">
        <f t="shared" ca="1" si="0"/>
        <v>416680057</v>
      </c>
      <c r="H5" s="607">
        <f t="shared" ref="H5:H33" ca="1" si="3">IF(ROW(A2)&gt;($C$6-$C$5),"",ROUND($C$9*(1+$C$13)^(ROW(A2)),0))</f>
        <v>0</v>
      </c>
      <c r="I5" s="383" t="s">
        <v>59</v>
      </c>
      <c r="J5" s="573">
        <f ca="1">(C6-C5)*12</f>
        <v>360</v>
      </c>
    </row>
    <row r="6" spans="2:12">
      <c r="B6" s="373" t="s">
        <v>80</v>
      </c>
      <c r="C6" s="374">
        <v>60</v>
      </c>
      <c r="E6" s="606">
        <f t="shared" si="1"/>
        <v>3</v>
      </c>
      <c r="F6" s="607">
        <f t="shared" ca="1" si="2"/>
        <v>463514896</v>
      </c>
      <c r="G6" s="607">
        <f t="shared" ca="1" si="0"/>
        <v>397389314</v>
      </c>
      <c r="H6" s="607">
        <f t="shared" ca="1" si="3"/>
        <v>0</v>
      </c>
      <c r="I6" s="383" t="s">
        <v>61</v>
      </c>
      <c r="J6" s="574">
        <f>((1+C13)^(1/12))-1</f>
        <v>6.4340301100034303E-3</v>
      </c>
      <c r="L6" s="377"/>
    </row>
    <row r="7" spans="2:12">
      <c r="B7" s="373" t="s">
        <v>751</v>
      </c>
      <c r="C7" s="374">
        <v>20</v>
      </c>
      <c r="E7" s="606">
        <f t="shared" si="1"/>
        <v>4</v>
      </c>
      <c r="F7" s="607">
        <f t="shared" ca="1" si="2"/>
        <v>477420343</v>
      </c>
      <c r="G7" s="607">
        <f t="shared" ca="1" si="0"/>
        <v>378991661</v>
      </c>
      <c r="H7" s="607">
        <f t="shared" ca="1" si="3"/>
        <v>0</v>
      </c>
      <c r="I7" s="383" t="s">
        <v>63</v>
      </c>
      <c r="J7" s="566">
        <f ca="1">FV(J6,J5,-J4,,1)</f>
        <v>0</v>
      </c>
      <c r="L7" s="377"/>
    </row>
    <row r="8" spans="2:12">
      <c r="B8" s="373" t="s">
        <v>752</v>
      </c>
      <c r="C8" s="374">
        <v>15000000</v>
      </c>
      <c r="E8" s="606">
        <f t="shared" si="1"/>
        <v>5</v>
      </c>
      <c r="F8" s="607">
        <f t="shared" ca="1" si="2"/>
        <v>491742953</v>
      </c>
      <c r="G8" s="607">
        <f t="shared" ca="1" si="0"/>
        <v>361445750</v>
      </c>
      <c r="H8" s="607">
        <f t="shared" ca="1" si="3"/>
        <v>0</v>
      </c>
    </row>
    <row r="9" spans="2:12">
      <c r="B9" s="373" t="s">
        <v>81</v>
      </c>
      <c r="C9" s="374">
        <v>0</v>
      </c>
      <c r="E9" s="606">
        <f t="shared" si="1"/>
        <v>6</v>
      </c>
      <c r="F9" s="607">
        <f t="shared" ca="1" si="2"/>
        <v>506495242</v>
      </c>
      <c r="G9" s="607">
        <f t="shared" ca="1" si="0"/>
        <v>344712151</v>
      </c>
      <c r="H9" s="607">
        <f t="shared" ca="1" si="3"/>
        <v>0</v>
      </c>
      <c r="I9" s="383"/>
      <c r="J9" s="385"/>
    </row>
    <row r="10" spans="2:12">
      <c r="B10" s="373" t="s">
        <v>82</v>
      </c>
      <c r="C10" s="374">
        <v>0</v>
      </c>
      <c r="E10" s="606">
        <f t="shared" si="1"/>
        <v>7</v>
      </c>
      <c r="F10" s="607">
        <f t="shared" ca="1" si="2"/>
        <v>521690099</v>
      </c>
      <c r="G10" s="607">
        <f t="shared" ca="1" si="0"/>
        <v>328753255</v>
      </c>
      <c r="H10" s="607">
        <f t="shared" ca="1" si="3"/>
        <v>0</v>
      </c>
    </row>
    <row r="11" spans="2:12" hidden="1">
      <c r="B11" s="373" t="s">
        <v>83</v>
      </c>
      <c r="C11" s="374"/>
      <c r="E11" s="606">
        <f t="shared" si="1"/>
        <v>8</v>
      </c>
      <c r="F11" s="607">
        <f t="shared" ca="1" si="2"/>
        <v>537340802</v>
      </c>
      <c r="G11" s="607">
        <f t="shared" ca="1" si="0"/>
        <v>313533197</v>
      </c>
      <c r="H11" s="607">
        <f t="shared" ca="1" si="3"/>
        <v>0</v>
      </c>
    </row>
    <row r="12" spans="2:12">
      <c r="B12" s="373" t="s">
        <v>84</v>
      </c>
      <c r="C12" s="376">
        <v>0.03</v>
      </c>
      <c r="E12" s="606">
        <f t="shared" si="1"/>
        <v>9</v>
      </c>
      <c r="F12" s="607">
        <f t="shared" ca="1" si="2"/>
        <v>553461026</v>
      </c>
      <c r="G12" s="607">
        <f t="shared" ca="1" si="0"/>
        <v>299017771</v>
      </c>
      <c r="H12" s="607">
        <f t="shared" ca="1" si="3"/>
        <v>0</v>
      </c>
      <c r="K12" s="381"/>
    </row>
    <row r="13" spans="2:12">
      <c r="B13" s="373" t="s">
        <v>753</v>
      </c>
      <c r="C13" s="376">
        <v>0.08</v>
      </c>
      <c r="E13" s="606">
        <f t="shared" si="1"/>
        <v>10</v>
      </c>
      <c r="F13" s="607">
        <f t="shared" ca="1" si="2"/>
        <v>570064857</v>
      </c>
      <c r="G13" s="607">
        <f t="shared" ca="1" si="0"/>
        <v>285174356</v>
      </c>
      <c r="H13" s="607">
        <f t="shared" ca="1" si="3"/>
        <v>0</v>
      </c>
    </row>
    <row r="14" spans="2:12">
      <c r="B14" s="1032" t="s">
        <v>85</v>
      </c>
      <c r="C14" s="1032"/>
      <c r="E14" s="606">
        <f t="shared" si="1"/>
        <v>11</v>
      </c>
      <c r="F14" s="607">
        <f t="shared" ca="1" si="2"/>
        <v>587166803</v>
      </c>
      <c r="G14" s="607">
        <f t="shared" ca="1" si="0"/>
        <v>271971840</v>
      </c>
      <c r="H14" s="607">
        <f t="shared" ca="1" si="3"/>
        <v>0</v>
      </c>
    </row>
    <row r="15" spans="2:12">
      <c r="B15" s="373" t="s">
        <v>86</v>
      </c>
      <c r="C15" s="572">
        <f ca="1">H34</f>
        <v>0</v>
      </c>
      <c r="E15" s="606">
        <f t="shared" si="1"/>
        <v>12</v>
      </c>
      <c r="F15" s="607">
        <f t="shared" ca="1" si="2"/>
        <v>604781807</v>
      </c>
      <c r="G15" s="607">
        <f t="shared" ca="1" si="0"/>
        <v>259380551</v>
      </c>
      <c r="H15" s="607">
        <f t="shared" ca="1" si="3"/>
        <v>0</v>
      </c>
      <c r="J15" s="386"/>
    </row>
    <row r="16" spans="2:12">
      <c r="B16" s="373" t="s">
        <v>87</v>
      </c>
      <c r="C16" s="575">
        <f ca="1">J7</f>
        <v>0</v>
      </c>
      <c r="E16" s="606">
        <f t="shared" si="1"/>
        <v>13</v>
      </c>
      <c r="F16" s="607">
        <f t="shared" ca="1" si="2"/>
        <v>622925261</v>
      </c>
      <c r="G16" s="607">
        <f t="shared" ca="1" si="0"/>
        <v>247372192</v>
      </c>
      <c r="H16" s="607">
        <f t="shared" ca="1" si="3"/>
        <v>0</v>
      </c>
    </row>
    <row r="17" spans="2:8" ht="15.5">
      <c r="B17" s="373" t="s">
        <v>88</v>
      </c>
      <c r="C17" s="576">
        <f ca="1">C15+C16</f>
        <v>0</v>
      </c>
      <c r="E17" s="606">
        <f t="shared" si="1"/>
        <v>14</v>
      </c>
      <c r="F17" s="607">
        <f t="shared" ca="1" si="2"/>
        <v>641613019</v>
      </c>
      <c r="G17" s="607">
        <f t="shared" ca="1" si="0"/>
        <v>235919776</v>
      </c>
      <c r="H17" s="607">
        <f t="shared" ca="1" si="3"/>
        <v>0</v>
      </c>
    </row>
    <row r="18" spans="2:8">
      <c r="B18" s="373" t="s">
        <v>89</v>
      </c>
      <c r="C18" s="566">
        <f ca="1">MIN(F34:G34)</f>
        <v>5780302407</v>
      </c>
      <c r="E18" s="606">
        <f t="shared" si="1"/>
        <v>15</v>
      </c>
      <c r="F18" s="607">
        <f t="shared" ca="1" si="2"/>
        <v>660861409</v>
      </c>
      <c r="G18" s="607">
        <f t="shared" ca="1" si="0"/>
        <v>224997564</v>
      </c>
      <c r="H18" s="607">
        <f t="shared" ca="1" si="3"/>
        <v>0</v>
      </c>
    </row>
    <row r="19" spans="2:8" ht="15.5">
      <c r="B19" s="373" t="s">
        <v>90</v>
      </c>
      <c r="C19" s="577">
        <f ca="1">C18-C17</f>
        <v>5780302407</v>
      </c>
      <c r="E19" s="606">
        <f t="shared" si="1"/>
        <v>16</v>
      </c>
      <c r="F19" s="607">
        <f t="shared" ca="1" si="2"/>
        <v>680687251</v>
      </c>
      <c r="G19" s="607">
        <f t="shared" ca="1" si="0"/>
        <v>214581010</v>
      </c>
      <c r="H19" s="607">
        <f t="shared" ca="1" si="3"/>
        <v>0</v>
      </c>
    </row>
    <row r="20" spans="2:8" ht="15.5">
      <c r="B20" s="387" t="s">
        <v>91</v>
      </c>
      <c r="C20" s="578">
        <f ca="1">PMT(J6,(C6-C5)*12,,-C19,1)</f>
        <v>4077488.9987640004</v>
      </c>
      <c r="E20" s="606">
        <f t="shared" si="1"/>
        <v>17</v>
      </c>
      <c r="F20" s="607">
        <f t="shared" ca="1" si="2"/>
        <v>701107869</v>
      </c>
      <c r="G20" s="607">
        <f t="shared" ca="1" si="0"/>
        <v>204646704</v>
      </c>
      <c r="H20" s="607">
        <f t="shared" ca="1" si="3"/>
        <v>0</v>
      </c>
    </row>
    <row r="21" spans="2:8">
      <c r="B21" s="373" t="s">
        <v>92</v>
      </c>
      <c r="C21" s="388">
        <v>0</v>
      </c>
      <c r="E21" s="606">
        <f t="shared" si="1"/>
        <v>18</v>
      </c>
      <c r="F21" s="607">
        <f t="shared" ca="1" si="2"/>
        <v>722141105</v>
      </c>
      <c r="G21" s="607">
        <f t="shared" ca="1" si="0"/>
        <v>195172319</v>
      </c>
      <c r="H21" s="607">
        <f t="shared" ca="1" si="3"/>
        <v>0</v>
      </c>
    </row>
    <row r="22" spans="2:8" ht="15.5">
      <c r="B22" s="382" t="s">
        <v>93</v>
      </c>
      <c r="C22" s="579">
        <f ca="1">PMT(J6,(C6-C5-C21)*12,,-C19,1)</f>
        <v>4077488.9987640004</v>
      </c>
      <c r="E22" s="606">
        <f t="shared" si="1"/>
        <v>19</v>
      </c>
      <c r="F22" s="607">
        <f t="shared" ca="1" si="2"/>
        <v>743805338</v>
      </c>
      <c r="G22" s="607">
        <f t="shared" ca="1" si="0"/>
        <v>186136564</v>
      </c>
      <c r="H22" s="607">
        <f t="shared" ca="1" si="3"/>
        <v>0</v>
      </c>
    </row>
    <row r="23" spans="2:8">
      <c r="E23" s="606">
        <f t="shared" si="1"/>
        <v>20</v>
      </c>
      <c r="F23" s="607">
        <f t="shared" ca="1" si="2"/>
        <v>766119498</v>
      </c>
      <c r="G23" s="607">
        <f t="shared" ca="1" si="0"/>
        <v>177519130</v>
      </c>
      <c r="H23" s="607">
        <f t="shared" ca="1" si="3"/>
        <v>0</v>
      </c>
    </row>
    <row r="24" spans="2:8">
      <c r="E24" s="606" t="str">
        <f t="shared" si="1"/>
        <v/>
      </c>
      <c r="F24" s="607" t="str">
        <f t="shared" si="2"/>
        <v/>
      </c>
      <c r="G24" s="607" t="str">
        <f t="shared" si="0"/>
        <v/>
      </c>
      <c r="H24" s="607">
        <f t="shared" ca="1" si="3"/>
        <v>0</v>
      </c>
    </row>
    <row r="25" spans="2:8">
      <c r="E25" s="606" t="str">
        <f t="shared" si="1"/>
        <v/>
      </c>
      <c r="F25" s="607" t="str">
        <f t="shared" si="2"/>
        <v/>
      </c>
      <c r="G25" s="607" t="str">
        <f t="shared" si="0"/>
        <v/>
      </c>
      <c r="H25" s="607">
        <f t="shared" ca="1" si="3"/>
        <v>0</v>
      </c>
    </row>
    <row r="26" spans="2:8">
      <c r="E26" s="606" t="str">
        <f t="shared" si="1"/>
        <v/>
      </c>
      <c r="F26" s="607" t="str">
        <f t="shared" si="2"/>
        <v/>
      </c>
      <c r="G26" s="607" t="str">
        <f t="shared" si="0"/>
        <v/>
      </c>
      <c r="H26" s="607">
        <f t="shared" ca="1" si="3"/>
        <v>0</v>
      </c>
    </row>
    <row r="27" spans="2:8">
      <c r="E27" s="606" t="str">
        <f t="shared" si="1"/>
        <v/>
      </c>
      <c r="F27" s="607" t="str">
        <f t="shared" si="2"/>
        <v/>
      </c>
      <c r="G27" s="607" t="str">
        <f t="shared" si="0"/>
        <v/>
      </c>
      <c r="H27" s="607">
        <f t="shared" ca="1" si="3"/>
        <v>0</v>
      </c>
    </row>
    <row r="28" spans="2:8">
      <c r="B28" s="386"/>
      <c r="E28" s="606" t="str">
        <f t="shared" si="1"/>
        <v/>
      </c>
      <c r="F28" s="607" t="str">
        <f t="shared" si="2"/>
        <v/>
      </c>
      <c r="G28" s="607" t="str">
        <f t="shared" si="0"/>
        <v/>
      </c>
      <c r="H28" s="607">
        <f t="shared" ca="1" si="3"/>
        <v>0</v>
      </c>
    </row>
    <row r="29" spans="2:8">
      <c r="E29" s="606" t="str">
        <f t="shared" si="1"/>
        <v/>
      </c>
      <c r="F29" s="607" t="str">
        <f t="shared" si="2"/>
        <v/>
      </c>
      <c r="G29" s="607" t="str">
        <f t="shared" si="0"/>
        <v/>
      </c>
      <c r="H29" s="607">
        <f t="shared" ca="1" si="3"/>
        <v>0</v>
      </c>
    </row>
    <row r="30" spans="2:8">
      <c r="E30" s="606" t="str">
        <f t="shared" si="1"/>
        <v/>
      </c>
      <c r="F30" s="607" t="str">
        <f t="shared" si="2"/>
        <v/>
      </c>
      <c r="G30" s="607" t="str">
        <f t="shared" si="0"/>
        <v/>
      </c>
      <c r="H30" s="607">
        <f t="shared" ca="1" si="3"/>
        <v>0</v>
      </c>
    </row>
    <row r="31" spans="2:8">
      <c r="E31" s="606" t="str">
        <f t="shared" si="1"/>
        <v/>
      </c>
      <c r="F31" s="607" t="str">
        <f t="shared" si="2"/>
        <v/>
      </c>
      <c r="G31" s="607" t="str">
        <f t="shared" si="0"/>
        <v/>
      </c>
      <c r="H31" s="607">
        <f t="shared" ca="1" si="3"/>
        <v>0</v>
      </c>
    </row>
    <row r="32" spans="2:8">
      <c r="E32" s="606" t="str">
        <f t="shared" si="1"/>
        <v/>
      </c>
      <c r="F32" s="607" t="str">
        <f t="shared" si="2"/>
        <v/>
      </c>
      <c r="G32" s="607" t="str">
        <f t="shared" si="0"/>
        <v/>
      </c>
      <c r="H32" s="607">
        <f t="shared" ca="1" si="3"/>
        <v>0</v>
      </c>
    </row>
    <row r="33" spans="5:8">
      <c r="E33" s="606" t="str">
        <f t="shared" si="1"/>
        <v/>
      </c>
      <c r="F33" s="607" t="str">
        <f t="shared" si="2"/>
        <v/>
      </c>
      <c r="G33" s="607" t="str">
        <f t="shared" si="0"/>
        <v/>
      </c>
      <c r="H33" s="607">
        <f t="shared" ca="1" si="3"/>
        <v>0</v>
      </c>
    </row>
    <row r="34" spans="5:8">
      <c r="E34" s="403" t="s">
        <v>53</v>
      </c>
      <c r="F34" s="580">
        <f ca="1">SUM(F4:F33)</f>
        <v>11739861285</v>
      </c>
      <c r="G34" s="580">
        <f ca="1">SUM(G4:G33)</f>
        <v>5780302407</v>
      </c>
      <c r="H34" s="580">
        <f ca="1">MAX(H4:H33)</f>
        <v>0</v>
      </c>
    </row>
  </sheetData>
  <sheetProtection algorithmName="SHA-512" hashValue="A+BtZ9vzOU7TUXqfTfxCmqWfSeVzXQJtOjPx+9q4yPuCXSbqSFMJQiBxge1mSSjBZ4URtEHsMV+lAYN20URQKA==" saltValue="4EMyfkjiI4841ipGTKpP5w==" spinCount="100000" sheet="1" objects="1" scenarios="1" selectLockedCells="1"/>
  <mergeCells count="4">
    <mergeCell ref="B1:C1"/>
    <mergeCell ref="B3:C3"/>
    <mergeCell ref="I3:J3"/>
    <mergeCell ref="B14:C14"/>
  </mergeCells>
  <conditionalFormatting sqref="B4:B13">
    <cfRule type="expression" dxfId="151" priority="3">
      <formula>MOD(ROW(),2)&gt;0</formula>
    </cfRule>
  </conditionalFormatting>
  <conditionalFormatting sqref="B15:B19 B21">
    <cfRule type="expression" dxfId="150" priority="7">
      <formula>MOD(ROW(),2)&gt;0</formula>
    </cfRule>
  </conditionalFormatting>
  <conditionalFormatting sqref="C2">
    <cfRule type="containsText" dxfId="149" priority="4" operator="containsText" text="CÓ">
      <formula>NOT(ISERROR(SEARCH("CÓ",C2)))</formula>
    </cfRule>
    <cfRule type="containsText" dxfId="148" priority="5" operator="containsText" text="KHÔNG">
      <formula>NOT(ISERROR(SEARCH("KHÔNG",C2)))</formula>
    </cfRule>
  </conditionalFormatting>
  <conditionalFormatting sqref="E4:H33">
    <cfRule type="expression" dxfId="147" priority="1">
      <formula>MOD(ROW(),2)&gt;0</formula>
    </cfRule>
  </conditionalFormatting>
  <conditionalFormatting sqref="I4:J7">
    <cfRule type="expression" dxfId="146" priority="8">
      <formula>MOD(ROW(),2)&gt;0</formula>
    </cfRule>
  </conditionalFormatting>
  <conditionalFormatting sqref="I9:J9">
    <cfRule type="expression" dxfId="145" priority="6">
      <formula>MOD(ROW(),2)&gt;0</formula>
    </cfRule>
  </conditionalFormatting>
  <pageMargins left="0.7" right="0.7" top="0.75" bottom="0.75" header="0.3" footer="0.3"/>
  <pageSetup paperSize="9" orientation="portrait" verticalDpi="0" r:id="rId1"/>
  <drawing r:id="rId2"/>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DA2F-5924-44E9-B3E0-820AA4F650CD}">
  <dimension ref="B1:K24"/>
  <sheetViews>
    <sheetView showGridLines="0" zoomScale="115" zoomScaleNormal="115" workbookViewId="0">
      <pane ySplit="3" topLeftCell="A4" activePane="bottomLeft" state="frozen"/>
      <selection activeCell="G35" sqref="G35"/>
      <selection pane="bottomLeft" activeCell="C2" sqref="C2 F4:G24 I4:I7 C11:C13 C15:C17 C19 E4:E23"/>
    </sheetView>
  </sheetViews>
  <sheetFormatPr defaultColWidth="9.296875" defaultRowHeight="14.5"/>
  <cols>
    <col min="1" max="1" width="4" style="389" customWidth="1"/>
    <col min="2" max="2" width="56.296875" style="389" customWidth="1"/>
    <col min="3" max="3" width="25.296875" style="391" customWidth="1"/>
    <col min="4" max="4" width="3.5" style="389" customWidth="1"/>
    <col min="5" max="5" width="10.69921875" style="389" customWidth="1"/>
    <col min="6" max="6" width="23" style="389" customWidth="1"/>
    <col min="7" max="7" width="23.296875" style="389" customWidth="1"/>
    <col min="8" max="8" width="22.296875" style="389" customWidth="1"/>
    <col min="9" max="9" width="22.69921875" style="389" customWidth="1"/>
    <col min="10" max="10" width="9.296875" style="389"/>
    <col min="11" max="11" width="23.5" style="389" customWidth="1"/>
    <col min="12" max="16384" width="9.296875" style="389"/>
  </cols>
  <sheetData>
    <row r="1" spans="2:11">
      <c r="B1" s="1030" t="s">
        <v>744</v>
      </c>
      <c r="C1" s="1030"/>
    </row>
    <row r="2" spans="2:11">
      <c r="B2" s="409" t="s">
        <v>826</v>
      </c>
      <c r="C2" s="584">
        <f>'Hoach dinh tai chinh'!J13</f>
        <v>0</v>
      </c>
    </row>
    <row r="3" spans="2:11" ht="26.25" customHeight="1">
      <c r="B3" s="1033" t="s">
        <v>33</v>
      </c>
      <c r="C3" s="1033"/>
      <c r="E3" s="405" t="s">
        <v>34</v>
      </c>
      <c r="F3" s="406" t="s">
        <v>35</v>
      </c>
      <c r="G3" s="406" t="s">
        <v>754</v>
      </c>
      <c r="H3" s="1034" t="s">
        <v>56</v>
      </c>
      <c r="I3" s="1034"/>
    </row>
    <row r="4" spans="2:11">
      <c r="B4" s="389" t="s">
        <v>755</v>
      </c>
      <c r="C4" s="390">
        <v>1000000000</v>
      </c>
      <c r="E4" s="582">
        <f>IF(ROW(A1)&gt;$C$7,"",ROW(A1))</f>
        <v>1</v>
      </c>
      <c r="F4" s="583">
        <f>IF(ROW(A1)&gt;$C$7,"",ROUND($C$4*(1+$C$8)^(ROW(A1)-1),0))</f>
        <v>1000000000</v>
      </c>
      <c r="G4" s="583">
        <f>IF(ROW(A1)&gt;$C$7,"",ROUND($C$5*(1+$C$9)^(ROW(A1)),0))</f>
        <v>0</v>
      </c>
      <c r="H4" s="392" t="s">
        <v>58</v>
      </c>
      <c r="I4" s="585">
        <f>C6</f>
        <v>0</v>
      </c>
    </row>
    <row r="5" spans="2:11">
      <c r="B5" s="389" t="s">
        <v>756</v>
      </c>
      <c r="C5" s="390">
        <v>0</v>
      </c>
      <c r="E5" s="582">
        <f t="shared" ref="E5:E23" si="0">IF(ROW(A2)&gt;$C$7,"",ROW(A2))</f>
        <v>2</v>
      </c>
      <c r="F5" s="583">
        <f t="shared" ref="F5:F23" si="1">IF(ROW(A2)&gt;$C$7,"",ROUND($C$4*(1+$C$8)^(ROW(A2)-1),0))</f>
        <v>1030000000</v>
      </c>
      <c r="G5" s="583">
        <f t="shared" ref="G5:G23" si="2">IF(ROW(A2)&gt;$C$7,"",ROUND($C$5*(1+$C$9)^(ROW(A2)),0))</f>
        <v>0</v>
      </c>
      <c r="H5" s="392" t="s">
        <v>59</v>
      </c>
      <c r="I5" s="585">
        <f>C7*12</f>
        <v>60</v>
      </c>
    </row>
    <row r="6" spans="2:11">
      <c r="B6" s="389" t="s">
        <v>94</v>
      </c>
      <c r="C6" s="390">
        <v>0</v>
      </c>
      <c r="E6" s="582">
        <f t="shared" si="0"/>
        <v>3</v>
      </c>
      <c r="F6" s="583">
        <f t="shared" si="1"/>
        <v>1060900000</v>
      </c>
      <c r="G6" s="583">
        <f t="shared" si="2"/>
        <v>0</v>
      </c>
      <c r="H6" s="392" t="s">
        <v>61</v>
      </c>
      <c r="I6" s="586">
        <f>((1+C9)^(1/12))-1</f>
        <v>6.4340301100034303E-3</v>
      </c>
      <c r="K6" s="393"/>
    </row>
    <row r="7" spans="2:11">
      <c r="B7" s="389" t="s">
        <v>757</v>
      </c>
      <c r="C7" s="390">
        <v>5</v>
      </c>
      <c r="E7" s="582">
        <f t="shared" si="0"/>
        <v>4</v>
      </c>
      <c r="F7" s="583">
        <f t="shared" si="1"/>
        <v>1092727000</v>
      </c>
      <c r="G7" s="583">
        <f t="shared" si="2"/>
        <v>0</v>
      </c>
      <c r="H7" s="392" t="s">
        <v>63</v>
      </c>
      <c r="I7" s="587">
        <f>FV(I6,I5,-I4,,1)</f>
        <v>0</v>
      </c>
      <c r="K7" s="393"/>
    </row>
    <row r="8" spans="2:11">
      <c r="B8" s="389" t="s">
        <v>84</v>
      </c>
      <c r="C8" s="394">
        <v>0.03</v>
      </c>
      <c r="E8" s="582">
        <f t="shared" si="0"/>
        <v>5</v>
      </c>
      <c r="F8" s="583">
        <f t="shared" si="1"/>
        <v>1125508810</v>
      </c>
      <c r="G8" s="583">
        <f t="shared" si="2"/>
        <v>0</v>
      </c>
    </row>
    <row r="9" spans="2:11">
      <c r="B9" s="373" t="s">
        <v>753</v>
      </c>
      <c r="C9" s="394">
        <v>0.08</v>
      </c>
      <c r="E9" s="582" t="str">
        <f t="shared" si="0"/>
        <v/>
      </c>
      <c r="F9" s="583" t="str">
        <f t="shared" si="1"/>
        <v/>
      </c>
      <c r="G9" s="583" t="str">
        <f t="shared" si="2"/>
        <v/>
      </c>
      <c r="I9" s="395"/>
    </row>
    <row r="10" spans="2:11">
      <c r="B10" s="1035"/>
      <c r="C10" s="1035"/>
      <c r="E10" s="582" t="str">
        <f t="shared" si="0"/>
        <v/>
      </c>
      <c r="F10" s="583" t="str">
        <f t="shared" si="1"/>
        <v/>
      </c>
      <c r="G10" s="583" t="str">
        <f t="shared" si="2"/>
        <v/>
      </c>
    </row>
    <row r="11" spans="2:11">
      <c r="B11" s="389" t="s">
        <v>95</v>
      </c>
      <c r="C11" s="588">
        <f>F24</f>
        <v>1125508810</v>
      </c>
      <c r="E11" s="582" t="str">
        <f t="shared" si="0"/>
        <v/>
      </c>
      <c r="F11" s="583" t="str">
        <f t="shared" si="1"/>
        <v/>
      </c>
      <c r="G11" s="583" t="str">
        <f t="shared" si="2"/>
        <v/>
      </c>
    </row>
    <row r="12" spans="2:11">
      <c r="B12" s="389" t="s">
        <v>96</v>
      </c>
      <c r="C12" s="589">
        <f>G24</f>
        <v>0</v>
      </c>
      <c r="E12" s="582" t="str">
        <f t="shared" si="0"/>
        <v/>
      </c>
      <c r="F12" s="583" t="str">
        <f t="shared" si="1"/>
        <v/>
      </c>
      <c r="G12" s="583" t="str">
        <f t="shared" si="2"/>
        <v/>
      </c>
      <c r="J12" s="396"/>
    </row>
    <row r="13" spans="2:11">
      <c r="B13" s="389" t="s">
        <v>97</v>
      </c>
      <c r="C13" s="590">
        <f>I7</f>
        <v>0</v>
      </c>
      <c r="E13" s="582" t="str">
        <f t="shared" si="0"/>
        <v/>
      </c>
      <c r="F13" s="583" t="str">
        <f t="shared" si="1"/>
        <v/>
      </c>
      <c r="G13" s="583" t="str">
        <f t="shared" si="2"/>
        <v/>
      </c>
    </row>
    <row r="14" spans="2:11">
      <c r="C14" s="397"/>
      <c r="E14" s="582" t="str">
        <f t="shared" si="0"/>
        <v/>
      </c>
      <c r="F14" s="583" t="str">
        <f t="shared" si="1"/>
        <v/>
      </c>
      <c r="G14" s="583" t="str">
        <f t="shared" si="2"/>
        <v/>
      </c>
    </row>
    <row r="15" spans="2:11">
      <c r="B15" s="389" t="s">
        <v>98</v>
      </c>
      <c r="C15" s="588">
        <f>C12+C13</f>
        <v>0</v>
      </c>
      <c r="E15" s="582" t="str">
        <f t="shared" si="0"/>
        <v/>
      </c>
      <c r="F15" s="583" t="str">
        <f t="shared" si="1"/>
        <v/>
      </c>
      <c r="G15" s="583" t="str">
        <f t="shared" si="2"/>
        <v/>
      </c>
    </row>
    <row r="16" spans="2:11">
      <c r="B16" s="398" t="s">
        <v>99</v>
      </c>
      <c r="C16" s="591">
        <f>C11-C15</f>
        <v>1125508810</v>
      </c>
      <c r="E16" s="582" t="str">
        <f t="shared" si="0"/>
        <v/>
      </c>
      <c r="F16" s="583" t="str">
        <f t="shared" si="1"/>
        <v/>
      </c>
      <c r="G16" s="583" t="str">
        <f t="shared" si="2"/>
        <v/>
      </c>
    </row>
    <row r="17" spans="2:7" ht="15.5">
      <c r="B17" s="399" t="s">
        <v>100</v>
      </c>
      <c r="C17" s="592">
        <f>PMT(I6,I5,,-C16,1)</f>
        <v>15330987.82980491</v>
      </c>
      <c r="E17" s="582" t="str">
        <f t="shared" si="0"/>
        <v/>
      </c>
      <c r="F17" s="583" t="str">
        <f t="shared" si="1"/>
        <v/>
      </c>
      <c r="G17" s="583" t="str">
        <f t="shared" si="2"/>
        <v/>
      </c>
    </row>
    <row r="18" spans="2:7">
      <c r="B18" s="389" t="s">
        <v>92</v>
      </c>
      <c r="C18" s="397">
        <v>0</v>
      </c>
      <c r="E18" s="582" t="str">
        <f t="shared" si="0"/>
        <v/>
      </c>
      <c r="F18" s="583" t="str">
        <f t="shared" si="1"/>
        <v/>
      </c>
      <c r="G18" s="583" t="str">
        <f t="shared" si="2"/>
        <v/>
      </c>
    </row>
    <row r="19" spans="2:7" ht="15.5">
      <c r="B19" s="407" t="s">
        <v>93</v>
      </c>
      <c r="C19" s="593">
        <f>PMT(I6,(C7-C18)*12,,-C16,1)</f>
        <v>15330987.82980491</v>
      </c>
      <c r="E19" s="582" t="str">
        <f t="shared" si="0"/>
        <v/>
      </c>
      <c r="F19" s="583" t="str">
        <f t="shared" si="1"/>
        <v/>
      </c>
      <c r="G19" s="583" t="str">
        <f t="shared" si="2"/>
        <v/>
      </c>
    </row>
    <row r="20" spans="2:7">
      <c r="E20" s="582" t="str">
        <f t="shared" si="0"/>
        <v/>
      </c>
      <c r="F20" s="583" t="str">
        <f t="shared" si="1"/>
        <v/>
      </c>
      <c r="G20" s="583" t="str">
        <f t="shared" si="2"/>
        <v/>
      </c>
    </row>
    <row r="21" spans="2:7">
      <c r="E21" s="582" t="str">
        <f t="shared" si="0"/>
        <v/>
      </c>
      <c r="F21" s="583" t="str">
        <f t="shared" si="1"/>
        <v/>
      </c>
      <c r="G21" s="583" t="str">
        <f t="shared" si="2"/>
        <v/>
      </c>
    </row>
    <row r="22" spans="2:7">
      <c r="E22" s="582" t="str">
        <f t="shared" si="0"/>
        <v/>
      </c>
      <c r="F22" s="583" t="str">
        <f t="shared" si="1"/>
        <v/>
      </c>
      <c r="G22" s="583" t="str">
        <f t="shared" si="2"/>
        <v/>
      </c>
    </row>
    <row r="23" spans="2:7">
      <c r="E23" s="582" t="str">
        <f t="shared" si="0"/>
        <v/>
      </c>
      <c r="F23" s="583" t="str">
        <f t="shared" si="1"/>
        <v/>
      </c>
      <c r="G23" s="583" t="str">
        <f t="shared" si="2"/>
        <v/>
      </c>
    </row>
    <row r="24" spans="2:7">
      <c r="E24" s="408"/>
      <c r="F24" s="594">
        <f>MAX(F4:F23)</f>
        <v>1125508810</v>
      </c>
      <c r="G24" s="594">
        <f>MAX(G4:G23)</f>
        <v>0</v>
      </c>
    </row>
  </sheetData>
  <sheetProtection algorithmName="SHA-512" hashValue="MO4m0Le7DXXc4WZkTunOvUwTjxOINnE4BV6UG7XS8wULv6p31J6OxMcn1aaoZwYJUYnLd8H43S0SDmsv4GVMKQ==" saltValue="2cr1qUBsl4jnXSSgDymmNA==" spinCount="100000" sheet="1" objects="1" scenarios="1"/>
  <mergeCells count="4">
    <mergeCell ref="B1:C1"/>
    <mergeCell ref="B3:C3"/>
    <mergeCell ref="H3:I3"/>
    <mergeCell ref="B10:C10"/>
  </mergeCells>
  <conditionalFormatting sqref="B4:B9">
    <cfRule type="expression" dxfId="144" priority="3">
      <formula>MOD(ROW(),2)&gt;0</formula>
    </cfRule>
  </conditionalFormatting>
  <conditionalFormatting sqref="B11:B13 B15:B19">
    <cfRule type="expression" dxfId="143" priority="7">
      <formula>MOD(ROW(),2)&gt;0</formula>
    </cfRule>
  </conditionalFormatting>
  <conditionalFormatting sqref="C2">
    <cfRule type="containsText" dxfId="142" priority="4" operator="containsText" text="CÓ">
      <formula>NOT(ISERROR(SEARCH("CÓ",C2)))</formula>
    </cfRule>
    <cfRule type="containsText" dxfId="141" priority="5" operator="containsText" text="KHÔNG">
      <formula>NOT(ISERROR(SEARCH("KHÔNG",C2)))</formula>
    </cfRule>
  </conditionalFormatting>
  <conditionalFormatting sqref="E4:G23">
    <cfRule type="expression" dxfId="140" priority="1">
      <formula>MOD(ROW(),2)&gt;0</formula>
    </cfRule>
  </conditionalFormatting>
  <conditionalFormatting sqref="H4:I7">
    <cfRule type="expression" dxfId="139" priority="6">
      <formula>MOD(ROW(),2)&gt;0</formula>
    </cfRule>
  </conditionalFormatting>
  <pageMargins left="0.7" right="0.7" top="0.75" bottom="0.75" header="0.3" footer="0.3"/>
  <drawing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627101-E56E-41A8-AB7B-66A9640F58F2}">
  <dimension ref="B2:C10"/>
  <sheetViews>
    <sheetView showGridLines="0" zoomScaleNormal="100" workbookViewId="0">
      <selection activeCell="C2" sqref="C2"/>
    </sheetView>
  </sheetViews>
  <sheetFormatPr defaultColWidth="9.296875" defaultRowHeight="14.5"/>
  <cols>
    <col min="1" max="1" width="4.19921875" style="18" customWidth="1"/>
    <col min="2" max="2" width="73.796875" style="18" customWidth="1"/>
    <col min="3" max="3" width="20.19921875" style="18" customWidth="1"/>
    <col min="4" max="16384" width="9.296875" style="18"/>
  </cols>
  <sheetData>
    <row r="2" spans="2:3" ht="21" customHeight="1">
      <c r="B2" s="19" t="s">
        <v>32</v>
      </c>
      <c r="C2" s="581">
        <f>'Hoach dinh tai chinh'!J14</f>
        <v>0</v>
      </c>
    </row>
    <row r="3" spans="2:3" ht="23.5">
      <c r="B3" s="1036" t="s">
        <v>33</v>
      </c>
      <c r="C3" s="1036"/>
    </row>
    <row r="4" spans="2:3" s="21" customFormat="1" ht="28.5" customHeight="1">
      <c r="B4" s="20" t="s">
        <v>160</v>
      </c>
      <c r="C4" s="413"/>
    </row>
    <row r="5" spans="2:3" s="21" customFormat="1" ht="28.5" customHeight="1">
      <c r="B5" s="20" t="s">
        <v>758</v>
      </c>
      <c r="C5" s="413"/>
    </row>
    <row r="6" spans="2:3" s="21" customFormat="1" ht="28.5" customHeight="1">
      <c r="B6" s="20" t="s">
        <v>161</v>
      </c>
      <c r="C6" s="413"/>
    </row>
    <row r="7" spans="2:3" s="21" customFormat="1" ht="28.5" customHeight="1">
      <c r="B7" s="20" t="s">
        <v>162</v>
      </c>
      <c r="C7" s="413"/>
    </row>
    <row r="8" spans="2:3" s="21" customFormat="1" ht="28.5" customHeight="1">
      <c r="B8" s="20" t="s">
        <v>101</v>
      </c>
      <c r="C8" s="413"/>
    </row>
    <row r="9" spans="2:3" s="21" customFormat="1" ht="28.5" customHeight="1">
      <c r="B9" s="20" t="s">
        <v>102</v>
      </c>
      <c r="C9" s="414"/>
    </row>
    <row r="10" spans="2:3" s="21" customFormat="1" ht="28.5" customHeight="1">
      <c r="B10" s="20" t="s">
        <v>103</v>
      </c>
      <c r="C10" s="414"/>
    </row>
  </sheetData>
  <mergeCells count="1">
    <mergeCell ref="B3:C3"/>
  </mergeCells>
  <conditionalFormatting sqref="B4:B10">
    <cfRule type="expression" dxfId="138" priority="3">
      <formula>MOD(ROW(),2)&gt;0</formula>
    </cfRule>
  </conditionalFormatting>
  <conditionalFormatting sqref="C2">
    <cfRule type="containsText" dxfId="137" priority="1" operator="containsText" text="CÓ">
      <formula>NOT(ISERROR(SEARCH("CÓ",C2)))</formula>
    </cfRule>
    <cfRule type="containsText" dxfId="136" priority="2" operator="containsText" text="KHÔNG">
      <formula>NOT(ISERROR(SEARCH("KHÔNG",C2)))</formula>
    </cfRule>
  </conditionalFormatting>
  <dataValidations count="6">
    <dataValidation type="list" allowBlank="1" showInputMessage="1" showErrorMessage="1" sqref="C10" xr:uid="{4E8A4F2A-23D4-4DB4-85D8-2538CFA66B82}">
      <formula1>"THƯỜNG, MỔ"</formula1>
    </dataValidation>
    <dataValidation type="list" allowBlank="1" showInputMessage="1" showErrorMessage="1" sqref="C9" xr:uid="{E9C3EFF1-353F-4D2C-9A1B-42CBDC4931B7}">
      <formula1>"CÓ, KHÔNG"</formula1>
    </dataValidation>
    <dataValidation type="list" allowBlank="1" showInputMessage="1" showErrorMessage="1" sqref="C8" xr:uid="{380FED17-735A-4412-9C8A-F2C548D8112E}">
      <formula1>"500 Ngàn, 1 Triệu, 1.5 Triệu, 2 Triệu, 3 Triệu, 5 Triệu, Trên 5 Triệu"</formula1>
    </dataValidation>
    <dataValidation type="list" allowBlank="1" showInputMessage="1" showErrorMessage="1" sqref="C6" xr:uid="{42358CF4-2ABC-4DF1-9EEA-C37031EE9D47}">
      <formula1>"CHƯA CÓ, ĐÃ CÓ"</formula1>
    </dataValidation>
    <dataValidation type="list" allowBlank="1" showInputMessage="1" showErrorMessage="1" sqref="C4:C5" xr:uid="{AF88FAC8-BFA8-48A3-9E0F-3757B272F406}">
      <formula1>"200 Triệu, 300 Triệu, 500 Triệu, 1 Tỷ, Trên 1 Tỷ"</formula1>
    </dataValidation>
    <dataValidation type="list" allowBlank="1" showInputMessage="1" showErrorMessage="1" sqref="C7" xr:uid="{6965C106-B200-4212-BCA3-C33249E8A0A9}">
      <formula1>"50 Triệu, 100 Triệu, Trên 200 Triệu,500 Triệu, 1 Tỷ, Trên 1 Tỷ"</formula1>
    </dataValidation>
  </dataValidations>
  <pageMargins left="0.7" right="0.7" top="0.75" bottom="0.75" header="0.3" footer="0.3"/>
  <drawing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6759E9-2419-428F-8E34-FBA13BDD44C2}">
  <dimension ref="A1:B60"/>
  <sheetViews>
    <sheetView topLeftCell="A37" workbookViewId="0">
      <selection activeCell="H58" sqref="H58"/>
    </sheetView>
  </sheetViews>
  <sheetFormatPr defaultRowHeight="13"/>
  <sheetData>
    <row r="1" spans="1:2">
      <c r="A1" s="238" t="s">
        <v>1</v>
      </c>
    </row>
    <row r="2" spans="1:2">
      <c r="A2">
        <v>1</v>
      </c>
      <c r="B2">
        <v>181</v>
      </c>
    </row>
    <row r="3" spans="1:2">
      <c r="A3">
        <v>2</v>
      </c>
      <c r="B3">
        <v>181</v>
      </c>
    </row>
    <row r="4" spans="1:2">
      <c r="A4">
        <v>3</v>
      </c>
      <c r="B4">
        <v>181</v>
      </c>
    </row>
    <row r="5" spans="1:2">
      <c r="A5">
        <v>4</v>
      </c>
      <c r="B5">
        <v>181</v>
      </c>
    </row>
    <row r="6" spans="1:2">
      <c r="A6">
        <v>5</v>
      </c>
      <c r="B6">
        <v>155</v>
      </c>
    </row>
    <row r="7" spans="1:2">
      <c r="A7">
        <v>6</v>
      </c>
      <c r="B7">
        <v>155</v>
      </c>
    </row>
    <row r="8" spans="1:2">
      <c r="A8">
        <v>7</v>
      </c>
      <c r="B8">
        <v>155</v>
      </c>
    </row>
    <row r="9" spans="1:2">
      <c r="A9">
        <v>8</v>
      </c>
      <c r="B9">
        <v>155</v>
      </c>
    </row>
    <row r="10" spans="1:2">
      <c r="A10">
        <v>9</v>
      </c>
      <c r="B10">
        <v>155</v>
      </c>
    </row>
    <row r="11" spans="1:2">
      <c r="A11">
        <v>10</v>
      </c>
      <c r="B11">
        <v>155</v>
      </c>
    </row>
    <row r="12" spans="1:2">
      <c r="A12">
        <v>11</v>
      </c>
      <c r="B12">
        <v>155</v>
      </c>
    </row>
    <row r="13" spans="1:2">
      <c r="A13">
        <v>12</v>
      </c>
      <c r="B13">
        <v>155</v>
      </c>
    </row>
    <row r="14" spans="1:2">
      <c r="A14">
        <v>13</v>
      </c>
      <c r="B14">
        <v>155</v>
      </c>
    </row>
    <row r="15" spans="1:2">
      <c r="A15">
        <v>14</v>
      </c>
      <c r="B15">
        <v>155</v>
      </c>
    </row>
    <row r="16" spans="1:2">
      <c r="A16">
        <v>15</v>
      </c>
      <c r="B16">
        <v>155</v>
      </c>
    </row>
    <row r="17" spans="1:2">
      <c r="A17">
        <v>16</v>
      </c>
      <c r="B17">
        <v>155</v>
      </c>
    </row>
    <row r="18" spans="1:2">
      <c r="A18">
        <v>17</v>
      </c>
      <c r="B18">
        <v>155</v>
      </c>
    </row>
    <row r="19" spans="1:2">
      <c r="A19">
        <v>18</v>
      </c>
      <c r="B19">
        <v>155</v>
      </c>
    </row>
    <row r="20" spans="1:2">
      <c r="A20">
        <v>19</v>
      </c>
      <c r="B20">
        <v>155</v>
      </c>
    </row>
    <row r="21" spans="1:2">
      <c r="A21">
        <v>20</v>
      </c>
      <c r="B21">
        <v>155</v>
      </c>
    </row>
    <row r="22" spans="1:2">
      <c r="A22">
        <v>21</v>
      </c>
      <c r="B22">
        <v>155</v>
      </c>
    </row>
    <row r="23" spans="1:2">
      <c r="A23">
        <v>22</v>
      </c>
      <c r="B23">
        <v>155</v>
      </c>
    </row>
    <row r="24" spans="1:2">
      <c r="A24">
        <v>23</v>
      </c>
      <c r="B24">
        <v>155</v>
      </c>
    </row>
    <row r="25" spans="1:2">
      <c r="A25">
        <v>24</v>
      </c>
      <c r="B25">
        <v>155</v>
      </c>
    </row>
    <row r="26" spans="1:2">
      <c r="A26">
        <v>25</v>
      </c>
      <c r="B26">
        <v>155</v>
      </c>
    </row>
    <row r="27" spans="1:2">
      <c r="A27">
        <v>26</v>
      </c>
      <c r="B27">
        <v>155</v>
      </c>
    </row>
    <row r="28" spans="1:2">
      <c r="A28">
        <v>27</v>
      </c>
      <c r="B28">
        <v>155</v>
      </c>
    </row>
    <row r="29" spans="1:2">
      <c r="A29">
        <v>28</v>
      </c>
      <c r="B29">
        <v>155</v>
      </c>
    </row>
    <row r="30" spans="1:2">
      <c r="A30">
        <v>29</v>
      </c>
      <c r="B30">
        <v>155</v>
      </c>
    </row>
    <row r="31" spans="1:2">
      <c r="A31">
        <v>30</v>
      </c>
      <c r="B31">
        <v>155</v>
      </c>
    </row>
    <row r="32" spans="1:2">
      <c r="A32">
        <v>31</v>
      </c>
      <c r="B32">
        <v>155</v>
      </c>
    </row>
    <row r="33" spans="1:2">
      <c r="A33">
        <v>32</v>
      </c>
      <c r="B33">
        <v>155</v>
      </c>
    </row>
    <row r="34" spans="1:2">
      <c r="A34">
        <v>33</v>
      </c>
      <c r="B34">
        <v>155</v>
      </c>
    </row>
    <row r="35" spans="1:2">
      <c r="A35">
        <v>34</v>
      </c>
      <c r="B35">
        <v>155</v>
      </c>
    </row>
    <row r="36" spans="1:2">
      <c r="A36">
        <v>35</v>
      </c>
      <c r="B36">
        <v>189</v>
      </c>
    </row>
    <row r="37" spans="1:2">
      <c r="A37">
        <v>36</v>
      </c>
      <c r="B37">
        <v>189</v>
      </c>
    </row>
    <row r="38" spans="1:2">
      <c r="A38">
        <v>37</v>
      </c>
      <c r="B38">
        <v>189</v>
      </c>
    </row>
    <row r="39" spans="1:2">
      <c r="A39">
        <v>38</v>
      </c>
      <c r="B39">
        <v>189</v>
      </c>
    </row>
    <row r="40" spans="1:2">
      <c r="A40">
        <v>39</v>
      </c>
      <c r="B40">
        <v>189</v>
      </c>
    </row>
    <row r="41" spans="1:2">
      <c r="A41">
        <v>40</v>
      </c>
      <c r="B41">
        <v>230</v>
      </c>
    </row>
    <row r="42" spans="1:2">
      <c r="A42">
        <v>41</v>
      </c>
      <c r="B42">
        <v>230</v>
      </c>
    </row>
    <row r="43" spans="1:2">
      <c r="A43">
        <v>42</v>
      </c>
      <c r="B43">
        <v>230</v>
      </c>
    </row>
    <row r="44" spans="1:2">
      <c r="A44">
        <v>43</v>
      </c>
      <c r="B44">
        <v>230</v>
      </c>
    </row>
    <row r="45" spans="1:2">
      <c r="A45">
        <v>44</v>
      </c>
      <c r="B45">
        <v>230</v>
      </c>
    </row>
    <row r="46" spans="1:2">
      <c r="A46">
        <v>45</v>
      </c>
      <c r="B46">
        <v>398</v>
      </c>
    </row>
    <row r="47" spans="1:2">
      <c r="A47">
        <v>46</v>
      </c>
      <c r="B47">
        <v>398</v>
      </c>
    </row>
    <row r="48" spans="1:2">
      <c r="A48">
        <v>47</v>
      </c>
      <c r="B48">
        <v>398</v>
      </c>
    </row>
    <row r="49" spans="1:2">
      <c r="A49">
        <v>48</v>
      </c>
      <c r="B49">
        <v>398</v>
      </c>
    </row>
    <row r="50" spans="1:2">
      <c r="A50">
        <v>49</v>
      </c>
      <c r="B50">
        <v>398</v>
      </c>
    </row>
    <row r="51" spans="1:2">
      <c r="A51">
        <v>50</v>
      </c>
      <c r="B51">
        <v>398</v>
      </c>
    </row>
    <row r="52" spans="1:2">
      <c r="A52">
        <v>51</v>
      </c>
      <c r="B52">
        <v>398</v>
      </c>
    </row>
    <row r="53" spans="1:2">
      <c r="A53">
        <v>52</v>
      </c>
      <c r="B53">
        <v>398</v>
      </c>
    </row>
    <row r="54" spans="1:2">
      <c r="A54">
        <v>53</v>
      </c>
      <c r="B54">
        <v>398</v>
      </c>
    </row>
    <row r="55" spans="1:2">
      <c r="A55">
        <v>54</v>
      </c>
      <c r="B55">
        <v>398</v>
      </c>
    </row>
    <row r="56" spans="1:2">
      <c r="A56">
        <v>55</v>
      </c>
      <c r="B56">
        <v>398</v>
      </c>
    </row>
    <row r="57" spans="1:2">
      <c r="A57">
        <v>56</v>
      </c>
      <c r="B57">
        <v>398</v>
      </c>
    </row>
    <row r="58" spans="1:2">
      <c r="A58">
        <v>57</v>
      </c>
      <c r="B58">
        <v>398</v>
      </c>
    </row>
    <row r="59" spans="1:2">
      <c r="A59">
        <v>58</v>
      </c>
      <c r="B59">
        <v>398</v>
      </c>
    </row>
    <row r="60" spans="1:2">
      <c r="A60">
        <v>59</v>
      </c>
      <c r="B60">
        <v>398</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DF961B-192B-4057-9235-9B6BEE427A28}">
  <dimension ref="A1:C86"/>
  <sheetViews>
    <sheetView workbookViewId="0">
      <selection activeCell="I7" sqref="I7"/>
    </sheetView>
  </sheetViews>
  <sheetFormatPr defaultColWidth="9.296875" defaultRowHeight="13"/>
  <cols>
    <col min="1" max="16384" width="9.296875" style="3"/>
  </cols>
  <sheetData>
    <row r="1" spans="1:3">
      <c r="A1" s="2" t="s">
        <v>1</v>
      </c>
      <c r="B1" s="2" t="s">
        <v>0</v>
      </c>
      <c r="C1" s="2" t="s">
        <v>2</v>
      </c>
    </row>
    <row r="2" spans="1:3" ht="15.5">
      <c r="A2" s="344">
        <v>0</v>
      </c>
      <c r="B2" s="345">
        <v>3.03</v>
      </c>
      <c r="C2" s="345">
        <v>1.1200000000000001</v>
      </c>
    </row>
    <row r="3" spans="1:3" ht="15.5">
      <c r="A3" s="344">
        <v>1</v>
      </c>
      <c r="B3" s="345">
        <v>1.19</v>
      </c>
      <c r="C3" s="345">
        <v>0.5</v>
      </c>
    </row>
    <row r="4" spans="1:3" ht="15.5">
      <c r="A4" s="344">
        <v>2</v>
      </c>
      <c r="B4" s="345">
        <v>1.1399999999999999</v>
      </c>
      <c r="C4" s="345">
        <v>0.48</v>
      </c>
    </row>
    <row r="5" spans="1:3" ht="15.5">
      <c r="A5" s="344">
        <v>3</v>
      </c>
      <c r="B5" s="345">
        <v>1.1200000000000001</v>
      </c>
      <c r="C5" s="345">
        <v>0.46</v>
      </c>
    </row>
    <row r="6" spans="1:3" ht="15.5">
      <c r="A6" s="344">
        <v>4</v>
      </c>
      <c r="B6" s="345">
        <v>1.07</v>
      </c>
      <c r="C6" s="345">
        <v>0.46</v>
      </c>
    </row>
    <row r="7" spans="1:3" ht="15.5">
      <c r="A7" s="344">
        <v>5</v>
      </c>
      <c r="B7" s="345">
        <v>1.01</v>
      </c>
      <c r="C7" s="345">
        <v>0.45</v>
      </c>
    </row>
    <row r="8" spans="1:3" ht="15.5">
      <c r="A8" s="344">
        <v>6</v>
      </c>
      <c r="B8" s="345">
        <v>0.95</v>
      </c>
      <c r="C8" s="345">
        <v>0.43</v>
      </c>
    </row>
    <row r="9" spans="1:3" ht="15.5">
      <c r="A9" s="344">
        <v>7</v>
      </c>
      <c r="B9" s="345">
        <v>0.9</v>
      </c>
      <c r="C9" s="345">
        <v>0.42</v>
      </c>
    </row>
    <row r="10" spans="1:3" ht="15.5">
      <c r="A10" s="344">
        <v>8</v>
      </c>
      <c r="B10" s="345">
        <v>0.86</v>
      </c>
      <c r="C10" s="345">
        <v>0.42</v>
      </c>
    </row>
    <row r="11" spans="1:3" ht="15.5">
      <c r="A11" s="344">
        <v>9</v>
      </c>
      <c r="B11" s="345">
        <v>0.85</v>
      </c>
      <c r="C11" s="345">
        <v>0.41</v>
      </c>
    </row>
    <row r="12" spans="1:3" ht="15.5">
      <c r="A12" s="344">
        <v>10</v>
      </c>
      <c r="B12" s="345">
        <v>0.86</v>
      </c>
      <c r="C12" s="345">
        <v>0.4</v>
      </c>
    </row>
    <row r="13" spans="1:3" ht="15.5">
      <c r="A13" s="344">
        <v>11</v>
      </c>
      <c r="B13" s="345">
        <v>0.93</v>
      </c>
      <c r="C13" s="345">
        <v>0.42</v>
      </c>
    </row>
    <row r="14" spans="1:3" ht="15.5">
      <c r="A14" s="344">
        <v>12</v>
      </c>
      <c r="B14" s="345">
        <v>1.06</v>
      </c>
      <c r="C14" s="345">
        <v>0.43</v>
      </c>
    </row>
    <row r="15" spans="1:3" ht="15.5">
      <c r="A15" s="344">
        <v>13</v>
      </c>
      <c r="B15" s="345">
        <v>1.23</v>
      </c>
      <c r="C15" s="345">
        <v>0.46</v>
      </c>
    </row>
    <row r="16" spans="1:3" ht="15.5">
      <c r="A16" s="344">
        <v>14</v>
      </c>
      <c r="B16" s="345">
        <v>1.43</v>
      </c>
      <c r="C16" s="345">
        <v>0.49</v>
      </c>
    </row>
    <row r="17" spans="1:3" ht="15.5">
      <c r="A17" s="344">
        <v>15</v>
      </c>
      <c r="B17" s="345">
        <v>1.64</v>
      </c>
      <c r="C17" s="345">
        <v>0.52</v>
      </c>
    </row>
    <row r="18" spans="1:3" ht="15.5">
      <c r="A18" s="344">
        <v>16</v>
      </c>
      <c r="B18" s="345">
        <v>1.83</v>
      </c>
      <c r="C18" s="345">
        <v>0.55000000000000004</v>
      </c>
    </row>
    <row r="19" spans="1:3" ht="15.5">
      <c r="A19" s="344">
        <v>17</v>
      </c>
      <c r="B19" s="345">
        <v>1.98</v>
      </c>
      <c r="C19" s="345">
        <v>0.56999999999999995</v>
      </c>
    </row>
    <row r="20" spans="1:3" ht="15.5">
      <c r="A20" s="344">
        <v>18</v>
      </c>
      <c r="B20" s="345">
        <v>2.1</v>
      </c>
      <c r="C20" s="345">
        <v>0.6</v>
      </c>
    </row>
    <row r="21" spans="1:3" ht="15.5">
      <c r="A21" s="344">
        <v>19</v>
      </c>
      <c r="B21" s="345">
        <v>2.17</v>
      </c>
      <c r="C21" s="345">
        <v>0.61</v>
      </c>
    </row>
    <row r="22" spans="1:3" ht="15.5">
      <c r="A22" s="344">
        <v>20</v>
      </c>
      <c r="B22" s="345">
        <v>2.19</v>
      </c>
      <c r="C22" s="345">
        <v>0.63</v>
      </c>
    </row>
    <row r="23" spans="1:3" ht="15.5">
      <c r="A23" s="344">
        <v>21</v>
      </c>
      <c r="B23" s="345">
        <v>2.19</v>
      </c>
      <c r="C23" s="345">
        <v>0.64</v>
      </c>
    </row>
    <row r="24" spans="1:3" ht="15.5">
      <c r="A24" s="344">
        <v>22</v>
      </c>
      <c r="B24" s="345">
        <v>2.17</v>
      </c>
      <c r="C24" s="345">
        <v>0.66</v>
      </c>
    </row>
    <row r="25" spans="1:3" ht="15.5">
      <c r="A25" s="344">
        <v>23</v>
      </c>
      <c r="B25" s="345">
        <v>2.12</v>
      </c>
      <c r="C25" s="345">
        <v>0.67</v>
      </c>
    </row>
    <row r="26" spans="1:3" ht="15.5">
      <c r="A26" s="344">
        <v>24</v>
      </c>
      <c r="B26" s="345">
        <v>2.08</v>
      </c>
      <c r="C26" s="345">
        <v>0.69</v>
      </c>
    </row>
    <row r="27" spans="1:3" ht="15.5">
      <c r="A27" s="344">
        <v>25</v>
      </c>
      <c r="B27" s="345">
        <v>2.02</v>
      </c>
      <c r="C27" s="345">
        <v>0.7</v>
      </c>
    </row>
    <row r="28" spans="1:3" ht="15.5">
      <c r="A28" s="344">
        <v>26</v>
      </c>
      <c r="B28" s="345">
        <v>1.98</v>
      </c>
      <c r="C28" s="345">
        <v>0.72</v>
      </c>
    </row>
    <row r="29" spans="1:3" ht="15.5">
      <c r="A29" s="344">
        <v>27</v>
      </c>
      <c r="B29" s="345">
        <v>1.97</v>
      </c>
      <c r="C29" s="345">
        <v>0.74</v>
      </c>
    </row>
    <row r="30" spans="1:3" ht="15.5">
      <c r="A30" s="344">
        <v>28</v>
      </c>
      <c r="B30" s="345">
        <v>1.96</v>
      </c>
      <c r="C30" s="345">
        <v>0.76</v>
      </c>
    </row>
    <row r="31" spans="1:3" ht="15.5">
      <c r="A31" s="344">
        <v>29</v>
      </c>
      <c r="B31" s="345">
        <v>1.98</v>
      </c>
      <c r="C31" s="345">
        <v>0.79</v>
      </c>
    </row>
    <row r="32" spans="1:3" ht="15.5">
      <c r="A32" s="344">
        <v>30</v>
      </c>
      <c r="B32" s="345">
        <v>2.02</v>
      </c>
      <c r="C32" s="345">
        <v>0.82</v>
      </c>
    </row>
    <row r="33" spans="1:3" ht="15.5">
      <c r="A33" s="344">
        <v>31</v>
      </c>
      <c r="B33" s="345">
        <v>2.08</v>
      </c>
      <c r="C33" s="345">
        <v>0.85</v>
      </c>
    </row>
    <row r="34" spans="1:3" ht="15.5">
      <c r="A34" s="344">
        <v>32</v>
      </c>
      <c r="B34" s="345">
        <v>2.16</v>
      </c>
      <c r="C34" s="345">
        <v>0.88</v>
      </c>
    </row>
    <row r="35" spans="1:3" ht="15.5">
      <c r="A35" s="344">
        <v>33</v>
      </c>
      <c r="B35" s="345">
        <v>2.25</v>
      </c>
      <c r="C35" s="345">
        <v>0.92</v>
      </c>
    </row>
    <row r="36" spans="1:3" ht="15.5">
      <c r="A36" s="344">
        <v>34</v>
      </c>
      <c r="B36" s="345">
        <v>2.36</v>
      </c>
      <c r="C36" s="345">
        <v>0.96</v>
      </c>
    </row>
    <row r="37" spans="1:3" ht="15.5">
      <c r="A37" s="344">
        <v>35</v>
      </c>
      <c r="B37" s="345">
        <v>2.5</v>
      </c>
      <c r="C37" s="345">
        <v>1.02</v>
      </c>
    </row>
    <row r="38" spans="1:3" ht="15.5">
      <c r="A38" s="344">
        <v>36</v>
      </c>
      <c r="B38" s="345">
        <v>2.68</v>
      </c>
      <c r="C38" s="345">
        <v>1.0900000000000001</v>
      </c>
    </row>
    <row r="39" spans="1:3" ht="15.5">
      <c r="A39" s="344">
        <v>37</v>
      </c>
      <c r="B39" s="345">
        <v>2.87</v>
      </c>
      <c r="C39" s="345">
        <v>1.17</v>
      </c>
    </row>
    <row r="40" spans="1:3" ht="15.5">
      <c r="A40" s="344">
        <v>38</v>
      </c>
      <c r="B40" s="345">
        <v>3.09</v>
      </c>
      <c r="C40" s="345">
        <v>1.27</v>
      </c>
    </row>
    <row r="41" spans="1:3" ht="15.5">
      <c r="A41" s="344">
        <v>39</v>
      </c>
      <c r="B41" s="345">
        <v>3.35</v>
      </c>
      <c r="C41" s="345">
        <v>1.39</v>
      </c>
    </row>
    <row r="42" spans="1:3" ht="15.5">
      <c r="A42" s="344">
        <v>40</v>
      </c>
      <c r="B42" s="345">
        <v>3.64</v>
      </c>
      <c r="C42" s="345">
        <v>1.51</v>
      </c>
    </row>
    <row r="43" spans="1:3" ht="15.5">
      <c r="A43" s="344">
        <v>41</v>
      </c>
      <c r="B43" s="345">
        <v>3.95</v>
      </c>
      <c r="C43" s="345">
        <v>1.65</v>
      </c>
    </row>
    <row r="44" spans="1:3" ht="15.5">
      <c r="A44" s="344">
        <v>42</v>
      </c>
      <c r="B44" s="345">
        <v>4.28</v>
      </c>
      <c r="C44" s="345">
        <v>1.78</v>
      </c>
    </row>
    <row r="45" spans="1:3" ht="15.5">
      <c r="A45" s="344">
        <v>43</v>
      </c>
      <c r="B45" s="345">
        <v>4.6500000000000004</v>
      </c>
      <c r="C45" s="345">
        <v>1.92</v>
      </c>
    </row>
    <row r="46" spans="1:3" ht="15.5">
      <c r="A46" s="344">
        <v>44</v>
      </c>
      <c r="B46" s="345">
        <v>5.04</v>
      </c>
      <c r="C46" s="345">
        <v>2.06</v>
      </c>
    </row>
    <row r="47" spans="1:3" ht="15.5">
      <c r="A47" s="344">
        <v>45</v>
      </c>
      <c r="B47" s="345">
        <v>5.46</v>
      </c>
      <c r="C47" s="345">
        <v>2.2000000000000002</v>
      </c>
    </row>
    <row r="48" spans="1:3" ht="15.5">
      <c r="A48" s="344">
        <v>46</v>
      </c>
      <c r="B48" s="345">
        <v>5.91</v>
      </c>
      <c r="C48" s="345">
        <v>2.35</v>
      </c>
    </row>
    <row r="49" spans="1:3" ht="15.5">
      <c r="A49" s="344">
        <v>47</v>
      </c>
      <c r="B49" s="345">
        <v>6.39</v>
      </c>
      <c r="C49" s="345">
        <v>2.5099999999999998</v>
      </c>
    </row>
    <row r="50" spans="1:3" ht="15.5">
      <c r="A50" s="344">
        <v>48</v>
      </c>
      <c r="B50" s="345">
        <v>6.89</v>
      </c>
      <c r="C50" s="345">
        <v>2.68</v>
      </c>
    </row>
    <row r="51" spans="1:3" ht="15.5">
      <c r="A51" s="344">
        <v>49</v>
      </c>
      <c r="B51" s="345">
        <v>7.46</v>
      </c>
      <c r="C51" s="345">
        <v>2.87</v>
      </c>
    </row>
    <row r="52" spans="1:3" ht="15.5">
      <c r="A52" s="344">
        <v>50</v>
      </c>
      <c r="B52" s="345">
        <v>8.08</v>
      </c>
      <c r="C52" s="345">
        <v>3.07</v>
      </c>
    </row>
    <row r="53" spans="1:3" ht="15.5">
      <c r="A53" s="344">
        <v>51</v>
      </c>
      <c r="B53" s="345">
        <v>8.81</v>
      </c>
      <c r="C53" s="345">
        <v>3.3</v>
      </c>
    </row>
    <row r="54" spans="1:3" ht="15.5">
      <c r="A54" s="344">
        <v>52</v>
      </c>
      <c r="B54" s="345">
        <v>9.6199999999999992</v>
      </c>
      <c r="C54" s="345">
        <v>3.55</v>
      </c>
    </row>
    <row r="55" spans="1:3" ht="15.5">
      <c r="A55" s="344">
        <v>53</v>
      </c>
      <c r="B55" s="345">
        <v>10.55</v>
      </c>
      <c r="C55" s="345">
        <v>3.82</v>
      </c>
    </row>
    <row r="56" spans="1:3" ht="15.5">
      <c r="A56" s="344">
        <v>54</v>
      </c>
      <c r="B56" s="345">
        <v>11.56</v>
      </c>
      <c r="C56" s="345">
        <v>4.1100000000000003</v>
      </c>
    </row>
    <row r="57" spans="1:3" ht="15.5">
      <c r="A57" s="344">
        <v>55</v>
      </c>
      <c r="B57" s="345">
        <v>12.66</v>
      </c>
      <c r="C57" s="345">
        <v>4.3899999999999997</v>
      </c>
    </row>
    <row r="58" spans="1:3" ht="15.5">
      <c r="A58" s="344">
        <v>56</v>
      </c>
      <c r="B58" s="345">
        <v>13.83</v>
      </c>
      <c r="C58" s="345">
        <v>4.68</v>
      </c>
    </row>
    <row r="59" spans="1:3" ht="15.5">
      <c r="A59" s="344">
        <v>57</v>
      </c>
      <c r="B59" s="345">
        <v>15.06</v>
      </c>
      <c r="C59" s="345">
        <v>4.95</v>
      </c>
    </row>
    <row r="60" spans="1:3" ht="15.5">
      <c r="A60" s="344">
        <v>58</v>
      </c>
      <c r="B60" s="345">
        <v>16.38</v>
      </c>
      <c r="C60" s="345">
        <v>5.22</v>
      </c>
    </row>
    <row r="61" spans="1:3" ht="15.5">
      <c r="A61" s="344">
        <v>59</v>
      </c>
      <c r="B61" s="345">
        <v>17.809999999999999</v>
      </c>
      <c r="C61" s="345">
        <v>5.52</v>
      </c>
    </row>
    <row r="62" spans="1:3" ht="15.5">
      <c r="A62" s="344">
        <v>60</v>
      </c>
      <c r="B62" s="345">
        <v>19.41</v>
      </c>
      <c r="C62" s="345">
        <v>5.88</v>
      </c>
    </row>
    <row r="63" spans="1:3" ht="15.5">
      <c r="A63" s="344">
        <v>61</v>
      </c>
      <c r="B63" s="345">
        <v>21.21</v>
      </c>
      <c r="C63" s="345">
        <v>6.32</v>
      </c>
    </row>
    <row r="64" spans="1:3" ht="15.5">
      <c r="A64" s="344">
        <v>62</v>
      </c>
      <c r="B64" s="345">
        <v>23.24</v>
      </c>
      <c r="C64" s="345">
        <v>6.89</v>
      </c>
    </row>
    <row r="65" spans="1:3" ht="15.5">
      <c r="A65" s="344">
        <v>63</v>
      </c>
      <c r="B65" s="345">
        <v>25.52</v>
      </c>
      <c r="C65" s="345">
        <v>7.57</v>
      </c>
    </row>
    <row r="66" spans="1:3" ht="15.5">
      <c r="A66" s="344">
        <v>64</v>
      </c>
      <c r="B66" s="345">
        <v>28.04</v>
      </c>
      <c r="C66" s="345">
        <v>8.35</v>
      </c>
    </row>
    <row r="67" spans="1:3" ht="15.5">
      <c r="A67" s="344">
        <v>65</v>
      </c>
      <c r="B67" s="345">
        <v>30.76</v>
      </c>
      <c r="C67" s="345">
        <v>9.17</v>
      </c>
    </row>
    <row r="68" spans="1:3" ht="15.5">
      <c r="A68" s="344">
        <v>66</v>
      </c>
      <c r="B68" s="345">
        <v>33.659999999999997</v>
      </c>
      <c r="C68" s="345">
        <v>10.02</v>
      </c>
    </row>
    <row r="69" spans="1:3" ht="15.5">
      <c r="A69" s="344">
        <v>67</v>
      </c>
      <c r="B69" s="345">
        <v>36.729999999999997</v>
      </c>
      <c r="C69" s="345">
        <v>10.87</v>
      </c>
    </row>
    <row r="70" spans="1:3" ht="15.5">
      <c r="A70" s="344">
        <v>68</v>
      </c>
      <c r="B70" s="345">
        <v>40.04</v>
      </c>
      <c r="C70" s="345">
        <v>11.75</v>
      </c>
    </row>
    <row r="71" spans="1:3" ht="15.5">
      <c r="A71" s="344">
        <v>69</v>
      </c>
      <c r="B71" s="345">
        <v>43.69</v>
      </c>
      <c r="C71" s="345">
        <v>12.73</v>
      </c>
    </row>
    <row r="72" spans="1:3" ht="15.5">
      <c r="A72" s="344">
        <v>70</v>
      </c>
      <c r="B72" s="345">
        <v>47.8</v>
      </c>
      <c r="C72" s="345">
        <v>13.89</v>
      </c>
    </row>
    <row r="73" spans="1:3" ht="15.5">
      <c r="A73" s="344">
        <v>71</v>
      </c>
      <c r="B73" s="345">
        <v>52.49</v>
      </c>
      <c r="C73" s="345">
        <v>15.31</v>
      </c>
    </row>
    <row r="74" spans="1:3" ht="15.5">
      <c r="A74" s="344">
        <v>72</v>
      </c>
      <c r="B74" s="345">
        <v>57.87</v>
      </c>
      <c r="C74" s="345">
        <v>17.079999999999998</v>
      </c>
    </row>
    <row r="75" spans="1:3" ht="15.5">
      <c r="A75" s="344">
        <v>73</v>
      </c>
      <c r="B75" s="345">
        <v>63.94</v>
      </c>
      <c r="C75" s="345">
        <v>19.190000000000001</v>
      </c>
    </row>
    <row r="76" spans="1:3" ht="15.5">
      <c r="A76" s="344">
        <v>74</v>
      </c>
      <c r="B76" s="345">
        <v>70.599999999999994</v>
      </c>
      <c r="C76" s="345">
        <v>21.63</v>
      </c>
    </row>
    <row r="77" spans="1:3" ht="15.5">
      <c r="A77" s="344">
        <v>75</v>
      </c>
      <c r="B77" s="345">
        <v>77.709999999999994</v>
      </c>
      <c r="C77" s="345">
        <v>24.33</v>
      </c>
    </row>
    <row r="78" spans="1:3" ht="15.5">
      <c r="A78" s="344">
        <v>76</v>
      </c>
      <c r="B78" s="345">
        <v>85.16</v>
      </c>
      <c r="C78" s="345">
        <v>27.27</v>
      </c>
    </row>
    <row r="79" spans="1:3" ht="15.5">
      <c r="A79" s="344">
        <v>77</v>
      </c>
      <c r="B79" s="345">
        <v>92.87</v>
      </c>
      <c r="C79" s="345">
        <v>30.4</v>
      </c>
    </row>
    <row r="80" spans="1:3" ht="15.5">
      <c r="A80" s="344">
        <v>78</v>
      </c>
      <c r="B80" s="345">
        <v>100.9</v>
      </c>
      <c r="C80" s="345">
        <v>33.79</v>
      </c>
    </row>
    <row r="81" spans="1:3" ht="15.5">
      <c r="A81" s="344">
        <v>79</v>
      </c>
      <c r="B81" s="345">
        <v>109.5</v>
      </c>
      <c r="C81" s="345">
        <v>37.54</v>
      </c>
    </row>
    <row r="82" spans="1:3" ht="15.5">
      <c r="A82" s="344">
        <v>80</v>
      </c>
      <c r="B82" s="345">
        <v>118.95</v>
      </c>
      <c r="C82" s="345">
        <v>41.8</v>
      </c>
    </row>
    <row r="83" spans="1:3" ht="15.5">
      <c r="A83" s="344">
        <v>81</v>
      </c>
      <c r="B83" s="345">
        <v>129.52000000000001</v>
      </c>
      <c r="C83" s="345">
        <v>46.69</v>
      </c>
    </row>
    <row r="84" spans="1:3" ht="15.5">
      <c r="A84" s="344">
        <v>82</v>
      </c>
      <c r="B84" s="345">
        <v>141.44999999999999</v>
      </c>
      <c r="C84" s="345">
        <v>52.35</v>
      </c>
    </row>
    <row r="85" spans="1:3" ht="15.5">
      <c r="A85" s="344">
        <v>83</v>
      </c>
      <c r="B85" s="345">
        <v>154.65</v>
      </c>
      <c r="C85" s="345">
        <v>58.74</v>
      </c>
    </row>
    <row r="86" spans="1:3" ht="15.5">
      <c r="A86" s="344">
        <v>84</v>
      </c>
      <c r="B86" s="345">
        <v>168.84</v>
      </c>
      <c r="C86" s="345">
        <v>65.77</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5536BA-F9CC-4B01-B9DB-A2A53313C7BB}">
  <dimension ref="A1:C87"/>
  <sheetViews>
    <sheetView workbookViewId="0">
      <selection activeCell="G11" sqref="G11"/>
    </sheetView>
  </sheetViews>
  <sheetFormatPr defaultColWidth="9.296875" defaultRowHeight="13"/>
  <cols>
    <col min="1" max="3" width="10.69921875" customWidth="1"/>
  </cols>
  <sheetData>
    <row r="1" spans="1:3" ht="15.75" customHeight="1">
      <c r="A1" s="333" t="s">
        <v>717</v>
      </c>
      <c r="B1" s="334" t="s">
        <v>718</v>
      </c>
      <c r="C1" s="335" t="s">
        <v>719</v>
      </c>
    </row>
    <row r="2" spans="1:3" ht="15.75" customHeight="1">
      <c r="A2" s="336">
        <v>0</v>
      </c>
      <c r="B2" s="337">
        <v>1.98</v>
      </c>
      <c r="C2" s="338">
        <v>1.47</v>
      </c>
    </row>
    <row r="3" spans="1:3" ht="15.75" customHeight="1">
      <c r="A3" s="339">
        <v>1</v>
      </c>
      <c r="B3" s="340">
        <v>1.98</v>
      </c>
      <c r="C3" s="341">
        <v>1.47</v>
      </c>
    </row>
    <row r="4" spans="1:3" ht="15.75" customHeight="1">
      <c r="A4" s="339">
        <v>2</v>
      </c>
      <c r="B4" s="340">
        <v>1.98</v>
      </c>
      <c r="C4" s="341">
        <v>1.47</v>
      </c>
    </row>
    <row r="5" spans="1:3" ht="15.75" customHeight="1">
      <c r="A5" s="339">
        <v>3</v>
      </c>
      <c r="B5" s="340">
        <v>1.98</v>
      </c>
      <c r="C5" s="341">
        <v>1.47</v>
      </c>
    </row>
    <row r="6" spans="1:3" ht="15.75" customHeight="1">
      <c r="A6" s="339">
        <v>4</v>
      </c>
      <c r="B6" s="340">
        <v>1.98</v>
      </c>
      <c r="C6" s="341">
        <v>1.47</v>
      </c>
    </row>
    <row r="7" spans="1:3" ht="15.75" customHeight="1">
      <c r="A7" s="339">
        <v>5</v>
      </c>
      <c r="B7" s="340">
        <v>1.49</v>
      </c>
      <c r="C7" s="341">
        <v>1.1599999999999999</v>
      </c>
    </row>
    <row r="8" spans="1:3" ht="15.75" customHeight="1">
      <c r="A8" s="339">
        <v>6</v>
      </c>
      <c r="B8" s="340">
        <v>1.49</v>
      </c>
      <c r="C8" s="341">
        <v>1.1599999999999999</v>
      </c>
    </row>
    <row r="9" spans="1:3" ht="15.75" customHeight="1">
      <c r="A9" s="339">
        <v>7</v>
      </c>
      <c r="B9" s="340">
        <v>1.49</v>
      </c>
      <c r="C9" s="341">
        <v>1.1599999999999999</v>
      </c>
    </row>
    <row r="10" spans="1:3" ht="15.75" customHeight="1">
      <c r="A10" s="339">
        <v>8</v>
      </c>
      <c r="B10" s="340">
        <v>1.49</v>
      </c>
      <c r="C10" s="341">
        <v>1.1599999999999999</v>
      </c>
    </row>
    <row r="11" spans="1:3" ht="15.75" customHeight="1">
      <c r="A11" s="339">
        <v>9</v>
      </c>
      <c r="B11" s="340">
        <v>1.49</v>
      </c>
      <c r="C11" s="341">
        <v>1.1599999999999999</v>
      </c>
    </row>
    <row r="12" spans="1:3" ht="15.75" customHeight="1">
      <c r="A12" s="339">
        <v>10</v>
      </c>
      <c r="B12" s="340">
        <v>1.64</v>
      </c>
      <c r="C12" s="341">
        <v>1.24</v>
      </c>
    </row>
    <row r="13" spans="1:3" ht="15.75" customHeight="1">
      <c r="A13" s="339">
        <v>11</v>
      </c>
      <c r="B13" s="340">
        <v>1.64</v>
      </c>
      <c r="C13" s="341">
        <v>1.24</v>
      </c>
    </row>
    <row r="14" spans="1:3" ht="15.75" customHeight="1">
      <c r="A14" s="339">
        <v>12</v>
      </c>
      <c r="B14" s="340">
        <v>1.64</v>
      </c>
      <c r="C14" s="341">
        <v>1.24</v>
      </c>
    </row>
    <row r="15" spans="1:3" ht="15.75" customHeight="1">
      <c r="A15" s="339">
        <v>13</v>
      </c>
      <c r="B15" s="340">
        <v>1.64</v>
      </c>
      <c r="C15" s="341">
        <v>1.24</v>
      </c>
    </row>
    <row r="16" spans="1:3" ht="15.75" customHeight="1">
      <c r="A16" s="339">
        <v>14</v>
      </c>
      <c r="B16" s="340">
        <v>1.64</v>
      </c>
      <c r="C16" s="341">
        <v>1.24</v>
      </c>
    </row>
    <row r="17" spans="1:3" ht="15.75" customHeight="1">
      <c r="A17" s="339">
        <v>15</v>
      </c>
      <c r="B17" s="340">
        <v>1.35</v>
      </c>
      <c r="C17" s="341">
        <v>1.08</v>
      </c>
    </row>
    <row r="18" spans="1:3" ht="15.75" customHeight="1">
      <c r="A18" s="339">
        <v>16</v>
      </c>
      <c r="B18" s="340">
        <v>1.35</v>
      </c>
      <c r="C18" s="341">
        <v>1.08</v>
      </c>
    </row>
    <row r="19" spans="1:3" ht="15.75" customHeight="1">
      <c r="A19" s="339">
        <v>17</v>
      </c>
      <c r="B19" s="340">
        <v>1.35</v>
      </c>
      <c r="C19" s="341">
        <v>1.08</v>
      </c>
    </row>
    <row r="20" spans="1:3" ht="15.75" customHeight="1">
      <c r="A20" s="339">
        <v>18</v>
      </c>
      <c r="B20" s="340">
        <v>1.38</v>
      </c>
      <c r="C20" s="341">
        <v>1.1000000000000001</v>
      </c>
    </row>
    <row r="21" spans="1:3" ht="15.75" customHeight="1">
      <c r="A21" s="339">
        <v>19</v>
      </c>
      <c r="B21" s="340">
        <v>1.38</v>
      </c>
      <c r="C21" s="341">
        <v>1.1000000000000001</v>
      </c>
    </row>
    <row r="22" spans="1:3" ht="15.75" customHeight="1">
      <c r="A22" s="339">
        <v>20</v>
      </c>
      <c r="B22" s="340">
        <v>1.6</v>
      </c>
      <c r="C22" s="341">
        <v>1.32</v>
      </c>
    </row>
    <row r="23" spans="1:3" ht="15.75" customHeight="1">
      <c r="A23" s="339">
        <v>21</v>
      </c>
      <c r="B23" s="340">
        <v>1.6</v>
      </c>
      <c r="C23" s="341">
        <v>1.32</v>
      </c>
    </row>
    <row r="24" spans="1:3" ht="15.75" customHeight="1">
      <c r="A24" s="339">
        <v>22</v>
      </c>
      <c r="B24" s="340">
        <v>1.1100000000000001</v>
      </c>
      <c r="C24" s="341">
        <v>1.04</v>
      </c>
    </row>
    <row r="25" spans="1:3" ht="15.75" customHeight="1">
      <c r="A25" s="339">
        <v>23</v>
      </c>
      <c r="B25" s="340">
        <v>1.1100000000000001</v>
      </c>
      <c r="C25" s="341">
        <v>1.04</v>
      </c>
    </row>
    <row r="26" spans="1:3" ht="15.75" customHeight="1">
      <c r="A26" s="339">
        <v>24</v>
      </c>
      <c r="B26" s="340">
        <v>1.1100000000000001</v>
      </c>
      <c r="C26" s="341">
        <v>1.04</v>
      </c>
    </row>
    <row r="27" spans="1:3" ht="15.75" customHeight="1">
      <c r="A27" s="339">
        <v>25</v>
      </c>
      <c r="B27" s="340">
        <v>1.34</v>
      </c>
      <c r="C27" s="341">
        <v>1.45</v>
      </c>
    </row>
    <row r="28" spans="1:3" ht="15.75" customHeight="1">
      <c r="A28" s="339">
        <v>26</v>
      </c>
      <c r="B28" s="340">
        <v>1.34</v>
      </c>
      <c r="C28" s="341">
        <v>1.45</v>
      </c>
    </row>
    <row r="29" spans="1:3" ht="15.75" customHeight="1">
      <c r="A29" s="339">
        <v>27</v>
      </c>
      <c r="B29" s="340">
        <v>1.34</v>
      </c>
      <c r="C29" s="341">
        <v>1.45</v>
      </c>
    </row>
    <row r="30" spans="1:3" ht="15.75" customHeight="1">
      <c r="A30" s="339">
        <v>28</v>
      </c>
      <c r="B30" s="340">
        <v>1.34</v>
      </c>
      <c r="C30" s="341">
        <v>1.45</v>
      </c>
    </row>
    <row r="31" spans="1:3" ht="15.75" customHeight="1">
      <c r="A31" s="339">
        <v>29</v>
      </c>
      <c r="B31" s="340">
        <v>1.34</v>
      </c>
      <c r="C31" s="341">
        <v>1.45</v>
      </c>
    </row>
    <row r="32" spans="1:3" ht="15.75" customHeight="1">
      <c r="A32" s="339">
        <v>30</v>
      </c>
      <c r="B32" s="340">
        <v>2.02</v>
      </c>
      <c r="C32" s="341">
        <v>2.2200000000000002</v>
      </c>
    </row>
    <row r="33" spans="1:3" ht="15.75" customHeight="1">
      <c r="A33" s="339">
        <v>31</v>
      </c>
      <c r="B33" s="340">
        <v>2.02</v>
      </c>
      <c r="C33" s="341">
        <v>2.2200000000000002</v>
      </c>
    </row>
    <row r="34" spans="1:3" ht="15.75" customHeight="1">
      <c r="A34" s="339">
        <v>32</v>
      </c>
      <c r="B34" s="340">
        <v>2.02</v>
      </c>
      <c r="C34" s="341">
        <v>2.2200000000000002</v>
      </c>
    </row>
    <row r="35" spans="1:3" ht="15.75" customHeight="1">
      <c r="A35" s="339">
        <v>33</v>
      </c>
      <c r="B35" s="340">
        <v>2.02</v>
      </c>
      <c r="C35" s="341">
        <v>2.2200000000000002</v>
      </c>
    </row>
    <row r="36" spans="1:3" ht="15.75" customHeight="1">
      <c r="A36" s="339">
        <v>34</v>
      </c>
      <c r="B36" s="340">
        <v>2.02</v>
      </c>
      <c r="C36" s="341">
        <v>2.2200000000000002</v>
      </c>
    </row>
    <row r="37" spans="1:3" ht="15.75" customHeight="1">
      <c r="A37" s="339">
        <v>35</v>
      </c>
      <c r="B37" s="340">
        <v>3.34</v>
      </c>
      <c r="C37" s="341">
        <v>3.76</v>
      </c>
    </row>
    <row r="38" spans="1:3" ht="15.75" customHeight="1">
      <c r="A38" s="339">
        <v>36</v>
      </c>
      <c r="B38" s="340">
        <v>3.34</v>
      </c>
      <c r="C38" s="341">
        <v>3.76</v>
      </c>
    </row>
    <row r="39" spans="1:3" ht="15.75" customHeight="1">
      <c r="A39" s="339">
        <v>37</v>
      </c>
      <c r="B39" s="340">
        <v>3.34</v>
      </c>
      <c r="C39" s="341">
        <v>3.76</v>
      </c>
    </row>
    <row r="40" spans="1:3" ht="15.75" customHeight="1">
      <c r="A40" s="339">
        <v>38</v>
      </c>
      <c r="B40" s="340">
        <v>3.34</v>
      </c>
      <c r="C40" s="341">
        <v>3.76</v>
      </c>
    </row>
    <row r="41" spans="1:3" ht="15.75" customHeight="1">
      <c r="A41" s="339">
        <v>39</v>
      </c>
      <c r="B41" s="340">
        <v>3.34</v>
      </c>
      <c r="C41" s="341">
        <v>3.76</v>
      </c>
    </row>
    <row r="42" spans="1:3" ht="14">
      <c r="A42" s="339">
        <v>40</v>
      </c>
      <c r="B42" s="337">
        <v>5.37</v>
      </c>
      <c r="C42" s="338">
        <v>5.75</v>
      </c>
    </row>
    <row r="43" spans="1:3" ht="14">
      <c r="A43" s="339">
        <v>41</v>
      </c>
      <c r="B43" s="340">
        <v>5.37</v>
      </c>
      <c r="C43" s="341">
        <v>5.75</v>
      </c>
    </row>
    <row r="44" spans="1:3" ht="14">
      <c r="A44" s="339">
        <v>42</v>
      </c>
      <c r="B44" s="340">
        <v>5.37</v>
      </c>
      <c r="C44" s="341">
        <v>5.75</v>
      </c>
    </row>
    <row r="45" spans="1:3" ht="14">
      <c r="A45" s="339">
        <v>43</v>
      </c>
      <c r="B45" s="340">
        <v>5.37</v>
      </c>
      <c r="C45" s="341">
        <v>5.75</v>
      </c>
    </row>
    <row r="46" spans="1:3" ht="14">
      <c r="A46" s="339">
        <v>44</v>
      </c>
      <c r="B46" s="340">
        <v>5.37</v>
      </c>
      <c r="C46" s="341">
        <v>5.75</v>
      </c>
    </row>
    <row r="47" spans="1:3" ht="14">
      <c r="A47" s="339">
        <v>45</v>
      </c>
      <c r="B47" s="340">
        <v>8.67</v>
      </c>
      <c r="C47" s="341">
        <v>8.86</v>
      </c>
    </row>
    <row r="48" spans="1:3" ht="14">
      <c r="A48" s="339">
        <v>46</v>
      </c>
      <c r="B48" s="340">
        <v>8.67</v>
      </c>
      <c r="C48" s="341">
        <v>8.86</v>
      </c>
    </row>
    <row r="49" spans="1:3" ht="14">
      <c r="A49" s="339">
        <v>47</v>
      </c>
      <c r="B49" s="340">
        <v>8.67</v>
      </c>
      <c r="C49" s="341">
        <v>8.86</v>
      </c>
    </row>
    <row r="50" spans="1:3" ht="14">
      <c r="A50" s="339">
        <v>48</v>
      </c>
      <c r="B50" s="340">
        <v>8.67</v>
      </c>
      <c r="C50" s="341">
        <v>8.86</v>
      </c>
    </row>
    <row r="51" spans="1:3" ht="14">
      <c r="A51" s="339">
        <v>49</v>
      </c>
      <c r="B51" s="340">
        <v>8.67</v>
      </c>
      <c r="C51" s="341">
        <v>8.86</v>
      </c>
    </row>
    <row r="52" spans="1:3" ht="14">
      <c r="A52" s="339">
        <v>50</v>
      </c>
      <c r="B52" s="340">
        <v>12.41</v>
      </c>
      <c r="C52" s="341">
        <v>11.88</v>
      </c>
    </row>
    <row r="53" spans="1:3" ht="14">
      <c r="A53" s="339">
        <v>51</v>
      </c>
      <c r="B53" s="340">
        <v>12.41</v>
      </c>
      <c r="C53" s="341">
        <v>11.88</v>
      </c>
    </row>
    <row r="54" spans="1:3" ht="14">
      <c r="A54" s="339">
        <v>52</v>
      </c>
      <c r="B54" s="340">
        <v>12.41</v>
      </c>
      <c r="C54" s="341">
        <v>11.88</v>
      </c>
    </row>
    <row r="55" spans="1:3" ht="14">
      <c r="A55" s="339">
        <v>53</v>
      </c>
      <c r="B55" s="340">
        <v>12.41</v>
      </c>
      <c r="C55" s="341">
        <v>11.88</v>
      </c>
    </row>
    <row r="56" spans="1:3" ht="14">
      <c r="A56" s="339">
        <v>54</v>
      </c>
      <c r="B56" s="340">
        <v>12.41</v>
      </c>
      <c r="C56" s="341">
        <v>11.88</v>
      </c>
    </row>
    <row r="57" spans="1:3" ht="14">
      <c r="A57" s="339">
        <v>55</v>
      </c>
      <c r="B57" s="340">
        <v>19.22</v>
      </c>
      <c r="C57" s="341">
        <v>18.260000000000002</v>
      </c>
    </row>
    <row r="58" spans="1:3" ht="14">
      <c r="A58" s="339">
        <v>56</v>
      </c>
      <c r="B58" s="340">
        <v>19.22</v>
      </c>
      <c r="C58" s="341">
        <v>18.260000000000002</v>
      </c>
    </row>
    <row r="59" spans="1:3" ht="14">
      <c r="A59" s="339">
        <v>57</v>
      </c>
      <c r="B59" s="340">
        <v>19.22</v>
      </c>
      <c r="C59" s="341">
        <v>18.260000000000002</v>
      </c>
    </row>
    <row r="60" spans="1:3" ht="14">
      <c r="A60" s="339">
        <v>58</v>
      </c>
      <c r="B60" s="340">
        <v>19.22</v>
      </c>
      <c r="C60" s="341">
        <v>18.260000000000002</v>
      </c>
    </row>
    <row r="61" spans="1:3" ht="14">
      <c r="A61" s="339">
        <v>59</v>
      </c>
      <c r="B61" s="340">
        <v>19.22</v>
      </c>
      <c r="C61" s="341">
        <v>18.260000000000002</v>
      </c>
    </row>
    <row r="62" spans="1:3" ht="14">
      <c r="A62" s="339">
        <v>60</v>
      </c>
      <c r="B62" s="340">
        <v>28.31</v>
      </c>
      <c r="C62" s="341">
        <v>26.42</v>
      </c>
    </row>
    <row r="63" spans="1:3" ht="14">
      <c r="A63" s="339">
        <v>61</v>
      </c>
      <c r="B63" s="340">
        <v>28.31</v>
      </c>
      <c r="C63" s="341">
        <v>26.42</v>
      </c>
    </row>
    <row r="64" spans="1:3" ht="14">
      <c r="A64" s="339">
        <v>62</v>
      </c>
      <c r="B64" s="340">
        <v>28.31</v>
      </c>
      <c r="C64" s="341">
        <v>26.42</v>
      </c>
    </row>
    <row r="65" spans="1:3" ht="14">
      <c r="A65" s="339">
        <v>63</v>
      </c>
      <c r="B65" s="340">
        <v>28.31</v>
      </c>
      <c r="C65" s="341">
        <v>26.42</v>
      </c>
    </row>
    <row r="66" spans="1:3" ht="14">
      <c r="A66" s="339">
        <v>64</v>
      </c>
      <c r="B66" s="340">
        <v>28.31</v>
      </c>
      <c r="C66" s="341">
        <v>26.42</v>
      </c>
    </row>
    <row r="67" spans="1:3" ht="14">
      <c r="A67" s="339">
        <v>65</v>
      </c>
      <c r="B67" s="340">
        <v>35.51</v>
      </c>
      <c r="C67" s="341">
        <v>31.31</v>
      </c>
    </row>
    <row r="68" spans="1:3" ht="14">
      <c r="A68" s="339">
        <v>66</v>
      </c>
      <c r="B68" s="340">
        <v>35.51</v>
      </c>
      <c r="C68" s="341">
        <v>31.31</v>
      </c>
    </row>
    <row r="69" spans="1:3" ht="14">
      <c r="A69" s="339">
        <v>67</v>
      </c>
      <c r="B69" s="340">
        <v>35.51</v>
      </c>
      <c r="C69" s="341">
        <v>31.31</v>
      </c>
    </row>
    <row r="70" spans="1:3" ht="14">
      <c r="A70" s="339">
        <v>68</v>
      </c>
      <c r="B70" s="340">
        <v>35.51</v>
      </c>
      <c r="C70" s="341">
        <v>31.31</v>
      </c>
    </row>
    <row r="71" spans="1:3" ht="14">
      <c r="A71" s="339">
        <v>69</v>
      </c>
      <c r="B71" s="340">
        <v>35.51</v>
      </c>
      <c r="C71" s="341">
        <v>31.31</v>
      </c>
    </row>
    <row r="72" spans="1:3" ht="14">
      <c r="A72" s="339">
        <v>70</v>
      </c>
      <c r="B72" s="340">
        <v>47.55</v>
      </c>
      <c r="C72" s="341">
        <v>43.06</v>
      </c>
    </row>
    <row r="73" spans="1:3" ht="14">
      <c r="A73" s="339">
        <v>71</v>
      </c>
      <c r="B73" s="340">
        <v>46.43</v>
      </c>
      <c r="C73" s="341">
        <v>42.7</v>
      </c>
    </row>
    <row r="74" spans="1:3" ht="14">
      <c r="A74" s="339">
        <v>72</v>
      </c>
      <c r="B74" s="340">
        <v>46.43</v>
      </c>
      <c r="C74" s="341">
        <v>42.7</v>
      </c>
    </row>
    <row r="75" spans="1:3" ht="14">
      <c r="A75" s="339">
        <v>73</v>
      </c>
      <c r="B75" s="340">
        <v>46.43</v>
      </c>
      <c r="C75" s="341">
        <v>42.7</v>
      </c>
    </row>
    <row r="76" spans="1:3" ht="14">
      <c r="A76" s="339">
        <v>74</v>
      </c>
      <c r="B76" s="340">
        <v>46.43</v>
      </c>
      <c r="C76" s="341">
        <v>42.7</v>
      </c>
    </row>
    <row r="77" spans="1:3" ht="14">
      <c r="A77" s="339">
        <v>75</v>
      </c>
      <c r="B77" s="340">
        <v>74.05</v>
      </c>
      <c r="C77" s="341">
        <v>65.400000000000006</v>
      </c>
    </row>
    <row r="78" spans="1:3" ht="14">
      <c r="A78" s="339">
        <v>76</v>
      </c>
      <c r="B78" s="340">
        <v>74.05</v>
      </c>
      <c r="C78" s="341">
        <v>65.400000000000006</v>
      </c>
    </row>
    <row r="79" spans="1:3" ht="14">
      <c r="A79" s="339">
        <v>77</v>
      </c>
      <c r="B79" s="340">
        <v>74.05</v>
      </c>
      <c r="C79" s="341">
        <v>65.400000000000006</v>
      </c>
    </row>
    <row r="80" spans="1:3" ht="14">
      <c r="A80" s="339">
        <v>78</v>
      </c>
      <c r="B80" s="340">
        <v>74.05</v>
      </c>
      <c r="C80" s="341">
        <v>65.400000000000006</v>
      </c>
    </row>
    <row r="81" spans="1:3" ht="14">
      <c r="A81" s="339">
        <v>79</v>
      </c>
      <c r="B81" s="340">
        <v>74.05</v>
      </c>
      <c r="C81" s="341">
        <v>65.400000000000006</v>
      </c>
    </row>
    <row r="82" spans="1:3" ht="14">
      <c r="A82" s="339">
        <v>80</v>
      </c>
      <c r="B82" s="337">
        <v>108.52</v>
      </c>
      <c r="C82" s="338">
        <v>93.54</v>
      </c>
    </row>
    <row r="83" spans="1:3" ht="14">
      <c r="A83" s="339">
        <v>81</v>
      </c>
      <c r="B83" s="340">
        <v>108.52</v>
      </c>
      <c r="C83" s="341">
        <v>93.54</v>
      </c>
    </row>
    <row r="84" spans="1:3" ht="14">
      <c r="A84" s="339">
        <v>82</v>
      </c>
      <c r="B84" s="340">
        <v>108.52</v>
      </c>
      <c r="C84" s="341">
        <v>93.54</v>
      </c>
    </row>
    <row r="85" spans="1:3" ht="14">
      <c r="A85" s="339">
        <v>83</v>
      </c>
      <c r="B85" s="340">
        <v>108.52</v>
      </c>
      <c r="C85" s="341">
        <v>93.54</v>
      </c>
    </row>
    <row r="86" spans="1:3" ht="14">
      <c r="A86" s="339">
        <v>84</v>
      </c>
      <c r="B86" s="340">
        <v>108.52</v>
      </c>
      <c r="C86" s="341">
        <v>93.54</v>
      </c>
    </row>
    <row r="87" spans="1:3" ht="14">
      <c r="A87" s="339">
        <v>85</v>
      </c>
      <c r="B87" s="342">
        <v>126.75</v>
      </c>
      <c r="C87" s="343">
        <v>109.46</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72B2C5-7BA6-4C2C-AE02-F703C05BCF38}">
  <dimension ref="A1:AR48"/>
  <sheetViews>
    <sheetView topLeftCell="E1" zoomScale="70" zoomScaleNormal="70" workbookViewId="0">
      <selection activeCell="E13" sqref="A13:XFD13"/>
    </sheetView>
  </sheetViews>
  <sheetFormatPr defaultColWidth="9.296875" defaultRowHeight="13"/>
  <cols>
    <col min="1" max="1" width="9.296875" style="330"/>
    <col min="2" max="16384" width="9.296875" style="329"/>
  </cols>
  <sheetData>
    <row r="1" spans="1:44" s="331" customFormat="1">
      <c r="A1" s="330" t="s">
        <v>1</v>
      </c>
      <c r="B1" s="348">
        <v>5</v>
      </c>
      <c r="C1" s="348">
        <v>6</v>
      </c>
      <c r="D1" s="348">
        <v>7</v>
      </c>
      <c r="E1" s="348">
        <v>8</v>
      </c>
      <c r="F1" s="348">
        <v>9</v>
      </c>
      <c r="G1" s="348">
        <v>10</v>
      </c>
      <c r="H1" s="348">
        <v>11</v>
      </c>
      <c r="I1" s="348">
        <v>12</v>
      </c>
      <c r="J1" s="348">
        <v>13</v>
      </c>
      <c r="K1" s="348">
        <v>14</v>
      </c>
      <c r="L1" s="348">
        <v>15</v>
      </c>
      <c r="M1" s="348">
        <v>16</v>
      </c>
      <c r="N1" s="348">
        <v>17</v>
      </c>
      <c r="O1" s="348">
        <v>18</v>
      </c>
      <c r="P1" s="348">
        <v>19</v>
      </c>
      <c r="Q1" s="348">
        <v>20</v>
      </c>
      <c r="R1" s="348">
        <v>21</v>
      </c>
      <c r="S1" s="348">
        <v>22</v>
      </c>
      <c r="T1" s="348">
        <v>23</v>
      </c>
      <c r="U1" s="348">
        <v>24</v>
      </c>
      <c r="V1" s="348">
        <v>25</v>
      </c>
      <c r="W1" s="348">
        <v>26</v>
      </c>
      <c r="X1" s="348">
        <v>27</v>
      </c>
      <c r="Y1" s="348">
        <v>28</v>
      </c>
      <c r="Z1" s="348">
        <v>29</v>
      </c>
      <c r="AA1" s="348">
        <v>30</v>
      </c>
      <c r="AB1" s="348">
        <v>31</v>
      </c>
      <c r="AC1" s="348">
        <v>32</v>
      </c>
      <c r="AD1" s="348">
        <v>33</v>
      </c>
      <c r="AE1" s="348">
        <v>34</v>
      </c>
      <c r="AF1" s="348">
        <v>35</v>
      </c>
      <c r="AG1" s="348">
        <v>36</v>
      </c>
      <c r="AH1" s="348">
        <v>37</v>
      </c>
      <c r="AI1" s="348">
        <v>38</v>
      </c>
      <c r="AJ1" s="348">
        <v>39</v>
      </c>
      <c r="AK1" s="348">
        <v>40</v>
      </c>
      <c r="AL1" s="348">
        <v>41</v>
      </c>
      <c r="AM1" s="348">
        <v>42</v>
      </c>
      <c r="AN1" s="348">
        <v>43</v>
      </c>
      <c r="AO1" s="348">
        <v>44</v>
      </c>
      <c r="AP1" s="348">
        <v>45</v>
      </c>
      <c r="AQ1" s="348">
        <v>46</v>
      </c>
      <c r="AR1" s="348">
        <v>47</v>
      </c>
    </row>
    <row r="2" spans="1:44">
      <c r="A2" s="347">
        <v>18</v>
      </c>
      <c r="B2" s="329">
        <v>8.73</v>
      </c>
      <c r="C2" s="329">
        <v>9.41</v>
      </c>
      <c r="D2" s="329">
        <v>10.28</v>
      </c>
      <c r="E2" s="329">
        <v>11.23</v>
      </c>
      <c r="F2" s="329">
        <v>12.24</v>
      </c>
      <c r="G2" s="329">
        <v>13.25</v>
      </c>
      <c r="H2" s="329">
        <v>14.23</v>
      </c>
      <c r="I2" s="329">
        <v>15.31</v>
      </c>
      <c r="J2" s="329">
        <v>16.37</v>
      </c>
      <c r="K2" s="329">
        <v>17.41</v>
      </c>
      <c r="L2" s="329">
        <v>18.41</v>
      </c>
      <c r="M2" s="329">
        <v>19.38</v>
      </c>
      <c r="N2" s="329">
        <v>20.350000000000001</v>
      </c>
      <c r="O2" s="329">
        <v>21.27</v>
      </c>
      <c r="P2" s="329">
        <v>22.18</v>
      </c>
      <c r="Q2" s="329">
        <v>23.05</v>
      </c>
      <c r="R2" s="329">
        <v>23.88</v>
      </c>
      <c r="S2" s="329">
        <v>24.69</v>
      </c>
      <c r="T2" s="329">
        <v>25.47</v>
      </c>
      <c r="U2" s="329">
        <v>26.2</v>
      </c>
      <c r="V2" s="329">
        <v>26.92</v>
      </c>
      <c r="W2" s="329">
        <v>27.6</v>
      </c>
      <c r="X2" s="329">
        <v>28.27</v>
      </c>
      <c r="Y2" s="329">
        <v>28.88</v>
      </c>
      <c r="Z2" s="329">
        <v>29.48</v>
      </c>
      <c r="AA2" s="329">
        <v>30.05</v>
      </c>
      <c r="AB2" s="329">
        <v>30.6</v>
      </c>
      <c r="AC2" s="329">
        <v>31.13</v>
      </c>
      <c r="AD2" s="329">
        <v>31.64</v>
      </c>
      <c r="AE2" s="329">
        <v>32.119999999999997</v>
      </c>
      <c r="AF2" s="329">
        <v>32.590000000000003</v>
      </c>
      <c r="AG2" s="329">
        <v>33.049999999999997</v>
      </c>
      <c r="AH2" s="329">
        <v>33.53</v>
      </c>
      <c r="AI2" s="329">
        <v>34.020000000000003</v>
      </c>
      <c r="AJ2" s="329">
        <v>34.6</v>
      </c>
      <c r="AK2" s="329">
        <v>35.200000000000003</v>
      </c>
      <c r="AL2" s="329">
        <v>35.85</v>
      </c>
      <c r="AM2" s="329">
        <v>36.53</v>
      </c>
      <c r="AN2" s="329">
        <v>37.26</v>
      </c>
      <c r="AO2" s="329">
        <v>37.96</v>
      </c>
      <c r="AP2" s="329">
        <v>38.72</v>
      </c>
      <c r="AQ2" s="329">
        <v>39.47</v>
      </c>
      <c r="AR2" s="329">
        <v>40.22</v>
      </c>
    </row>
    <row r="3" spans="1:44">
      <c r="A3" s="347">
        <v>19</v>
      </c>
      <c r="B3" s="329">
        <v>9.1300000000000008</v>
      </c>
      <c r="C3" s="329">
        <v>9.81</v>
      </c>
      <c r="D3" s="329">
        <v>10.69</v>
      </c>
      <c r="E3" s="329">
        <v>11.66</v>
      </c>
      <c r="F3" s="329">
        <v>12.69</v>
      </c>
      <c r="G3" s="329">
        <v>13.72</v>
      </c>
      <c r="H3" s="329">
        <v>14.71</v>
      </c>
      <c r="I3" s="329">
        <v>15.82</v>
      </c>
      <c r="J3" s="329">
        <v>16.899999999999999</v>
      </c>
      <c r="K3" s="329">
        <v>17.96</v>
      </c>
      <c r="L3" s="329">
        <v>18.98</v>
      </c>
      <c r="M3" s="329">
        <v>19.97</v>
      </c>
      <c r="N3" s="329">
        <v>20.96</v>
      </c>
      <c r="O3" s="329">
        <v>21.91</v>
      </c>
      <c r="P3" s="329">
        <v>22.83</v>
      </c>
      <c r="Q3" s="329">
        <v>23.73</v>
      </c>
      <c r="R3" s="329">
        <v>24.58</v>
      </c>
      <c r="S3" s="329">
        <v>25.41</v>
      </c>
      <c r="T3" s="329">
        <v>26.21</v>
      </c>
      <c r="U3" s="329">
        <v>26.97</v>
      </c>
      <c r="V3" s="329">
        <v>27.7</v>
      </c>
      <c r="W3" s="329">
        <v>28.4</v>
      </c>
      <c r="X3" s="329">
        <v>29.09</v>
      </c>
      <c r="Y3" s="329">
        <v>29.72</v>
      </c>
      <c r="Z3" s="329">
        <v>30.34</v>
      </c>
      <c r="AA3" s="329">
        <v>30.93</v>
      </c>
      <c r="AB3" s="329">
        <v>31.5</v>
      </c>
      <c r="AC3" s="329">
        <v>32.049999999999997</v>
      </c>
      <c r="AD3" s="329">
        <v>32.58</v>
      </c>
      <c r="AE3" s="329">
        <v>33.1</v>
      </c>
      <c r="AF3" s="329">
        <v>33.630000000000003</v>
      </c>
      <c r="AG3" s="329">
        <v>34.19</v>
      </c>
      <c r="AH3" s="329">
        <v>34.770000000000003</v>
      </c>
      <c r="AI3" s="329">
        <v>35.380000000000003</v>
      </c>
      <c r="AJ3" s="329">
        <v>36.049999999999997</v>
      </c>
      <c r="AK3" s="329">
        <v>36.74</v>
      </c>
      <c r="AL3" s="329">
        <v>37.46</v>
      </c>
      <c r="AM3" s="329">
        <v>38.200000000000003</v>
      </c>
      <c r="AN3" s="329">
        <v>38.979999999999997</v>
      </c>
      <c r="AO3" s="329">
        <v>39.75</v>
      </c>
      <c r="AP3" s="329">
        <v>40.56</v>
      </c>
      <c r="AQ3" s="329">
        <v>41.39</v>
      </c>
      <c r="AR3" s="329" t="s">
        <v>138</v>
      </c>
    </row>
    <row r="4" spans="1:44">
      <c r="A4" s="347">
        <v>20</v>
      </c>
      <c r="B4" s="329">
        <v>9.5399999999999991</v>
      </c>
      <c r="C4" s="329">
        <v>10.199999999999999</v>
      </c>
      <c r="D4" s="329">
        <v>11.1</v>
      </c>
      <c r="E4" s="329">
        <v>12.09</v>
      </c>
      <c r="F4" s="329">
        <v>13.14</v>
      </c>
      <c r="G4" s="329">
        <v>14.19</v>
      </c>
      <c r="H4" s="329">
        <v>15.2</v>
      </c>
      <c r="I4" s="329">
        <v>16.329999999999998</v>
      </c>
      <c r="J4" s="329">
        <v>17.43</v>
      </c>
      <c r="K4" s="329">
        <v>18.510000000000002</v>
      </c>
      <c r="L4" s="329">
        <v>19.55</v>
      </c>
      <c r="M4" s="329">
        <v>20.56</v>
      </c>
      <c r="N4" s="329">
        <v>21.57</v>
      </c>
      <c r="O4" s="329">
        <v>22.55</v>
      </c>
      <c r="P4" s="329">
        <v>23.49</v>
      </c>
      <c r="Q4" s="329">
        <v>24.41</v>
      </c>
      <c r="R4" s="329">
        <v>25.28</v>
      </c>
      <c r="S4" s="329">
        <v>26.13</v>
      </c>
      <c r="T4" s="329">
        <v>26.95</v>
      </c>
      <c r="U4" s="329">
        <v>27.73</v>
      </c>
      <c r="V4" s="329">
        <v>28.48</v>
      </c>
      <c r="W4" s="329">
        <v>29.21</v>
      </c>
      <c r="X4" s="329">
        <v>29.9</v>
      </c>
      <c r="Y4" s="329">
        <v>30.57</v>
      </c>
      <c r="Z4" s="329">
        <v>31.2</v>
      </c>
      <c r="AA4" s="329">
        <v>31.81</v>
      </c>
      <c r="AB4" s="329">
        <v>32.4</v>
      </c>
      <c r="AC4" s="329">
        <v>32.97</v>
      </c>
      <c r="AD4" s="329">
        <v>33.520000000000003</v>
      </c>
      <c r="AE4" s="329">
        <v>34.07</v>
      </c>
      <c r="AF4" s="329">
        <v>34.67</v>
      </c>
      <c r="AG4" s="329">
        <v>35.33</v>
      </c>
      <c r="AH4" s="329">
        <v>36.020000000000003</v>
      </c>
      <c r="AI4" s="329">
        <v>36.75</v>
      </c>
      <c r="AJ4" s="329">
        <v>37.5</v>
      </c>
      <c r="AK4" s="329">
        <v>38.270000000000003</v>
      </c>
      <c r="AL4" s="329">
        <v>39.06</v>
      </c>
      <c r="AM4" s="329">
        <v>39.869999999999997</v>
      </c>
      <c r="AN4" s="329">
        <v>40.69</v>
      </c>
      <c r="AO4" s="329">
        <v>41.54</v>
      </c>
      <c r="AP4" s="329">
        <v>42.4</v>
      </c>
      <c r="AQ4" s="329" t="s">
        <v>138</v>
      </c>
      <c r="AR4" s="329" t="s">
        <v>138</v>
      </c>
    </row>
    <row r="5" spans="1:44">
      <c r="A5" s="347">
        <v>21</v>
      </c>
      <c r="B5" s="329">
        <v>9.67</v>
      </c>
      <c r="C5" s="329">
        <v>10.31</v>
      </c>
      <c r="D5" s="329">
        <v>11.21</v>
      </c>
      <c r="E5" s="329">
        <v>12.21</v>
      </c>
      <c r="F5" s="329">
        <v>13.25</v>
      </c>
      <c r="G5" s="329">
        <v>14.3</v>
      </c>
      <c r="H5" s="329">
        <v>15.32</v>
      </c>
      <c r="I5" s="329">
        <v>16.46</v>
      </c>
      <c r="J5" s="329">
        <v>17.57</v>
      </c>
      <c r="K5" s="329">
        <v>18.66</v>
      </c>
      <c r="L5" s="329">
        <v>19.72</v>
      </c>
      <c r="M5" s="329">
        <v>20.74</v>
      </c>
      <c r="N5" s="329">
        <v>21.76</v>
      </c>
      <c r="O5" s="329">
        <v>22.75</v>
      </c>
      <c r="P5" s="329">
        <v>23.71</v>
      </c>
      <c r="Q5" s="329">
        <v>24.64</v>
      </c>
      <c r="R5" s="329">
        <v>25.53</v>
      </c>
      <c r="S5" s="329">
        <v>26.4</v>
      </c>
      <c r="T5" s="329">
        <v>27.24</v>
      </c>
      <c r="U5" s="329">
        <v>28.04</v>
      </c>
      <c r="V5" s="329">
        <v>28.81</v>
      </c>
      <c r="W5" s="329">
        <v>29.56</v>
      </c>
      <c r="X5" s="329">
        <v>30.29</v>
      </c>
      <c r="Y5" s="329">
        <v>31</v>
      </c>
      <c r="Z5" s="329">
        <v>31.69</v>
      </c>
      <c r="AA5" s="329">
        <v>32.369999999999997</v>
      </c>
      <c r="AB5" s="329">
        <v>33.03</v>
      </c>
      <c r="AC5" s="329">
        <v>33.68</v>
      </c>
      <c r="AD5" s="329">
        <v>34.32</v>
      </c>
      <c r="AE5" s="329">
        <v>34.96</v>
      </c>
      <c r="AF5" s="329">
        <v>35.64</v>
      </c>
      <c r="AG5" s="329">
        <v>36.369999999999997</v>
      </c>
      <c r="AH5" s="329">
        <v>37.130000000000003</v>
      </c>
      <c r="AI5" s="329">
        <v>37.92</v>
      </c>
      <c r="AJ5" s="329">
        <v>38.74</v>
      </c>
      <c r="AK5" s="329">
        <v>39.58</v>
      </c>
      <c r="AL5" s="329">
        <v>40.44</v>
      </c>
      <c r="AM5" s="329">
        <v>41.32</v>
      </c>
      <c r="AN5" s="329">
        <v>42.26</v>
      </c>
      <c r="AO5" s="329">
        <v>43.27</v>
      </c>
      <c r="AP5" s="329" t="s">
        <v>138</v>
      </c>
      <c r="AQ5" s="329" t="s">
        <v>138</v>
      </c>
      <c r="AR5" s="329" t="s">
        <v>138</v>
      </c>
    </row>
    <row r="6" spans="1:44">
      <c r="A6" s="347">
        <v>22</v>
      </c>
      <c r="B6" s="329">
        <v>9.8000000000000007</v>
      </c>
      <c r="C6" s="329">
        <v>10.43</v>
      </c>
      <c r="D6" s="329">
        <v>11.32</v>
      </c>
      <c r="E6" s="329">
        <v>12.32</v>
      </c>
      <c r="F6" s="329">
        <v>13.36</v>
      </c>
      <c r="G6" s="329">
        <v>14.42</v>
      </c>
      <c r="H6" s="329">
        <v>15.44</v>
      </c>
      <c r="I6" s="329">
        <v>16.59</v>
      </c>
      <c r="J6" s="329">
        <v>17.71</v>
      </c>
      <c r="K6" s="329">
        <v>18.809999999999999</v>
      </c>
      <c r="L6" s="329">
        <v>19.88</v>
      </c>
      <c r="M6" s="329">
        <v>20.91</v>
      </c>
      <c r="N6" s="329">
        <v>21.95</v>
      </c>
      <c r="O6" s="329">
        <v>22.96</v>
      </c>
      <c r="P6" s="329">
        <v>23.94</v>
      </c>
      <c r="Q6" s="329">
        <v>24.88</v>
      </c>
      <c r="R6" s="329">
        <v>25.79</v>
      </c>
      <c r="S6" s="329">
        <v>26.67</v>
      </c>
      <c r="T6" s="329">
        <v>27.52</v>
      </c>
      <c r="U6" s="329">
        <v>28.35</v>
      </c>
      <c r="V6" s="329">
        <v>29.15</v>
      </c>
      <c r="W6" s="329">
        <v>29.92</v>
      </c>
      <c r="X6" s="329">
        <v>30.68</v>
      </c>
      <c r="Y6" s="329">
        <v>31.43</v>
      </c>
      <c r="Z6" s="329">
        <v>32.18</v>
      </c>
      <c r="AA6" s="329">
        <v>32.92</v>
      </c>
      <c r="AB6" s="329">
        <v>33.659999999999997</v>
      </c>
      <c r="AC6" s="329">
        <v>34.39</v>
      </c>
      <c r="AD6" s="329">
        <v>35.11</v>
      </c>
      <c r="AE6" s="329">
        <v>35.840000000000003</v>
      </c>
      <c r="AF6" s="329">
        <v>36.61</v>
      </c>
      <c r="AG6" s="329">
        <v>37.409999999999997</v>
      </c>
      <c r="AH6" s="329">
        <v>38.24</v>
      </c>
      <c r="AI6" s="329">
        <v>39.1</v>
      </c>
      <c r="AJ6" s="329">
        <v>39.979999999999997</v>
      </c>
      <c r="AK6" s="329">
        <v>40.89</v>
      </c>
      <c r="AL6" s="329">
        <v>41.81</v>
      </c>
      <c r="AM6" s="329">
        <v>42.76</v>
      </c>
      <c r="AN6" s="329">
        <v>43.83</v>
      </c>
      <c r="AO6" s="329" t="s">
        <v>138</v>
      </c>
      <c r="AP6" s="329" t="s">
        <v>138</v>
      </c>
      <c r="AQ6" s="329" t="s">
        <v>138</v>
      </c>
      <c r="AR6" s="329" t="s">
        <v>138</v>
      </c>
    </row>
    <row r="7" spans="1:44">
      <c r="A7" s="347">
        <v>23</v>
      </c>
      <c r="B7" s="329">
        <v>9.92</v>
      </c>
      <c r="C7" s="329">
        <v>10.54</v>
      </c>
      <c r="D7" s="329">
        <v>11.43</v>
      </c>
      <c r="E7" s="329">
        <v>12.43</v>
      </c>
      <c r="F7" s="329">
        <v>13.48</v>
      </c>
      <c r="G7" s="329">
        <v>14.54</v>
      </c>
      <c r="H7" s="329">
        <v>15.56</v>
      </c>
      <c r="I7" s="329">
        <v>16.72</v>
      </c>
      <c r="J7" s="329">
        <v>17.850000000000001</v>
      </c>
      <c r="K7" s="329">
        <v>18.96</v>
      </c>
      <c r="L7" s="329">
        <v>20.04</v>
      </c>
      <c r="M7" s="329">
        <v>21.09</v>
      </c>
      <c r="N7" s="329">
        <v>22.14</v>
      </c>
      <c r="O7" s="329">
        <v>23.17</v>
      </c>
      <c r="P7" s="329">
        <v>24.16</v>
      </c>
      <c r="Q7" s="329">
        <v>25.12</v>
      </c>
      <c r="R7" s="329">
        <v>26.04</v>
      </c>
      <c r="S7" s="329">
        <v>26.94</v>
      </c>
      <c r="T7" s="329">
        <v>27.81</v>
      </c>
      <c r="U7" s="329">
        <v>28.66</v>
      </c>
      <c r="V7" s="329">
        <v>29.48</v>
      </c>
      <c r="W7" s="329">
        <v>30.28</v>
      </c>
      <c r="X7" s="329">
        <v>31.07</v>
      </c>
      <c r="Y7" s="329">
        <v>31.86</v>
      </c>
      <c r="Z7" s="329">
        <v>32.67</v>
      </c>
      <c r="AA7" s="329">
        <v>33.479999999999997</v>
      </c>
      <c r="AB7" s="329">
        <v>34.28</v>
      </c>
      <c r="AC7" s="329">
        <v>35.1</v>
      </c>
      <c r="AD7" s="329">
        <v>35.909999999999997</v>
      </c>
      <c r="AE7" s="329">
        <v>36.729999999999997</v>
      </c>
      <c r="AF7" s="329">
        <v>37.58</v>
      </c>
      <c r="AG7" s="329">
        <v>38.450000000000003</v>
      </c>
      <c r="AH7" s="329">
        <v>39.35</v>
      </c>
      <c r="AI7" s="329">
        <v>40.28</v>
      </c>
      <c r="AJ7" s="329">
        <v>41.22</v>
      </c>
      <c r="AK7" s="329">
        <v>42.19</v>
      </c>
      <c r="AL7" s="329">
        <v>43.19</v>
      </c>
      <c r="AM7" s="329">
        <v>44.21</v>
      </c>
      <c r="AN7" s="329" t="s">
        <v>138</v>
      </c>
      <c r="AO7" s="329" t="s">
        <v>138</v>
      </c>
      <c r="AP7" s="329" t="s">
        <v>138</v>
      </c>
      <c r="AQ7" s="329" t="s">
        <v>138</v>
      </c>
      <c r="AR7" s="329" t="s">
        <v>138</v>
      </c>
    </row>
    <row r="8" spans="1:44">
      <c r="A8" s="347">
        <v>24</v>
      </c>
      <c r="B8" s="329">
        <v>10.050000000000001</v>
      </c>
      <c r="C8" s="329">
        <v>10.65</v>
      </c>
      <c r="D8" s="329">
        <v>11.55</v>
      </c>
      <c r="E8" s="329">
        <v>12.54</v>
      </c>
      <c r="F8" s="329">
        <v>13.59</v>
      </c>
      <c r="G8" s="329">
        <v>14.65</v>
      </c>
      <c r="H8" s="329">
        <v>15.68</v>
      </c>
      <c r="I8" s="329">
        <v>16.850000000000001</v>
      </c>
      <c r="J8" s="329">
        <v>17.989999999999998</v>
      </c>
      <c r="K8" s="329">
        <v>19.11</v>
      </c>
      <c r="L8" s="329">
        <v>20.21</v>
      </c>
      <c r="M8" s="329">
        <v>21.27</v>
      </c>
      <c r="N8" s="329">
        <v>22.34</v>
      </c>
      <c r="O8" s="329">
        <v>23.37</v>
      </c>
      <c r="P8" s="329">
        <v>24.38</v>
      </c>
      <c r="Q8" s="329">
        <v>25.36</v>
      </c>
      <c r="R8" s="329">
        <v>26.3</v>
      </c>
      <c r="S8" s="329">
        <v>27.22</v>
      </c>
      <c r="T8" s="329">
        <v>28.1</v>
      </c>
      <c r="U8" s="329">
        <v>28.97</v>
      </c>
      <c r="V8" s="329">
        <v>29.81</v>
      </c>
      <c r="W8" s="329">
        <v>30.63</v>
      </c>
      <c r="X8" s="329">
        <v>31.46</v>
      </c>
      <c r="Y8" s="329">
        <v>32.299999999999997</v>
      </c>
      <c r="Z8" s="329">
        <v>33.159999999999997</v>
      </c>
      <c r="AA8" s="329">
        <v>34.03</v>
      </c>
      <c r="AB8" s="329">
        <v>34.909999999999997</v>
      </c>
      <c r="AC8" s="329">
        <v>35.82</v>
      </c>
      <c r="AD8" s="329">
        <v>36.71</v>
      </c>
      <c r="AE8" s="329">
        <v>37.619999999999997</v>
      </c>
      <c r="AF8" s="329">
        <v>38.54</v>
      </c>
      <c r="AG8" s="329">
        <v>39.49</v>
      </c>
      <c r="AH8" s="329">
        <v>40.46</v>
      </c>
      <c r="AI8" s="329">
        <v>41.45</v>
      </c>
      <c r="AJ8" s="329">
        <v>42.46</v>
      </c>
      <c r="AK8" s="329">
        <v>43.5</v>
      </c>
      <c r="AL8" s="329">
        <v>44.56</v>
      </c>
      <c r="AM8" s="329" t="s">
        <v>138</v>
      </c>
      <c r="AN8" s="329" t="s">
        <v>138</v>
      </c>
      <c r="AO8" s="329" t="s">
        <v>138</v>
      </c>
      <c r="AP8" s="329" t="s">
        <v>138</v>
      </c>
      <c r="AQ8" s="329" t="s">
        <v>138</v>
      </c>
      <c r="AR8" s="329" t="s">
        <v>138</v>
      </c>
    </row>
    <row r="9" spans="1:44">
      <c r="A9" s="347">
        <v>25</v>
      </c>
      <c r="B9" s="329">
        <v>10.18</v>
      </c>
      <c r="C9" s="329">
        <v>10.77</v>
      </c>
      <c r="D9" s="329">
        <v>11.66</v>
      </c>
      <c r="E9" s="329">
        <v>12.66</v>
      </c>
      <c r="F9" s="329">
        <v>13.7</v>
      </c>
      <c r="G9" s="329">
        <v>14.77</v>
      </c>
      <c r="H9" s="329">
        <v>15.81</v>
      </c>
      <c r="I9" s="329">
        <v>16.97</v>
      </c>
      <c r="J9" s="329">
        <v>18.13</v>
      </c>
      <c r="K9" s="329">
        <v>19.260000000000002</v>
      </c>
      <c r="L9" s="329">
        <v>20.37</v>
      </c>
      <c r="M9" s="329">
        <v>21.44</v>
      </c>
      <c r="N9" s="329">
        <v>22.53</v>
      </c>
      <c r="O9" s="329">
        <v>23.58</v>
      </c>
      <c r="P9" s="329">
        <v>24.6</v>
      </c>
      <c r="Q9" s="329">
        <v>25.6</v>
      </c>
      <c r="R9" s="329">
        <v>26.55</v>
      </c>
      <c r="S9" s="329">
        <v>27.49</v>
      </c>
      <c r="T9" s="329">
        <v>28.39</v>
      </c>
      <c r="U9" s="329">
        <v>29.28</v>
      </c>
      <c r="V9" s="329">
        <v>30.14</v>
      </c>
      <c r="W9" s="329">
        <v>30.99</v>
      </c>
      <c r="X9" s="329">
        <v>31.85</v>
      </c>
      <c r="Y9" s="329">
        <v>32.729999999999997</v>
      </c>
      <c r="Z9" s="329">
        <v>33.64</v>
      </c>
      <c r="AA9" s="329">
        <v>34.590000000000003</v>
      </c>
      <c r="AB9" s="329">
        <v>35.54</v>
      </c>
      <c r="AC9" s="329">
        <v>36.53</v>
      </c>
      <c r="AD9" s="329">
        <v>37.51</v>
      </c>
      <c r="AE9" s="329">
        <v>38.5</v>
      </c>
      <c r="AF9" s="329">
        <v>39.51</v>
      </c>
      <c r="AG9" s="329">
        <v>40.53</v>
      </c>
      <c r="AH9" s="329">
        <v>41.57</v>
      </c>
      <c r="AI9" s="329">
        <v>42.63</v>
      </c>
      <c r="AJ9" s="329">
        <v>43.71</v>
      </c>
      <c r="AK9" s="329">
        <v>44.81</v>
      </c>
      <c r="AL9" s="329" t="s">
        <v>138</v>
      </c>
      <c r="AM9" s="329" t="s">
        <v>138</v>
      </c>
      <c r="AN9" s="329" t="s">
        <v>138</v>
      </c>
      <c r="AO9" s="329" t="s">
        <v>138</v>
      </c>
      <c r="AP9" s="329" t="s">
        <v>138</v>
      </c>
      <c r="AQ9" s="329" t="s">
        <v>138</v>
      </c>
      <c r="AR9" s="329" t="s">
        <v>138</v>
      </c>
    </row>
    <row r="10" spans="1:44">
      <c r="A10" s="347">
        <v>26</v>
      </c>
      <c r="B10" s="329">
        <v>10.18</v>
      </c>
      <c r="C10" s="329">
        <v>10.77</v>
      </c>
      <c r="D10" s="329">
        <v>11.66</v>
      </c>
      <c r="E10" s="329">
        <v>12.66</v>
      </c>
      <c r="F10" s="329">
        <v>13.73</v>
      </c>
      <c r="G10" s="329">
        <v>14.82</v>
      </c>
      <c r="H10" s="329">
        <v>15.89</v>
      </c>
      <c r="I10" s="329">
        <v>17.079999999999998</v>
      </c>
      <c r="J10" s="329">
        <v>18.27</v>
      </c>
      <c r="K10" s="329">
        <v>19.43</v>
      </c>
      <c r="L10" s="329">
        <v>20.58</v>
      </c>
      <c r="M10" s="329">
        <v>21.69</v>
      </c>
      <c r="N10" s="329">
        <v>22.8</v>
      </c>
      <c r="O10" s="329">
        <v>23.89</v>
      </c>
      <c r="P10" s="329">
        <v>24.95</v>
      </c>
      <c r="Q10" s="329">
        <v>25.98</v>
      </c>
      <c r="R10" s="329">
        <v>26.98</v>
      </c>
      <c r="S10" s="329">
        <v>27.96</v>
      </c>
      <c r="T10" s="329">
        <v>28.92</v>
      </c>
      <c r="U10" s="329">
        <v>29.86</v>
      </c>
      <c r="V10" s="329">
        <v>30.8</v>
      </c>
      <c r="W10" s="329">
        <v>31.73</v>
      </c>
      <c r="X10" s="329">
        <v>32.67</v>
      </c>
      <c r="Y10" s="329">
        <v>33.619999999999997</v>
      </c>
      <c r="Z10" s="329">
        <v>34.61</v>
      </c>
      <c r="AA10" s="329">
        <v>35.619999999999997</v>
      </c>
      <c r="AB10" s="329">
        <v>36.64</v>
      </c>
      <c r="AC10" s="329">
        <v>37.700000000000003</v>
      </c>
      <c r="AD10" s="329">
        <v>38.76</v>
      </c>
      <c r="AE10" s="329">
        <v>39.83</v>
      </c>
      <c r="AF10" s="329">
        <v>40.909999999999997</v>
      </c>
      <c r="AG10" s="329">
        <v>41.88</v>
      </c>
      <c r="AH10" s="329">
        <v>42.86</v>
      </c>
      <c r="AI10" s="329">
        <v>43.94</v>
      </c>
      <c r="AJ10" s="329">
        <v>45.02</v>
      </c>
      <c r="AK10" s="329" t="s">
        <v>138</v>
      </c>
      <c r="AL10" s="329" t="s">
        <v>138</v>
      </c>
      <c r="AM10" s="329" t="s">
        <v>138</v>
      </c>
      <c r="AN10" s="329" t="s">
        <v>138</v>
      </c>
      <c r="AO10" s="329" t="s">
        <v>138</v>
      </c>
      <c r="AP10" s="329" t="s">
        <v>138</v>
      </c>
      <c r="AQ10" s="329" t="s">
        <v>138</v>
      </c>
      <c r="AR10" s="329" t="s">
        <v>138</v>
      </c>
    </row>
    <row r="11" spans="1:44">
      <c r="A11" s="347">
        <v>27</v>
      </c>
      <c r="B11" s="329">
        <v>10.18</v>
      </c>
      <c r="C11" s="329">
        <v>10.77</v>
      </c>
      <c r="D11" s="329">
        <v>11.66</v>
      </c>
      <c r="E11" s="329">
        <v>12.66</v>
      </c>
      <c r="F11" s="329">
        <v>13.76</v>
      </c>
      <c r="G11" s="329">
        <v>14.88</v>
      </c>
      <c r="H11" s="329">
        <v>15.97</v>
      </c>
      <c r="I11" s="329">
        <v>17.2</v>
      </c>
      <c r="J11" s="329">
        <v>18.41</v>
      </c>
      <c r="K11" s="329">
        <v>19.61</v>
      </c>
      <c r="L11" s="329">
        <v>20.79</v>
      </c>
      <c r="M11" s="329">
        <v>21.93</v>
      </c>
      <c r="N11" s="329">
        <v>23.08</v>
      </c>
      <c r="O11" s="329">
        <v>24.2</v>
      </c>
      <c r="P11" s="329">
        <v>25.29</v>
      </c>
      <c r="Q11" s="329">
        <v>26.37</v>
      </c>
      <c r="R11" s="329">
        <v>27.41</v>
      </c>
      <c r="S11" s="329">
        <v>28.43</v>
      </c>
      <c r="T11" s="329">
        <v>29.45</v>
      </c>
      <c r="U11" s="329">
        <v>30.45</v>
      </c>
      <c r="V11" s="329">
        <v>31.46</v>
      </c>
      <c r="W11" s="329">
        <v>32.47</v>
      </c>
      <c r="X11" s="329">
        <v>33.479999999999997</v>
      </c>
      <c r="Y11" s="329">
        <v>34.51</v>
      </c>
      <c r="Z11" s="329">
        <v>35.57</v>
      </c>
      <c r="AA11" s="329">
        <v>36.65</v>
      </c>
      <c r="AB11" s="329">
        <v>37.75</v>
      </c>
      <c r="AC11" s="329">
        <v>38.869999999999997</v>
      </c>
      <c r="AD11" s="329">
        <v>40</v>
      </c>
      <c r="AE11" s="329">
        <v>41.15</v>
      </c>
      <c r="AF11" s="329">
        <v>42.32</v>
      </c>
      <c r="AG11" s="329">
        <v>43.22</v>
      </c>
      <c r="AH11" s="329">
        <v>44.15</v>
      </c>
      <c r="AI11" s="329">
        <v>45.25</v>
      </c>
      <c r="AJ11" s="329" t="s">
        <v>138</v>
      </c>
      <c r="AK11" s="329" t="s">
        <v>138</v>
      </c>
      <c r="AL11" s="329" t="s">
        <v>138</v>
      </c>
      <c r="AM11" s="329" t="s">
        <v>138</v>
      </c>
      <c r="AN11" s="329" t="s">
        <v>138</v>
      </c>
      <c r="AO11" s="329" t="s">
        <v>138</v>
      </c>
      <c r="AP11" s="329" t="s">
        <v>138</v>
      </c>
      <c r="AQ11" s="329" t="s">
        <v>138</v>
      </c>
      <c r="AR11" s="329" t="s">
        <v>138</v>
      </c>
    </row>
    <row r="12" spans="1:44">
      <c r="A12" s="347">
        <v>28</v>
      </c>
      <c r="B12" s="329">
        <v>10.18</v>
      </c>
      <c r="C12" s="329">
        <v>10.77</v>
      </c>
      <c r="D12" s="329">
        <v>11.66</v>
      </c>
      <c r="E12" s="329">
        <v>12.66</v>
      </c>
      <c r="F12" s="329">
        <v>13.78</v>
      </c>
      <c r="G12" s="329">
        <v>14.93</v>
      </c>
      <c r="H12" s="329">
        <v>16.05</v>
      </c>
      <c r="I12" s="329">
        <v>17.309999999999999</v>
      </c>
      <c r="J12" s="329">
        <v>18.559999999999999</v>
      </c>
      <c r="K12" s="329">
        <v>19.79</v>
      </c>
      <c r="L12" s="329">
        <v>20.99</v>
      </c>
      <c r="M12" s="329">
        <v>22.17</v>
      </c>
      <c r="N12" s="329">
        <v>23.35</v>
      </c>
      <c r="O12" s="329">
        <v>24.51</v>
      </c>
      <c r="P12" s="329">
        <v>25.64</v>
      </c>
      <c r="Q12" s="329">
        <v>26.75</v>
      </c>
      <c r="R12" s="329">
        <v>27.83</v>
      </c>
      <c r="S12" s="329">
        <v>28.91</v>
      </c>
      <c r="T12" s="329">
        <v>29.97</v>
      </c>
      <c r="U12" s="329">
        <v>31.04</v>
      </c>
      <c r="V12" s="329">
        <v>32.130000000000003</v>
      </c>
      <c r="W12" s="329">
        <v>33.21</v>
      </c>
      <c r="X12" s="329">
        <v>34.299999999999997</v>
      </c>
      <c r="Y12" s="329">
        <v>35.4</v>
      </c>
      <c r="Z12" s="329">
        <v>36.53</v>
      </c>
      <c r="AA12" s="329">
        <v>37.68</v>
      </c>
      <c r="AB12" s="329">
        <v>38.85</v>
      </c>
      <c r="AC12" s="329">
        <v>40.04</v>
      </c>
      <c r="AD12" s="329">
        <v>41.25</v>
      </c>
      <c r="AE12" s="329">
        <v>42.47</v>
      </c>
      <c r="AF12" s="329">
        <v>43.72</v>
      </c>
      <c r="AG12" s="329">
        <v>44.56</v>
      </c>
      <c r="AH12" s="329">
        <v>45.44</v>
      </c>
    </row>
    <row r="13" spans="1:44">
      <c r="A13" s="347">
        <v>29</v>
      </c>
      <c r="B13" s="329">
        <v>10.18</v>
      </c>
      <c r="C13" s="329">
        <v>10.77</v>
      </c>
      <c r="D13" s="329">
        <v>11.66</v>
      </c>
      <c r="E13" s="329">
        <v>12.66</v>
      </c>
      <c r="F13" s="329">
        <v>13.81</v>
      </c>
      <c r="G13" s="329">
        <v>14.98</v>
      </c>
      <c r="H13" s="329">
        <v>16.13</v>
      </c>
      <c r="I13" s="329">
        <v>17.420000000000002</v>
      </c>
      <c r="J13" s="329">
        <v>18.7</v>
      </c>
      <c r="K13" s="329">
        <v>19.96</v>
      </c>
      <c r="L13" s="329">
        <v>21.2</v>
      </c>
      <c r="M13" s="329">
        <v>22.41</v>
      </c>
      <c r="N13" s="329">
        <v>23.62</v>
      </c>
      <c r="O13" s="329">
        <v>24.82</v>
      </c>
      <c r="P13" s="329">
        <v>25.98</v>
      </c>
      <c r="Q13" s="329">
        <v>27.13</v>
      </c>
      <c r="R13" s="329">
        <v>28.26</v>
      </c>
      <c r="S13" s="329">
        <v>29.38</v>
      </c>
      <c r="T13" s="329">
        <v>30.5</v>
      </c>
      <c r="U13" s="329">
        <v>31.63</v>
      </c>
      <c r="V13" s="329">
        <v>32.79</v>
      </c>
      <c r="W13" s="329">
        <v>33.950000000000003</v>
      </c>
      <c r="X13" s="329">
        <v>35.11</v>
      </c>
      <c r="Y13" s="329">
        <v>36.29</v>
      </c>
      <c r="Z13" s="329">
        <v>37.49</v>
      </c>
      <c r="AA13" s="329">
        <v>38.72</v>
      </c>
      <c r="AB13" s="329">
        <v>39.950000000000003</v>
      </c>
      <c r="AC13" s="329">
        <v>41.22</v>
      </c>
      <c r="AD13" s="329">
        <v>42.49</v>
      </c>
      <c r="AE13" s="329">
        <v>43.79</v>
      </c>
      <c r="AF13" s="329">
        <v>45.12</v>
      </c>
      <c r="AG13" s="329">
        <v>45.9</v>
      </c>
      <c r="AH13" s="329" t="s">
        <v>138</v>
      </c>
    </row>
    <row r="14" spans="1:44">
      <c r="A14" s="347">
        <v>30</v>
      </c>
      <c r="B14" s="329">
        <v>10.18</v>
      </c>
      <c r="C14" s="329">
        <v>10.77</v>
      </c>
      <c r="D14" s="329">
        <v>11.66</v>
      </c>
      <c r="E14" s="329">
        <v>12.66</v>
      </c>
      <c r="F14" s="329">
        <v>13.84</v>
      </c>
      <c r="G14" s="329">
        <v>15.04</v>
      </c>
      <c r="H14" s="329">
        <v>16.21</v>
      </c>
      <c r="I14" s="329">
        <v>17.53</v>
      </c>
      <c r="J14" s="329">
        <v>18.850000000000001</v>
      </c>
      <c r="K14" s="329">
        <v>20.14</v>
      </c>
      <c r="L14" s="329">
        <v>21.41</v>
      </c>
      <c r="M14" s="329">
        <v>22.65</v>
      </c>
      <c r="N14" s="329">
        <v>23.9</v>
      </c>
      <c r="O14" s="329">
        <v>25.13</v>
      </c>
      <c r="P14" s="329">
        <v>26.33</v>
      </c>
      <c r="Q14" s="329">
        <v>27.52</v>
      </c>
      <c r="R14" s="329">
        <v>28.68</v>
      </c>
      <c r="S14" s="329">
        <v>29.85</v>
      </c>
      <c r="T14" s="329">
        <v>31.03</v>
      </c>
      <c r="U14" s="329">
        <v>32.22</v>
      </c>
      <c r="V14" s="329">
        <v>33.46</v>
      </c>
      <c r="W14" s="329">
        <v>34.68</v>
      </c>
      <c r="X14" s="329">
        <v>35.93</v>
      </c>
      <c r="Y14" s="329">
        <v>37.18</v>
      </c>
      <c r="Z14" s="329">
        <v>38.46</v>
      </c>
      <c r="AA14" s="329">
        <v>39.75</v>
      </c>
      <c r="AB14" s="329">
        <v>41.06</v>
      </c>
      <c r="AC14" s="329">
        <v>42.39</v>
      </c>
      <c r="AD14" s="329">
        <v>43.74</v>
      </c>
      <c r="AE14" s="329">
        <v>45.12</v>
      </c>
      <c r="AF14" s="329">
        <v>46.52</v>
      </c>
      <c r="AG14" s="329" t="s">
        <v>138</v>
      </c>
      <c r="AH14" s="329" t="s">
        <v>138</v>
      </c>
    </row>
    <row r="15" spans="1:44">
      <c r="A15" s="347">
        <v>31</v>
      </c>
      <c r="B15" s="329">
        <v>10.39</v>
      </c>
      <c r="C15" s="329">
        <v>11.09</v>
      </c>
      <c r="D15" s="329">
        <v>12.14</v>
      </c>
      <c r="E15" s="329">
        <v>13.31</v>
      </c>
      <c r="F15" s="329">
        <v>14.57</v>
      </c>
      <c r="G15" s="329">
        <v>15.85</v>
      </c>
      <c r="H15" s="329">
        <v>17.100000000000001</v>
      </c>
      <c r="I15" s="329">
        <v>18.5</v>
      </c>
      <c r="J15" s="329">
        <v>19.899999999999999</v>
      </c>
      <c r="K15" s="329">
        <v>21.27</v>
      </c>
      <c r="L15" s="329">
        <v>22.63</v>
      </c>
      <c r="M15" s="329">
        <v>23.95</v>
      </c>
      <c r="N15" s="329">
        <v>25.28</v>
      </c>
      <c r="O15" s="329">
        <v>26.6</v>
      </c>
      <c r="P15" s="329">
        <v>27.89</v>
      </c>
      <c r="Q15" s="329">
        <v>29.17</v>
      </c>
      <c r="R15" s="329">
        <v>30.43</v>
      </c>
      <c r="S15" s="329">
        <v>31.69</v>
      </c>
      <c r="T15" s="329">
        <v>32.97</v>
      </c>
      <c r="U15" s="329">
        <v>34.26</v>
      </c>
      <c r="V15" s="329">
        <v>35.6</v>
      </c>
      <c r="W15" s="329">
        <v>36.93</v>
      </c>
      <c r="X15" s="329">
        <v>38.28</v>
      </c>
      <c r="Y15" s="329">
        <v>39.65</v>
      </c>
      <c r="Z15" s="329">
        <v>41.03</v>
      </c>
      <c r="AA15" s="329">
        <v>42.44</v>
      </c>
      <c r="AB15" s="329">
        <v>43.73</v>
      </c>
      <c r="AC15" s="329">
        <v>45.01</v>
      </c>
      <c r="AD15" s="329">
        <v>46.26</v>
      </c>
      <c r="AE15" s="329">
        <v>47.44</v>
      </c>
      <c r="AF15" s="329" t="s">
        <v>138</v>
      </c>
      <c r="AG15" s="329" t="s">
        <v>138</v>
      </c>
      <c r="AH15" s="329" t="s">
        <v>138</v>
      </c>
    </row>
    <row r="16" spans="1:44">
      <c r="A16" s="347">
        <v>32</v>
      </c>
      <c r="B16" s="329">
        <v>10.88</v>
      </c>
      <c r="C16" s="329">
        <v>11.6</v>
      </c>
      <c r="D16" s="329">
        <v>12.73</v>
      </c>
      <c r="E16" s="329">
        <v>13.97</v>
      </c>
      <c r="F16" s="329">
        <v>15.3</v>
      </c>
      <c r="G16" s="329">
        <v>16.649999999999999</v>
      </c>
      <c r="H16" s="329">
        <v>17.98</v>
      </c>
      <c r="I16" s="329">
        <v>19.47</v>
      </c>
      <c r="J16" s="329">
        <v>20.95</v>
      </c>
      <c r="K16" s="329">
        <v>22.41</v>
      </c>
      <c r="L16" s="329">
        <v>23.85</v>
      </c>
      <c r="M16" s="329">
        <v>25.25</v>
      </c>
      <c r="N16" s="329">
        <v>26.67</v>
      </c>
      <c r="O16" s="329">
        <v>28.07</v>
      </c>
      <c r="P16" s="329">
        <v>29.45</v>
      </c>
      <c r="Q16" s="329">
        <v>30.82</v>
      </c>
      <c r="R16" s="329">
        <v>32.17</v>
      </c>
      <c r="S16" s="329">
        <v>33.53</v>
      </c>
      <c r="T16" s="329">
        <v>34.909999999999997</v>
      </c>
      <c r="U16" s="329">
        <v>36.31</v>
      </c>
      <c r="V16" s="329">
        <v>37.74</v>
      </c>
      <c r="W16" s="329">
        <v>39.18</v>
      </c>
      <c r="X16" s="329">
        <v>40.630000000000003</v>
      </c>
      <c r="Y16" s="329">
        <v>42.11</v>
      </c>
      <c r="Z16" s="329">
        <v>43.61</v>
      </c>
      <c r="AA16" s="329">
        <v>45.13</v>
      </c>
      <c r="AB16" s="329">
        <v>46.41</v>
      </c>
      <c r="AC16" s="329">
        <v>47.64</v>
      </c>
      <c r="AD16" s="329">
        <v>48.78</v>
      </c>
      <c r="AE16" s="329" t="s">
        <v>138</v>
      </c>
      <c r="AF16" s="329" t="s">
        <v>138</v>
      </c>
      <c r="AG16" s="329" t="s">
        <v>138</v>
      </c>
      <c r="AH16" s="329" t="s">
        <v>138</v>
      </c>
    </row>
    <row r="17" spans="1:34">
      <c r="A17" s="347">
        <v>33</v>
      </c>
      <c r="B17" s="329">
        <v>11.36</v>
      </c>
      <c r="C17" s="329">
        <v>12.12</v>
      </c>
      <c r="D17" s="329">
        <v>13.31</v>
      </c>
      <c r="E17" s="329">
        <v>14.63</v>
      </c>
      <c r="F17" s="329">
        <v>16.03</v>
      </c>
      <c r="G17" s="329">
        <v>17.46</v>
      </c>
      <c r="H17" s="329">
        <v>18.87</v>
      </c>
      <c r="I17" s="329">
        <v>20.440000000000001</v>
      </c>
      <c r="J17" s="329">
        <v>22</v>
      </c>
      <c r="K17" s="329">
        <v>23.54</v>
      </c>
      <c r="L17" s="329">
        <v>25.06</v>
      </c>
      <c r="M17" s="329">
        <v>26.55</v>
      </c>
      <c r="N17" s="329">
        <v>28.06</v>
      </c>
      <c r="O17" s="329">
        <v>29.54</v>
      </c>
      <c r="P17" s="329">
        <v>31.01</v>
      </c>
      <c r="Q17" s="329">
        <v>32.47</v>
      </c>
      <c r="R17" s="329">
        <v>33.909999999999997</v>
      </c>
      <c r="S17" s="329">
        <v>35.380000000000003</v>
      </c>
      <c r="T17" s="329">
        <v>36.85</v>
      </c>
      <c r="U17" s="329">
        <v>38.35</v>
      </c>
      <c r="V17" s="329">
        <v>39.880000000000003</v>
      </c>
      <c r="W17" s="329">
        <v>41.42</v>
      </c>
      <c r="X17" s="329">
        <v>42.98</v>
      </c>
      <c r="Y17" s="329">
        <v>44.57</v>
      </c>
      <c r="Z17" s="329">
        <v>46.18</v>
      </c>
      <c r="AA17" s="329">
        <v>47.82</v>
      </c>
      <c r="AB17" s="329">
        <v>49.09</v>
      </c>
      <c r="AC17" s="329">
        <v>50.26</v>
      </c>
      <c r="AD17" s="329" t="s">
        <v>138</v>
      </c>
      <c r="AE17" s="329" t="s">
        <v>138</v>
      </c>
      <c r="AF17" s="329" t="s">
        <v>138</v>
      </c>
      <c r="AG17" s="329" t="s">
        <v>138</v>
      </c>
      <c r="AH17" s="329" t="s">
        <v>138</v>
      </c>
    </row>
    <row r="18" spans="1:34">
      <c r="A18" s="347">
        <v>34</v>
      </c>
      <c r="B18" s="329">
        <v>11.85</v>
      </c>
      <c r="C18" s="329">
        <v>12.64</v>
      </c>
      <c r="D18" s="329">
        <v>13.89</v>
      </c>
      <c r="E18" s="329">
        <v>15.29</v>
      </c>
      <c r="F18" s="329">
        <v>16.760000000000002</v>
      </c>
      <c r="G18" s="329">
        <v>18.27</v>
      </c>
      <c r="H18" s="329">
        <v>19.75</v>
      </c>
      <c r="I18" s="329">
        <v>21.41</v>
      </c>
      <c r="J18" s="329">
        <v>23.05</v>
      </c>
      <c r="K18" s="329">
        <v>24.67</v>
      </c>
      <c r="L18" s="329">
        <v>26.28</v>
      </c>
      <c r="M18" s="329">
        <v>27.85</v>
      </c>
      <c r="N18" s="329">
        <v>29.44</v>
      </c>
      <c r="O18" s="329">
        <v>31.01</v>
      </c>
      <c r="P18" s="329">
        <v>32.57</v>
      </c>
      <c r="Q18" s="329">
        <v>34.11</v>
      </c>
      <c r="R18" s="329">
        <v>35.65</v>
      </c>
      <c r="S18" s="329">
        <v>37.22</v>
      </c>
      <c r="T18" s="329">
        <v>38.79</v>
      </c>
      <c r="U18" s="329">
        <v>40.39</v>
      </c>
      <c r="V18" s="329">
        <v>42.02</v>
      </c>
      <c r="W18" s="329">
        <v>43.67</v>
      </c>
      <c r="X18" s="329">
        <v>45.34</v>
      </c>
      <c r="Y18" s="329">
        <v>47.03</v>
      </c>
      <c r="Z18" s="329">
        <v>48.75</v>
      </c>
      <c r="AA18" s="329">
        <v>50.5</v>
      </c>
      <c r="AB18" s="329">
        <v>51.76</v>
      </c>
      <c r="AC18" s="329" t="s">
        <v>138</v>
      </c>
      <c r="AD18" s="329" t="s">
        <v>138</v>
      </c>
      <c r="AE18" s="329" t="s">
        <v>138</v>
      </c>
      <c r="AF18" s="329" t="s">
        <v>138</v>
      </c>
      <c r="AG18" s="329" t="s">
        <v>138</v>
      </c>
      <c r="AH18" s="329" t="s">
        <v>138</v>
      </c>
    </row>
    <row r="19" spans="1:34">
      <c r="A19" s="347">
        <v>35</v>
      </c>
      <c r="B19" s="329">
        <v>12.34</v>
      </c>
      <c r="C19" s="329">
        <v>13.15</v>
      </c>
      <c r="D19" s="329">
        <v>14.48</v>
      </c>
      <c r="E19" s="329">
        <v>15.95</v>
      </c>
      <c r="F19" s="329">
        <v>17.489999999999998</v>
      </c>
      <c r="G19" s="329">
        <v>19.079999999999998</v>
      </c>
      <c r="H19" s="329">
        <v>20.63</v>
      </c>
      <c r="I19" s="329">
        <v>22.38</v>
      </c>
      <c r="J19" s="329">
        <v>24.1</v>
      </c>
      <c r="K19" s="329">
        <v>25.81</v>
      </c>
      <c r="L19" s="329">
        <v>27.5</v>
      </c>
      <c r="M19" s="329">
        <v>29.15</v>
      </c>
      <c r="N19" s="329">
        <v>30.83</v>
      </c>
      <c r="O19" s="329">
        <v>32.479999999999997</v>
      </c>
      <c r="P19" s="329">
        <v>34.130000000000003</v>
      </c>
      <c r="Q19" s="329">
        <v>35.76</v>
      </c>
      <c r="R19" s="329">
        <v>37.4</v>
      </c>
      <c r="S19" s="329">
        <v>39.06</v>
      </c>
      <c r="T19" s="329">
        <v>40.74</v>
      </c>
      <c r="U19" s="329">
        <v>42.44</v>
      </c>
      <c r="V19" s="329">
        <v>44.16</v>
      </c>
      <c r="W19" s="329">
        <v>45.91</v>
      </c>
      <c r="X19" s="329">
        <v>47.69</v>
      </c>
      <c r="Y19" s="329">
        <v>49.49</v>
      </c>
      <c r="Z19" s="329">
        <v>51.33</v>
      </c>
      <c r="AA19" s="329">
        <v>53.19</v>
      </c>
      <c r="AB19" s="329" t="s">
        <v>138</v>
      </c>
      <c r="AC19" s="329" t="s">
        <v>138</v>
      </c>
      <c r="AD19" s="329" t="s">
        <v>138</v>
      </c>
      <c r="AE19" s="329" t="s">
        <v>138</v>
      </c>
      <c r="AF19" s="329" t="s">
        <v>138</v>
      </c>
      <c r="AG19" s="329" t="s">
        <v>138</v>
      </c>
      <c r="AH19" s="329" t="s">
        <v>138</v>
      </c>
    </row>
    <row r="20" spans="1:34">
      <c r="A20" s="347">
        <v>36</v>
      </c>
      <c r="B20" s="329">
        <v>13.14</v>
      </c>
      <c r="C20" s="329">
        <v>13.99</v>
      </c>
      <c r="D20" s="329">
        <v>15.41</v>
      </c>
      <c r="E20" s="329">
        <v>16.989999999999998</v>
      </c>
      <c r="F20" s="329">
        <v>18.64</v>
      </c>
      <c r="G20" s="329">
        <v>20.34</v>
      </c>
      <c r="H20" s="329">
        <v>22.01</v>
      </c>
      <c r="I20" s="329">
        <v>23.87</v>
      </c>
      <c r="J20" s="329">
        <v>25.72</v>
      </c>
      <c r="K20" s="329">
        <v>27.55</v>
      </c>
      <c r="L20" s="329">
        <v>29.36</v>
      </c>
      <c r="M20" s="329">
        <v>31.13</v>
      </c>
      <c r="N20" s="329">
        <v>32.94</v>
      </c>
      <c r="O20" s="329">
        <v>34.72</v>
      </c>
      <c r="P20" s="329">
        <v>36.49</v>
      </c>
      <c r="Q20" s="329">
        <v>38.26</v>
      </c>
      <c r="R20" s="329">
        <v>40.03</v>
      </c>
      <c r="S20" s="329">
        <v>41.82</v>
      </c>
      <c r="T20" s="329">
        <v>43.65</v>
      </c>
      <c r="U20" s="329">
        <v>45.5</v>
      </c>
      <c r="V20" s="329">
        <v>47.38</v>
      </c>
      <c r="W20" s="329">
        <v>49.16</v>
      </c>
      <c r="X20" s="329">
        <v>50.97</v>
      </c>
      <c r="Y20" s="329">
        <v>52.77</v>
      </c>
      <c r="Z20" s="329">
        <v>54.57</v>
      </c>
      <c r="AA20" s="329" t="s">
        <v>138</v>
      </c>
      <c r="AB20" s="329" t="s">
        <v>138</v>
      </c>
      <c r="AC20" s="329" t="s">
        <v>138</v>
      </c>
      <c r="AD20" s="329" t="s">
        <v>138</v>
      </c>
      <c r="AE20" s="329" t="s">
        <v>138</v>
      </c>
      <c r="AF20" s="329" t="s">
        <v>138</v>
      </c>
      <c r="AG20" s="329" t="s">
        <v>138</v>
      </c>
      <c r="AH20" s="329" t="s">
        <v>138</v>
      </c>
    </row>
    <row r="21" spans="1:34">
      <c r="A21" s="347">
        <v>37</v>
      </c>
      <c r="B21" s="329">
        <v>13.94</v>
      </c>
      <c r="C21" s="329">
        <v>14.83</v>
      </c>
      <c r="D21" s="329">
        <v>16.34</v>
      </c>
      <c r="E21" s="329">
        <v>18.02</v>
      </c>
      <c r="F21" s="329">
        <v>19.79</v>
      </c>
      <c r="G21" s="329">
        <v>21.6</v>
      </c>
      <c r="H21" s="329">
        <v>23.38</v>
      </c>
      <c r="I21" s="329">
        <v>25.37</v>
      </c>
      <c r="J21" s="329">
        <v>27.34</v>
      </c>
      <c r="K21" s="329">
        <v>29.29</v>
      </c>
      <c r="L21" s="329">
        <v>31.23</v>
      </c>
      <c r="M21" s="329">
        <v>33.119999999999997</v>
      </c>
      <c r="N21" s="329">
        <v>35.049999999999997</v>
      </c>
      <c r="O21" s="329">
        <v>36.96</v>
      </c>
      <c r="P21" s="329">
        <v>38.85</v>
      </c>
      <c r="Q21" s="329">
        <v>40.75</v>
      </c>
      <c r="R21" s="329">
        <v>42.65</v>
      </c>
      <c r="S21" s="329">
        <v>44.59</v>
      </c>
      <c r="T21" s="329">
        <v>46.56</v>
      </c>
      <c r="U21" s="329">
        <v>48.56</v>
      </c>
      <c r="V21" s="329">
        <v>50.6</v>
      </c>
      <c r="W21" s="329">
        <v>52.41</v>
      </c>
      <c r="X21" s="329">
        <v>54.24</v>
      </c>
      <c r="Y21" s="329">
        <v>56.05</v>
      </c>
      <c r="Z21" s="329" t="s">
        <v>138</v>
      </c>
      <c r="AA21" s="329" t="s">
        <v>138</v>
      </c>
      <c r="AB21" s="329" t="s">
        <v>138</v>
      </c>
      <c r="AC21" s="329" t="s">
        <v>138</v>
      </c>
      <c r="AD21" s="329" t="s">
        <v>138</v>
      </c>
      <c r="AE21" s="329" t="s">
        <v>138</v>
      </c>
      <c r="AF21" s="329" t="s">
        <v>138</v>
      </c>
      <c r="AG21" s="329" t="s">
        <v>138</v>
      </c>
      <c r="AH21" s="329" t="s">
        <v>138</v>
      </c>
    </row>
    <row r="22" spans="1:34">
      <c r="A22" s="347">
        <v>38</v>
      </c>
      <c r="B22" s="329">
        <v>14.74</v>
      </c>
      <c r="C22" s="329">
        <v>15.67</v>
      </c>
      <c r="D22" s="329">
        <v>17.28</v>
      </c>
      <c r="E22" s="329">
        <v>19.059999999999999</v>
      </c>
      <c r="F22" s="329">
        <v>20.94</v>
      </c>
      <c r="G22" s="329">
        <v>22.86</v>
      </c>
      <c r="H22" s="329">
        <v>24.75</v>
      </c>
      <c r="I22" s="329">
        <v>26.86</v>
      </c>
      <c r="J22" s="329">
        <v>28.96</v>
      </c>
      <c r="K22" s="329">
        <v>31.03</v>
      </c>
      <c r="L22" s="329">
        <v>33.090000000000003</v>
      </c>
      <c r="M22" s="329">
        <v>35.11</v>
      </c>
      <c r="N22" s="329">
        <v>37.159999999999997</v>
      </c>
      <c r="O22" s="329">
        <v>39.19</v>
      </c>
      <c r="P22" s="329">
        <v>41.22</v>
      </c>
      <c r="Q22" s="329">
        <v>43.24</v>
      </c>
      <c r="R22" s="329">
        <v>45.28</v>
      </c>
      <c r="S22" s="329">
        <v>47.36</v>
      </c>
      <c r="T22" s="329">
        <v>49.47</v>
      </c>
      <c r="U22" s="329">
        <v>51.62</v>
      </c>
      <c r="V22" s="329">
        <v>53.81</v>
      </c>
      <c r="W22" s="329">
        <v>55.66</v>
      </c>
      <c r="X22" s="329">
        <v>57.52</v>
      </c>
      <c r="Y22" s="329" t="s">
        <v>138</v>
      </c>
      <c r="Z22" s="329" t="s">
        <v>138</v>
      </c>
      <c r="AA22" s="329" t="s">
        <v>138</v>
      </c>
      <c r="AB22" s="329" t="s">
        <v>138</v>
      </c>
      <c r="AC22" s="329" t="s">
        <v>138</v>
      </c>
      <c r="AD22" s="329" t="s">
        <v>138</v>
      </c>
      <c r="AE22" s="329" t="s">
        <v>138</v>
      </c>
      <c r="AF22" s="329" t="s">
        <v>138</v>
      </c>
      <c r="AG22" s="329" t="s">
        <v>138</v>
      </c>
      <c r="AH22" s="329" t="s">
        <v>138</v>
      </c>
    </row>
    <row r="23" spans="1:34">
      <c r="A23" s="347">
        <v>39</v>
      </c>
      <c r="B23" s="329">
        <v>15.54</v>
      </c>
      <c r="C23" s="329">
        <v>16.5</v>
      </c>
      <c r="D23" s="329">
        <v>18.21</v>
      </c>
      <c r="E23" s="329">
        <v>20.100000000000001</v>
      </c>
      <c r="F23" s="329">
        <v>22.09</v>
      </c>
      <c r="G23" s="329">
        <v>24.12</v>
      </c>
      <c r="H23" s="329">
        <v>26.12</v>
      </c>
      <c r="I23" s="329">
        <v>28.36</v>
      </c>
      <c r="J23" s="329">
        <v>30.58</v>
      </c>
      <c r="K23" s="329">
        <v>32.78</v>
      </c>
      <c r="L23" s="329">
        <v>34.96</v>
      </c>
      <c r="M23" s="329">
        <v>37.090000000000003</v>
      </c>
      <c r="N23" s="329">
        <v>39.270000000000003</v>
      </c>
      <c r="O23" s="329">
        <v>41.43</v>
      </c>
      <c r="P23" s="329">
        <v>43.58</v>
      </c>
      <c r="Q23" s="329">
        <v>45.74</v>
      </c>
      <c r="R23" s="329">
        <v>47.91</v>
      </c>
      <c r="S23" s="329">
        <v>50.13</v>
      </c>
      <c r="T23" s="329">
        <v>52.39</v>
      </c>
      <c r="U23" s="329">
        <v>54.69</v>
      </c>
      <c r="V23" s="329">
        <v>57.03</v>
      </c>
      <c r="W23" s="329">
        <v>58.9</v>
      </c>
    </row>
    <row r="24" spans="1:34">
      <c r="A24" s="347">
        <v>40</v>
      </c>
      <c r="B24" s="329">
        <v>16.34</v>
      </c>
      <c r="C24" s="329">
        <v>17.34</v>
      </c>
      <c r="D24" s="329">
        <v>19.14</v>
      </c>
      <c r="E24" s="329">
        <v>21.14</v>
      </c>
      <c r="F24" s="329">
        <v>23.23</v>
      </c>
      <c r="G24" s="329">
        <v>25.38</v>
      </c>
      <c r="H24" s="329">
        <v>27.49</v>
      </c>
      <c r="I24" s="329">
        <v>29.85</v>
      </c>
      <c r="J24" s="329">
        <v>32.200000000000003</v>
      </c>
      <c r="K24" s="329">
        <v>34.520000000000003</v>
      </c>
      <c r="L24" s="329">
        <v>36.82</v>
      </c>
      <c r="M24" s="329">
        <v>39.08</v>
      </c>
      <c r="N24" s="329">
        <v>41.38</v>
      </c>
      <c r="O24" s="329">
        <v>43.66</v>
      </c>
      <c r="P24" s="329">
        <v>45.94</v>
      </c>
      <c r="Q24" s="329">
        <v>48.23</v>
      </c>
      <c r="R24" s="329">
        <v>50.54</v>
      </c>
      <c r="S24" s="329">
        <v>52.89</v>
      </c>
      <c r="T24" s="329">
        <v>55.3</v>
      </c>
      <c r="U24" s="329">
        <v>57.75</v>
      </c>
      <c r="V24" s="329">
        <v>60.25</v>
      </c>
      <c r="W24" s="329" t="s">
        <v>138</v>
      </c>
    </row>
    <row r="25" spans="1:34">
      <c r="A25" s="347">
        <v>41</v>
      </c>
      <c r="B25" s="329">
        <v>17.5</v>
      </c>
      <c r="C25" s="329">
        <v>18.55</v>
      </c>
      <c r="D25" s="329">
        <v>20.5</v>
      </c>
      <c r="E25" s="329">
        <v>22.64</v>
      </c>
      <c r="F25" s="329">
        <v>24.9</v>
      </c>
      <c r="G25" s="329">
        <v>27.21</v>
      </c>
      <c r="H25" s="329">
        <v>29.49</v>
      </c>
      <c r="I25" s="329">
        <v>32.04</v>
      </c>
      <c r="J25" s="329">
        <v>34.57</v>
      </c>
      <c r="K25" s="329">
        <v>37.08</v>
      </c>
      <c r="L25" s="329">
        <v>39.57</v>
      </c>
      <c r="M25" s="329">
        <v>42.02</v>
      </c>
      <c r="N25" s="329">
        <v>44.51</v>
      </c>
      <c r="O25" s="329">
        <v>47</v>
      </c>
      <c r="P25" s="329">
        <v>49.48</v>
      </c>
      <c r="Q25" s="329">
        <v>51.98</v>
      </c>
      <c r="R25" s="329">
        <v>54.34</v>
      </c>
      <c r="S25" s="329">
        <v>56.75</v>
      </c>
      <c r="T25" s="329">
        <v>59.17</v>
      </c>
      <c r="U25" s="329">
        <v>61.6</v>
      </c>
      <c r="V25" s="329" t="s">
        <v>138</v>
      </c>
      <c r="W25" s="329" t="s">
        <v>138</v>
      </c>
    </row>
    <row r="26" spans="1:34">
      <c r="A26" s="347">
        <v>42</v>
      </c>
      <c r="B26" s="329">
        <v>18.649999999999999</v>
      </c>
      <c r="C26" s="329">
        <v>19.77</v>
      </c>
      <c r="D26" s="329">
        <v>21.85</v>
      </c>
      <c r="E26" s="329">
        <v>24.15</v>
      </c>
      <c r="F26" s="329">
        <v>26.56</v>
      </c>
      <c r="G26" s="329">
        <v>29.04</v>
      </c>
      <c r="H26" s="329">
        <v>31.49</v>
      </c>
      <c r="I26" s="329">
        <v>34.22</v>
      </c>
      <c r="J26" s="329">
        <v>36.94</v>
      </c>
      <c r="K26" s="329">
        <v>39.630000000000003</v>
      </c>
      <c r="L26" s="329">
        <v>42.32</v>
      </c>
      <c r="M26" s="329">
        <v>44.95</v>
      </c>
      <c r="N26" s="329">
        <v>47.65</v>
      </c>
      <c r="O26" s="329">
        <v>50.33</v>
      </c>
      <c r="P26" s="329">
        <v>53.02</v>
      </c>
      <c r="Q26" s="329">
        <v>55.73</v>
      </c>
      <c r="R26" s="329">
        <v>58.14</v>
      </c>
      <c r="S26" s="329">
        <v>60.6</v>
      </c>
      <c r="T26" s="329">
        <v>63.03</v>
      </c>
      <c r="U26" s="329" t="s">
        <v>138</v>
      </c>
      <c r="V26" s="329" t="s">
        <v>138</v>
      </c>
      <c r="W26" s="329" t="s">
        <v>138</v>
      </c>
    </row>
    <row r="27" spans="1:34">
      <c r="A27" s="347">
        <v>43</v>
      </c>
      <c r="B27" s="329">
        <v>19.809999999999999</v>
      </c>
      <c r="C27" s="329">
        <v>20.98</v>
      </c>
      <c r="D27" s="329">
        <v>23.2</v>
      </c>
      <c r="E27" s="329">
        <v>25.65</v>
      </c>
      <c r="F27" s="329">
        <v>28.23</v>
      </c>
      <c r="G27" s="329">
        <v>30.87</v>
      </c>
      <c r="H27" s="329">
        <v>33.49</v>
      </c>
      <c r="I27" s="329">
        <v>36.409999999999997</v>
      </c>
      <c r="J27" s="329">
        <v>39.31</v>
      </c>
      <c r="K27" s="329">
        <v>42.19</v>
      </c>
      <c r="L27" s="329">
        <v>45.06</v>
      </c>
      <c r="M27" s="329">
        <v>47.89</v>
      </c>
      <c r="N27" s="329">
        <v>50.78</v>
      </c>
      <c r="O27" s="329">
        <v>53.67</v>
      </c>
      <c r="P27" s="329">
        <v>56.56</v>
      </c>
      <c r="Q27" s="329">
        <v>59.49</v>
      </c>
      <c r="R27" s="329">
        <v>61.94</v>
      </c>
      <c r="S27" s="329">
        <v>64.45</v>
      </c>
      <c r="T27" s="329" t="s">
        <v>138</v>
      </c>
      <c r="U27" s="329" t="s">
        <v>138</v>
      </c>
      <c r="V27" s="329" t="s">
        <v>138</v>
      </c>
      <c r="W27" s="329" t="s">
        <v>138</v>
      </c>
    </row>
    <row r="28" spans="1:34">
      <c r="A28" s="347">
        <v>44</v>
      </c>
      <c r="B28" s="329">
        <v>20.97</v>
      </c>
      <c r="C28" s="329">
        <v>22.19</v>
      </c>
      <c r="D28" s="329">
        <v>24.55</v>
      </c>
      <c r="E28" s="329">
        <v>27.16</v>
      </c>
      <c r="F28" s="329">
        <v>29.89</v>
      </c>
      <c r="G28" s="329">
        <v>32.71</v>
      </c>
      <c r="H28" s="329">
        <v>35.479999999999997</v>
      </c>
      <c r="I28" s="329">
        <v>38.590000000000003</v>
      </c>
      <c r="J28" s="329">
        <v>41.68</v>
      </c>
      <c r="K28" s="329">
        <v>44.75</v>
      </c>
      <c r="L28" s="329">
        <v>47.81</v>
      </c>
      <c r="M28" s="329">
        <v>50.83</v>
      </c>
      <c r="N28" s="329">
        <v>53.91</v>
      </c>
      <c r="O28" s="329">
        <v>57</v>
      </c>
      <c r="P28" s="329">
        <v>60.1</v>
      </c>
      <c r="Q28" s="329">
        <v>63.24</v>
      </c>
      <c r="R28" s="329">
        <v>65.75</v>
      </c>
      <c r="S28" s="329" t="s">
        <v>138</v>
      </c>
      <c r="T28" s="329" t="s">
        <v>138</v>
      </c>
      <c r="U28" s="329" t="s">
        <v>138</v>
      </c>
      <c r="V28" s="329" t="s">
        <v>138</v>
      </c>
      <c r="W28" s="329" t="s">
        <v>138</v>
      </c>
    </row>
    <row r="29" spans="1:34">
      <c r="A29" s="347">
        <v>45</v>
      </c>
      <c r="B29" s="329">
        <v>22.12</v>
      </c>
      <c r="C29" s="329">
        <v>23.41</v>
      </c>
      <c r="D29" s="329">
        <v>25.91</v>
      </c>
      <c r="E29" s="329">
        <v>28.66</v>
      </c>
      <c r="F29" s="329">
        <v>31.56</v>
      </c>
      <c r="G29" s="329">
        <v>34.54</v>
      </c>
      <c r="H29" s="329">
        <v>37.479999999999997</v>
      </c>
      <c r="I29" s="329">
        <v>40.770000000000003</v>
      </c>
      <c r="J29" s="329">
        <v>44.05</v>
      </c>
      <c r="K29" s="329">
        <v>47.31</v>
      </c>
      <c r="L29" s="329">
        <v>50.56</v>
      </c>
      <c r="M29" s="329">
        <v>53.76</v>
      </c>
      <c r="N29" s="329">
        <v>57.05</v>
      </c>
      <c r="O29" s="329">
        <v>60.33</v>
      </c>
      <c r="P29" s="329">
        <v>63.64</v>
      </c>
      <c r="Q29" s="329">
        <v>66.989999999999995</v>
      </c>
      <c r="R29" s="329" t="s">
        <v>138</v>
      </c>
      <c r="S29" s="329" t="s">
        <v>138</v>
      </c>
      <c r="T29" s="329" t="s">
        <v>138</v>
      </c>
      <c r="U29" s="329" t="s">
        <v>138</v>
      </c>
      <c r="V29" s="329" t="s">
        <v>138</v>
      </c>
      <c r="W29" s="329" t="s">
        <v>138</v>
      </c>
    </row>
    <row r="30" spans="1:34">
      <c r="A30" s="347">
        <v>46</v>
      </c>
      <c r="B30" s="329">
        <v>23.83</v>
      </c>
      <c r="C30" s="329">
        <v>25.21</v>
      </c>
      <c r="D30" s="329">
        <v>27.93</v>
      </c>
      <c r="E30" s="329">
        <v>30.94</v>
      </c>
      <c r="F30" s="329">
        <v>34.1</v>
      </c>
      <c r="G30" s="329">
        <v>37.35</v>
      </c>
      <c r="H30" s="329">
        <v>40.57</v>
      </c>
      <c r="I30" s="329">
        <v>44.17</v>
      </c>
      <c r="J30" s="329">
        <v>47.76</v>
      </c>
      <c r="K30" s="329">
        <v>51.33</v>
      </c>
      <c r="L30" s="329">
        <v>54.9</v>
      </c>
      <c r="M30" s="329">
        <v>58.19</v>
      </c>
      <c r="N30" s="329">
        <v>61.56</v>
      </c>
      <c r="O30" s="329">
        <v>64.87</v>
      </c>
      <c r="P30" s="329">
        <v>68.180000000000007</v>
      </c>
      <c r="Q30" s="329" t="s">
        <v>138</v>
      </c>
      <c r="R30" s="329" t="s">
        <v>138</v>
      </c>
      <c r="S30" s="329" t="s">
        <v>138</v>
      </c>
      <c r="T30" s="329" t="s">
        <v>138</v>
      </c>
      <c r="U30" s="329" t="s">
        <v>138</v>
      </c>
      <c r="V30" s="329" t="s">
        <v>138</v>
      </c>
      <c r="W30" s="329" t="s">
        <v>138</v>
      </c>
    </row>
    <row r="31" spans="1:34">
      <c r="A31" s="347">
        <v>47</v>
      </c>
      <c r="B31" s="329">
        <v>25.53</v>
      </c>
      <c r="C31" s="329">
        <v>27.01</v>
      </c>
      <c r="D31" s="329">
        <v>29.96</v>
      </c>
      <c r="E31" s="329">
        <v>33.21</v>
      </c>
      <c r="F31" s="329">
        <v>36.65</v>
      </c>
      <c r="G31" s="329">
        <v>40.17</v>
      </c>
      <c r="H31" s="329">
        <v>43.67</v>
      </c>
      <c r="I31" s="329">
        <v>47.57</v>
      </c>
      <c r="J31" s="329">
        <v>51.47</v>
      </c>
      <c r="K31" s="329">
        <v>55.35</v>
      </c>
      <c r="L31" s="329">
        <v>59.24</v>
      </c>
      <c r="M31" s="329">
        <v>62.61</v>
      </c>
      <c r="N31" s="329">
        <v>66.08</v>
      </c>
      <c r="O31" s="329">
        <v>69.41</v>
      </c>
      <c r="P31" s="329" t="s">
        <v>138</v>
      </c>
      <c r="Q31" s="329" t="s">
        <v>138</v>
      </c>
      <c r="R31" s="329" t="s">
        <v>138</v>
      </c>
      <c r="S31" s="329" t="s">
        <v>138</v>
      </c>
      <c r="T31" s="329" t="s">
        <v>138</v>
      </c>
      <c r="U31" s="329" t="s">
        <v>138</v>
      </c>
      <c r="V31" s="329" t="s">
        <v>138</v>
      </c>
      <c r="W31" s="329" t="s">
        <v>138</v>
      </c>
    </row>
    <row r="32" spans="1:34">
      <c r="A32" s="347">
        <v>48</v>
      </c>
      <c r="B32" s="329">
        <v>27.24</v>
      </c>
      <c r="C32" s="329">
        <v>28.82</v>
      </c>
      <c r="D32" s="329">
        <v>31.99</v>
      </c>
      <c r="E32" s="329">
        <v>35.49</v>
      </c>
      <c r="F32" s="329">
        <v>39.19</v>
      </c>
      <c r="G32" s="329">
        <v>42.99</v>
      </c>
      <c r="H32" s="329">
        <v>46.76</v>
      </c>
      <c r="I32" s="329">
        <v>50.97</v>
      </c>
      <c r="J32" s="329">
        <v>55.18</v>
      </c>
      <c r="K32" s="329">
        <v>59.38</v>
      </c>
      <c r="L32" s="329">
        <v>63.57</v>
      </c>
      <c r="M32" s="329">
        <v>67.03</v>
      </c>
      <c r="N32" s="329">
        <v>70.59</v>
      </c>
      <c r="O32" s="329" t="s">
        <v>138</v>
      </c>
      <c r="P32" s="329" t="s">
        <v>138</v>
      </c>
      <c r="Q32" s="329" t="s">
        <v>138</v>
      </c>
      <c r="R32" s="329" t="s">
        <v>138</v>
      </c>
      <c r="S32" s="329" t="s">
        <v>138</v>
      </c>
      <c r="T32" s="329" t="s">
        <v>138</v>
      </c>
      <c r="U32" s="329" t="s">
        <v>138</v>
      </c>
      <c r="V32" s="329" t="s">
        <v>138</v>
      </c>
      <c r="W32" s="329" t="s">
        <v>138</v>
      </c>
    </row>
    <row r="33" spans="1:23">
      <c r="A33" s="347">
        <v>49</v>
      </c>
      <c r="B33" s="329">
        <v>28.94</v>
      </c>
      <c r="C33" s="329">
        <v>30.62</v>
      </c>
      <c r="D33" s="329">
        <v>34.01</v>
      </c>
      <c r="E33" s="329">
        <v>37.76</v>
      </c>
      <c r="F33" s="329">
        <v>41.73</v>
      </c>
      <c r="G33" s="329">
        <v>45.81</v>
      </c>
      <c r="H33" s="329">
        <v>49.85</v>
      </c>
      <c r="I33" s="329">
        <v>54.37</v>
      </c>
      <c r="J33" s="329">
        <v>58.89</v>
      </c>
      <c r="K33" s="329">
        <v>63.4</v>
      </c>
      <c r="L33" s="329">
        <v>67.91</v>
      </c>
      <c r="M33" s="329">
        <v>71.45</v>
      </c>
      <c r="N33" s="329" t="s">
        <v>138</v>
      </c>
      <c r="O33" s="329" t="s">
        <v>138</v>
      </c>
      <c r="P33" s="329" t="s">
        <v>138</v>
      </c>
      <c r="Q33" s="329" t="s">
        <v>138</v>
      </c>
      <c r="R33" s="329" t="s">
        <v>138</v>
      </c>
      <c r="S33" s="329" t="s">
        <v>138</v>
      </c>
      <c r="T33" s="329" t="s">
        <v>138</v>
      </c>
      <c r="U33" s="329" t="s">
        <v>138</v>
      </c>
      <c r="V33" s="329" t="s">
        <v>138</v>
      </c>
      <c r="W33" s="329" t="s">
        <v>138</v>
      </c>
    </row>
    <row r="34" spans="1:23">
      <c r="A34" s="347">
        <v>50</v>
      </c>
      <c r="B34" s="329">
        <v>30.65</v>
      </c>
      <c r="C34" s="329">
        <v>32.42</v>
      </c>
      <c r="D34" s="329">
        <v>36.04</v>
      </c>
      <c r="E34" s="329">
        <v>40.04</v>
      </c>
      <c r="F34" s="329">
        <v>44.28</v>
      </c>
      <c r="G34" s="329">
        <v>48.62</v>
      </c>
      <c r="H34" s="329">
        <v>52.94</v>
      </c>
      <c r="I34" s="329">
        <v>57.77</v>
      </c>
      <c r="J34" s="329">
        <v>62.6</v>
      </c>
      <c r="K34" s="329">
        <v>67.42</v>
      </c>
      <c r="L34" s="329">
        <v>72.25</v>
      </c>
    </row>
    <row r="35" spans="1:23">
      <c r="A35" s="347">
        <v>51</v>
      </c>
      <c r="B35" s="329">
        <v>33.61</v>
      </c>
      <c r="C35" s="329">
        <v>35.549999999999997</v>
      </c>
      <c r="D35" s="329">
        <v>39.57</v>
      </c>
      <c r="E35" s="329">
        <v>44.01</v>
      </c>
      <c r="F35" s="329">
        <v>48.7</v>
      </c>
      <c r="G35" s="329">
        <v>53.53</v>
      </c>
      <c r="H35" s="329">
        <v>58.04</v>
      </c>
      <c r="I35" s="329">
        <v>63.08</v>
      </c>
      <c r="J35" s="329">
        <v>67.98</v>
      </c>
      <c r="K35" s="329">
        <v>72.819999999999993</v>
      </c>
      <c r="L35" s="329" t="s">
        <v>138</v>
      </c>
    </row>
    <row r="36" spans="1:23">
      <c r="A36" s="347">
        <v>52</v>
      </c>
      <c r="B36" s="329">
        <v>36.56</v>
      </c>
      <c r="C36" s="329">
        <v>38.69</v>
      </c>
      <c r="D36" s="329">
        <v>43.11</v>
      </c>
      <c r="E36" s="329">
        <v>47.98</v>
      </c>
      <c r="F36" s="329">
        <v>53.13</v>
      </c>
      <c r="G36" s="329">
        <v>58.43</v>
      </c>
      <c r="H36" s="329">
        <v>63.13</v>
      </c>
      <c r="I36" s="329">
        <v>68.39</v>
      </c>
      <c r="J36" s="329">
        <v>73.37</v>
      </c>
      <c r="K36" s="329" t="s">
        <v>138</v>
      </c>
      <c r="L36" s="329" t="s">
        <v>138</v>
      </c>
    </row>
    <row r="37" spans="1:23">
      <c r="A37" s="347">
        <v>53</v>
      </c>
      <c r="B37" s="329">
        <v>39.520000000000003</v>
      </c>
      <c r="C37" s="329">
        <v>41.82</v>
      </c>
      <c r="D37" s="329">
        <v>46.64</v>
      </c>
      <c r="E37" s="329">
        <v>51.95</v>
      </c>
      <c r="F37" s="329">
        <v>57.56</v>
      </c>
      <c r="G37" s="329">
        <v>63.34</v>
      </c>
      <c r="H37" s="329">
        <v>68.23</v>
      </c>
      <c r="I37" s="329">
        <v>73.709999999999994</v>
      </c>
      <c r="J37" s="329" t="s">
        <v>138</v>
      </c>
      <c r="K37" s="329" t="s">
        <v>138</v>
      </c>
      <c r="L37" s="329" t="s">
        <v>138</v>
      </c>
    </row>
    <row r="38" spans="1:23">
      <c r="A38" s="347">
        <v>54</v>
      </c>
      <c r="B38" s="329">
        <v>42.47</v>
      </c>
      <c r="C38" s="329">
        <v>44.96</v>
      </c>
      <c r="D38" s="329">
        <v>50.17</v>
      </c>
      <c r="E38" s="329">
        <v>55.92</v>
      </c>
      <c r="F38" s="329">
        <v>61.98</v>
      </c>
      <c r="G38" s="329">
        <v>68.239999999999995</v>
      </c>
      <c r="H38" s="329">
        <v>73.33</v>
      </c>
      <c r="I38" s="329" t="s">
        <v>138</v>
      </c>
      <c r="J38" s="329" t="s">
        <v>138</v>
      </c>
      <c r="K38" s="329" t="s">
        <v>138</v>
      </c>
      <c r="L38" s="329" t="s">
        <v>138</v>
      </c>
    </row>
    <row r="39" spans="1:23">
      <c r="A39" s="347">
        <v>55</v>
      </c>
      <c r="B39" s="329">
        <v>45.43</v>
      </c>
      <c r="C39" s="329">
        <v>48.09</v>
      </c>
      <c r="D39" s="329">
        <v>53.7</v>
      </c>
      <c r="E39" s="329">
        <v>59.89</v>
      </c>
      <c r="F39" s="329">
        <v>66.41</v>
      </c>
      <c r="G39" s="329">
        <v>73.14</v>
      </c>
      <c r="H39" s="329" t="s">
        <v>138</v>
      </c>
      <c r="I39" s="329" t="s">
        <v>138</v>
      </c>
      <c r="J39" s="329" t="s">
        <v>138</v>
      </c>
      <c r="K39" s="329" t="s">
        <v>138</v>
      </c>
      <c r="L39" s="329" t="s">
        <v>138</v>
      </c>
    </row>
    <row r="40" spans="1:23">
      <c r="A40" s="347">
        <v>56</v>
      </c>
      <c r="B40" s="329">
        <v>50.69</v>
      </c>
      <c r="C40" s="329">
        <v>53.38</v>
      </c>
      <c r="D40" s="329">
        <v>59.33</v>
      </c>
      <c r="E40" s="329">
        <v>65.72</v>
      </c>
      <c r="F40" s="329">
        <v>72.38</v>
      </c>
      <c r="G40" s="329" t="s">
        <v>138</v>
      </c>
      <c r="H40" s="329" t="s">
        <v>138</v>
      </c>
      <c r="I40" s="329" t="s">
        <v>138</v>
      </c>
      <c r="J40" s="329" t="s">
        <v>138</v>
      </c>
      <c r="K40" s="329" t="s">
        <v>138</v>
      </c>
      <c r="L40" s="329" t="s">
        <v>138</v>
      </c>
    </row>
    <row r="41" spans="1:23">
      <c r="A41" s="347">
        <v>57</v>
      </c>
      <c r="B41" s="329">
        <v>55.94</v>
      </c>
      <c r="C41" s="329">
        <v>58.66</v>
      </c>
      <c r="D41" s="329">
        <v>64.959999999999994</v>
      </c>
      <c r="E41" s="329">
        <v>71.55</v>
      </c>
      <c r="F41" s="329" t="s">
        <v>138</v>
      </c>
      <c r="G41" s="329" t="s">
        <v>138</v>
      </c>
      <c r="H41" s="329" t="s">
        <v>138</v>
      </c>
      <c r="I41" s="329" t="s">
        <v>138</v>
      </c>
      <c r="J41" s="329" t="s">
        <v>138</v>
      </c>
      <c r="K41" s="329" t="s">
        <v>138</v>
      </c>
      <c r="L41" s="329" t="s">
        <v>138</v>
      </c>
    </row>
    <row r="42" spans="1:23">
      <c r="A42" s="347">
        <v>58</v>
      </c>
      <c r="B42" s="329">
        <v>61.2</v>
      </c>
      <c r="C42" s="329">
        <v>63.95</v>
      </c>
      <c r="D42" s="329">
        <v>70.59</v>
      </c>
      <c r="E42" s="329" t="s">
        <v>138</v>
      </c>
      <c r="F42" s="329" t="s">
        <v>138</v>
      </c>
      <c r="G42" s="329" t="s">
        <v>138</v>
      </c>
      <c r="H42" s="329" t="s">
        <v>138</v>
      </c>
      <c r="I42" s="329" t="s">
        <v>138</v>
      </c>
      <c r="J42" s="329" t="s">
        <v>138</v>
      </c>
      <c r="K42" s="329" t="s">
        <v>138</v>
      </c>
      <c r="L42" s="329" t="s">
        <v>138</v>
      </c>
    </row>
    <row r="43" spans="1:23">
      <c r="A43" s="347">
        <v>59</v>
      </c>
      <c r="B43" s="329">
        <v>66.45</v>
      </c>
      <c r="C43" s="329">
        <v>69.239999999999995</v>
      </c>
      <c r="D43" s="329" t="s">
        <v>138</v>
      </c>
      <c r="E43" s="329" t="s">
        <v>138</v>
      </c>
      <c r="F43" s="329" t="s">
        <v>138</v>
      </c>
      <c r="G43" s="329" t="s">
        <v>138</v>
      </c>
      <c r="H43" s="329" t="s">
        <v>138</v>
      </c>
      <c r="I43" s="329" t="s">
        <v>138</v>
      </c>
      <c r="J43" s="329" t="s">
        <v>138</v>
      </c>
      <c r="K43" s="329" t="s">
        <v>138</v>
      </c>
      <c r="L43" s="329" t="s">
        <v>138</v>
      </c>
    </row>
    <row r="44" spans="1:23">
      <c r="A44" s="347">
        <v>60</v>
      </c>
      <c r="B44" s="329">
        <v>71.709999999999994</v>
      </c>
      <c r="C44" s="329" t="s">
        <v>138</v>
      </c>
      <c r="D44" s="329" t="s">
        <v>138</v>
      </c>
      <c r="E44" s="329" t="s">
        <v>138</v>
      </c>
      <c r="F44" s="329" t="s">
        <v>138</v>
      </c>
      <c r="G44" s="329" t="s">
        <v>138</v>
      </c>
      <c r="H44" s="329" t="s">
        <v>138</v>
      </c>
      <c r="I44" s="329" t="s">
        <v>138</v>
      </c>
      <c r="J44" s="329" t="s">
        <v>138</v>
      </c>
      <c r="K44" s="329" t="s">
        <v>138</v>
      </c>
      <c r="L44" s="329" t="s">
        <v>138</v>
      </c>
    </row>
    <row r="48" spans="1:23">
      <c r="I48" s="329" t="s">
        <v>716</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21B7C-F4C3-4427-800F-B55E3CBD17AD}">
  <dimension ref="A1:AQ43"/>
  <sheetViews>
    <sheetView zoomScale="55" zoomScaleNormal="55" workbookViewId="0">
      <selection activeCell="AS30" sqref="AS30"/>
    </sheetView>
  </sheetViews>
  <sheetFormatPr defaultColWidth="9.296875" defaultRowHeight="13"/>
  <cols>
    <col min="1" max="1" width="9.296875" style="332"/>
    <col min="2" max="16384" width="9.296875" style="329"/>
  </cols>
  <sheetData>
    <row r="1" spans="1:43" s="330" customFormat="1">
      <c r="A1" s="330" t="s">
        <v>1</v>
      </c>
      <c r="B1" s="330">
        <v>5</v>
      </c>
      <c r="C1" s="330">
        <v>6</v>
      </c>
      <c r="D1" s="330">
        <v>7</v>
      </c>
      <c r="E1" s="330">
        <v>8</v>
      </c>
      <c r="F1" s="330">
        <v>9</v>
      </c>
      <c r="G1" s="330">
        <v>10</v>
      </c>
      <c r="H1" s="330">
        <v>11</v>
      </c>
      <c r="I1" s="330">
        <v>12</v>
      </c>
      <c r="J1" s="330">
        <v>13</v>
      </c>
      <c r="K1" s="330">
        <v>14</v>
      </c>
      <c r="L1" s="330">
        <v>15</v>
      </c>
      <c r="M1" s="330">
        <v>16</v>
      </c>
      <c r="N1" s="330">
        <v>17</v>
      </c>
      <c r="O1" s="330">
        <v>18</v>
      </c>
      <c r="P1" s="330">
        <v>19</v>
      </c>
      <c r="Q1" s="330">
        <v>20</v>
      </c>
      <c r="R1" s="330">
        <v>21</v>
      </c>
      <c r="S1" s="330">
        <v>22</v>
      </c>
      <c r="T1" s="330">
        <v>23</v>
      </c>
      <c r="U1" s="330">
        <v>24</v>
      </c>
      <c r="V1" s="330">
        <v>25</v>
      </c>
      <c r="W1" s="330">
        <v>26</v>
      </c>
      <c r="X1" s="330">
        <v>27</v>
      </c>
      <c r="Y1" s="330">
        <v>28</v>
      </c>
      <c r="Z1" s="330">
        <v>29</v>
      </c>
      <c r="AA1" s="330">
        <v>30</v>
      </c>
      <c r="AB1" s="330">
        <v>31</v>
      </c>
      <c r="AC1" s="330">
        <v>32</v>
      </c>
      <c r="AD1" s="330">
        <v>33</v>
      </c>
      <c r="AE1" s="330">
        <v>34</v>
      </c>
      <c r="AF1" s="330">
        <v>35</v>
      </c>
      <c r="AG1" s="330">
        <v>36</v>
      </c>
      <c r="AH1" s="330">
        <v>37</v>
      </c>
      <c r="AI1" s="330">
        <v>38</v>
      </c>
      <c r="AJ1" s="330">
        <v>39</v>
      </c>
      <c r="AK1" s="330">
        <v>40</v>
      </c>
      <c r="AL1" s="330">
        <v>41</v>
      </c>
      <c r="AM1" s="330">
        <v>42</v>
      </c>
      <c r="AN1" s="330">
        <v>43</v>
      </c>
      <c r="AO1" s="330">
        <v>44</v>
      </c>
      <c r="AP1" s="330">
        <v>45</v>
      </c>
      <c r="AQ1" s="330">
        <v>46</v>
      </c>
    </row>
    <row r="2" spans="1:43">
      <c r="A2" s="332">
        <v>18</v>
      </c>
      <c r="B2" s="329">
        <v>5.51</v>
      </c>
      <c r="C2" s="329">
        <v>6.04</v>
      </c>
      <c r="D2" s="329">
        <v>6.54</v>
      </c>
      <c r="E2" s="329">
        <v>7.11</v>
      </c>
      <c r="F2" s="329">
        <v>7.72</v>
      </c>
      <c r="G2" s="329">
        <v>8.34</v>
      </c>
      <c r="H2" s="329">
        <v>8.94</v>
      </c>
      <c r="I2" s="329">
        <v>9.6199999999999992</v>
      </c>
      <c r="J2" s="329">
        <v>10.28</v>
      </c>
      <c r="K2" s="329">
        <v>10.92</v>
      </c>
      <c r="L2" s="329">
        <v>11.56</v>
      </c>
      <c r="M2" s="329">
        <v>12.16</v>
      </c>
      <c r="N2" s="329">
        <v>12.76</v>
      </c>
      <c r="O2" s="329">
        <v>13.35</v>
      </c>
      <c r="P2" s="329">
        <v>13.92</v>
      </c>
      <c r="Q2" s="329">
        <v>14.46</v>
      </c>
      <c r="R2" s="329">
        <v>14.99</v>
      </c>
      <c r="S2" s="329">
        <v>15.5</v>
      </c>
      <c r="T2" s="329">
        <v>15.98</v>
      </c>
      <c r="U2" s="329">
        <v>16.45</v>
      </c>
      <c r="V2" s="329">
        <v>16.899999999999999</v>
      </c>
      <c r="W2" s="329">
        <v>17.34</v>
      </c>
      <c r="X2" s="329">
        <v>17.75</v>
      </c>
      <c r="Y2" s="329">
        <v>18.149999999999999</v>
      </c>
      <c r="Z2" s="329">
        <v>18.559999999999999</v>
      </c>
      <c r="AA2" s="329">
        <v>18.95</v>
      </c>
      <c r="AB2" s="329">
        <v>19.34</v>
      </c>
      <c r="AC2" s="329">
        <v>19.72</v>
      </c>
      <c r="AD2" s="329">
        <v>20.13</v>
      </c>
      <c r="AE2" s="329">
        <v>20.54</v>
      </c>
      <c r="AF2" s="329">
        <v>21</v>
      </c>
      <c r="AG2" s="329">
        <v>21.46</v>
      </c>
      <c r="AH2" s="329">
        <v>21.91</v>
      </c>
      <c r="AI2" s="329">
        <v>22.39</v>
      </c>
      <c r="AJ2" s="329">
        <v>22.85</v>
      </c>
      <c r="AK2" s="329">
        <v>23.32</v>
      </c>
      <c r="AL2" s="329">
        <v>23.79</v>
      </c>
      <c r="AM2" s="329">
        <v>24.28</v>
      </c>
      <c r="AN2" s="329">
        <v>24.78</v>
      </c>
      <c r="AO2" s="329">
        <v>25.26</v>
      </c>
      <c r="AP2" s="329">
        <v>25.75</v>
      </c>
      <c r="AQ2" s="329">
        <v>26.26</v>
      </c>
    </row>
    <row r="3" spans="1:43">
      <c r="A3" s="332">
        <v>19</v>
      </c>
      <c r="B3" s="329">
        <v>5.61</v>
      </c>
      <c r="C3" s="329">
        <v>6.17</v>
      </c>
      <c r="D3" s="329">
        <v>6.69</v>
      </c>
      <c r="E3" s="329">
        <v>7.28</v>
      </c>
      <c r="F3" s="329">
        <v>7.91</v>
      </c>
      <c r="G3" s="329">
        <v>8.5500000000000007</v>
      </c>
      <c r="H3" s="329">
        <v>9.16</v>
      </c>
      <c r="I3" s="329">
        <v>9.85</v>
      </c>
      <c r="J3" s="329">
        <v>10.53</v>
      </c>
      <c r="K3" s="329">
        <v>11.19</v>
      </c>
      <c r="L3" s="329">
        <v>11.84</v>
      </c>
      <c r="M3" s="329">
        <v>12.45</v>
      </c>
      <c r="N3" s="329">
        <v>13.07</v>
      </c>
      <c r="O3" s="329">
        <v>13.67</v>
      </c>
      <c r="P3" s="329">
        <v>14.24</v>
      </c>
      <c r="Q3" s="329">
        <v>14.8</v>
      </c>
      <c r="R3" s="329">
        <v>15.34</v>
      </c>
      <c r="S3" s="329">
        <v>15.86</v>
      </c>
      <c r="T3" s="329">
        <v>16.36</v>
      </c>
      <c r="U3" s="329">
        <v>16.84</v>
      </c>
      <c r="V3" s="329">
        <v>17.3</v>
      </c>
      <c r="W3" s="329">
        <v>17.75</v>
      </c>
      <c r="X3" s="329">
        <v>18.190000000000001</v>
      </c>
      <c r="Y3" s="329">
        <v>18.61</v>
      </c>
      <c r="Z3" s="329">
        <v>19.03</v>
      </c>
      <c r="AA3" s="329">
        <v>19.440000000000001</v>
      </c>
      <c r="AB3" s="329">
        <v>19.86</v>
      </c>
      <c r="AC3" s="329">
        <v>20.28</v>
      </c>
      <c r="AD3" s="329">
        <v>20.74</v>
      </c>
      <c r="AE3" s="329">
        <v>21.19</v>
      </c>
      <c r="AF3" s="329">
        <v>21.67</v>
      </c>
      <c r="AG3" s="329">
        <v>22.16</v>
      </c>
      <c r="AH3" s="329">
        <v>22.64</v>
      </c>
      <c r="AI3" s="329">
        <v>23.14</v>
      </c>
      <c r="AJ3" s="329">
        <v>23.63</v>
      </c>
      <c r="AK3" s="329">
        <v>24.13</v>
      </c>
      <c r="AL3" s="329">
        <v>24.64</v>
      </c>
      <c r="AM3" s="329">
        <v>25.15</v>
      </c>
      <c r="AN3" s="329">
        <v>25.67</v>
      </c>
      <c r="AO3" s="329">
        <v>26.19</v>
      </c>
      <c r="AP3" s="329">
        <v>26.72</v>
      </c>
      <c r="AQ3" s="329">
        <v>27.18</v>
      </c>
    </row>
    <row r="4" spans="1:43">
      <c r="A4" s="332">
        <v>20</v>
      </c>
      <c r="B4" s="329">
        <v>5.72</v>
      </c>
      <c r="C4" s="329">
        <v>6.29</v>
      </c>
      <c r="D4" s="329">
        <v>6.84</v>
      </c>
      <c r="E4" s="329">
        <v>7.45</v>
      </c>
      <c r="F4" s="329">
        <v>8.1</v>
      </c>
      <c r="G4" s="329">
        <v>8.75</v>
      </c>
      <c r="H4" s="329">
        <v>9.3800000000000008</v>
      </c>
      <c r="I4" s="329">
        <v>10.09</v>
      </c>
      <c r="J4" s="329">
        <v>10.78</v>
      </c>
      <c r="K4" s="329">
        <v>11.45</v>
      </c>
      <c r="L4" s="329">
        <v>12.11</v>
      </c>
      <c r="M4" s="329">
        <v>12.74</v>
      </c>
      <c r="N4" s="329">
        <v>13.37</v>
      </c>
      <c r="O4" s="329">
        <v>13.98</v>
      </c>
      <c r="P4" s="329">
        <v>14.57</v>
      </c>
      <c r="Q4" s="329">
        <v>15.14</v>
      </c>
      <c r="R4" s="329">
        <v>15.69</v>
      </c>
      <c r="S4" s="329">
        <v>16.22</v>
      </c>
      <c r="T4" s="329">
        <v>16.73</v>
      </c>
      <c r="U4" s="329">
        <v>17.23</v>
      </c>
      <c r="V4" s="329">
        <v>17.71</v>
      </c>
      <c r="W4" s="329">
        <v>18.170000000000002</v>
      </c>
      <c r="X4" s="329">
        <v>18.62</v>
      </c>
      <c r="Y4" s="329">
        <v>19.059999999999999</v>
      </c>
      <c r="Z4" s="329">
        <v>19.5</v>
      </c>
      <c r="AA4" s="329">
        <v>19.93</v>
      </c>
      <c r="AB4" s="329">
        <v>20.38</v>
      </c>
      <c r="AC4" s="329">
        <v>20.85</v>
      </c>
      <c r="AD4" s="329">
        <v>21.34</v>
      </c>
      <c r="AE4" s="329">
        <v>21.84</v>
      </c>
      <c r="AF4" s="329">
        <v>22.35</v>
      </c>
      <c r="AG4" s="329">
        <v>22.86</v>
      </c>
      <c r="AH4" s="329">
        <v>23.38</v>
      </c>
      <c r="AI4" s="329">
        <v>23.9</v>
      </c>
      <c r="AJ4" s="329">
        <v>24.42</v>
      </c>
      <c r="AK4" s="329">
        <v>24.95</v>
      </c>
      <c r="AL4" s="329">
        <v>25.48</v>
      </c>
      <c r="AM4" s="329">
        <v>26.02</v>
      </c>
      <c r="AN4" s="329">
        <v>26.57</v>
      </c>
      <c r="AO4" s="329">
        <v>27.12</v>
      </c>
      <c r="AP4" s="329">
        <v>27.69</v>
      </c>
      <c r="AQ4" s="329" t="s">
        <v>138</v>
      </c>
    </row>
    <row r="5" spans="1:43">
      <c r="A5" s="332">
        <v>21</v>
      </c>
      <c r="B5" s="329">
        <v>5.91</v>
      </c>
      <c r="C5" s="329">
        <v>6.48</v>
      </c>
      <c r="D5" s="329">
        <v>7.04</v>
      </c>
      <c r="E5" s="329">
        <v>7.66</v>
      </c>
      <c r="F5" s="329">
        <v>8.31</v>
      </c>
      <c r="G5" s="329">
        <v>8.9700000000000006</v>
      </c>
      <c r="H5" s="329">
        <v>9.61</v>
      </c>
      <c r="I5" s="329">
        <v>10.33</v>
      </c>
      <c r="J5" s="329">
        <v>11.03</v>
      </c>
      <c r="K5" s="329">
        <v>11.71</v>
      </c>
      <c r="L5" s="329">
        <v>12.38</v>
      </c>
      <c r="M5" s="329">
        <v>13.02</v>
      </c>
      <c r="N5" s="329">
        <v>13.67</v>
      </c>
      <c r="O5" s="329">
        <v>14.29</v>
      </c>
      <c r="P5" s="329">
        <v>14.89</v>
      </c>
      <c r="Q5" s="329">
        <v>15.48</v>
      </c>
      <c r="R5" s="329">
        <v>16.04</v>
      </c>
      <c r="S5" s="329">
        <v>16.59</v>
      </c>
      <c r="T5" s="329">
        <v>17.12</v>
      </c>
      <c r="U5" s="329">
        <v>17.63</v>
      </c>
      <c r="V5" s="329">
        <v>18.13</v>
      </c>
      <c r="W5" s="329">
        <v>18.62</v>
      </c>
      <c r="X5" s="329">
        <v>19.100000000000001</v>
      </c>
      <c r="Y5" s="329">
        <v>19.57</v>
      </c>
      <c r="Z5" s="329">
        <v>20.05</v>
      </c>
      <c r="AA5" s="329">
        <v>20.52</v>
      </c>
      <c r="AB5" s="329">
        <v>21.01</v>
      </c>
      <c r="AC5" s="329">
        <v>21.51</v>
      </c>
      <c r="AD5" s="329">
        <v>22.04</v>
      </c>
      <c r="AE5" s="329">
        <v>22.57</v>
      </c>
      <c r="AF5" s="329">
        <v>23.11</v>
      </c>
      <c r="AG5" s="329">
        <v>23.65</v>
      </c>
      <c r="AH5" s="329">
        <v>24.2</v>
      </c>
      <c r="AI5" s="329">
        <v>24.75</v>
      </c>
      <c r="AJ5" s="329">
        <v>25.31</v>
      </c>
      <c r="AK5" s="329">
        <v>25.87</v>
      </c>
      <c r="AL5" s="329">
        <v>26.5</v>
      </c>
      <c r="AM5" s="329">
        <v>27.13</v>
      </c>
      <c r="AN5" s="329">
        <v>27.75</v>
      </c>
      <c r="AO5" s="329">
        <v>28.39</v>
      </c>
      <c r="AP5" s="329" t="s">
        <v>138</v>
      </c>
      <c r="AQ5" s="329" t="s">
        <v>138</v>
      </c>
    </row>
    <row r="6" spans="1:43">
      <c r="A6" s="332">
        <v>22</v>
      </c>
      <c r="B6" s="329">
        <v>6.11</v>
      </c>
      <c r="C6" s="329">
        <v>6.67</v>
      </c>
      <c r="D6" s="329">
        <v>7.23</v>
      </c>
      <c r="E6" s="329">
        <v>7.86</v>
      </c>
      <c r="F6" s="329">
        <v>8.52</v>
      </c>
      <c r="G6" s="329">
        <v>9.19</v>
      </c>
      <c r="H6" s="329">
        <v>9.84</v>
      </c>
      <c r="I6" s="329">
        <v>10.57</v>
      </c>
      <c r="J6" s="329">
        <v>11.28</v>
      </c>
      <c r="K6" s="329">
        <v>11.97</v>
      </c>
      <c r="L6" s="329">
        <v>12.65</v>
      </c>
      <c r="M6" s="329">
        <v>13.31</v>
      </c>
      <c r="N6" s="329">
        <v>13.96</v>
      </c>
      <c r="O6" s="329">
        <v>14.6</v>
      </c>
      <c r="P6" s="329">
        <v>15.22</v>
      </c>
      <c r="Q6" s="329">
        <v>15.82</v>
      </c>
      <c r="R6" s="329">
        <v>16.39</v>
      </c>
      <c r="S6" s="329">
        <v>16.96</v>
      </c>
      <c r="T6" s="329">
        <v>17.5</v>
      </c>
      <c r="U6" s="329">
        <v>18.03</v>
      </c>
      <c r="V6" s="329">
        <v>18.55</v>
      </c>
      <c r="W6" s="329">
        <v>19.059999999999999</v>
      </c>
      <c r="X6" s="329">
        <v>19.57</v>
      </c>
      <c r="Y6" s="329">
        <v>20.079999999999998</v>
      </c>
      <c r="Z6" s="329">
        <v>20.6</v>
      </c>
      <c r="AA6" s="329">
        <v>21.11</v>
      </c>
      <c r="AB6" s="329">
        <v>21.64</v>
      </c>
      <c r="AC6" s="329">
        <v>22.18</v>
      </c>
      <c r="AD6" s="329">
        <v>22.73</v>
      </c>
      <c r="AE6" s="329">
        <v>23.3</v>
      </c>
      <c r="AF6" s="329">
        <v>23.87</v>
      </c>
      <c r="AG6" s="329">
        <v>24.44</v>
      </c>
      <c r="AH6" s="329">
        <v>25.02</v>
      </c>
      <c r="AI6" s="329">
        <v>25.6</v>
      </c>
      <c r="AJ6" s="329">
        <v>26.19</v>
      </c>
      <c r="AK6" s="329">
        <v>26.79</v>
      </c>
      <c r="AL6" s="329">
        <v>27.51</v>
      </c>
      <c r="AM6" s="329">
        <v>28.23</v>
      </c>
      <c r="AN6" s="329">
        <v>28.94</v>
      </c>
      <c r="AO6" s="329" t="s">
        <v>138</v>
      </c>
      <c r="AP6" s="329" t="s">
        <v>138</v>
      </c>
      <c r="AQ6" s="329" t="s">
        <v>138</v>
      </c>
    </row>
    <row r="7" spans="1:43">
      <c r="A7" s="332">
        <v>23</v>
      </c>
      <c r="B7" s="329">
        <v>6.31</v>
      </c>
      <c r="C7" s="329">
        <v>6.86</v>
      </c>
      <c r="D7" s="329">
        <v>7.43</v>
      </c>
      <c r="E7" s="329">
        <v>8.06</v>
      </c>
      <c r="F7" s="329">
        <v>8.73</v>
      </c>
      <c r="G7" s="329">
        <v>9.41</v>
      </c>
      <c r="H7" s="329">
        <v>10.07</v>
      </c>
      <c r="I7" s="329">
        <v>10.8</v>
      </c>
      <c r="J7" s="329">
        <v>11.53</v>
      </c>
      <c r="K7" s="329">
        <v>12.23</v>
      </c>
      <c r="L7" s="329">
        <v>12.93</v>
      </c>
      <c r="M7" s="329">
        <v>13.59</v>
      </c>
      <c r="N7" s="329">
        <v>14.26</v>
      </c>
      <c r="O7" s="329">
        <v>14.91</v>
      </c>
      <c r="P7" s="329">
        <v>15.54</v>
      </c>
      <c r="Q7" s="329">
        <v>16.16</v>
      </c>
      <c r="R7" s="329">
        <v>16.75</v>
      </c>
      <c r="S7" s="329">
        <v>17.32</v>
      </c>
      <c r="T7" s="329">
        <v>17.89</v>
      </c>
      <c r="U7" s="329">
        <v>18.440000000000001</v>
      </c>
      <c r="V7" s="329">
        <v>18.97</v>
      </c>
      <c r="W7" s="329">
        <v>19.510000000000002</v>
      </c>
      <c r="X7" s="329">
        <v>20.05</v>
      </c>
      <c r="Y7" s="329">
        <v>20.59</v>
      </c>
      <c r="Z7" s="329">
        <v>21.14</v>
      </c>
      <c r="AA7" s="329">
        <v>21.7</v>
      </c>
      <c r="AB7" s="329">
        <v>22.27</v>
      </c>
      <c r="AC7" s="329">
        <v>22.84</v>
      </c>
      <c r="AD7" s="329">
        <v>23.43</v>
      </c>
      <c r="AE7" s="329">
        <v>24.03</v>
      </c>
      <c r="AF7" s="329">
        <v>24.63</v>
      </c>
      <c r="AG7" s="329">
        <v>25.23</v>
      </c>
      <c r="AH7" s="329">
        <v>25.84</v>
      </c>
      <c r="AI7" s="329">
        <v>26.46</v>
      </c>
      <c r="AJ7" s="329">
        <v>27.08</v>
      </c>
      <c r="AK7" s="329">
        <v>27.71</v>
      </c>
      <c r="AL7" s="329">
        <v>28.52</v>
      </c>
      <c r="AM7" s="329">
        <v>29.33</v>
      </c>
      <c r="AN7" s="329" t="s">
        <v>138</v>
      </c>
      <c r="AO7" s="329" t="s">
        <v>138</v>
      </c>
      <c r="AP7" s="329" t="s">
        <v>138</v>
      </c>
      <c r="AQ7" s="329" t="s">
        <v>138</v>
      </c>
    </row>
    <row r="8" spans="1:43">
      <c r="A8" s="332">
        <v>24</v>
      </c>
      <c r="B8" s="329">
        <v>6.51</v>
      </c>
      <c r="C8" s="329">
        <v>7.05</v>
      </c>
      <c r="D8" s="329">
        <v>7.62</v>
      </c>
      <c r="E8" s="329">
        <v>8.27</v>
      </c>
      <c r="F8" s="329">
        <v>8.9499999999999993</v>
      </c>
      <c r="G8" s="329">
        <v>9.6300000000000008</v>
      </c>
      <c r="H8" s="329">
        <v>10.3</v>
      </c>
      <c r="I8" s="329">
        <v>11.04</v>
      </c>
      <c r="J8" s="329">
        <v>11.78</v>
      </c>
      <c r="K8" s="329">
        <v>12.49</v>
      </c>
      <c r="L8" s="329">
        <v>13.2</v>
      </c>
      <c r="M8" s="329">
        <v>13.87</v>
      </c>
      <c r="N8" s="329">
        <v>14.56</v>
      </c>
      <c r="O8" s="329">
        <v>15.22</v>
      </c>
      <c r="P8" s="329">
        <v>15.87</v>
      </c>
      <c r="Q8" s="329">
        <v>16.489999999999998</v>
      </c>
      <c r="R8" s="329">
        <v>17.100000000000001</v>
      </c>
      <c r="S8" s="329">
        <v>17.690000000000001</v>
      </c>
      <c r="T8" s="329">
        <v>18.27</v>
      </c>
      <c r="U8" s="329">
        <v>18.84</v>
      </c>
      <c r="V8" s="329">
        <v>19.399999999999999</v>
      </c>
      <c r="W8" s="329">
        <v>19.96</v>
      </c>
      <c r="X8" s="329">
        <v>20.52</v>
      </c>
      <c r="Y8" s="329">
        <v>21.1</v>
      </c>
      <c r="Z8" s="329">
        <v>21.69</v>
      </c>
      <c r="AA8" s="329">
        <v>22.29</v>
      </c>
      <c r="AB8" s="329">
        <v>22.89</v>
      </c>
      <c r="AC8" s="329">
        <v>23.5</v>
      </c>
      <c r="AD8" s="329">
        <v>24.13</v>
      </c>
      <c r="AE8" s="329">
        <v>24.75</v>
      </c>
      <c r="AF8" s="329">
        <v>25.38</v>
      </c>
      <c r="AG8" s="329">
        <v>26.02</v>
      </c>
      <c r="AH8" s="329">
        <v>26.66</v>
      </c>
      <c r="AI8" s="329">
        <v>27.31</v>
      </c>
      <c r="AJ8" s="329">
        <v>27.97</v>
      </c>
      <c r="AK8" s="329">
        <v>28.63</v>
      </c>
      <c r="AL8" s="329">
        <v>29.53</v>
      </c>
      <c r="AM8" s="329" t="s">
        <v>138</v>
      </c>
      <c r="AN8" s="329" t="s">
        <v>138</v>
      </c>
      <c r="AO8" s="329" t="s">
        <v>138</v>
      </c>
      <c r="AP8" s="329" t="s">
        <v>138</v>
      </c>
      <c r="AQ8" s="329" t="s">
        <v>138</v>
      </c>
    </row>
    <row r="9" spans="1:43">
      <c r="A9" s="332">
        <v>25</v>
      </c>
      <c r="B9" s="329">
        <v>6.71</v>
      </c>
      <c r="C9" s="329">
        <v>7.24</v>
      </c>
      <c r="D9" s="329">
        <v>7.82</v>
      </c>
      <c r="E9" s="329">
        <v>8.4700000000000006</v>
      </c>
      <c r="F9" s="329">
        <v>9.16</v>
      </c>
      <c r="G9" s="329">
        <v>9.85</v>
      </c>
      <c r="H9" s="329">
        <v>10.52</v>
      </c>
      <c r="I9" s="329">
        <v>11.28</v>
      </c>
      <c r="J9" s="329">
        <v>12.02</v>
      </c>
      <c r="K9" s="329">
        <v>12.75</v>
      </c>
      <c r="L9" s="329">
        <v>13.47</v>
      </c>
      <c r="M9" s="329">
        <v>14.16</v>
      </c>
      <c r="N9" s="329">
        <v>14.85</v>
      </c>
      <c r="O9" s="329">
        <v>15.53</v>
      </c>
      <c r="P9" s="329">
        <v>16.190000000000001</v>
      </c>
      <c r="Q9" s="329">
        <v>16.829999999999998</v>
      </c>
      <c r="R9" s="329">
        <v>17.45</v>
      </c>
      <c r="S9" s="329">
        <v>18.059999999999999</v>
      </c>
      <c r="T9" s="329">
        <v>18.66</v>
      </c>
      <c r="U9" s="329">
        <v>19.239999999999998</v>
      </c>
      <c r="V9" s="329">
        <v>19.82</v>
      </c>
      <c r="W9" s="329">
        <v>20.399999999999999</v>
      </c>
      <c r="X9" s="329">
        <v>21</v>
      </c>
      <c r="Y9" s="329">
        <v>21.61</v>
      </c>
      <c r="Z9" s="329">
        <v>22.24</v>
      </c>
      <c r="AA9" s="329">
        <v>22.88</v>
      </c>
      <c r="AB9" s="329">
        <v>23.52</v>
      </c>
      <c r="AC9" s="329">
        <v>24.17</v>
      </c>
      <c r="AD9" s="329">
        <v>24.82</v>
      </c>
      <c r="AE9" s="329">
        <v>25.48</v>
      </c>
      <c r="AF9" s="329">
        <v>26.14</v>
      </c>
      <c r="AG9" s="329">
        <v>26.81</v>
      </c>
      <c r="AH9" s="329">
        <v>27.49</v>
      </c>
      <c r="AI9" s="329">
        <v>28.17</v>
      </c>
      <c r="AJ9" s="329">
        <v>28.86</v>
      </c>
      <c r="AK9" s="329">
        <v>29.56</v>
      </c>
      <c r="AL9" s="329" t="s">
        <v>138</v>
      </c>
      <c r="AM9" s="329" t="s">
        <v>138</v>
      </c>
      <c r="AN9" s="329" t="s">
        <v>138</v>
      </c>
      <c r="AO9" s="329" t="s">
        <v>138</v>
      </c>
      <c r="AP9" s="329" t="s">
        <v>138</v>
      </c>
      <c r="AQ9" s="329" t="s">
        <v>138</v>
      </c>
    </row>
    <row r="10" spans="1:43">
      <c r="A10" s="332">
        <v>26</v>
      </c>
      <c r="B10" s="329">
        <v>6.71</v>
      </c>
      <c r="C10" s="329">
        <v>7.24</v>
      </c>
      <c r="D10" s="329">
        <v>7.82</v>
      </c>
      <c r="E10" s="329">
        <v>8.4700000000000006</v>
      </c>
      <c r="F10" s="329">
        <v>9.16</v>
      </c>
      <c r="G10" s="329">
        <v>9.8699999999999992</v>
      </c>
      <c r="H10" s="329">
        <v>10.55</v>
      </c>
      <c r="I10" s="329">
        <v>11.31</v>
      </c>
      <c r="J10" s="329">
        <v>12.07</v>
      </c>
      <c r="K10" s="329">
        <v>12.81</v>
      </c>
      <c r="L10" s="329">
        <v>13.54</v>
      </c>
      <c r="M10" s="329">
        <v>14.25</v>
      </c>
      <c r="N10" s="329">
        <v>14.96</v>
      </c>
      <c r="O10" s="329">
        <v>15.65</v>
      </c>
      <c r="P10" s="329">
        <v>16.329999999999998</v>
      </c>
      <c r="Q10" s="329">
        <v>16.989999999999998</v>
      </c>
      <c r="R10" s="329">
        <v>17.63</v>
      </c>
      <c r="S10" s="329">
        <v>18.27</v>
      </c>
      <c r="T10" s="329">
        <v>18.89</v>
      </c>
      <c r="U10" s="329">
        <v>19.510000000000002</v>
      </c>
      <c r="V10" s="329">
        <v>20.13</v>
      </c>
      <c r="W10" s="329">
        <v>20.75</v>
      </c>
      <c r="X10" s="329">
        <v>21.38</v>
      </c>
      <c r="Y10" s="329">
        <v>22.03</v>
      </c>
      <c r="Z10" s="329">
        <v>22.7</v>
      </c>
      <c r="AA10" s="329">
        <v>23.37</v>
      </c>
      <c r="AB10" s="329">
        <v>24.05</v>
      </c>
      <c r="AC10" s="329">
        <v>24.73</v>
      </c>
      <c r="AD10" s="329">
        <v>25.42</v>
      </c>
      <c r="AE10" s="329">
        <v>26.12</v>
      </c>
      <c r="AF10" s="329">
        <v>26.82</v>
      </c>
      <c r="AG10" s="329">
        <v>27.49</v>
      </c>
      <c r="AH10" s="329">
        <v>28.18</v>
      </c>
      <c r="AI10" s="329">
        <v>28.88</v>
      </c>
      <c r="AJ10" s="329">
        <v>29.6</v>
      </c>
      <c r="AK10" s="329" t="s">
        <v>138</v>
      </c>
      <c r="AL10" s="329" t="s">
        <v>138</v>
      </c>
      <c r="AM10" s="329" t="s">
        <v>138</v>
      </c>
      <c r="AN10" s="329" t="s">
        <v>138</v>
      </c>
      <c r="AO10" s="329" t="s">
        <v>138</v>
      </c>
      <c r="AP10" s="329" t="s">
        <v>138</v>
      </c>
      <c r="AQ10" s="329" t="s">
        <v>138</v>
      </c>
    </row>
    <row r="11" spans="1:43">
      <c r="A11" s="332">
        <v>27</v>
      </c>
      <c r="B11" s="329">
        <v>6.71</v>
      </c>
      <c r="C11" s="329">
        <v>7.24</v>
      </c>
      <c r="D11" s="329">
        <v>7.82</v>
      </c>
      <c r="E11" s="329">
        <v>8.4700000000000006</v>
      </c>
      <c r="F11" s="329">
        <v>9.17</v>
      </c>
      <c r="G11" s="329">
        <v>9.8800000000000008</v>
      </c>
      <c r="H11" s="329">
        <v>10.57</v>
      </c>
      <c r="I11" s="329">
        <v>11.35</v>
      </c>
      <c r="J11" s="329">
        <v>12.12</v>
      </c>
      <c r="K11" s="329">
        <v>12.87</v>
      </c>
      <c r="L11" s="329">
        <v>13.61</v>
      </c>
      <c r="M11" s="329">
        <v>14.33</v>
      </c>
      <c r="N11" s="329">
        <v>15.06</v>
      </c>
      <c r="O11" s="329">
        <v>15.78</v>
      </c>
      <c r="P11" s="329">
        <v>16.47</v>
      </c>
      <c r="Q11" s="329">
        <v>17.149999999999999</v>
      </c>
      <c r="R11" s="329">
        <v>17.82</v>
      </c>
      <c r="S11" s="329">
        <v>18.48</v>
      </c>
      <c r="T11" s="329">
        <v>19.13</v>
      </c>
      <c r="U11" s="329">
        <v>19.78</v>
      </c>
      <c r="V11" s="329">
        <v>20.440000000000001</v>
      </c>
      <c r="W11" s="329">
        <v>21.1</v>
      </c>
      <c r="X11" s="329">
        <v>21.77</v>
      </c>
      <c r="Y11" s="329">
        <v>22.46</v>
      </c>
      <c r="Z11" s="329">
        <v>23.15</v>
      </c>
      <c r="AA11" s="329">
        <v>23.87</v>
      </c>
      <c r="AB11" s="329">
        <v>24.58</v>
      </c>
      <c r="AC11" s="329">
        <v>25.3</v>
      </c>
      <c r="AD11" s="329">
        <v>26.02</v>
      </c>
      <c r="AE11" s="329">
        <v>26.76</v>
      </c>
      <c r="AF11" s="329">
        <v>27.5</v>
      </c>
      <c r="AG11" s="329">
        <v>28.16</v>
      </c>
      <c r="AH11" s="329">
        <v>28.87</v>
      </c>
      <c r="AI11" s="329">
        <v>29.6</v>
      </c>
      <c r="AJ11" s="329" t="s">
        <v>138</v>
      </c>
      <c r="AK11" s="329" t="s">
        <v>138</v>
      </c>
      <c r="AL11" s="329" t="s">
        <v>138</v>
      </c>
      <c r="AM11" s="329" t="s">
        <v>138</v>
      </c>
      <c r="AN11" s="329" t="s">
        <v>138</v>
      </c>
      <c r="AO11" s="329" t="s">
        <v>138</v>
      </c>
      <c r="AP11" s="329" t="s">
        <v>138</v>
      </c>
      <c r="AQ11" s="329" t="s">
        <v>138</v>
      </c>
    </row>
    <row r="12" spans="1:43">
      <c r="A12" s="332">
        <v>28</v>
      </c>
      <c r="B12" s="329">
        <v>6.71</v>
      </c>
      <c r="C12" s="329">
        <v>7.24</v>
      </c>
      <c r="D12" s="329">
        <v>7.82</v>
      </c>
      <c r="E12" s="329">
        <v>8.4700000000000006</v>
      </c>
      <c r="F12" s="329">
        <v>9.18</v>
      </c>
      <c r="G12" s="329">
        <v>9.89</v>
      </c>
      <c r="H12" s="329">
        <v>10.59</v>
      </c>
      <c r="I12" s="329">
        <v>11.38</v>
      </c>
      <c r="J12" s="329">
        <v>12.16</v>
      </c>
      <c r="K12" s="329">
        <v>12.93</v>
      </c>
      <c r="L12" s="329">
        <v>13.69</v>
      </c>
      <c r="M12" s="329">
        <v>14.42</v>
      </c>
      <c r="N12" s="329">
        <v>15.17</v>
      </c>
      <c r="O12" s="329">
        <v>15.9</v>
      </c>
      <c r="P12" s="329">
        <v>16.61</v>
      </c>
      <c r="Q12" s="329">
        <v>17.309999999999999</v>
      </c>
      <c r="R12" s="329">
        <v>18</v>
      </c>
      <c r="S12" s="329">
        <v>18.68</v>
      </c>
      <c r="T12" s="329">
        <v>19.37</v>
      </c>
      <c r="U12" s="329">
        <v>20.059999999999999</v>
      </c>
      <c r="V12" s="329">
        <v>20.75</v>
      </c>
      <c r="W12" s="329">
        <v>21.45</v>
      </c>
      <c r="X12" s="329">
        <v>22.16</v>
      </c>
      <c r="Y12" s="329">
        <v>22.88</v>
      </c>
      <c r="Z12" s="329">
        <v>23.61</v>
      </c>
      <c r="AA12" s="329">
        <v>24.36</v>
      </c>
      <c r="AB12" s="329">
        <v>25.11</v>
      </c>
      <c r="AC12" s="329">
        <v>25.86</v>
      </c>
      <c r="AD12" s="329">
        <v>26.62</v>
      </c>
      <c r="AE12" s="329">
        <v>27.4</v>
      </c>
      <c r="AF12" s="329">
        <v>28.18</v>
      </c>
      <c r="AG12" s="329">
        <v>28.84</v>
      </c>
      <c r="AH12" s="329">
        <v>29.56</v>
      </c>
    </row>
    <row r="13" spans="1:43">
      <c r="A13" s="332">
        <v>29</v>
      </c>
      <c r="B13" s="329">
        <v>6.71</v>
      </c>
      <c r="C13" s="329">
        <v>7.24</v>
      </c>
      <c r="D13" s="329">
        <v>7.82</v>
      </c>
      <c r="E13" s="329">
        <v>8.4700000000000006</v>
      </c>
      <c r="F13" s="329">
        <v>9.18</v>
      </c>
      <c r="G13" s="329">
        <v>9.91</v>
      </c>
      <c r="H13" s="329">
        <v>10.61</v>
      </c>
      <c r="I13" s="329">
        <v>11.42</v>
      </c>
      <c r="J13" s="329">
        <v>12.21</v>
      </c>
      <c r="K13" s="329">
        <v>12.99</v>
      </c>
      <c r="L13" s="329">
        <v>13.76</v>
      </c>
      <c r="M13" s="329">
        <v>14.51</v>
      </c>
      <c r="N13" s="329">
        <v>15.27</v>
      </c>
      <c r="O13" s="329">
        <v>16.02</v>
      </c>
      <c r="P13" s="329">
        <v>16.75</v>
      </c>
      <c r="Q13" s="329">
        <v>17.47</v>
      </c>
      <c r="R13" s="329">
        <v>18.18</v>
      </c>
      <c r="S13" s="329">
        <v>18.89</v>
      </c>
      <c r="T13" s="329">
        <v>19.61</v>
      </c>
      <c r="U13" s="329">
        <v>20.329999999999998</v>
      </c>
      <c r="V13" s="329">
        <v>21.06</v>
      </c>
      <c r="W13" s="329">
        <v>21.8</v>
      </c>
      <c r="X13" s="329">
        <v>22.54</v>
      </c>
      <c r="Y13" s="329">
        <v>23.3</v>
      </c>
      <c r="Z13" s="329">
        <v>24.06</v>
      </c>
      <c r="AA13" s="329">
        <v>24.85</v>
      </c>
      <c r="AB13" s="329">
        <v>25.64</v>
      </c>
      <c r="AC13" s="329">
        <v>26.43</v>
      </c>
      <c r="AD13" s="329">
        <v>27.23</v>
      </c>
      <c r="AE13" s="329">
        <v>28.03</v>
      </c>
      <c r="AF13" s="329">
        <v>28.85</v>
      </c>
      <c r="AG13" s="329">
        <v>29.52</v>
      </c>
      <c r="AH13" s="329" t="s">
        <v>138</v>
      </c>
    </row>
    <row r="14" spans="1:43">
      <c r="A14" s="332">
        <v>30</v>
      </c>
      <c r="B14" s="329">
        <v>6.71</v>
      </c>
      <c r="C14" s="329">
        <v>7.24</v>
      </c>
      <c r="D14" s="329">
        <v>7.82</v>
      </c>
      <c r="E14" s="329">
        <v>8.4700000000000006</v>
      </c>
      <c r="F14" s="329">
        <v>9.19</v>
      </c>
      <c r="G14" s="329">
        <v>9.92</v>
      </c>
      <c r="H14" s="329">
        <v>10.63</v>
      </c>
      <c r="I14" s="329">
        <v>11.45</v>
      </c>
      <c r="J14" s="329">
        <v>12.25</v>
      </c>
      <c r="K14" s="329">
        <v>13.05</v>
      </c>
      <c r="L14" s="329">
        <v>13.83</v>
      </c>
      <c r="M14" s="329">
        <v>14.59</v>
      </c>
      <c r="N14" s="329">
        <v>15.38</v>
      </c>
      <c r="O14" s="329">
        <v>16.14</v>
      </c>
      <c r="P14" s="329">
        <v>16.89</v>
      </c>
      <c r="Q14" s="329">
        <v>17.63</v>
      </c>
      <c r="R14" s="329">
        <v>18.36</v>
      </c>
      <c r="S14" s="329">
        <v>19.100000000000001</v>
      </c>
      <c r="T14" s="329">
        <v>19.84</v>
      </c>
      <c r="U14" s="329">
        <v>20.6</v>
      </c>
      <c r="V14" s="329">
        <v>21.37</v>
      </c>
      <c r="W14" s="329">
        <v>22.14</v>
      </c>
      <c r="X14" s="329">
        <v>22.93</v>
      </c>
      <c r="Y14" s="329">
        <v>23.72</v>
      </c>
      <c r="Z14" s="329">
        <v>24.52</v>
      </c>
      <c r="AA14" s="329">
        <v>25.35</v>
      </c>
      <c r="AB14" s="329">
        <v>26.16</v>
      </c>
      <c r="AC14" s="329">
        <v>26.99</v>
      </c>
      <c r="AD14" s="329">
        <v>27.83</v>
      </c>
      <c r="AE14" s="329">
        <v>28.67</v>
      </c>
      <c r="AF14" s="329">
        <v>29.53</v>
      </c>
      <c r="AG14" s="329" t="s">
        <v>138</v>
      </c>
      <c r="AH14" s="329" t="s">
        <v>138</v>
      </c>
    </row>
    <row r="15" spans="1:43">
      <c r="A15" s="332">
        <v>31</v>
      </c>
      <c r="B15" s="329">
        <v>6.84</v>
      </c>
      <c r="C15" s="329">
        <v>7.4</v>
      </c>
      <c r="D15" s="329">
        <v>8.01</v>
      </c>
      <c r="E15" s="329">
        <v>8.7100000000000009</v>
      </c>
      <c r="F15" s="329">
        <v>9.4600000000000009</v>
      </c>
      <c r="G15" s="329">
        <v>10.23</v>
      </c>
      <c r="H15" s="329">
        <v>10.98</v>
      </c>
      <c r="I15" s="329">
        <v>11.84</v>
      </c>
      <c r="J15" s="329">
        <v>12.69</v>
      </c>
      <c r="K15" s="329">
        <v>13.52</v>
      </c>
      <c r="L15" s="329">
        <v>14.35</v>
      </c>
      <c r="M15" s="329">
        <v>15.16</v>
      </c>
      <c r="N15" s="329">
        <v>15.99</v>
      </c>
      <c r="O15" s="329">
        <v>16.79</v>
      </c>
      <c r="P15" s="329">
        <v>17.59</v>
      </c>
      <c r="Q15" s="329">
        <v>18.38</v>
      </c>
      <c r="R15" s="329">
        <v>19.16</v>
      </c>
      <c r="S15" s="329">
        <v>19.940000000000001</v>
      </c>
      <c r="T15" s="329">
        <v>20.73</v>
      </c>
      <c r="U15" s="329">
        <v>21.54</v>
      </c>
      <c r="V15" s="329">
        <v>22.35</v>
      </c>
      <c r="W15" s="329">
        <v>23.18</v>
      </c>
      <c r="X15" s="329">
        <v>24.01</v>
      </c>
      <c r="Y15" s="329">
        <v>24.85</v>
      </c>
      <c r="Z15" s="329">
        <v>25.71</v>
      </c>
      <c r="AA15" s="329">
        <v>26.58</v>
      </c>
      <c r="AB15" s="329">
        <v>27.32</v>
      </c>
      <c r="AC15" s="329">
        <v>28.05</v>
      </c>
      <c r="AD15" s="329">
        <v>28.82</v>
      </c>
      <c r="AE15" s="329">
        <v>29.62</v>
      </c>
      <c r="AF15" s="329" t="s">
        <v>138</v>
      </c>
      <c r="AG15" s="329" t="s">
        <v>138</v>
      </c>
      <c r="AH15" s="329" t="s">
        <v>138</v>
      </c>
    </row>
    <row r="16" spans="1:43">
      <c r="A16" s="332">
        <v>32</v>
      </c>
      <c r="B16" s="329">
        <v>6.97</v>
      </c>
      <c r="C16" s="329">
        <v>7.56</v>
      </c>
      <c r="D16" s="329">
        <v>8.2100000000000009</v>
      </c>
      <c r="E16" s="329">
        <v>8.94</v>
      </c>
      <c r="F16" s="329">
        <v>9.73</v>
      </c>
      <c r="G16" s="329">
        <v>10.54</v>
      </c>
      <c r="H16" s="329">
        <v>11.33</v>
      </c>
      <c r="I16" s="329">
        <v>12.23</v>
      </c>
      <c r="J16" s="329">
        <v>13.12</v>
      </c>
      <c r="K16" s="329">
        <v>14</v>
      </c>
      <c r="L16" s="329">
        <v>14.87</v>
      </c>
      <c r="M16" s="329">
        <v>15.72</v>
      </c>
      <c r="N16" s="329">
        <v>16.59</v>
      </c>
      <c r="O16" s="329">
        <v>17.45</v>
      </c>
      <c r="P16" s="329">
        <v>18.29</v>
      </c>
      <c r="Q16" s="329">
        <v>19.12</v>
      </c>
      <c r="R16" s="329">
        <v>19.95</v>
      </c>
      <c r="S16" s="329">
        <v>20.78</v>
      </c>
      <c r="T16" s="329">
        <v>21.62</v>
      </c>
      <c r="U16" s="329">
        <v>22.47</v>
      </c>
      <c r="V16" s="329">
        <v>23.34</v>
      </c>
      <c r="W16" s="329">
        <v>24.21</v>
      </c>
      <c r="X16" s="329">
        <v>25.09</v>
      </c>
      <c r="Y16" s="329">
        <v>25.99</v>
      </c>
      <c r="Z16" s="329">
        <v>26.89</v>
      </c>
      <c r="AA16" s="329">
        <v>27.82</v>
      </c>
      <c r="AB16" s="329">
        <v>28.47</v>
      </c>
      <c r="AC16" s="329">
        <v>29.11</v>
      </c>
      <c r="AD16" s="329">
        <v>29.82</v>
      </c>
      <c r="AE16" s="329" t="s">
        <v>138</v>
      </c>
      <c r="AF16" s="329" t="s">
        <v>138</v>
      </c>
      <c r="AG16" s="329" t="s">
        <v>138</v>
      </c>
      <c r="AH16" s="329" t="s">
        <v>138</v>
      </c>
    </row>
    <row r="17" spans="1:34">
      <c r="A17" s="332">
        <v>33</v>
      </c>
      <c r="B17" s="329">
        <v>7.1</v>
      </c>
      <c r="C17" s="329">
        <v>7.71</v>
      </c>
      <c r="D17" s="329">
        <v>8.4</v>
      </c>
      <c r="E17" s="329">
        <v>9.17</v>
      </c>
      <c r="F17" s="329">
        <v>10</v>
      </c>
      <c r="G17" s="329">
        <v>10.85</v>
      </c>
      <c r="H17" s="329">
        <v>11.68</v>
      </c>
      <c r="I17" s="329">
        <v>12.62</v>
      </c>
      <c r="J17" s="329">
        <v>13.56</v>
      </c>
      <c r="K17" s="329">
        <v>14.48</v>
      </c>
      <c r="L17" s="329">
        <v>15.39</v>
      </c>
      <c r="M17" s="329">
        <v>16.29</v>
      </c>
      <c r="N17" s="329">
        <v>17.2</v>
      </c>
      <c r="O17" s="329">
        <v>18.100000000000001</v>
      </c>
      <c r="P17" s="329">
        <v>18.989999999999998</v>
      </c>
      <c r="Q17" s="329">
        <v>19.87</v>
      </c>
      <c r="R17" s="329">
        <v>20.74</v>
      </c>
      <c r="S17" s="329">
        <v>21.62</v>
      </c>
      <c r="T17" s="329">
        <v>22.51</v>
      </c>
      <c r="U17" s="329">
        <v>23.41</v>
      </c>
      <c r="V17" s="329">
        <v>24.32</v>
      </c>
      <c r="W17" s="329">
        <v>25.25</v>
      </c>
      <c r="X17" s="329">
        <v>26.18</v>
      </c>
      <c r="Y17" s="329">
        <v>27.12</v>
      </c>
      <c r="Z17" s="329">
        <v>28.08</v>
      </c>
      <c r="AA17" s="329">
        <v>29.05</v>
      </c>
      <c r="AB17" s="329">
        <v>29.63</v>
      </c>
      <c r="AC17" s="329">
        <v>30.17</v>
      </c>
      <c r="AD17" s="329" t="s">
        <v>138</v>
      </c>
      <c r="AE17" s="329" t="s">
        <v>138</v>
      </c>
      <c r="AF17" s="329" t="s">
        <v>138</v>
      </c>
      <c r="AG17" s="329" t="s">
        <v>138</v>
      </c>
      <c r="AH17" s="329" t="s">
        <v>138</v>
      </c>
    </row>
    <row r="18" spans="1:34">
      <c r="A18" s="332">
        <v>34</v>
      </c>
      <c r="B18" s="329">
        <v>7.24</v>
      </c>
      <c r="C18" s="329">
        <v>7.87</v>
      </c>
      <c r="D18" s="329">
        <v>8.6</v>
      </c>
      <c r="E18" s="329">
        <v>9.41</v>
      </c>
      <c r="F18" s="329">
        <v>10.27</v>
      </c>
      <c r="G18" s="329">
        <v>11.16</v>
      </c>
      <c r="H18" s="329">
        <v>12.03</v>
      </c>
      <c r="I18" s="329">
        <v>13.01</v>
      </c>
      <c r="J18" s="329">
        <v>13.99</v>
      </c>
      <c r="K18" s="329">
        <v>14.96</v>
      </c>
      <c r="L18" s="329">
        <v>15.91</v>
      </c>
      <c r="M18" s="329">
        <v>16.86</v>
      </c>
      <c r="N18" s="329">
        <v>17.809999999999999</v>
      </c>
      <c r="O18" s="329">
        <v>18.75</v>
      </c>
      <c r="P18" s="329">
        <v>19.68</v>
      </c>
      <c r="Q18" s="329">
        <v>20.61</v>
      </c>
      <c r="R18" s="329">
        <v>21.53</v>
      </c>
      <c r="S18" s="329">
        <v>22.46</v>
      </c>
      <c r="T18" s="329">
        <v>23.4</v>
      </c>
      <c r="U18" s="329">
        <v>24.35</v>
      </c>
      <c r="V18" s="329">
        <v>25.31</v>
      </c>
      <c r="W18" s="329">
        <v>26.28</v>
      </c>
      <c r="X18" s="329">
        <v>27.26</v>
      </c>
      <c r="Y18" s="329">
        <v>28.25</v>
      </c>
      <c r="Z18" s="329">
        <v>29.26</v>
      </c>
      <c r="AA18" s="329">
        <v>30.29</v>
      </c>
      <c r="AB18" s="329">
        <v>30.78</v>
      </c>
      <c r="AC18" s="329" t="s">
        <v>138</v>
      </c>
      <c r="AD18" s="329" t="s">
        <v>138</v>
      </c>
      <c r="AE18" s="329" t="s">
        <v>138</v>
      </c>
      <c r="AF18" s="329" t="s">
        <v>138</v>
      </c>
      <c r="AG18" s="329" t="s">
        <v>138</v>
      </c>
      <c r="AH18" s="329" t="s">
        <v>138</v>
      </c>
    </row>
    <row r="19" spans="1:34">
      <c r="A19" s="332">
        <v>35</v>
      </c>
      <c r="B19" s="329">
        <v>7.37</v>
      </c>
      <c r="C19" s="329">
        <v>8.0299999999999994</v>
      </c>
      <c r="D19" s="329">
        <v>8.7899999999999991</v>
      </c>
      <c r="E19" s="329">
        <v>9.64</v>
      </c>
      <c r="F19" s="329">
        <v>10.54</v>
      </c>
      <c r="G19" s="329">
        <v>11.47</v>
      </c>
      <c r="H19" s="329">
        <v>12.38</v>
      </c>
      <c r="I19" s="329">
        <v>13.41</v>
      </c>
      <c r="J19" s="329">
        <v>14.42</v>
      </c>
      <c r="K19" s="329">
        <v>15.43</v>
      </c>
      <c r="L19" s="329">
        <v>16.43</v>
      </c>
      <c r="M19" s="329">
        <v>17.420000000000002</v>
      </c>
      <c r="N19" s="329">
        <v>18.420000000000002</v>
      </c>
      <c r="O19" s="329">
        <v>19.399999999999999</v>
      </c>
      <c r="P19" s="329">
        <v>20.38</v>
      </c>
      <c r="Q19" s="329">
        <v>21.36</v>
      </c>
      <c r="R19" s="329">
        <v>22.32</v>
      </c>
      <c r="S19" s="329">
        <v>23.3</v>
      </c>
      <c r="T19" s="329">
        <v>24.29</v>
      </c>
      <c r="U19" s="329">
        <v>25.29</v>
      </c>
      <c r="V19" s="329">
        <v>26.29</v>
      </c>
      <c r="W19" s="329">
        <v>27.31</v>
      </c>
      <c r="X19" s="329">
        <v>28.34</v>
      </c>
      <c r="Y19" s="329">
        <v>29.39</v>
      </c>
      <c r="Z19" s="329">
        <v>30.45</v>
      </c>
      <c r="AA19" s="329">
        <v>31.52</v>
      </c>
      <c r="AB19" s="329" t="s">
        <v>138</v>
      </c>
      <c r="AC19" s="329" t="s">
        <v>138</v>
      </c>
      <c r="AD19" s="329" t="s">
        <v>138</v>
      </c>
      <c r="AE19" s="329" t="s">
        <v>138</v>
      </c>
      <c r="AF19" s="329" t="s">
        <v>138</v>
      </c>
      <c r="AG19" s="329" t="s">
        <v>138</v>
      </c>
      <c r="AH19" s="329" t="s">
        <v>138</v>
      </c>
    </row>
    <row r="20" spans="1:34">
      <c r="A20" s="332">
        <v>36</v>
      </c>
      <c r="B20" s="329">
        <v>7.85</v>
      </c>
      <c r="C20" s="329">
        <v>8.5399999999999991</v>
      </c>
      <c r="D20" s="329">
        <v>9.36</v>
      </c>
      <c r="E20" s="329">
        <v>10.27</v>
      </c>
      <c r="F20" s="329">
        <v>11.24</v>
      </c>
      <c r="G20" s="329">
        <v>12.23</v>
      </c>
      <c r="H20" s="329">
        <v>13.21</v>
      </c>
      <c r="I20" s="329">
        <v>14.31</v>
      </c>
      <c r="J20" s="329">
        <v>15.4</v>
      </c>
      <c r="K20" s="329">
        <v>16.48</v>
      </c>
      <c r="L20" s="329">
        <v>17.55</v>
      </c>
      <c r="M20" s="329">
        <v>18.61</v>
      </c>
      <c r="N20" s="329">
        <v>19.68</v>
      </c>
      <c r="O20" s="329">
        <v>20.73</v>
      </c>
      <c r="P20" s="329">
        <v>21.78</v>
      </c>
      <c r="Q20" s="329">
        <v>22.82</v>
      </c>
      <c r="R20" s="329">
        <v>23.85</v>
      </c>
      <c r="S20" s="329">
        <v>24.89</v>
      </c>
      <c r="T20" s="329">
        <v>25.94</v>
      </c>
      <c r="U20" s="329">
        <v>27.01</v>
      </c>
      <c r="V20" s="329">
        <v>28.09</v>
      </c>
      <c r="W20" s="329">
        <v>29.09</v>
      </c>
      <c r="X20" s="329">
        <v>30.1</v>
      </c>
      <c r="Y20" s="329">
        <v>31.16</v>
      </c>
      <c r="Z20" s="329">
        <v>32.229999999999997</v>
      </c>
      <c r="AA20" s="329" t="s">
        <v>138</v>
      </c>
      <c r="AB20" s="329" t="s">
        <v>138</v>
      </c>
      <c r="AC20" s="329" t="s">
        <v>138</v>
      </c>
      <c r="AD20" s="329" t="s">
        <v>138</v>
      </c>
      <c r="AE20" s="329" t="s">
        <v>138</v>
      </c>
      <c r="AF20" s="329" t="s">
        <v>138</v>
      </c>
      <c r="AG20" s="329" t="s">
        <v>138</v>
      </c>
      <c r="AH20" s="329" t="s">
        <v>138</v>
      </c>
    </row>
    <row r="21" spans="1:34">
      <c r="A21" s="332">
        <v>37</v>
      </c>
      <c r="B21" s="329">
        <v>8.33</v>
      </c>
      <c r="C21" s="329">
        <v>9.0500000000000007</v>
      </c>
      <c r="D21" s="329">
        <v>9.92</v>
      </c>
      <c r="E21" s="329">
        <v>10.9</v>
      </c>
      <c r="F21" s="329">
        <v>11.93</v>
      </c>
      <c r="G21" s="329">
        <v>12.99</v>
      </c>
      <c r="H21" s="329">
        <v>14.04</v>
      </c>
      <c r="I21" s="329">
        <v>15.21</v>
      </c>
      <c r="J21" s="329">
        <v>16.37</v>
      </c>
      <c r="K21" s="329">
        <v>17.53</v>
      </c>
      <c r="L21" s="329">
        <v>18.670000000000002</v>
      </c>
      <c r="M21" s="329">
        <v>19.79</v>
      </c>
      <c r="N21" s="329">
        <v>20.93</v>
      </c>
      <c r="O21" s="329">
        <v>22.06</v>
      </c>
      <c r="P21" s="329">
        <v>23.17</v>
      </c>
      <c r="Q21" s="329">
        <v>24.27</v>
      </c>
      <c r="R21" s="329">
        <v>25.37</v>
      </c>
      <c r="S21" s="329">
        <v>26.48</v>
      </c>
      <c r="T21" s="329">
        <v>27.6</v>
      </c>
      <c r="U21" s="329">
        <v>28.73</v>
      </c>
      <c r="V21" s="329">
        <v>29.88</v>
      </c>
      <c r="W21" s="329">
        <v>30.87</v>
      </c>
      <c r="X21" s="329">
        <v>31.86</v>
      </c>
      <c r="Y21" s="329">
        <v>32.93</v>
      </c>
      <c r="Z21" s="329" t="s">
        <v>138</v>
      </c>
      <c r="AA21" s="329" t="s">
        <v>138</v>
      </c>
      <c r="AB21" s="329" t="s">
        <v>138</v>
      </c>
      <c r="AC21" s="329" t="s">
        <v>138</v>
      </c>
      <c r="AD21" s="329" t="s">
        <v>138</v>
      </c>
      <c r="AE21" s="329" t="s">
        <v>138</v>
      </c>
      <c r="AF21" s="329" t="s">
        <v>138</v>
      </c>
      <c r="AG21" s="329" t="s">
        <v>138</v>
      </c>
      <c r="AH21" s="329" t="s">
        <v>138</v>
      </c>
    </row>
    <row r="22" spans="1:34">
      <c r="A22" s="332">
        <v>38</v>
      </c>
      <c r="B22" s="329">
        <v>8.81</v>
      </c>
      <c r="C22" s="329">
        <v>9.56</v>
      </c>
      <c r="D22" s="329">
        <v>10.49</v>
      </c>
      <c r="E22" s="329">
        <v>11.53</v>
      </c>
      <c r="F22" s="329">
        <v>12.63</v>
      </c>
      <c r="G22" s="329">
        <v>13.75</v>
      </c>
      <c r="H22" s="329">
        <v>14.87</v>
      </c>
      <c r="I22" s="329">
        <v>16.11</v>
      </c>
      <c r="J22" s="329">
        <v>17.350000000000001</v>
      </c>
      <c r="K22" s="329">
        <v>18.57</v>
      </c>
      <c r="L22" s="329">
        <v>19.79</v>
      </c>
      <c r="M22" s="329">
        <v>20.98</v>
      </c>
      <c r="N22" s="329">
        <v>22.19</v>
      </c>
      <c r="O22" s="329">
        <v>23.38</v>
      </c>
      <c r="P22" s="329">
        <v>24.56</v>
      </c>
      <c r="Q22" s="329">
        <v>25.73</v>
      </c>
      <c r="R22" s="329">
        <v>26.9</v>
      </c>
      <c r="S22" s="329">
        <v>28.07</v>
      </c>
      <c r="T22" s="329">
        <v>29.25</v>
      </c>
      <c r="U22" s="329">
        <v>30.45</v>
      </c>
      <c r="V22" s="329">
        <v>31.67</v>
      </c>
      <c r="W22" s="329">
        <v>32.65</v>
      </c>
      <c r="X22" s="329">
        <v>33.619999999999997</v>
      </c>
      <c r="Y22" s="329" t="s">
        <v>138</v>
      </c>
      <c r="Z22" s="329" t="s">
        <v>138</v>
      </c>
      <c r="AA22" s="329" t="s">
        <v>138</v>
      </c>
      <c r="AB22" s="329" t="s">
        <v>138</v>
      </c>
      <c r="AC22" s="329" t="s">
        <v>138</v>
      </c>
      <c r="AD22" s="329" t="s">
        <v>138</v>
      </c>
      <c r="AE22" s="329" t="s">
        <v>138</v>
      </c>
      <c r="AF22" s="329" t="s">
        <v>138</v>
      </c>
      <c r="AG22" s="329" t="s">
        <v>138</v>
      </c>
      <c r="AH22" s="329" t="s">
        <v>138</v>
      </c>
    </row>
    <row r="23" spans="1:34">
      <c r="A23" s="332">
        <v>39</v>
      </c>
      <c r="B23" s="329">
        <v>9.3000000000000007</v>
      </c>
      <c r="C23" s="329">
        <v>10.07</v>
      </c>
      <c r="D23" s="329">
        <v>11.05</v>
      </c>
      <c r="E23" s="329">
        <v>12.16</v>
      </c>
      <c r="F23" s="329">
        <v>13.32</v>
      </c>
      <c r="G23" s="329">
        <v>14.52</v>
      </c>
      <c r="H23" s="329">
        <v>15.69</v>
      </c>
      <c r="I23" s="329">
        <v>17.010000000000002</v>
      </c>
      <c r="J23" s="329">
        <v>18.32</v>
      </c>
      <c r="K23" s="329">
        <v>19.62</v>
      </c>
      <c r="L23" s="329">
        <v>20.91</v>
      </c>
      <c r="M23" s="329">
        <v>22.17</v>
      </c>
      <c r="N23" s="329">
        <v>23.44</v>
      </c>
      <c r="O23" s="329">
        <v>24.71</v>
      </c>
      <c r="P23" s="329">
        <v>25.95</v>
      </c>
      <c r="Q23" s="329">
        <v>27.19</v>
      </c>
      <c r="R23" s="329">
        <v>28.42</v>
      </c>
      <c r="S23" s="329">
        <v>29.66</v>
      </c>
      <c r="T23" s="329">
        <v>30.9</v>
      </c>
      <c r="U23" s="329">
        <v>32.17</v>
      </c>
      <c r="V23" s="329">
        <v>33.46</v>
      </c>
      <c r="W23" s="329">
        <v>34.43</v>
      </c>
    </row>
    <row r="24" spans="1:34">
      <c r="A24" s="332">
        <v>40</v>
      </c>
      <c r="B24" s="329">
        <v>9.7799999999999994</v>
      </c>
      <c r="C24" s="329">
        <v>10.58</v>
      </c>
      <c r="D24" s="329">
        <v>11.62</v>
      </c>
      <c r="E24" s="329">
        <v>12.78</v>
      </c>
      <c r="F24" s="329">
        <v>14.02</v>
      </c>
      <c r="G24" s="329">
        <v>15.28</v>
      </c>
      <c r="H24" s="329">
        <v>16.52</v>
      </c>
      <c r="I24" s="329">
        <v>17.91</v>
      </c>
      <c r="J24" s="329">
        <v>19.3</v>
      </c>
      <c r="K24" s="329">
        <v>20.67</v>
      </c>
      <c r="L24" s="329">
        <v>22.03</v>
      </c>
      <c r="M24" s="329">
        <v>23.35</v>
      </c>
      <c r="N24" s="329">
        <v>24.7</v>
      </c>
      <c r="O24" s="329">
        <v>26.03</v>
      </c>
      <c r="P24" s="329">
        <v>27.35</v>
      </c>
      <c r="Q24" s="329">
        <v>28.65</v>
      </c>
      <c r="R24" s="329">
        <v>29.94</v>
      </c>
      <c r="S24" s="329">
        <v>31.25</v>
      </c>
      <c r="T24" s="329">
        <v>32.56</v>
      </c>
      <c r="U24" s="329">
        <v>33.89</v>
      </c>
      <c r="V24" s="329">
        <v>35.25</v>
      </c>
      <c r="W24" s="329" t="s">
        <v>138</v>
      </c>
    </row>
    <row r="25" spans="1:34">
      <c r="A25" s="332">
        <v>41</v>
      </c>
      <c r="B25" s="329">
        <v>10.47</v>
      </c>
      <c r="C25" s="329">
        <v>11.3</v>
      </c>
      <c r="D25" s="329">
        <v>12.42</v>
      </c>
      <c r="E25" s="329">
        <v>13.68</v>
      </c>
      <c r="F25" s="329">
        <v>15</v>
      </c>
      <c r="G25" s="329">
        <v>16.36</v>
      </c>
      <c r="H25" s="329">
        <v>17.7</v>
      </c>
      <c r="I25" s="329">
        <v>19.2</v>
      </c>
      <c r="J25" s="329">
        <v>20.69</v>
      </c>
      <c r="K25" s="329">
        <v>22.17</v>
      </c>
      <c r="L25" s="329">
        <v>23.63</v>
      </c>
      <c r="M25" s="329">
        <v>25.06</v>
      </c>
      <c r="N25" s="329">
        <v>26.52</v>
      </c>
      <c r="O25" s="329">
        <v>27.95</v>
      </c>
      <c r="P25" s="329">
        <v>29.38</v>
      </c>
      <c r="Q25" s="329">
        <v>30.79</v>
      </c>
      <c r="R25" s="329">
        <v>32.090000000000003</v>
      </c>
      <c r="S25" s="329">
        <v>33.39</v>
      </c>
      <c r="T25" s="329">
        <v>34.72</v>
      </c>
      <c r="U25" s="329">
        <v>36.07</v>
      </c>
      <c r="V25" s="329" t="s">
        <v>138</v>
      </c>
      <c r="W25" s="329" t="s">
        <v>138</v>
      </c>
    </row>
    <row r="26" spans="1:34">
      <c r="A26" s="332">
        <v>42</v>
      </c>
      <c r="B26" s="329">
        <v>11.15</v>
      </c>
      <c r="C26" s="329">
        <v>12.02</v>
      </c>
      <c r="D26" s="329">
        <v>13.23</v>
      </c>
      <c r="E26" s="329">
        <v>14.57</v>
      </c>
      <c r="F26" s="329">
        <v>15.99</v>
      </c>
      <c r="G26" s="329">
        <v>17.45</v>
      </c>
      <c r="H26" s="329">
        <v>18.88</v>
      </c>
      <c r="I26" s="329">
        <v>20.49</v>
      </c>
      <c r="J26" s="329">
        <v>22.08</v>
      </c>
      <c r="K26" s="329">
        <v>23.67</v>
      </c>
      <c r="L26" s="329">
        <v>25.24</v>
      </c>
      <c r="M26" s="329">
        <v>26.77</v>
      </c>
      <c r="N26" s="329">
        <v>28.33</v>
      </c>
      <c r="O26" s="329">
        <v>29.88</v>
      </c>
      <c r="P26" s="329">
        <v>31.4</v>
      </c>
      <c r="Q26" s="329">
        <v>32.92</v>
      </c>
      <c r="R26" s="329">
        <v>34.229999999999997</v>
      </c>
      <c r="S26" s="329">
        <v>35.53</v>
      </c>
      <c r="T26" s="329">
        <v>36.880000000000003</v>
      </c>
      <c r="U26" s="329" t="s">
        <v>138</v>
      </c>
      <c r="V26" s="329" t="s">
        <v>138</v>
      </c>
      <c r="W26" s="329" t="s">
        <v>138</v>
      </c>
    </row>
    <row r="27" spans="1:34">
      <c r="A27" s="332">
        <v>43</v>
      </c>
      <c r="B27" s="329">
        <v>11.84</v>
      </c>
      <c r="C27" s="329">
        <v>12.75</v>
      </c>
      <c r="D27" s="329">
        <v>14.03</v>
      </c>
      <c r="E27" s="329">
        <v>15.47</v>
      </c>
      <c r="F27" s="329">
        <v>16.98</v>
      </c>
      <c r="G27" s="329">
        <v>18.53</v>
      </c>
      <c r="H27" s="329">
        <v>20.059999999999999</v>
      </c>
      <c r="I27" s="329">
        <v>21.77</v>
      </c>
      <c r="J27" s="329">
        <v>23.47</v>
      </c>
      <c r="K27" s="329">
        <v>25.16</v>
      </c>
      <c r="L27" s="329">
        <v>26.84</v>
      </c>
      <c r="M27" s="329">
        <v>28.48</v>
      </c>
      <c r="N27" s="329">
        <v>30.15</v>
      </c>
      <c r="O27" s="329">
        <v>31.8</v>
      </c>
      <c r="P27" s="329">
        <v>33.43</v>
      </c>
      <c r="Q27" s="329">
        <v>35.049999999999997</v>
      </c>
      <c r="R27" s="329">
        <v>36.380000000000003</v>
      </c>
      <c r="S27" s="329">
        <v>37.68</v>
      </c>
      <c r="T27" s="329" t="s">
        <v>138</v>
      </c>
      <c r="U27" s="329" t="s">
        <v>138</v>
      </c>
      <c r="V27" s="329" t="s">
        <v>138</v>
      </c>
      <c r="W27" s="329" t="s">
        <v>138</v>
      </c>
    </row>
    <row r="28" spans="1:34">
      <c r="A28" s="332">
        <v>44</v>
      </c>
      <c r="B28" s="329">
        <v>12.53</v>
      </c>
      <c r="C28" s="329">
        <v>13.47</v>
      </c>
      <c r="D28" s="329">
        <v>14.84</v>
      </c>
      <c r="E28" s="329">
        <v>16.36</v>
      </c>
      <c r="F28" s="329">
        <v>17.96</v>
      </c>
      <c r="G28" s="329">
        <v>19.61</v>
      </c>
      <c r="H28" s="329">
        <v>21.24</v>
      </c>
      <c r="I28" s="329">
        <v>23.06</v>
      </c>
      <c r="J28" s="329">
        <v>24.87</v>
      </c>
      <c r="K28" s="329">
        <v>26.66</v>
      </c>
      <c r="L28" s="329">
        <v>28.45</v>
      </c>
      <c r="M28" s="329">
        <v>30.19</v>
      </c>
      <c r="N28" s="329">
        <v>31.96</v>
      </c>
      <c r="O28" s="329">
        <v>33.72</v>
      </c>
      <c r="P28" s="329">
        <v>35.46</v>
      </c>
      <c r="Q28" s="329">
        <v>37.19</v>
      </c>
      <c r="R28" s="329">
        <v>38.520000000000003</v>
      </c>
      <c r="S28" s="329" t="s">
        <v>138</v>
      </c>
      <c r="T28" s="329" t="s">
        <v>138</v>
      </c>
      <c r="U28" s="329" t="s">
        <v>138</v>
      </c>
      <c r="V28" s="329" t="s">
        <v>138</v>
      </c>
      <c r="W28" s="329" t="s">
        <v>138</v>
      </c>
    </row>
    <row r="29" spans="1:34">
      <c r="A29" s="332">
        <v>45</v>
      </c>
      <c r="B29" s="329">
        <v>13.22</v>
      </c>
      <c r="C29" s="329">
        <v>14.19</v>
      </c>
      <c r="D29" s="329">
        <v>15.64</v>
      </c>
      <c r="E29" s="329">
        <v>17.25</v>
      </c>
      <c r="F29" s="329">
        <v>18.95</v>
      </c>
      <c r="G29" s="329">
        <v>20.7</v>
      </c>
      <c r="H29" s="329">
        <v>22.42</v>
      </c>
      <c r="I29" s="329">
        <v>24.34</v>
      </c>
      <c r="J29" s="329">
        <v>26.26</v>
      </c>
      <c r="K29" s="329">
        <v>28.16</v>
      </c>
      <c r="L29" s="329">
        <v>30.05</v>
      </c>
      <c r="M29" s="329">
        <v>31.9</v>
      </c>
      <c r="N29" s="329">
        <v>33.78</v>
      </c>
      <c r="O29" s="329">
        <v>35.64</v>
      </c>
      <c r="P29" s="329">
        <v>37.49</v>
      </c>
      <c r="Q29" s="329">
        <v>39.32</v>
      </c>
      <c r="R29" s="329" t="s">
        <v>138</v>
      </c>
      <c r="S29" s="329" t="s">
        <v>138</v>
      </c>
      <c r="T29" s="329" t="s">
        <v>138</v>
      </c>
      <c r="U29" s="329" t="s">
        <v>138</v>
      </c>
      <c r="V29" s="329" t="s">
        <v>138</v>
      </c>
      <c r="W29" s="329" t="s">
        <v>138</v>
      </c>
    </row>
    <row r="30" spans="1:34">
      <c r="A30" s="332">
        <v>46</v>
      </c>
      <c r="B30" s="329">
        <v>14.21</v>
      </c>
      <c r="C30" s="329">
        <v>15.24</v>
      </c>
      <c r="D30" s="329">
        <v>16.809999999999999</v>
      </c>
      <c r="E30" s="329">
        <v>18.559999999999999</v>
      </c>
      <c r="F30" s="329">
        <v>20.399999999999999</v>
      </c>
      <c r="G30" s="329">
        <v>22.29</v>
      </c>
      <c r="H30" s="329">
        <v>24.16</v>
      </c>
      <c r="I30" s="329">
        <v>26.25</v>
      </c>
      <c r="J30" s="329">
        <v>28.34</v>
      </c>
      <c r="K30" s="329">
        <v>30.42</v>
      </c>
      <c r="L30" s="329">
        <v>32.479999999999997</v>
      </c>
      <c r="M30" s="329">
        <v>34.35</v>
      </c>
      <c r="N30" s="329">
        <v>36.25</v>
      </c>
      <c r="O30" s="329">
        <v>38.159999999999997</v>
      </c>
      <c r="P30" s="329">
        <v>40.049999999999997</v>
      </c>
      <c r="Q30" s="329" t="s">
        <v>138</v>
      </c>
      <c r="R30" s="329" t="s">
        <v>138</v>
      </c>
      <c r="S30" s="329" t="s">
        <v>138</v>
      </c>
      <c r="T30" s="329" t="s">
        <v>138</v>
      </c>
      <c r="U30" s="329" t="s">
        <v>138</v>
      </c>
      <c r="V30" s="329" t="s">
        <v>138</v>
      </c>
      <c r="W30" s="329" t="s">
        <v>138</v>
      </c>
    </row>
    <row r="31" spans="1:34">
      <c r="A31" s="332">
        <v>47</v>
      </c>
      <c r="B31" s="329">
        <v>15.2</v>
      </c>
      <c r="C31" s="329">
        <v>16.28</v>
      </c>
      <c r="D31" s="329">
        <v>17.97</v>
      </c>
      <c r="E31" s="329">
        <v>19.86</v>
      </c>
      <c r="F31" s="329">
        <v>21.85</v>
      </c>
      <c r="G31" s="329">
        <v>23.89</v>
      </c>
      <c r="H31" s="329">
        <v>25.91</v>
      </c>
      <c r="I31" s="329">
        <v>28.17</v>
      </c>
      <c r="J31" s="329">
        <v>30.43</v>
      </c>
      <c r="K31" s="329">
        <v>32.67</v>
      </c>
      <c r="L31" s="329">
        <v>34.9</v>
      </c>
      <c r="M31" s="329">
        <v>36.799999999999997</v>
      </c>
      <c r="N31" s="329">
        <v>38.729999999999997</v>
      </c>
      <c r="O31" s="329">
        <v>40.67</v>
      </c>
      <c r="P31" s="329" t="s">
        <v>138</v>
      </c>
      <c r="Q31" s="329" t="s">
        <v>138</v>
      </c>
      <c r="R31" s="329" t="s">
        <v>138</v>
      </c>
      <c r="S31" s="329" t="s">
        <v>138</v>
      </c>
      <c r="T31" s="329" t="s">
        <v>138</v>
      </c>
      <c r="U31" s="329" t="s">
        <v>138</v>
      </c>
      <c r="V31" s="329" t="s">
        <v>138</v>
      </c>
      <c r="W31" s="329" t="s">
        <v>138</v>
      </c>
    </row>
    <row r="32" spans="1:34">
      <c r="A32" s="332">
        <v>48</v>
      </c>
      <c r="B32" s="329">
        <v>16.190000000000001</v>
      </c>
      <c r="C32" s="329">
        <v>17.32</v>
      </c>
      <c r="D32" s="329">
        <v>19.14</v>
      </c>
      <c r="E32" s="329">
        <v>21.16</v>
      </c>
      <c r="F32" s="329">
        <v>23.29</v>
      </c>
      <c r="G32" s="329">
        <v>25.48</v>
      </c>
      <c r="H32" s="329">
        <v>27.65</v>
      </c>
      <c r="I32" s="329">
        <v>30.08</v>
      </c>
      <c r="J32" s="329">
        <v>32.520000000000003</v>
      </c>
      <c r="K32" s="329">
        <v>34.93</v>
      </c>
      <c r="L32" s="329">
        <v>37.32</v>
      </c>
      <c r="M32" s="329">
        <v>39.25</v>
      </c>
      <c r="N32" s="329">
        <v>41.2</v>
      </c>
      <c r="O32" s="329" t="s">
        <v>138</v>
      </c>
      <c r="P32" s="329" t="s">
        <v>138</v>
      </c>
      <c r="Q32" s="329" t="s">
        <v>138</v>
      </c>
      <c r="R32" s="329" t="s">
        <v>138</v>
      </c>
      <c r="S32" s="329" t="s">
        <v>138</v>
      </c>
      <c r="T32" s="329" t="s">
        <v>138</v>
      </c>
      <c r="U32" s="329" t="s">
        <v>138</v>
      </c>
      <c r="V32" s="329" t="s">
        <v>138</v>
      </c>
      <c r="W32" s="329" t="s">
        <v>138</v>
      </c>
    </row>
    <row r="33" spans="1:23">
      <c r="A33" s="332">
        <v>49</v>
      </c>
      <c r="B33" s="329">
        <v>17.18</v>
      </c>
      <c r="C33" s="329">
        <v>18.36</v>
      </c>
      <c r="D33" s="329">
        <v>20.3</v>
      </c>
      <c r="E33" s="329">
        <v>22.46</v>
      </c>
      <c r="F33" s="329">
        <v>24.74</v>
      </c>
      <c r="G33" s="329">
        <v>27.08</v>
      </c>
      <c r="H33" s="329">
        <v>29.4</v>
      </c>
      <c r="I33" s="329">
        <v>31.99</v>
      </c>
      <c r="J33" s="329">
        <v>34.6</v>
      </c>
      <c r="K33" s="329">
        <v>37.18</v>
      </c>
      <c r="L33" s="329">
        <v>39.75</v>
      </c>
      <c r="M33" s="329">
        <v>41.7</v>
      </c>
      <c r="N33" s="329" t="s">
        <v>138</v>
      </c>
      <c r="O33" s="329" t="s">
        <v>138</v>
      </c>
      <c r="P33" s="329" t="s">
        <v>138</v>
      </c>
      <c r="Q33" s="329" t="s">
        <v>138</v>
      </c>
      <c r="R33" s="329" t="s">
        <v>138</v>
      </c>
      <c r="S33" s="329" t="s">
        <v>138</v>
      </c>
      <c r="T33" s="329" t="s">
        <v>138</v>
      </c>
      <c r="U33" s="329" t="s">
        <v>138</v>
      </c>
      <c r="V33" s="329" t="s">
        <v>138</v>
      </c>
      <c r="W33" s="329" t="s">
        <v>138</v>
      </c>
    </row>
    <row r="34" spans="1:23">
      <c r="A34" s="332">
        <v>50</v>
      </c>
      <c r="B34" s="329">
        <v>18.170000000000002</v>
      </c>
      <c r="C34" s="329">
        <v>19.41</v>
      </c>
      <c r="D34" s="329">
        <v>21.47</v>
      </c>
      <c r="E34" s="329">
        <v>23.76</v>
      </c>
      <c r="F34" s="329">
        <v>26.19</v>
      </c>
      <c r="G34" s="329">
        <v>28.68</v>
      </c>
      <c r="H34" s="329">
        <v>31.14</v>
      </c>
      <c r="I34" s="329">
        <v>33.9</v>
      </c>
      <c r="J34" s="329">
        <v>36.69</v>
      </c>
      <c r="K34" s="329">
        <v>39.44</v>
      </c>
      <c r="L34" s="329">
        <v>42.17</v>
      </c>
    </row>
    <row r="35" spans="1:23">
      <c r="A35" s="332">
        <v>51</v>
      </c>
      <c r="B35" s="329">
        <v>19.78</v>
      </c>
      <c r="C35" s="329">
        <v>21.11</v>
      </c>
      <c r="D35" s="329">
        <v>23.39</v>
      </c>
      <c r="E35" s="329">
        <v>25.92</v>
      </c>
      <c r="F35" s="329">
        <v>28.59</v>
      </c>
      <c r="G35" s="329">
        <v>31.34</v>
      </c>
      <c r="H35" s="329">
        <v>33.86</v>
      </c>
      <c r="I35" s="329">
        <v>36.69</v>
      </c>
      <c r="J35" s="329">
        <v>39.549999999999997</v>
      </c>
      <c r="K35" s="329">
        <v>42.38</v>
      </c>
      <c r="L35" s="329" t="s">
        <v>138</v>
      </c>
    </row>
    <row r="36" spans="1:23">
      <c r="A36" s="332">
        <v>52</v>
      </c>
      <c r="B36" s="329">
        <v>21.39</v>
      </c>
      <c r="C36" s="329">
        <v>22.81</v>
      </c>
      <c r="D36" s="329">
        <v>25.3</v>
      </c>
      <c r="E36" s="329">
        <v>28.07</v>
      </c>
      <c r="F36" s="329">
        <v>30.99</v>
      </c>
      <c r="G36" s="329">
        <v>34</v>
      </c>
      <c r="H36" s="329">
        <v>36.58</v>
      </c>
      <c r="I36" s="329">
        <v>39.479999999999997</v>
      </c>
      <c r="J36" s="329">
        <v>42.41</v>
      </c>
      <c r="K36" s="329" t="s">
        <v>138</v>
      </c>
      <c r="L36" s="329" t="s">
        <v>138</v>
      </c>
    </row>
    <row r="37" spans="1:23">
      <c r="A37" s="332">
        <v>53</v>
      </c>
      <c r="B37" s="329">
        <v>23</v>
      </c>
      <c r="C37" s="329">
        <v>24.51</v>
      </c>
      <c r="D37" s="329">
        <v>27.22</v>
      </c>
      <c r="E37" s="329">
        <v>30.22</v>
      </c>
      <c r="F37" s="329">
        <v>33.39</v>
      </c>
      <c r="G37" s="329">
        <v>36.659999999999997</v>
      </c>
      <c r="H37" s="329">
        <v>39.299999999999997</v>
      </c>
      <c r="I37" s="329">
        <v>42.27</v>
      </c>
      <c r="J37" s="329" t="s">
        <v>138</v>
      </c>
      <c r="K37" s="329" t="s">
        <v>138</v>
      </c>
      <c r="L37" s="329" t="s">
        <v>138</v>
      </c>
    </row>
    <row r="38" spans="1:23">
      <c r="A38" s="332">
        <v>54</v>
      </c>
      <c r="B38" s="329">
        <v>24.6</v>
      </c>
      <c r="C38" s="329">
        <v>26.22</v>
      </c>
      <c r="D38" s="329">
        <v>29.13</v>
      </c>
      <c r="E38" s="329">
        <v>32.369999999999997</v>
      </c>
      <c r="F38" s="329">
        <v>35.799999999999997</v>
      </c>
      <c r="G38" s="329">
        <v>39.33</v>
      </c>
      <c r="H38" s="329">
        <v>42.02</v>
      </c>
      <c r="I38" s="329" t="s">
        <v>138</v>
      </c>
      <c r="J38" s="329" t="s">
        <v>138</v>
      </c>
      <c r="K38" s="329" t="s">
        <v>138</v>
      </c>
      <c r="L38" s="329" t="s">
        <v>138</v>
      </c>
    </row>
    <row r="39" spans="1:23">
      <c r="A39" s="332">
        <v>55</v>
      </c>
      <c r="B39" s="329">
        <v>26.21</v>
      </c>
      <c r="C39" s="329">
        <v>27.92</v>
      </c>
      <c r="D39" s="329">
        <v>31.05</v>
      </c>
      <c r="E39" s="329">
        <v>34.53</v>
      </c>
      <c r="F39" s="329">
        <v>38.200000000000003</v>
      </c>
      <c r="G39" s="329">
        <v>41.99</v>
      </c>
      <c r="H39" s="329" t="s">
        <v>138</v>
      </c>
      <c r="I39" s="329" t="s">
        <v>138</v>
      </c>
      <c r="J39" s="329" t="s">
        <v>138</v>
      </c>
      <c r="K39" s="329" t="s">
        <v>138</v>
      </c>
      <c r="L39" s="329" t="s">
        <v>138</v>
      </c>
    </row>
    <row r="40" spans="1:23">
      <c r="A40" s="332">
        <v>56</v>
      </c>
      <c r="B40" s="329">
        <v>29.07</v>
      </c>
      <c r="C40" s="329">
        <v>30.69</v>
      </c>
      <c r="D40" s="329">
        <v>33.950000000000003</v>
      </c>
      <c r="E40" s="329">
        <v>37.61</v>
      </c>
      <c r="F40" s="329">
        <v>41.48</v>
      </c>
      <c r="G40" s="329" t="s">
        <v>138</v>
      </c>
      <c r="H40" s="329" t="s">
        <v>138</v>
      </c>
      <c r="I40" s="329" t="s">
        <v>138</v>
      </c>
      <c r="J40" s="329" t="s">
        <v>138</v>
      </c>
      <c r="K40" s="329" t="s">
        <v>138</v>
      </c>
      <c r="L40" s="329" t="s">
        <v>138</v>
      </c>
    </row>
    <row r="41" spans="1:23">
      <c r="A41" s="332">
        <v>57</v>
      </c>
      <c r="B41" s="329">
        <v>31.94</v>
      </c>
      <c r="C41" s="329">
        <v>33.46</v>
      </c>
      <c r="D41" s="329">
        <v>36.85</v>
      </c>
      <c r="E41" s="329">
        <v>40.69</v>
      </c>
      <c r="F41" s="329" t="s">
        <v>138</v>
      </c>
      <c r="G41" s="329" t="s">
        <v>138</v>
      </c>
      <c r="H41" s="329" t="s">
        <v>138</v>
      </c>
      <c r="I41" s="329" t="s">
        <v>138</v>
      </c>
      <c r="J41" s="329" t="s">
        <v>138</v>
      </c>
      <c r="K41" s="329" t="s">
        <v>138</v>
      </c>
      <c r="L41" s="329" t="s">
        <v>138</v>
      </c>
    </row>
    <row r="42" spans="1:23">
      <c r="A42" s="332">
        <v>58</v>
      </c>
      <c r="B42" s="329">
        <v>34.799999999999997</v>
      </c>
      <c r="C42" s="329">
        <v>36.24</v>
      </c>
      <c r="D42" s="329">
        <v>39.75</v>
      </c>
      <c r="E42" s="329" t="s">
        <v>138</v>
      </c>
      <c r="F42" s="329" t="s">
        <v>138</v>
      </c>
      <c r="G42" s="329" t="s">
        <v>138</v>
      </c>
      <c r="H42" s="329" t="s">
        <v>138</v>
      </c>
      <c r="I42" s="329" t="s">
        <v>138</v>
      </c>
      <c r="J42" s="329" t="s">
        <v>138</v>
      </c>
      <c r="K42" s="329" t="s">
        <v>138</v>
      </c>
      <c r="L42" s="329" t="s">
        <v>138</v>
      </c>
    </row>
    <row r="43" spans="1:23">
      <c r="A43" s="332">
        <v>59</v>
      </c>
      <c r="B43" s="329">
        <v>37.659999999999997</v>
      </c>
      <c r="C43" s="329">
        <v>39.01</v>
      </c>
      <c r="D43" s="329" t="s">
        <v>138</v>
      </c>
      <c r="E43" s="329" t="s">
        <v>138</v>
      </c>
      <c r="F43" s="329" t="s">
        <v>138</v>
      </c>
      <c r="G43" s="329" t="s">
        <v>138</v>
      </c>
      <c r="H43" s="329" t="s">
        <v>138</v>
      </c>
      <c r="I43" s="329" t="s">
        <v>138</v>
      </c>
      <c r="J43" s="329" t="s">
        <v>138</v>
      </c>
      <c r="K43" s="329" t="s">
        <v>138</v>
      </c>
      <c r="L43" s="329" t="s">
        <v>138</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ECD2EA-18ED-412D-966F-A3D7DA25B9D5}">
  <dimension ref="B2:R78"/>
  <sheetViews>
    <sheetView showGridLines="0" zoomScale="85" zoomScaleNormal="85" workbookViewId="0">
      <selection activeCell="T5" sqref="T5"/>
    </sheetView>
  </sheetViews>
  <sheetFormatPr defaultColWidth="13.796875" defaultRowHeight="13"/>
  <cols>
    <col min="1" max="1" width="3.69921875" customWidth="1"/>
    <col min="2" max="18" width="13" customWidth="1"/>
  </cols>
  <sheetData>
    <row r="2" spans="2:18" ht="21" customHeight="1">
      <c r="B2" s="1037" t="s">
        <v>1</v>
      </c>
      <c r="C2" s="1039" t="s">
        <v>626</v>
      </c>
      <c r="D2" s="1040"/>
      <c r="E2" s="1040"/>
      <c r="F2" s="1041"/>
      <c r="G2" s="1039" t="s">
        <v>627</v>
      </c>
      <c r="H2" s="1040"/>
      <c r="I2" s="1040"/>
      <c r="J2" s="1041"/>
      <c r="K2" s="1039" t="s">
        <v>628</v>
      </c>
      <c r="L2" s="1040"/>
      <c r="M2" s="1040"/>
      <c r="N2" s="1041"/>
      <c r="O2" s="1039" t="s">
        <v>720</v>
      </c>
      <c r="P2" s="1040"/>
      <c r="Q2" s="1040"/>
      <c r="R2" s="1041"/>
    </row>
    <row r="3" spans="2:18" ht="33" customHeight="1">
      <c r="B3" s="1038"/>
      <c r="C3" s="241" t="s">
        <v>624</v>
      </c>
      <c r="D3" s="242" t="s">
        <v>625</v>
      </c>
      <c r="E3" s="241" t="s">
        <v>629</v>
      </c>
      <c r="F3" s="243" t="s">
        <v>630</v>
      </c>
      <c r="G3" s="241" t="s">
        <v>624</v>
      </c>
      <c r="H3" s="242" t="s">
        <v>625</v>
      </c>
      <c r="I3" s="241" t="s">
        <v>629</v>
      </c>
      <c r="J3" s="243" t="s">
        <v>630</v>
      </c>
      <c r="K3" s="241" t="s">
        <v>624</v>
      </c>
      <c r="L3" s="242" t="s">
        <v>625</v>
      </c>
      <c r="M3" s="241" t="s">
        <v>629</v>
      </c>
      <c r="N3" s="243" t="s">
        <v>630</v>
      </c>
      <c r="O3" s="241" t="s">
        <v>624</v>
      </c>
      <c r="P3" s="242" t="s">
        <v>625</v>
      </c>
      <c r="Q3" s="241" t="s">
        <v>629</v>
      </c>
      <c r="R3" s="243" t="s">
        <v>630</v>
      </c>
    </row>
    <row r="4" spans="2:18" ht="17.25" customHeight="1">
      <c r="B4" s="240">
        <v>0</v>
      </c>
      <c r="C4" s="244">
        <v>3829000</v>
      </c>
      <c r="D4" s="244">
        <v>7669000</v>
      </c>
      <c r="E4" s="244">
        <v>13909000</v>
      </c>
      <c r="F4" s="244">
        <v>20149000</v>
      </c>
      <c r="G4" s="244">
        <v>5149000</v>
      </c>
      <c r="H4" s="244">
        <v>10309000</v>
      </c>
      <c r="I4" s="244">
        <v>18709000</v>
      </c>
      <c r="J4" s="244">
        <v>27229000</v>
      </c>
      <c r="K4" s="244">
        <v>1889000</v>
      </c>
      <c r="L4" s="244">
        <v>3559000</v>
      </c>
      <c r="M4" s="244">
        <v>7649000</v>
      </c>
      <c r="N4" s="244">
        <v>11349000</v>
      </c>
      <c r="O4" s="244">
        <v>509000</v>
      </c>
      <c r="P4" s="244">
        <v>939000</v>
      </c>
      <c r="Q4" s="244">
        <v>2189000</v>
      </c>
      <c r="R4" s="244">
        <v>4009000</v>
      </c>
    </row>
    <row r="5" spans="2:18" ht="17.25" customHeight="1">
      <c r="B5" s="240">
        <v>1</v>
      </c>
      <c r="C5" s="244">
        <v>3829000</v>
      </c>
      <c r="D5" s="244">
        <v>7669000</v>
      </c>
      <c r="E5" s="244">
        <v>13909000</v>
      </c>
      <c r="F5" s="244">
        <v>20149000</v>
      </c>
      <c r="G5" s="244">
        <v>5149000</v>
      </c>
      <c r="H5" s="244">
        <v>10309000</v>
      </c>
      <c r="I5" s="244">
        <v>18709000</v>
      </c>
      <c r="J5" s="244">
        <v>27229000</v>
      </c>
      <c r="K5" s="244">
        <v>1889000</v>
      </c>
      <c r="L5" s="244">
        <v>3559000</v>
      </c>
      <c r="M5" s="244">
        <v>7649000</v>
      </c>
      <c r="N5" s="244">
        <v>11349000</v>
      </c>
      <c r="O5" s="244">
        <v>509000</v>
      </c>
      <c r="P5" s="244">
        <v>939000</v>
      </c>
      <c r="Q5" s="244">
        <v>2189000</v>
      </c>
      <c r="R5" s="244">
        <v>4009000</v>
      </c>
    </row>
    <row r="6" spans="2:18" ht="17.25" customHeight="1">
      <c r="B6" s="240">
        <v>2</v>
      </c>
      <c r="C6" s="244">
        <v>3829000</v>
      </c>
      <c r="D6" s="244">
        <v>7669000</v>
      </c>
      <c r="E6" s="244">
        <v>13909000</v>
      </c>
      <c r="F6" s="244">
        <v>20149000</v>
      </c>
      <c r="G6" s="244">
        <v>5149000</v>
      </c>
      <c r="H6" s="244">
        <v>10309000</v>
      </c>
      <c r="I6" s="244">
        <v>18709000</v>
      </c>
      <c r="J6" s="244">
        <v>27229000</v>
      </c>
      <c r="K6" s="244">
        <v>1889000</v>
      </c>
      <c r="L6" s="244">
        <v>3559000</v>
      </c>
      <c r="M6" s="244">
        <v>7649000</v>
      </c>
      <c r="N6" s="244">
        <v>11349000</v>
      </c>
      <c r="O6" s="244">
        <v>509000</v>
      </c>
      <c r="P6" s="244">
        <v>939000</v>
      </c>
      <c r="Q6" s="244">
        <v>2189000</v>
      </c>
      <c r="R6" s="244">
        <v>4009000</v>
      </c>
    </row>
    <row r="7" spans="2:18" ht="17.25" customHeight="1">
      <c r="B7" s="240">
        <v>3</v>
      </c>
      <c r="C7" s="244">
        <v>3829000</v>
      </c>
      <c r="D7" s="244">
        <v>7669000</v>
      </c>
      <c r="E7" s="244">
        <v>13909000</v>
      </c>
      <c r="F7" s="244">
        <v>20149000</v>
      </c>
      <c r="G7" s="244">
        <v>5149000</v>
      </c>
      <c r="H7" s="244">
        <v>10309000</v>
      </c>
      <c r="I7" s="244">
        <v>18709000</v>
      </c>
      <c r="J7" s="244">
        <v>27229000</v>
      </c>
      <c r="K7" s="244">
        <v>1889000</v>
      </c>
      <c r="L7" s="244">
        <v>3559000</v>
      </c>
      <c r="M7" s="244">
        <v>7649000</v>
      </c>
      <c r="N7" s="244">
        <v>11349000</v>
      </c>
      <c r="O7" s="244">
        <v>509000</v>
      </c>
      <c r="P7" s="244">
        <v>939000</v>
      </c>
      <c r="Q7" s="244">
        <v>2189000</v>
      </c>
      <c r="R7" s="244">
        <v>4009000</v>
      </c>
    </row>
    <row r="8" spans="2:18" ht="17.25" customHeight="1">
      <c r="B8" s="240">
        <v>4</v>
      </c>
      <c r="C8" s="244">
        <v>3829000</v>
      </c>
      <c r="D8" s="244">
        <v>7669000</v>
      </c>
      <c r="E8" s="244">
        <v>13909000</v>
      </c>
      <c r="F8" s="244">
        <v>20149000</v>
      </c>
      <c r="G8" s="244">
        <v>5149000</v>
      </c>
      <c r="H8" s="244">
        <v>10309000</v>
      </c>
      <c r="I8" s="244">
        <v>18709000</v>
      </c>
      <c r="J8" s="244">
        <v>27229000</v>
      </c>
      <c r="K8" s="244">
        <v>1889000</v>
      </c>
      <c r="L8" s="244">
        <v>3559000</v>
      </c>
      <c r="M8" s="244">
        <v>7649000</v>
      </c>
      <c r="N8" s="244">
        <v>11349000</v>
      </c>
      <c r="O8" s="244">
        <v>509000</v>
      </c>
      <c r="P8" s="244">
        <v>939000</v>
      </c>
      <c r="Q8" s="244">
        <v>2189000</v>
      </c>
      <c r="R8" s="244">
        <v>4009000</v>
      </c>
    </row>
    <row r="9" spans="2:18" ht="17.25" customHeight="1">
      <c r="B9" s="240">
        <v>5</v>
      </c>
      <c r="C9" s="244">
        <v>1459000</v>
      </c>
      <c r="D9" s="244">
        <v>2929000</v>
      </c>
      <c r="E9" s="244">
        <v>5449000</v>
      </c>
      <c r="F9" s="244">
        <v>7859000</v>
      </c>
      <c r="G9" s="244">
        <v>1969000</v>
      </c>
      <c r="H9" s="244">
        <v>3939000</v>
      </c>
      <c r="I9" s="244">
        <v>7269000</v>
      </c>
      <c r="J9" s="244">
        <v>10489000</v>
      </c>
      <c r="K9" s="244">
        <v>979000</v>
      </c>
      <c r="L9" s="244">
        <v>1849000</v>
      </c>
      <c r="M9" s="244">
        <v>3989000</v>
      </c>
      <c r="N9" s="244">
        <v>5919000</v>
      </c>
      <c r="O9" s="244">
        <v>869000</v>
      </c>
      <c r="P9" s="244">
        <v>1619000</v>
      </c>
      <c r="Q9" s="244">
        <v>3749000</v>
      </c>
      <c r="R9" s="244">
        <v>6869000</v>
      </c>
    </row>
    <row r="10" spans="2:18" ht="17.25" customHeight="1">
      <c r="B10" s="240">
        <v>6</v>
      </c>
      <c r="C10" s="244">
        <v>1459000</v>
      </c>
      <c r="D10" s="244">
        <v>2929000</v>
      </c>
      <c r="E10" s="244">
        <v>5449000</v>
      </c>
      <c r="F10" s="244">
        <v>7859000</v>
      </c>
      <c r="G10" s="244">
        <v>1969000</v>
      </c>
      <c r="H10" s="244">
        <v>3939000</v>
      </c>
      <c r="I10" s="244">
        <v>7269000</v>
      </c>
      <c r="J10" s="244">
        <v>10489000</v>
      </c>
      <c r="K10" s="244">
        <v>979000</v>
      </c>
      <c r="L10" s="244">
        <v>1849000</v>
      </c>
      <c r="M10" s="244">
        <v>3989000</v>
      </c>
      <c r="N10" s="244">
        <v>5919000</v>
      </c>
      <c r="O10" s="244">
        <v>869000</v>
      </c>
      <c r="P10" s="244">
        <v>1619000</v>
      </c>
      <c r="Q10" s="244">
        <v>3749000</v>
      </c>
      <c r="R10" s="244">
        <v>6869000</v>
      </c>
    </row>
    <row r="11" spans="2:18" ht="17.25" customHeight="1">
      <c r="B11" s="240">
        <v>7</v>
      </c>
      <c r="C11" s="244">
        <v>1459000</v>
      </c>
      <c r="D11" s="244">
        <v>2929000</v>
      </c>
      <c r="E11" s="244">
        <v>5449000</v>
      </c>
      <c r="F11" s="244">
        <v>7859000</v>
      </c>
      <c r="G11" s="244">
        <v>1969000</v>
      </c>
      <c r="H11" s="244">
        <v>3939000</v>
      </c>
      <c r="I11" s="244">
        <v>7269000</v>
      </c>
      <c r="J11" s="244">
        <v>10489000</v>
      </c>
      <c r="K11" s="244">
        <v>979000</v>
      </c>
      <c r="L11" s="244">
        <v>1849000</v>
      </c>
      <c r="M11" s="244">
        <v>3989000</v>
      </c>
      <c r="N11" s="244">
        <v>5919000</v>
      </c>
      <c r="O11" s="244">
        <v>869000</v>
      </c>
      <c r="P11" s="244">
        <v>1619000</v>
      </c>
      <c r="Q11" s="244">
        <v>3749000</v>
      </c>
      <c r="R11" s="244">
        <v>6869000</v>
      </c>
    </row>
    <row r="12" spans="2:18" ht="17.25" customHeight="1">
      <c r="B12" s="240">
        <v>8</v>
      </c>
      <c r="C12" s="244">
        <v>1459000</v>
      </c>
      <c r="D12" s="244">
        <v>2929000</v>
      </c>
      <c r="E12" s="244">
        <v>5449000</v>
      </c>
      <c r="F12" s="244">
        <v>7859000</v>
      </c>
      <c r="G12" s="244">
        <v>1969000</v>
      </c>
      <c r="H12" s="244">
        <v>3939000</v>
      </c>
      <c r="I12" s="244">
        <v>7269000</v>
      </c>
      <c r="J12" s="244">
        <v>10489000</v>
      </c>
      <c r="K12" s="244">
        <v>979000</v>
      </c>
      <c r="L12" s="244">
        <v>1849000</v>
      </c>
      <c r="M12" s="244">
        <v>3989000</v>
      </c>
      <c r="N12" s="244">
        <v>5919000</v>
      </c>
      <c r="O12" s="244">
        <v>869000</v>
      </c>
      <c r="P12" s="244">
        <v>1619000</v>
      </c>
      <c r="Q12" s="244">
        <v>3749000</v>
      </c>
      <c r="R12" s="244">
        <v>6869000</v>
      </c>
    </row>
    <row r="13" spans="2:18" ht="17.25" customHeight="1">
      <c r="B13" s="240">
        <v>9</v>
      </c>
      <c r="C13" s="244">
        <v>1459000</v>
      </c>
      <c r="D13" s="244">
        <v>2929000</v>
      </c>
      <c r="E13" s="244">
        <v>5449000</v>
      </c>
      <c r="F13" s="244">
        <v>7859000</v>
      </c>
      <c r="G13" s="244">
        <v>1969000</v>
      </c>
      <c r="H13" s="244">
        <v>3939000</v>
      </c>
      <c r="I13" s="244">
        <v>7269000</v>
      </c>
      <c r="J13" s="244">
        <v>10489000</v>
      </c>
      <c r="K13" s="244">
        <v>979000</v>
      </c>
      <c r="L13" s="244">
        <v>1849000</v>
      </c>
      <c r="M13" s="244">
        <v>3989000</v>
      </c>
      <c r="N13" s="244">
        <v>5919000</v>
      </c>
      <c r="O13" s="244">
        <v>869000</v>
      </c>
      <c r="P13" s="244">
        <v>1619000</v>
      </c>
      <c r="Q13" s="244">
        <v>3749000</v>
      </c>
      <c r="R13" s="244">
        <v>6869000</v>
      </c>
    </row>
    <row r="14" spans="2:18" ht="17.25" customHeight="1">
      <c r="B14" s="240">
        <v>10</v>
      </c>
      <c r="C14" s="244">
        <v>769000</v>
      </c>
      <c r="D14" s="244">
        <v>1489000</v>
      </c>
      <c r="E14" s="244">
        <v>2719000</v>
      </c>
      <c r="F14" s="244">
        <v>4019000</v>
      </c>
      <c r="G14" s="244">
        <v>1029000</v>
      </c>
      <c r="H14" s="244">
        <v>2009000</v>
      </c>
      <c r="I14" s="244">
        <v>3699000</v>
      </c>
      <c r="J14" s="244">
        <v>5449000</v>
      </c>
      <c r="K14" s="244">
        <v>869000</v>
      </c>
      <c r="L14" s="244">
        <v>1629000</v>
      </c>
      <c r="M14" s="244">
        <v>3519000</v>
      </c>
      <c r="N14" s="244">
        <v>5219000</v>
      </c>
      <c r="O14" s="244">
        <v>779000</v>
      </c>
      <c r="P14" s="244">
        <v>1449000</v>
      </c>
      <c r="Q14" s="244">
        <v>3359000</v>
      </c>
      <c r="R14" s="244">
        <v>6149000</v>
      </c>
    </row>
    <row r="15" spans="2:18" ht="17.25" customHeight="1">
      <c r="B15" s="240">
        <v>11</v>
      </c>
      <c r="C15" s="244">
        <v>769000</v>
      </c>
      <c r="D15" s="244">
        <v>1489000</v>
      </c>
      <c r="E15" s="244">
        <v>2719000</v>
      </c>
      <c r="F15" s="244">
        <v>4019000</v>
      </c>
      <c r="G15" s="244">
        <v>1029000</v>
      </c>
      <c r="H15" s="244">
        <v>2009000</v>
      </c>
      <c r="I15" s="244">
        <v>3699000</v>
      </c>
      <c r="J15" s="244">
        <v>5449000</v>
      </c>
      <c r="K15" s="244">
        <v>869000</v>
      </c>
      <c r="L15" s="244">
        <v>1629000</v>
      </c>
      <c r="M15" s="244">
        <v>3519000</v>
      </c>
      <c r="N15" s="244">
        <v>5219000</v>
      </c>
      <c r="O15" s="244">
        <v>779000</v>
      </c>
      <c r="P15" s="244">
        <v>1449000</v>
      </c>
      <c r="Q15" s="244">
        <v>3359000</v>
      </c>
      <c r="R15" s="244">
        <v>6149000</v>
      </c>
    </row>
    <row r="16" spans="2:18" ht="17.25" customHeight="1">
      <c r="B16" s="240">
        <v>12</v>
      </c>
      <c r="C16" s="244">
        <v>769000</v>
      </c>
      <c r="D16" s="244">
        <v>1489000</v>
      </c>
      <c r="E16" s="244">
        <v>2719000</v>
      </c>
      <c r="F16" s="244">
        <v>4019000</v>
      </c>
      <c r="G16" s="244">
        <v>1029000</v>
      </c>
      <c r="H16" s="244">
        <v>2009000</v>
      </c>
      <c r="I16" s="244">
        <v>3699000</v>
      </c>
      <c r="J16" s="244">
        <v>5449000</v>
      </c>
      <c r="K16" s="244">
        <v>869000</v>
      </c>
      <c r="L16" s="244">
        <v>1629000</v>
      </c>
      <c r="M16" s="244">
        <v>3519000</v>
      </c>
      <c r="N16" s="244">
        <v>5219000</v>
      </c>
      <c r="O16" s="244">
        <v>779000</v>
      </c>
      <c r="P16" s="244">
        <v>1449000</v>
      </c>
      <c r="Q16" s="244">
        <v>3359000</v>
      </c>
      <c r="R16" s="244">
        <v>6149000</v>
      </c>
    </row>
    <row r="17" spans="2:18" ht="17.25" customHeight="1">
      <c r="B17" s="240">
        <v>13</v>
      </c>
      <c r="C17" s="244">
        <v>769000</v>
      </c>
      <c r="D17" s="244">
        <v>1489000</v>
      </c>
      <c r="E17" s="244">
        <v>2719000</v>
      </c>
      <c r="F17" s="244">
        <v>4019000</v>
      </c>
      <c r="G17" s="244">
        <v>1029000</v>
      </c>
      <c r="H17" s="244">
        <v>2009000</v>
      </c>
      <c r="I17" s="244">
        <v>3699000</v>
      </c>
      <c r="J17" s="244">
        <v>5449000</v>
      </c>
      <c r="K17" s="244">
        <v>869000</v>
      </c>
      <c r="L17" s="244">
        <v>1629000</v>
      </c>
      <c r="M17" s="244">
        <v>3519000</v>
      </c>
      <c r="N17" s="244">
        <v>5219000</v>
      </c>
      <c r="O17" s="244">
        <v>779000</v>
      </c>
      <c r="P17" s="244">
        <v>1449000</v>
      </c>
      <c r="Q17" s="244">
        <v>3359000</v>
      </c>
      <c r="R17" s="244">
        <v>6149000</v>
      </c>
    </row>
    <row r="18" spans="2:18" ht="17.25" customHeight="1">
      <c r="B18" s="240">
        <v>14</v>
      </c>
      <c r="C18" s="244">
        <v>769000</v>
      </c>
      <c r="D18" s="244">
        <v>1489000</v>
      </c>
      <c r="E18" s="244">
        <v>2719000</v>
      </c>
      <c r="F18" s="244">
        <v>4019000</v>
      </c>
      <c r="G18" s="244">
        <v>1029000</v>
      </c>
      <c r="H18" s="244">
        <v>2009000</v>
      </c>
      <c r="I18" s="244">
        <v>3699000</v>
      </c>
      <c r="J18" s="244">
        <v>5449000</v>
      </c>
      <c r="K18" s="244">
        <v>869000</v>
      </c>
      <c r="L18" s="244">
        <v>1629000</v>
      </c>
      <c r="M18" s="244">
        <v>3519000</v>
      </c>
      <c r="N18" s="244">
        <v>5219000</v>
      </c>
      <c r="O18" s="244">
        <v>779000</v>
      </c>
      <c r="P18" s="244">
        <v>1449000</v>
      </c>
      <c r="Q18" s="244">
        <v>3359000</v>
      </c>
      <c r="R18" s="244">
        <v>6149000</v>
      </c>
    </row>
    <row r="19" spans="2:18" ht="17.25" customHeight="1">
      <c r="B19" s="240">
        <v>15</v>
      </c>
      <c r="C19" s="244">
        <v>1079000</v>
      </c>
      <c r="D19" s="244">
        <v>2159000</v>
      </c>
      <c r="E19" s="244">
        <v>3939000</v>
      </c>
      <c r="F19" s="244">
        <v>5719000</v>
      </c>
      <c r="G19" s="244">
        <v>1469000</v>
      </c>
      <c r="H19" s="244">
        <v>2929000</v>
      </c>
      <c r="I19" s="244">
        <v>5329000</v>
      </c>
      <c r="J19" s="244">
        <v>7739000</v>
      </c>
      <c r="K19" s="244">
        <v>889000</v>
      </c>
      <c r="L19" s="244">
        <v>1689000</v>
      </c>
      <c r="M19" s="244">
        <v>3629000</v>
      </c>
      <c r="N19" s="244">
        <v>5389000</v>
      </c>
      <c r="O19" s="244">
        <v>709000</v>
      </c>
      <c r="P19" s="244">
        <v>1329000</v>
      </c>
      <c r="Q19" s="244">
        <v>3079000</v>
      </c>
      <c r="R19" s="244">
        <v>5649000</v>
      </c>
    </row>
    <row r="20" spans="2:18" ht="17.25" customHeight="1">
      <c r="B20" s="240">
        <v>16</v>
      </c>
      <c r="C20" s="244">
        <v>1079000</v>
      </c>
      <c r="D20" s="244">
        <v>2159000</v>
      </c>
      <c r="E20" s="244">
        <v>3939000</v>
      </c>
      <c r="F20" s="244">
        <v>5719000</v>
      </c>
      <c r="G20" s="244">
        <v>1469000</v>
      </c>
      <c r="H20" s="244">
        <v>2929000</v>
      </c>
      <c r="I20" s="244">
        <v>5329000</v>
      </c>
      <c r="J20" s="244">
        <v>7739000</v>
      </c>
      <c r="K20" s="244">
        <v>889000</v>
      </c>
      <c r="L20" s="244">
        <v>1689000</v>
      </c>
      <c r="M20" s="244">
        <v>3629000</v>
      </c>
      <c r="N20" s="244">
        <v>5389000</v>
      </c>
      <c r="O20" s="244">
        <v>709000</v>
      </c>
      <c r="P20" s="244">
        <v>1329000</v>
      </c>
      <c r="Q20" s="244">
        <v>3079000</v>
      </c>
      <c r="R20" s="244">
        <v>5649000</v>
      </c>
    </row>
    <row r="21" spans="2:18" ht="17.25" customHeight="1">
      <c r="B21" s="240">
        <v>17</v>
      </c>
      <c r="C21" s="244">
        <v>1079000</v>
      </c>
      <c r="D21" s="244">
        <v>2159000</v>
      </c>
      <c r="E21" s="244">
        <v>3939000</v>
      </c>
      <c r="F21" s="244">
        <v>5719000</v>
      </c>
      <c r="G21" s="244">
        <v>1469000</v>
      </c>
      <c r="H21" s="244">
        <v>2929000</v>
      </c>
      <c r="I21" s="244">
        <v>5329000</v>
      </c>
      <c r="J21" s="244">
        <v>7739000</v>
      </c>
      <c r="K21" s="244">
        <v>889000</v>
      </c>
      <c r="L21" s="244">
        <v>1689000</v>
      </c>
      <c r="M21" s="244">
        <v>3629000</v>
      </c>
      <c r="N21" s="244">
        <v>5389000</v>
      </c>
      <c r="O21" s="244">
        <v>709000</v>
      </c>
      <c r="P21" s="244">
        <v>1329000</v>
      </c>
      <c r="Q21" s="244">
        <v>3079000</v>
      </c>
      <c r="R21" s="244">
        <v>5649000</v>
      </c>
    </row>
    <row r="22" spans="2:18" ht="17.25" customHeight="1">
      <c r="B22" s="240">
        <v>18</v>
      </c>
      <c r="C22" s="244">
        <v>1079000</v>
      </c>
      <c r="D22" s="244">
        <v>2159000</v>
      </c>
      <c r="E22" s="244">
        <v>3939000</v>
      </c>
      <c r="F22" s="244">
        <v>5719000</v>
      </c>
      <c r="G22" s="244">
        <v>1469000</v>
      </c>
      <c r="H22" s="244">
        <v>2929000</v>
      </c>
      <c r="I22" s="244">
        <v>5329000</v>
      </c>
      <c r="J22" s="244">
        <v>7739000</v>
      </c>
      <c r="K22" s="244">
        <v>889000</v>
      </c>
      <c r="L22" s="244">
        <v>1689000</v>
      </c>
      <c r="M22" s="244">
        <v>3629000</v>
      </c>
      <c r="N22" s="244">
        <v>5389000</v>
      </c>
      <c r="O22" s="244">
        <v>709000</v>
      </c>
      <c r="P22" s="244">
        <v>1329000</v>
      </c>
      <c r="Q22" s="244">
        <v>3079000</v>
      </c>
      <c r="R22" s="244">
        <v>5649000</v>
      </c>
    </row>
    <row r="23" spans="2:18" ht="17.25" customHeight="1">
      <c r="B23" s="240">
        <v>19</v>
      </c>
      <c r="C23" s="244">
        <v>1079000</v>
      </c>
      <c r="D23" s="244">
        <v>2159000</v>
      </c>
      <c r="E23" s="244">
        <v>3939000</v>
      </c>
      <c r="F23" s="244">
        <v>5719000</v>
      </c>
      <c r="G23" s="244">
        <v>1469000</v>
      </c>
      <c r="H23" s="244">
        <v>2929000</v>
      </c>
      <c r="I23" s="244">
        <v>5329000</v>
      </c>
      <c r="J23" s="244">
        <v>7739000</v>
      </c>
      <c r="K23" s="244">
        <v>889000</v>
      </c>
      <c r="L23" s="244">
        <v>1689000</v>
      </c>
      <c r="M23" s="244">
        <v>3629000</v>
      </c>
      <c r="N23" s="244">
        <v>5389000</v>
      </c>
      <c r="O23" s="244">
        <v>709000</v>
      </c>
      <c r="P23" s="244">
        <v>1329000</v>
      </c>
      <c r="Q23" s="244">
        <v>3079000</v>
      </c>
      <c r="R23" s="244">
        <v>5649000</v>
      </c>
    </row>
    <row r="24" spans="2:18" ht="17.25" customHeight="1">
      <c r="B24" s="240">
        <v>20</v>
      </c>
      <c r="C24" s="244">
        <v>1239000</v>
      </c>
      <c r="D24" s="244">
        <v>2579000</v>
      </c>
      <c r="E24" s="244">
        <v>4719000</v>
      </c>
      <c r="F24" s="244">
        <v>6779000</v>
      </c>
      <c r="G24" s="244">
        <v>1689000</v>
      </c>
      <c r="H24" s="244">
        <v>3469000</v>
      </c>
      <c r="I24" s="244">
        <v>6339000</v>
      </c>
      <c r="J24" s="244">
        <v>9099000</v>
      </c>
      <c r="K24" s="244">
        <v>799000</v>
      </c>
      <c r="L24" s="244">
        <v>1529000</v>
      </c>
      <c r="M24" s="244">
        <v>3279000</v>
      </c>
      <c r="N24" s="244">
        <v>4869000</v>
      </c>
      <c r="O24" s="244">
        <v>579000</v>
      </c>
      <c r="P24" s="244">
        <v>1089000</v>
      </c>
      <c r="Q24" s="244">
        <v>2539000</v>
      </c>
      <c r="R24" s="244">
        <v>4639000</v>
      </c>
    </row>
    <row r="25" spans="2:18" ht="17.25" customHeight="1">
      <c r="B25" s="240">
        <v>21</v>
      </c>
      <c r="C25" s="244">
        <v>1239000</v>
      </c>
      <c r="D25" s="244">
        <v>2579000</v>
      </c>
      <c r="E25" s="244">
        <v>4719000</v>
      </c>
      <c r="F25" s="244">
        <v>6779000</v>
      </c>
      <c r="G25" s="244">
        <v>1689000</v>
      </c>
      <c r="H25" s="244">
        <v>3469000</v>
      </c>
      <c r="I25" s="244">
        <v>6339000</v>
      </c>
      <c r="J25" s="244">
        <v>9099000</v>
      </c>
      <c r="K25" s="244">
        <v>799000</v>
      </c>
      <c r="L25" s="244">
        <v>1529000</v>
      </c>
      <c r="M25" s="244">
        <v>3279000</v>
      </c>
      <c r="N25" s="244">
        <v>4869000</v>
      </c>
      <c r="O25" s="244">
        <v>579000</v>
      </c>
      <c r="P25" s="244">
        <v>1089000</v>
      </c>
      <c r="Q25" s="244">
        <v>2539000</v>
      </c>
      <c r="R25" s="244">
        <v>4639000</v>
      </c>
    </row>
    <row r="26" spans="2:18" ht="17.25" customHeight="1">
      <c r="B26" s="240">
        <v>22</v>
      </c>
      <c r="C26" s="244">
        <v>1239000</v>
      </c>
      <c r="D26" s="244">
        <v>2579000</v>
      </c>
      <c r="E26" s="244">
        <v>4719000</v>
      </c>
      <c r="F26" s="244">
        <v>6779000</v>
      </c>
      <c r="G26" s="244">
        <v>1689000</v>
      </c>
      <c r="H26" s="244">
        <v>3469000</v>
      </c>
      <c r="I26" s="244">
        <v>6339000</v>
      </c>
      <c r="J26" s="244">
        <v>9099000</v>
      </c>
      <c r="K26" s="244">
        <v>799000</v>
      </c>
      <c r="L26" s="244">
        <v>1529000</v>
      </c>
      <c r="M26" s="244">
        <v>3279000</v>
      </c>
      <c r="N26" s="244">
        <v>4869000</v>
      </c>
      <c r="O26" s="244">
        <v>579000</v>
      </c>
      <c r="P26" s="244">
        <v>1089000</v>
      </c>
      <c r="Q26" s="244">
        <v>2539000</v>
      </c>
      <c r="R26" s="244">
        <v>4639000</v>
      </c>
    </row>
    <row r="27" spans="2:18" ht="17.25" customHeight="1">
      <c r="B27" s="240">
        <v>23</v>
      </c>
      <c r="C27" s="244">
        <v>1239000</v>
      </c>
      <c r="D27" s="244">
        <v>2579000</v>
      </c>
      <c r="E27" s="244">
        <v>4719000</v>
      </c>
      <c r="F27" s="244">
        <v>6779000</v>
      </c>
      <c r="G27" s="244">
        <v>1689000</v>
      </c>
      <c r="H27" s="244">
        <v>3469000</v>
      </c>
      <c r="I27" s="244">
        <v>6339000</v>
      </c>
      <c r="J27" s="244">
        <v>9099000</v>
      </c>
      <c r="K27" s="244">
        <v>799000</v>
      </c>
      <c r="L27" s="244">
        <v>1529000</v>
      </c>
      <c r="M27" s="244">
        <v>3279000</v>
      </c>
      <c r="N27" s="244">
        <v>4869000</v>
      </c>
      <c r="O27" s="244">
        <v>579000</v>
      </c>
      <c r="P27" s="244">
        <v>1089000</v>
      </c>
      <c r="Q27" s="244">
        <v>2539000</v>
      </c>
      <c r="R27" s="244">
        <v>4639000</v>
      </c>
    </row>
    <row r="28" spans="2:18" ht="17.25" customHeight="1">
      <c r="B28" s="240">
        <v>24</v>
      </c>
      <c r="C28" s="244">
        <v>1239000</v>
      </c>
      <c r="D28" s="244">
        <v>2579000</v>
      </c>
      <c r="E28" s="244">
        <v>4719000</v>
      </c>
      <c r="F28" s="244">
        <v>6779000</v>
      </c>
      <c r="G28" s="244">
        <v>1689000</v>
      </c>
      <c r="H28" s="244">
        <v>3469000</v>
      </c>
      <c r="I28" s="244">
        <v>6339000</v>
      </c>
      <c r="J28" s="244">
        <v>9099000</v>
      </c>
      <c r="K28" s="244">
        <v>799000</v>
      </c>
      <c r="L28" s="244">
        <v>1529000</v>
      </c>
      <c r="M28" s="244">
        <v>3279000</v>
      </c>
      <c r="N28" s="244">
        <v>4869000</v>
      </c>
      <c r="O28" s="244">
        <v>579000</v>
      </c>
      <c r="P28" s="244">
        <v>1089000</v>
      </c>
      <c r="Q28" s="244">
        <v>2539000</v>
      </c>
      <c r="R28" s="244">
        <v>4639000</v>
      </c>
    </row>
    <row r="29" spans="2:18" ht="17.25" customHeight="1">
      <c r="B29" s="240">
        <v>25</v>
      </c>
      <c r="C29" s="244">
        <v>1579000</v>
      </c>
      <c r="D29" s="244">
        <v>3069000</v>
      </c>
      <c r="E29" s="244">
        <v>5649000</v>
      </c>
      <c r="F29" s="244">
        <v>8229000</v>
      </c>
      <c r="G29" s="244">
        <v>2069000</v>
      </c>
      <c r="H29" s="244">
        <v>4159000</v>
      </c>
      <c r="I29" s="244">
        <v>7629000</v>
      </c>
      <c r="J29" s="244">
        <v>11059000</v>
      </c>
      <c r="K29" s="244">
        <v>859000</v>
      </c>
      <c r="L29" s="244">
        <v>1619000</v>
      </c>
      <c r="M29" s="244">
        <v>3489000</v>
      </c>
      <c r="N29" s="244">
        <v>5179000</v>
      </c>
      <c r="O29" s="244">
        <v>579000</v>
      </c>
      <c r="P29" s="244">
        <v>1079000</v>
      </c>
      <c r="Q29" s="244">
        <v>2519000</v>
      </c>
      <c r="R29" s="244">
        <v>4599000</v>
      </c>
    </row>
    <row r="30" spans="2:18" ht="17.25" customHeight="1">
      <c r="B30" s="240">
        <v>26</v>
      </c>
      <c r="C30" s="244">
        <v>1579000</v>
      </c>
      <c r="D30" s="244">
        <v>3069000</v>
      </c>
      <c r="E30" s="244">
        <v>5649000</v>
      </c>
      <c r="F30" s="244">
        <v>8229000</v>
      </c>
      <c r="G30" s="244">
        <v>2069000</v>
      </c>
      <c r="H30" s="244">
        <v>4159000</v>
      </c>
      <c r="I30" s="244">
        <v>7629000</v>
      </c>
      <c r="J30" s="244">
        <v>11059000</v>
      </c>
      <c r="K30" s="244">
        <v>859000</v>
      </c>
      <c r="L30" s="244">
        <v>1619000</v>
      </c>
      <c r="M30" s="244">
        <v>3489000</v>
      </c>
      <c r="N30" s="244">
        <v>5179000</v>
      </c>
      <c r="O30" s="244">
        <v>579000</v>
      </c>
      <c r="P30" s="244">
        <v>1079000</v>
      </c>
      <c r="Q30" s="244">
        <v>2519000</v>
      </c>
      <c r="R30" s="244">
        <v>4599000</v>
      </c>
    </row>
    <row r="31" spans="2:18" ht="17.25" customHeight="1">
      <c r="B31" s="240">
        <v>27</v>
      </c>
      <c r="C31" s="244">
        <v>1579000</v>
      </c>
      <c r="D31" s="244">
        <v>3069000</v>
      </c>
      <c r="E31" s="244">
        <v>5649000</v>
      </c>
      <c r="F31" s="244">
        <v>8229000</v>
      </c>
      <c r="G31" s="244">
        <v>2069000</v>
      </c>
      <c r="H31" s="244">
        <v>4159000</v>
      </c>
      <c r="I31" s="244">
        <v>7629000</v>
      </c>
      <c r="J31" s="244">
        <v>11059000</v>
      </c>
      <c r="K31" s="244">
        <v>859000</v>
      </c>
      <c r="L31" s="244">
        <v>1619000</v>
      </c>
      <c r="M31" s="244">
        <v>3489000</v>
      </c>
      <c r="N31" s="244">
        <v>5179000</v>
      </c>
      <c r="O31" s="244">
        <v>579000</v>
      </c>
      <c r="P31" s="244">
        <v>1079000</v>
      </c>
      <c r="Q31" s="244">
        <v>2519000</v>
      </c>
      <c r="R31" s="244">
        <v>4599000</v>
      </c>
    </row>
    <row r="32" spans="2:18" ht="17.25" customHeight="1">
      <c r="B32" s="240">
        <v>28</v>
      </c>
      <c r="C32" s="244">
        <v>1579000</v>
      </c>
      <c r="D32" s="244">
        <v>3069000</v>
      </c>
      <c r="E32" s="244">
        <v>5649000</v>
      </c>
      <c r="F32" s="244">
        <v>8229000</v>
      </c>
      <c r="G32" s="244">
        <v>2069000</v>
      </c>
      <c r="H32" s="244">
        <v>4159000</v>
      </c>
      <c r="I32" s="244">
        <v>7629000</v>
      </c>
      <c r="J32" s="244">
        <v>11059000</v>
      </c>
      <c r="K32" s="244">
        <v>859000</v>
      </c>
      <c r="L32" s="244">
        <v>1619000</v>
      </c>
      <c r="M32" s="244">
        <v>3489000</v>
      </c>
      <c r="N32" s="244">
        <v>5179000</v>
      </c>
      <c r="O32" s="244">
        <v>579000</v>
      </c>
      <c r="P32" s="244">
        <v>1079000</v>
      </c>
      <c r="Q32" s="244">
        <v>2519000</v>
      </c>
      <c r="R32" s="244">
        <v>4599000</v>
      </c>
    </row>
    <row r="33" spans="2:18" ht="17.25" customHeight="1">
      <c r="B33" s="240">
        <v>29</v>
      </c>
      <c r="C33" s="244">
        <v>1579000</v>
      </c>
      <c r="D33" s="244">
        <v>3069000</v>
      </c>
      <c r="E33" s="244">
        <v>5649000</v>
      </c>
      <c r="F33" s="244">
        <v>8229000</v>
      </c>
      <c r="G33" s="244">
        <v>2069000</v>
      </c>
      <c r="H33" s="244">
        <v>4159000</v>
      </c>
      <c r="I33" s="244">
        <v>7629000</v>
      </c>
      <c r="J33" s="244">
        <v>11059000</v>
      </c>
      <c r="K33" s="244">
        <v>859000</v>
      </c>
      <c r="L33" s="244">
        <v>1619000</v>
      </c>
      <c r="M33" s="244">
        <v>3489000</v>
      </c>
      <c r="N33" s="244">
        <v>5179000</v>
      </c>
      <c r="O33" s="244">
        <v>579000</v>
      </c>
      <c r="P33" s="244">
        <v>1079000</v>
      </c>
      <c r="Q33" s="244">
        <v>2519000</v>
      </c>
      <c r="R33" s="244">
        <v>4599000</v>
      </c>
    </row>
    <row r="34" spans="2:18" ht="17.25" customHeight="1">
      <c r="B34" s="240">
        <v>30</v>
      </c>
      <c r="C34" s="244">
        <v>1939000</v>
      </c>
      <c r="D34" s="244">
        <v>3359000</v>
      </c>
      <c r="E34" s="244">
        <v>6149000</v>
      </c>
      <c r="F34" s="244">
        <v>9039000</v>
      </c>
      <c r="G34" s="244">
        <v>2299000</v>
      </c>
      <c r="H34" s="244">
        <v>4509000</v>
      </c>
      <c r="I34" s="244">
        <v>8269000</v>
      </c>
      <c r="J34" s="244">
        <v>12209000</v>
      </c>
      <c r="K34" s="244">
        <v>939000</v>
      </c>
      <c r="L34" s="244">
        <v>1779000</v>
      </c>
      <c r="M34" s="244">
        <v>3819000</v>
      </c>
      <c r="N34" s="244">
        <v>5669000</v>
      </c>
      <c r="O34" s="244">
        <v>599000</v>
      </c>
      <c r="P34" s="244">
        <v>1129000</v>
      </c>
      <c r="Q34" s="244">
        <v>2629000</v>
      </c>
      <c r="R34" s="244">
        <v>4819000</v>
      </c>
    </row>
    <row r="35" spans="2:18" ht="17.25" customHeight="1">
      <c r="B35" s="240">
        <v>31</v>
      </c>
      <c r="C35" s="244">
        <v>1939000</v>
      </c>
      <c r="D35" s="244">
        <v>3359000</v>
      </c>
      <c r="E35" s="244">
        <v>6149000</v>
      </c>
      <c r="F35" s="244">
        <v>9039000</v>
      </c>
      <c r="G35" s="244">
        <v>2299000</v>
      </c>
      <c r="H35" s="244">
        <v>4509000</v>
      </c>
      <c r="I35" s="244">
        <v>8269000</v>
      </c>
      <c r="J35" s="244">
        <v>12209000</v>
      </c>
      <c r="K35" s="244">
        <v>939000</v>
      </c>
      <c r="L35" s="244">
        <v>1779000</v>
      </c>
      <c r="M35" s="244">
        <v>3819000</v>
      </c>
      <c r="N35" s="244">
        <v>5669000</v>
      </c>
      <c r="O35" s="244">
        <v>599000</v>
      </c>
      <c r="P35" s="244">
        <v>1129000</v>
      </c>
      <c r="Q35" s="244">
        <v>2629000</v>
      </c>
      <c r="R35" s="244">
        <v>4819000</v>
      </c>
    </row>
    <row r="36" spans="2:18" ht="17.25" customHeight="1">
      <c r="B36" s="240">
        <v>32</v>
      </c>
      <c r="C36" s="244">
        <v>1939000</v>
      </c>
      <c r="D36" s="244">
        <v>3359000</v>
      </c>
      <c r="E36" s="244">
        <v>6149000</v>
      </c>
      <c r="F36" s="244">
        <v>9039000</v>
      </c>
      <c r="G36" s="244">
        <v>2299000</v>
      </c>
      <c r="H36" s="244">
        <v>4509000</v>
      </c>
      <c r="I36" s="244">
        <v>8269000</v>
      </c>
      <c r="J36" s="244">
        <v>12209000</v>
      </c>
      <c r="K36" s="244">
        <v>939000</v>
      </c>
      <c r="L36" s="244">
        <v>1779000</v>
      </c>
      <c r="M36" s="244">
        <v>3819000</v>
      </c>
      <c r="N36" s="244">
        <v>5669000</v>
      </c>
      <c r="O36" s="244">
        <v>599000</v>
      </c>
      <c r="P36" s="244">
        <v>1129000</v>
      </c>
      <c r="Q36" s="244">
        <v>2629000</v>
      </c>
      <c r="R36" s="244">
        <v>4819000</v>
      </c>
    </row>
    <row r="37" spans="2:18" ht="17.25" customHeight="1">
      <c r="B37" s="240">
        <v>33</v>
      </c>
      <c r="C37" s="244">
        <v>1939000</v>
      </c>
      <c r="D37" s="244">
        <v>3359000</v>
      </c>
      <c r="E37" s="244">
        <v>6149000</v>
      </c>
      <c r="F37" s="244">
        <v>9039000</v>
      </c>
      <c r="G37" s="244">
        <v>2299000</v>
      </c>
      <c r="H37" s="244">
        <v>4509000</v>
      </c>
      <c r="I37" s="244">
        <v>8269000</v>
      </c>
      <c r="J37" s="244">
        <v>12209000</v>
      </c>
      <c r="K37" s="244">
        <v>939000</v>
      </c>
      <c r="L37" s="244">
        <v>1779000</v>
      </c>
      <c r="M37" s="244">
        <v>3819000</v>
      </c>
      <c r="N37" s="244">
        <v>5669000</v>
      </c>
      <c r="O37" s="244">
        <v>599000</v>
      </c>
      <c r="P37" s="244">
        <v>1129000</v>
      </c>
      <c r="Q37" s="244">
        <v>2629000</v>
      </c>
      <c r="R37" s="244">
        <v>4819000</v>
      </c>
    </row>
    <row r="38" spans="2:18" ht="17.25" customHeight="1">
      <c r="B38" s="240">
        <v>34</v>
      </c>
      <c r="C38" s="244">
        <v>1939000</v>
      </c>
      <c r="D38" s="244">
        <v>3359000</v>
      </c>
      <c r="E38" s="244">
        <v>6149000</v>
      </c>
      <c r="F38" s="244">
        <v>9039000</v>
      </c>
      <c r="G38" s="244">
        <v>2299000</v>
      </c>
      <c r="H38" s="244">
        <v>4509000</v>
      </c>
      <c r="I38" s="244">
        <v>8269000</v>
      </c>
      <c r="J38" s="244">
        <v>12209000</v>
      </c>
      <c r="K38" s="244">
        <v>939000</v>
      </c>
      <c r="L38" s="244">
        <v>1779000</v>
      </c>
      <c r="M38" s="244">
        <v>3819000</v>
      </c>
      <c r="N38" s="244">
        <v>5669000</v>
      </c>
      <c r="O38" s="244">
        <v>599000</v>
      </c>
      <c r="P38" s="244">
        <v>1129000</v>
      </c>
      <c r="Q38" s="244">
        <v>2629000</v>
      </c>
      <c r="R38" s="244">
        <v>4819000</v>
      </c>
    </row>
    <row r="39" spans="2:18" ht="17.25" customHeight="1">
      <c r="B39" s="240">
        <v>35</v>
      </c>
      <c r="C39" s="244">
        <v>2139000</v>
      </c>
      <c r="D39" s="244">
        <v>3839000</v>
      </c>
      <c r="E39" s="244">
        <v>7019000</v>
      </c>
      <c r="F39" s="244">
        <v>10099000</v>
      </c>
      <c r="G39" s="244">
        <v>2589000</v>
      </c>
      <c r="H39" s="244">
        <v>5189000</v>
      </c>
      <c r="I39" s="244">
        <v>9429000</v>
      </c>
      <c r="J39" s="244">
        <v>13659000</v>
      </c>
      <c r="K39" s="244">
        <v>1009000</v>
      </c>
      <c r="L39" s="244">
        <v>1909000</v>
      </c>
      <c r="M39" s="244">
        <v>4119000</v>
      </c>
      <c r="N39" s="244">
        <v>6109000</v>
      </c>
      <c r="O39" s="244">
        <v>629000</v>
      </c>
      <c r="P39" s="244">
        <v>1189000</v>
      </c>
      <c r="Q39" s="244">
        <v>2749000</v>
      </c>
      <c r="R39" s="244">
        <v>5039000</v>
      </c>
    </row>
    <row r="40" spans="2:18" ht="17.25" customHeight="1">
      <c r="B40" s="240">
        <v>36</v>
      </c>
      <c r="C40" s="244">
        <v>2139000</v>
      </c>
      <c r="D40" s="244">
        <v>3839000</v>
      </c>
      <c r="E40" s="244">
        <v>7019000</v>
      </c>
      <c r="F40" s="244">
        <v>10099000</v>
      </c>
      <c r="G40" s="244">
        <v>2589000</v>
      </c>
      <c r="H40" s="244">
        <v>5189000</v>
      </c>
      <c r="I40" s="244">
        <v>9429000</v>
      </c>
      <c r="J40" s="244">
        <v>13659000</v>
      </c>
      <c r="K40" s="244">
        <v>1009000</v>
      </c>
      <c r="L40" s="244">
        <v>1909000</v>
      </c>
      <c r="M40" s="244">
        <v>4119000</v>
      </c>
      <c r="N40" s="244">
        <v>6109000</v>
      </c>
      <c r="O40" s="244">
        <v>629000</v>
      </c>
      <c r="P40" s="244">
        <v>1189000</v>
      </c>
      <c r="Q40" s="244">
        <v>2749000</v>
      </c>
      <c r="R40" s="244">
        <v>5039000</v>
      </c>
    </row>
    <row r="41" spans="2:18" ht="17.25" customHeight="1">
      <c r="B41" s="240">
        <v>37</v>
      </c>
      <c r="C41" s="244">
        <v>2139000</v>
      </c>
      <c r="D41" s="244">
        <v>3839000</v>
      </c>
      <c r="E41" s="244">
        <v>7019000</v>
      </c>
      <c r="F41" s="244">
        <v>10099000</v>
      </c>
      <c r="G41" s="244">
        <v>2589000</v>
      </c>
      <c r="H41" s="244">
        <v>5189000</v>
      </c>
      <c r="I41" s="244">
        <v>9429000</v>
      </c>
      <c r="J41" s="244">
        <v>13659000</v>
      </c>
      <c r="K41" s="244">
        <v>1009000</v>
      </c>
      <c r="L41" s="244">
        <v>1909000</v>
      </c>
      <c r="M41" s="244">
        <v>4119000</v>
      </c>
      <c r="N41" s="244">
        <v>6109000</v>
      </c>
      <c r="O41" s="244">
        <v>629000</v>
      </c>
      <c r="P41" s="244">
        <v>1189000</v>
      </c>
      <c r="Q41" s="244">
        <v>2749000</v>
      </c>
      <c r="R41" s="244">
        <v>5039000</v>
      </c>
    </row>
    <row r="42" spans="2:18" ht="17.25" customHeight="1">
      <c r="B42" s="240">
        <v>38</v>
      </c>
      <c r="C42" s="244">
        <v>2139000</v>
      </c>
      <c r="D42" s="244">
        <v>3839000</v>
      </c>
      <c r="E42" s="244">
        <v>7019000</v>
      </c>
      <c r="F42" s="244">
        <v>10099000</v>
      </c>
      <c r="G42" s="244">
        <v>2589000</v>
      </c>
      <c r="H42" s="244">
        <v>5189000</v>
      </c>
      <c r="I42" s="244">
        <v>9429000</v>
      </c>
      <c r="J42" s="244">
        <v>13659000</v>
      </c>
      <c r="K42" s="244">
        <v>1009000</v>
      </c>
      <c r="L42" s="244">
        <v>1909000</v>
      </c>
      <c r="M42" s="244">
        <v>4119000</v>
      </c>
      <c r="N42" s="244">
        <v>6109000</v>
      </c>
      <c r="O42" s="244">
        <v>629000</v>
      </c>
      <c r="P42" s="244">
        <v>1189000</v>
      </c>
      <c r="Q42" s="244">
        <v>2749000</v>
      </c>
      <c r="R42" s="244">
        <v>5039000</v>
      </c>
    </row>
    <row r="43" spans="2:18" ht="17.25" customHeight="1">
      <c r="B43" s="240">
        <v>39</v>
      </c>
      <c r="C43" s="244">
        <v>2139000</v>
      </c>
      <c r="D43" s="244">
        <v>3839000</v>
      </c>
      <c r="E43" s="244">
        <v>7019000</v>
      </c>
      <c r="F43" s="244">
        <v>10099000</v>
      </c>
      <c r="G43" s="244">
        <v>2589000</v>
      </c>
      <c r="H43" s="244">
        <v>5189000</v>
      </c>
      <c r="I43" s="244">
        <v>9429000</v>
      </c>
      <c r="J43" s="244">
        <v>13659000</v>
      </c>
      <c r="K43" s="244">
        <v>1009000</v>
      </c>
      <c r="L43" s="244">
        <v>1909000</v>
      </c>
      <c r="M43" s="244">
        <v>4119000</v>
      </c>
      <c r="N43" s="244">
        <v>6109000</v>
      </c>
      <c r="O43" s="244">
        <v>629000</v>
      </c>
      <c r="P43" s="244">
        <v>1189000</v>
      </c>
      <c r="Q43" s="244">
        <v>2749000</v>
      </c>
      <c r="R43" s="244">
        <v>5039000</v>
      </c>
    </row>
    <row r="44" spans="2:18" ht="17.25" customHeight="1">
      <c r="B44" s="240">
        <v>40</v>
      </c>
      <c r="C44" s="244">
        <v>2359000</v>
      </c>
      <c r="D44" s="244">
        <v>4229000</v>
      </c>
      <c r="E44" s="244">
        <v>7789000</v>
      </c>
      <c r="F44" s="244">
        <v>11349000</v>
      </c>
      <c r="G44" s="244">
        <v>2879000</v>
      </c>
      <c r="H44" s="244">
        <v>5669000</v>
      </c>
      <c r="I44" s="244">
        <v>10479000</v>
      </c>
      <c r="J44" s="244">
        <v>15299000</v>
      </c>
      <c r="K44" s="244">
        <v>1029000</v>
      </c>
      <c r="L44" s="244">
        <v>1939000</v>
      </c>
      <c r="M44" s="244">
        <v>4189000</v>
      </c>
      <c r="N44" s="244">
        <v>6209000</v>
      </c>
      <c r="O44" s="244">
        <v>719000</v>
      </c>
      <c r="P44" s="244">
        <v>1349000</v>
      </c>
      <c r="Q44" s="244">
        <v>3129000</v>
      </c>
      <c r="R44" s="244">
        <v>5729000</v>
      </c>
    </row>
    <row r="45" spans="2:18" ht="17.25" customHeight="1">
      <c r="B45" s="240">
        <v>41</v>
      </c>
      <c r="C45" s="244">
        <v>2359000</v>
      </c>
      <c r="D45" s="244">
        <v>4229000</v>
      </c>
      <c r="E45" s="244">
        <v>7789000</v>
      </c>
      <c r="F45" s="244">
        <v>11349000</v>
      </c>
      <c r="G45" s="244">
        <v>2879000</v>
      </c>
      <c r="H45" s="244">
        <v>5669000</v>
      </c>
      <c r="I45" s="244">
        <v>10479000</v>
      </c>
      <c r="J45" s="244">
        <v>15299000</v>
      </c>
      <c r="K45" s="244">
        <v>1029000</v>
      </c>
      <c r="L45" s="244">
        <v>1939000</v>
      </c>
      <c r="M45" s="244">
        <v>4189000</v>
      </c>
      <c r="N45" s="244">
        <v>6209000</v>
      </c>
      <c r="O45" s="244">
        <v>719000</v>
      </c>
      <c r="P45" s="244">
        <v>1349000</v>
      </c>
      <c r="Q45" s="244">
        <v>3129000</v>
      </c>
      <c r="R45" s="244">
        <v>5729000</v>
      </c>
    </row>
    <row r="46" spans="2:18" ht="17.25" customHeight="1">
      <c r="B46" s="240">
        <v>42</v>
      </c>
      <c r="C46" s="244">
        <v>2359000</v>
      </c>
      <c r="D46" s="244">
        <v>4229000</v>
      </c>
      <c r="E46" s="244">
        <v>7789000</v>
      </c>
      <c r="F46" s="244">
        <v>11349000</v>
      </c>
      <c r="G46" s="244">
        <v>2879000</v>
      </c>
      <c r="H46" s="244">
        <v>5669000</v>
      </c>
      <c r="I46" s="244">
        <v>10479000</v>
      </c>
      <c r="J46" s="244">
        <v>15299000</v>
      </c>
      <c r="K46" s="244">
        <v>1029000</v>
      </c>
      <c r="L46" s="244">
        <v>1939000</v>
      </c>
      <c r="M46" s="244">
        <v>4189000</v>
      </c>
      <c r="N46" s="244">
        <v>6209000</v>
      </c>
      <c r="O46" s="244">
        <v>719000</v>
      </c>
      <c r="P46" s="244">
        <v>1349000</v>
      </c>
      <c r="Q46" s="244">
        <v>3129000</v>
      </c>
      <c r="R46" s="244">
        <v>5729000</v>
      </c>
    </row>
    <row r="47" spans="2:18" ht="17.25" customHeight="1">
      <c r="B47" s="240">
        <v>43</v>
      </c>
      <c r="C47" s="244">
        <v>2359000</v>
      </c>
      <c r="D47" s="244">
        <v>4229000</v>
      </c>
      <c r="E47" s="244">
        <v>7789000</v>
      </c>
      <c r="F47" s="244">
        <v>11349000</v>
      </c>
      <c r="G47" s="244">
        <v>2879000</v>
      </c>
      <c r="H47" s="244">
        <v>5669000</v>
      </c>
      <c r="I47" s="244">
        <v>10479000</v>
      </c>
      <c r="J47" s="244">
        <v>15299000</v>
      </c>
      <c r="K47" s="244">
        <v>1029000</v>
      </c>
      <c r="L47" s="244">
        <v>1939000</v>
      </c>
      <c r="M47" s="244">
        <v>4189000</v>
      </c>
      <c r="N47" s="244">
        <v>6209000</v>
      </c>
      <c r="O47" s="244">
        <v>719000</v>
      </c>
      <c r="P47" s="244">
        <v>1349000</v>
      </c>
      <c r="Q47" s="244">
        <v>3129000</v>
      </c>
      <c r="R47" s="244">
        <v>5729000</v>
      </c>
    </row>
    <row r="48" spans="2:18" ht="17.25" customHeight="1">
      <c r="B48" s="240">
        <v>44</v>
      </c>
      <c r="C48" s="244">
        <v>2359000</v>
      </c>
      <c r="D48" s="244">
        <v>4229000</v>
      </c>
      <c r="E48" s="244">
        <v>7789000</v>
      </c>
      <c r="F48" s="244">
        <v>11349000</v>
      </c>
      <c r="G48" s="244">
        <v>2879000</v>
      </c>
      <c r="H48" s="244">
        <v>5669000</v>
      </c>
      <c r="I48" s="244">
        <v>10479000</v>
      </c>
      <c r="J48" s="244">
        <v>15299000</v>
      </c>
      <c r="K48" s="244">
        <v>1029000</v>
      </c>
      <c r="L48" s="244">
        <v>1939000</v>
      </c>
      <c r="M48" s="244">
        <v>4189000</v>
      </c>
      <c r="N48" s="244">
        <v>6209000</v>
      </c>
      <c r="O48" s="244">
        <v>719000</v>
      </c>
      <c r="P48" s="244">
        <v>1349000</v>
      </c>
      <c r="Q48" s="244">
        <v>3129000</v>
      </c>
      <c r="R48" s="244">
        <v>5729000</v>
      </c>
    </row>
    <row r="49" spans="2:18" ht="17.25" customHeight="1">
      <c r="B49" s="240">
        <v>45</v>
      </c>
      <c r="C49" s="244">
        <v>2909000</v>
      </c>
      <c r="D49" s="244">
        <v>5089000</v>
      </c>
      <c r="E49" s="244">
        <v>9329000</v>
      </c>
      <c r="F49" s="244">
        <v>13559000</v>
      </c>
      <c r="G49" s="244">
        <v>3449000</v>
      </c>
      <c r="H49" s="244">
        <v>6829000</v>
      </c>
      <c r="I49" s="244">
        <v>12599000</v>
      </c>
      <c r="J49" s="244">
        <v>18279000</v>
      </c>
      <c r="K49" s="244">
        <v>1089000</v>
      </c>
      <c r="L49" s="244">
        <v>2049000</v>
      </c>
      <c r="M49" s="244">
        <v>4419000</v>
      </c>
      <c r="N49" s="244">
        <v>6559000</v>
      </c>
      <c r="O49" s="244">
        <v>759000</v>
      </c>
      <c r="P49" s="244">
        <v>1429000</v>
      </c>
      <c r="Q49" s="244">
        <v>3309000</v>
      </c>
      <c r="R49" s="244">
        <v>6069000</v>
      </c>
    </row>
    <row r="50" spans="2:18" ht="17.25" customHeight="1">
      <c r="B50" s="240">
        <v>46</v>
      </c>
      <c r="C50" s="244">
        <v>2909000</v>
      </c>
      <c r="D50" s="244">
        <v>5089000</v>
      </c>
      <c r="E50" s="244">
        <v>9329000</v>
      </c>
      <c r="F50" s="244">
        <v>13559000</v>
      </c>
      <c r="G50" s="244">
        <v>3449000</v>
      </c>
      <c r="H50" s="244">
        <v>6829000</v>
      </c>
      <c r="I50" s="244">
        <v>12599000</v>
      </c>
      <c r="J50" s="244">
        <v>18279000</v>
      </c>
      <c r="K50" s="244">
        <v>1089000</v>
      </c>
      <c r="L50" s="244">
        <v>2049000</v>
      </c>
      <c r="M50" s="244">
        <v>4419000</v>
      </c>
      <c r="N50" s="244">
        <v>6559000</v>
      </c>
      <c r="O50" s="244">
        <v>759000</v>
      </c>
      <c r="P50" s="244">
        <v>1429000</v>
      </c>
      <c r="Q50" s="244">
        <v>3309000</v>
      </c>
      <c r="R50" s="244">
        <v>6069000</v>
      </c>
    </row>
    <row r="51" spans="2:18" ht="17.25" customHeight="1">
      <c r="B51" s="240">
        <v>47</v>
      </c>
      <c r="C51" s="244">
        <v>2909000</v>
      </c>
      <c r="D51" s="244">
        <v>5089000</v>
      </c>
      <c r="E51" s="244">
        <v>9329000</v>
      </c>
      <c r="F51" s="244">
        <v>13559000</v>
      </c>
      <c r="G51" s="244">
        <v>3449000</v>
      </c>
      <c r="H51" s="244">
        <v>6829000</v>
      </c>
      <c r="I51" s="244">
        <v>12599000</v>
      </c>
      <c r="J51" s="244">
        <v>18279000</v>
      </c>
      <c r="K51" s="244">
        <v>1089000</v>
      </c>
      <c r="L51" s="244">
        <v>2049000</v>
      </c>
      <c r="M51" s="244">
        <v>4419000</v>
      </c>
      <c r="N51" s="244">
        <v>6559000</v>
      </c>
      <c r="O51" s="244">
        <v>759000</v>
      </c>
      <c r="P51" s="244">
        <v>1429000</v>
      </c>
      <c r="Q51" s="244">
        <v>3309000</v>
      </c>
      <c r="R51" s="244">
        <v>6069000</v>
      </c>
    </row>
    <row r="52" spans="2:18" ht="17.25" customHeight="1">
      <c r="B52" s="240">
        <v>48</v>
      </c>
      <c r="C52" s="244">
        <v>2909000</v>
      </c>
      <c r="D52" s="244">
        <v>5089000</v>
      </c>
      <c r="E52" s="244">
        <v>9329000</v>
      </c>
      <c r="F52" s="244">
        <v>13559000</v>
      </c>
      <c r="G52" s="244">
        <v>3449000</v>
      </c>
      <c r="H52" s="244">
        <v>6829000</v>
      </c>
      <c r="I52" s="244">
        <v>12599000</v>
      </c>
      <c r="J52" s="244">
        <v>18279000</v>
      </c>
      <c r="K52" s="244">
        <v>1089000</v>
      </c>
      <c r="L52" s="244">
        <v>2049000</v>
      </c>
      <c r="M52" s="244">
        <v>4419000</v>
      </c>
      <c r="N52" s="244">
        <v>6559000</v>
      </c>
      <c r="O52" s="244">
        <v>759000</v>
      </c>
      <c r="P52" s="244">
        <v>1429000</v>
      </c>
      <c r="Q52" s="244">
        <v>3309000</v>
      </c>
      <c r="R52" s="244">
        <v>6069000</v>
      </c>
    </row>
    <row r="53" spans="2:18" ht="17.25" customHeight="1">
      <c r="B53" s="240">
        <v>49</v>
      </c>
      <c r="C53" s="244">
        <v>2909000</v>
      </c>
      <c r="D53" s="244">
        <v>5089000</v>
      </c>
      <c r="E53" s="244">
        <v>9329000</v>
      </c>
      <c r="F53" s="244">
        <v>13559000</v>
      </c>
      <c r="G53" s="244">
        <v>3449000</v>
      </c>
      <c r="H53" s="244">
        <v>6829000</v>
      </c>
      <c r="I53" s="244">
        <v>12599000</v>
      </c>
      <c r="J53" s="244">
        <v>18279000</v>
      </c>
      <c r="K53" s="244">
        <v>1089000</v>
      </c>
      <c r="L53" s="244">
        <v>2049000</v>
      </c>
      <c r="M53" s="244">
        <v>4419000</v>
      </c>
      <c r="N53" s="244">
        <v>6559000</v>
      </c>
      <c r="O53" s="244">
        <v>759000</v>
      </c>
      <c r="P53" s="244">
        <v>1429000</v>
      </c>
      <c r="Q53" s="244">
        <v>3309000</v>
      </c>
      <c r="R53" s="244">
        <v>6069000</v>
      </c>
    </row>
    <row r="54" spans="2:18" ht="17.25" customHeight="1">
      <c r="B54" s="240">
        <v>50</v>
      </c>
      <c r="C54" s="244">
        <v>3279000</v>
      </c>
      <c r="D54" s="244">
        <v>6039000</v>
      </c>
      <c r="E54" s="244">
        <v>11009000</v>
      </c>
      <c r="F54" s="244">
        <v>16069000</v>
      </c>
      <c r="G54" s="244">
        <v>4159000</v>
      </c>
      <c r="H54" s="244">
        <v>8129000</v>
      </c>
      <c r="I54" s="244">
        <v>14879000</v>
      </c>
      <c r="J54" s="244">
        <v>21729000</v>
      </c>
      <c r="K54" s="244">
        <v>1089000</v>
      </c>
      <c r="L54" s="244">
        <v>2059000</v>
      </c>
      <c r="M54" s="244">
        <v>4449000</v>
      </c>
      <c r="N54" s="244">
        <v>6589000</v>
      </c>
      <c r="O54" s="244">
        <v>739000</v>
      </c>
      <c r="P54" s="244">
        <v>1389000</v>
      </c>
      <c r="Q54" s="244">
        <v>3209000</v>
      </c>
      <c r="R54" s="244">
        <v>5889000</v>
      </c>
    </row>
    <row r="55" spans="2:18" ht="17.25" customHeight="1">
      <c r="B55" s="240">
        <v>51</v>
      </c>
      <c r="C55" s="244">
        <v>3279000</v>
      </c>
      <c r="D55" s="244">
        <v>6039000</v>
      </c>
      <c r="E55" s="244">
        <v>11009000</v>
      </c>
      <c r="F55" s="244">
        <v>16069000</v>
      </c>
      <c r="G55" s="244">
        <v>4159000</v>
      </c>
      <c r="H55" s="244">
        <v>8129000</v>
      </c>
      <c r="I55" s="244">
        <v>14879000</v>
      </c>
      <c r="J55" s="244">
        <v>21729000</v>
      </c>
      <c r="K55" s="244">
        <v>1089000</v>
      </c>
      <c r="L55" s="244">
        <v>2059000</v>
      </c>
      <c r="M55" s="244">
        <v>4449000</v>
      </c>
      <c r="N55" s="244">
        <v>6589000</v>
      </c>
      <c r="O55" s="244">
        <v>739000</v>
      </c>
      <c r="P55" s="244">
        <v>1389000</v>
      </c>
      <c r="Q55" s="244">
        <v>3209000</v>
      </c>
      <c r="R55" s="244">
        <v>5889000</v>
      </c>
    </row>
    <row r="56" spans="2:18" ht="17.25" customHeight="1">
      <c r="B56" s="240">
        <v>52</v>
      </c>
      <c r="C56" s="244">
        <v>3279000</v>
      </c>
      <c r="D56" s="244">
        <v>6039000</v>
      </c>
      <c r="E56" s="244">
        <v>11009000</v>
      </c>
      <c r="F56" s="244">
        <v>16069000</v>
      </c>
      <c r="G56" s="244">
        <v>4159000</v>
      </c>
      <c r="H56" s="244">
        <v>8129000</v>
      </c>
      <c r="I56" s="244">
        <v>14879000</v>
      </c>
      <c r="J56" s="244">
        <v>21729000</v>
      </c>
      <c r="K56" s="244">
        <v>1089000</v>
      </c>
      <c r="L56" s="244">
        <v>2059000</v>
      </c>
      <c r="M56" s="244">
        <v>4449000</v>
      </c>
      <c r="N56" s="244">
        <v>6589000</v>
      </c>
      <c r="O56" s="244">
        <v>739000</v>
      </c>
      <c r="P56" s="244">
        <v>1389000</v>
      </c>
      <c r="Q56" s="244">
        <v>3209000</v>
      </c>
      <c r="R56" s="244">
        <v>5889000</v>
      </c>
    </row>
    <row r="57" spans="2:18" ht="17.25" customHeight="1">
      <c r="B57" s="240">
        <v>53</v>
      </c>
      <c r="C57" s="244">
        <v>3279000</v>
      </c>
      <c r="D57" s="244">
        <v>6039000</v>
      </c>
      <c r="E57" s="244">
        <v>11009000</v>
      </c>
      <c r="F57" s="244">
        <v>16069000</v>
      </c>
      <c r="G57" s="244">
        <v>4159000</v>
      </c>
      <c r="H57" s="244">
        <v>8129000</v>
      </c>
      <c r="I57" s="244">
        <v>14879000</v>
      </c>
      <c r="J57" s="244">
        <v>21729000</v>
      </c>
      <c r="K57" s="244">
        <v>1089000</v>
      </c>
      <c r="L57" s="244">
        <v>2059000</v>
      </c>
      <c r="M57" s="244">
        <v>4449000</v>
      </c>
      <c r="N57" s="244">
        <v>6589000</v>
      </c>
      <c r="O57" s="244">
        <v>739000</v>
      </c>
      <c r="P57" s="244">
        <v>1389000</v>
      </c>
      <c r="Q57" s="244">
        <v>3209000</v>
      </c>
      <c r="R57" s="244">
        <v>5889000</v>
      </c>
    </row>
    <row r="58" spans="2:18" ht="17.25" customHeight="1">
      <c r="B58" s="240">
        <v>54</v>
      </c>
      <c r="C58" s="244">
        <v>3279000</v>
      </c>
      <c r="D58" s="244">
        <v>6039000</v>
      </c>
      <c r="E58" s="244">
        <v>11009000</v>
      </c>
      <c r="F58" s="244">
        <v>16069000</v>
      </c>
      <c r="G58" s="244">
        <v>4159000</v>
      </c>
      <c r="H58" s="244">
        <v>8129000</v>
      </c>
      <c r="I58" s="244">
        <v>14879000</v>
      </c>
      <c r="J58" s="244">
        <v>21729000</v>
      </c>
      <c r="K58" s="244">
        <v>1089000</v>
      </c>
      <c r="L58" s="244">
        <v>2059000</v>
      </c>
      <c r="M58" s="244">
        <v>4449000</v>
      </c>
      <c r="N58" s="244">
        <v>6589000</v>
      </c>
      <c r="O58" s="244">
        <v>739000</v>
      </c>
      <c r="P58" s="244">
        <v>1389000</v>
      </c>
      <c r="Q58" s="244">
        <v>3209000</v>
      </c>
      <c r="R58" s="244">
        <v>5889000</v>
      </c>
    </row>
    <row r="59" spans="2:18" ht="17.25" customHeight="1">
      <c r="B59" s="240">
        <v>55</v>
      </c>
      <c r="C59" s="244">
        <v>3479000</v>
      </c>
      <c r="D59" s="244">
        <v>6799000</v>
      </c>
      <c r="E59" s="244">
        <v>12459000</v>
      </c>
      <c r="F59" s="244">
        <v>18029000</v>
      </c>
      <c r="G59" s="244">
        <v>4709000</v>
      </c>
      <c r="H59" s="244">
        <v>9199000</v>
      </c>
      <c r="I59" s="244">
        <v>16789000</v>
      </c>
      <c r="J59" s="244">
        <v>24299000</v>
      </c>
      <c r="K59" s="244">
        <v>1109000</v>
      </c>
      <c r="L59" s="244">
        <v>2089000</v>
      </c>
      <c r="M59" s="244">
        <v>4509000</v>
      </c>
      <c r="N59" s="244">
        <v>6699000</v>
      </c>
      <c r="O59" s="244">
        <v>729000</v>
      </c>
      <c r="P59" s="244">
        <v>1379000</v>
      </c>
      <c r="Q59" s="244">
        <v>3179000</v>
      </c>
      <c r="R59" s="244">
        <v>5839000</v>
      </c>
    </row>
    <row r="60" spans="2:18" ht="17.25" customHeight="1">
      <c r="B60" s="240">
        <v>56</v>
      </c>
      <c r="C60" s="244">
        <v>3479000</v>
      </c>
      <c r="D60" s="244">
        <v>6799000</v>
      </c>
      <c r="E60" s="244">
        <v>12459000</v>
      </c>
      <c r="F60" s="244">
        <v>18029000</v>
      </c>
      <c r="G60" s="244">
        <v>4709000</v>
      </c>
      <c r="H60" s="244">
        <v>9199000</v>
      </c>
      <c r="I60" s="244">
        <v>16789000</v>
      </c>
      <c r="J60" s="244">
        <v>24299000</v>
      </c>
      <c r="K60" s="244">
        <v>1109000</v>
      </c>
      <c r="L60" s="244">
        <v>2089000</v>
      </c>
      <c r="M60" s="244">
        <v>4509000</v>
      </c>
      <c r="N60" s="244">
        <v>6699000</v>
      </c>
      <c r="O60" s="244">
        <v>729000</v>
      </c>
      <c r="P60" s="244">
        <v>1379000</v>
      </c>
      <c r="Q60" s="244">
        <v>3179000</v>
      </c>
      <c r="R60" s="244">
        <v>5839000</v>
      </c>
    </row>
    <row r="61" spans="2:18" ht="17.25" customHeight="1">
      <c r="B61" s="240">
        <v>57</v>
      </c>
      <c r="C61" s="244">
        <v>3479000</v>
      </c>
      <c r="D61" s="244">
        <v>6799000</v>
      </c>
      <c r="E61" s="244">
        <v>12459000</v>
      </c>
      <c r="F61" s="244">
        <v>18029000</v>
      </c>
      <c r="G61" s="244">
        <v>4709000</v>
      </c>
      <c r="H61" s="244">
        <v>9199000</v>
      </c>
      <c r="I61" s="244">
        <v>16789000</v>
      </c>
      <c r="J61" s="244">
        <v>24299000</v>
      </c>
      <c r="K61" s="244">
        <v>1109000</v>
      </c>
      <c r="L61" s="244">
        <v>2089000</v>
      </c>
      <c r="M61" s="244">
        <v>4509000</v>
      </c>
      <c r="N61" s="244">
        <v>6699000</v>
      </c>
      <c r="O61" s="244">
        <v>729000</v>
      </c>
      <c r="P61" s="244">
        <v>1379000</v>
      </c>
      <c r="Q61" s="244">
        <v>3179000</v>
      </c>
      <c r="R61" s="244">
        <v>5839000</v>
      </c>
    </row>
    <row r="62" spans="2:18" ht="17.25" customHeight="1">
      <c r="B62" s="240">
        <v>58</v>
      </c>
      <c r="C62" s="244">
        <v>3479000</v>
      </c>
      <c r="D62" s="244">
        <v>6799000</v>
      </c>
      <c r="E62" s="244">
        <v>12459000</v>
      </c>
      <c r="F62" s="244">
        <v>18029000</v>
      </c>
      <c r="G62" s="244">
        <v>4709000</v>
      </c>
      <c r="H62" s="244">
        <v>9199000</v>
      </c>
      <c r="I62" s="244">
        <v>16789000</v>
      </c>
      <c r="J62" s="244">
        <v>24299000</v>
      </c>
      <c r="K62" s="244">
        <v>1109000</v>
      </c>
      <c r="L62" s="244">
        <v>2089000</v>
      </c>
      <c r="M62" s="244">
        <v>4509000</v>
      </c>
      <c r="N62" s="244">
        <v>6699000</v>
      </c>
      <c r="O62" s="244">
        <v>729000</v>
      </c>
      <c r="P62" s="244">
        <v>1379000</v>
      </c>
      <c r="Q62" s="244">
        <v>3179000</v>
      </c>
      <c r="R62" s="244">
        <v>5839000</v>
      </c>
    </row>
    <row r="63" spans="2:18" ht="17.25" customHeight="1">
      <c r="B63" s="240">
        <v>59</v>
      </c>
      <c r="C63" s="244">
        <v>3479000</v>
      </c>
      <c r="D63" s="244">
        <v>6799000</v>
      </c>
      <c r="E63" s="244">
        <v>12459000</v>
      </c>
      <c r="F63" s="244">
        <v>18029000</v>
      </c>
      <c r="G63" s="244">
        <v>4709000</v>
      </c>
      <c r="H63" s="244">
        <v>9199000</v>
      </c>
      <c r="I63" s="244">
        <v>16789000</v>
      </c>
      <c r="J63" s="244">
        <v>24299000</v>
      </c>
      <c r="K63" s="244">
        <v>1109000</v>
      </c>
      <c r="L63" s="244">
        <v>2089000</v>
      </c>
      <c r="M63" s="244">
        <v>4509000</v>
      </c>
      <c r="N63" s="244">
        <v>6699000</v>
      </c>
      <c r="O63" s="244">
        <v>729000</v>
      </c>
      <c r="P63" s="244">
        <v>1379000</v>
      </c>
      <c r="Q63" s="244">
        <v>3179000</v>
      </c>
      <c r="R63" s="244">
        <v>5839000</v>
      </c>
    </row>
    <row r="64" spans="2:18" ht="17.25" customHeight="1">
      <c r="B64" s="240">
        <v>60</v>
      </c>
      <c r="C64" s="244">
        <v>3939000</v>
      </c>
      <c r="D64" s="244">
        <v>7809000</v>
      </c>
      <c r="E64" s="244">
        <v>14159000</v>
      </c>
      <c r="F64" s="244">
        <v>20579000</v>
      </c>
      <c r="G64" s="244">
        <v>5329000</v>
      </c>
      <c r="H64" s="244">
        <v>10519000</v>
      </c>
      <c r="I64" s="244">
        <v>19109000</v>
      </c>
      <c r="J64" s="244">
        <v>27779000</v>
      </c>
      <c r="K64" s="244">
        <v>1119000</v>
      </c>
      <c r="L64" s="244">
        <v>2099000</v>
      </c>
      <c r="M64" s="244">
        <v>4529000</v>
      </c>
      <c r="N64" s="244">
        <v>6729000</v>
      </c>
      <c r="O64" s="244">
        <v>729000</v>
      </c>
      <c r="P64" s="244">
        <v>1379000</v>
      </c>
      <c r="Q64" s="244">
        <v>3179000</v>
      </c>
      <c r="R64" s="244">
        <v>5839000</v>
      </c>
    </row>
    <row r="65" spans="2:18" ht="17.25" customHeight="1">
      <c r="B65" s="240">
        <v>61</v>
      </c>
      <c r="C65" s="244">
        <v>3939000</v>
      </c>
      <c r="D65" s="244">
        <v>7809000</v>
      </c>
      <c r="E65" s="244">
        <v>14159000</v>
      </c>
      <c r="F65" s="244">
        <v>20579000</v>
      </c>
      <c r="G65" s="244">
        <v>5329000</v>
      </c>
      <c r="H65" s="244">
        <v>10519000</v>
      </c>
      <c r="I65" s="244">
        <v>19109000</v>
      </c>
      <c r="J65" s="244">
        <v>27779000</v>
      </c>
      <c r="K65" s="244">
        <v>1119000</v>
      </c>
      <c r="L65" s="244">
        <v>2099000</v>
      </c>
      <c r="M65" s="244">
        <v>4529000</v>
      </c>
      <c r="N65" s="244">
        <v>6729000</v>
      </c>
      <c r="O65" s="244">
        <v>729000</v>
      </c>
      <c r="P65" s="244">
        <v>1379000</v>
      </c>
      <c r="Q65" s="244">
        <v>3179000</v>
      </c>
      <c r="R65" s="244">
        <v>5839000</v>
      </c>
    </row>
    <row r="66" spans="2:18" ht="17.25" customHeight="1">
      <c r="B66" s="240">
        <v>62</v>
      </c>
      <c r="C66" s="244">
        <v>3939000</v>
      </c>
      <c r="D66" s="244">
        <v>7809000</v>
      </c>
      <c r="E66" s="244">
        <v>14159000</v>
      </c>
      <c r="F66" s="244">
        <v>20579000</v>
      </c>
      <c r="G66" s="244">
        <v>5329000</v>
      </c>
      <c r="H66" s="244">
        <v>10519000</v>
      </c>
      <c r="I66" s="244">
        <v>19109000</v>
      </c>
      <c r="J66" s="244">
        <v>27779000</v>
      </c>
      <c r="K66" s="244">
        <v>1119000</v>
      </c>
      <c r="L66" s="244">
        <v>2099000</v>
      </c>
      <c r="M66" s="244">
        <v>4529000</v>
      </c>
      <c r="N66" s="244">
        <v>6729000</v>
      </c>
      <c r="O66" s="244">
        <v>729000</v>
      </c>
      <c r="P66" s="244">
        <v>1379000</v>
      </c>
      <c r="Q66" s="244">
        <v>3179000</v>
      </c>
      <c r="R66" s="244">
        <v>5839000</v>
      </c>
    </row>
    <row r="67" spans="2:18" ht="17.25" customHeight="1">
      <c r="B67" s="240">
        <v>63</v>
      </c>
      <c r="C67" s="244">
        <v>3939000</v>
      </c>
      <c r="D67" s="244">
        <v>7809000</v>
      </c>
      <c r="E67" s="244">
        <v>14159000</v>
      </c>
      <c r="F67" s="244">
        <v>20579000</v>
      </c>
      <c r="G67" s="244">
        <v>5329000</v>
      </c>
      <c r="H67" s="244">
        <v>10519000</v>
      </c>
      <c r="I67" s="244">
        <v>19109000</v>
      </c>
      <c r="J67" s="244">
        <v>27779000</v>
      </c>
      <c r="K67" s="244">
        <v>1119000</v>
      </c>
      <c r="L67" s="244">
        <v>2099000</v>
      </c>
      <c r="M67" s="244">
        <v>4529000</v>
      </c>
      <c r="N67" s="244">
        <v>6729000</v>
      </c>
      <c r="O67" s="244">
        <v>729000</v>
      </c>
      <c r="P67" s="244">
        <v>1379000</v>
      </c>
      <c r="Q67" s="244">
        <v>3179000</v>
      </c>
      <c r="R67" s="244">
        <v>5839000</v>
      </c>
    </row>
    <row r="68" spans="2:18" ht="17.25" customHeight="1">
      <c r="B68" s="240">
        <v>64</v>
      </c>
      <c r="C68" s="244">
        <v>3939000</v>
      </c>
      <c r="D68" s="244">
        <v>7809000</v>
      </c>
      <c r="E68" s="244">
        <v>14159000</v>
      </c>
      <c r="F68" s="244">
        <v>20579000</v>
      </c>
      <c r="G68" s="244">
        <v>5329000</v>
      </c>
      <c r="H68" s="244">
        <v>10519000</v>
      </c>
      <c r="I68" s="244">
        <v>19109000</v>
      </c>
      <c r="J68" s="244">
        <v>27779000</v>
      </c>
      <c r="K68" s="244">
        <v>1119000</v>
      </c>
      <c r="L68" s="244">
        <v>2099000</v>
      </c>
      <c r="M68" s="244">
        <v>4529000</v>
      </c>
      <c r="N68" s="244">
        <v>6729000</v>
      </c>
      <c r="O68" s="244">
        <v>729000</v>
      </c>
      <c r="P68" s="244">
        <v>1379000</v>
      </c>
      <c r="Q68" s="244">
        <v>3179000</v>
      </c>
      <c r="R68" s="244">
        <v>5839000</v>
      </c>
    </row>
    <row r="69" spans="2:18" ht="17.25" customHeight="1">
      <c r="B69" s="240">
        <v>65</v>
      </c>
      <c r="C69" s="244">
        <v>4269000</v>
      </c>
      <c r="D69" s="244">
        <v>8339000</v>
      </c>
      <c r="E69" s="244">
        <v>15209000</v>
      </c>
      <c r="F69" s="244">
        <v>22079000</v>
      </c>
      <c r="G69" s="244">
        <v>5759000</v>
      </c>
      <c r="H69" s="244">
        <v>11269000</v>
      </c>
      <c r="I69" s="244">
        <v>20519000</v>
      </c>
      <c r="J69" s="244">
        <v>29799000</v>
      </c>
      <c r="K69" s="244">
        <v>1119000</v>
      </c>
      <c r="L69" s="244">
        <v>2109000</v>
      </c>
      <c r="M69" s="244">
        <v>4549000</v>
      </c>
      <c r="N69" s="244">
        <v>6769000</v>
      </c>
      <c r="O69" s="244">
        <v>729000</v>
      </c>
      <c r="P69" s="244">
        <v>1379000</v>
      </c>
      <c r="Q69" s="244">
        <v>3179000</v>
      </c>
      <c r="R69" s="244">
        <v>5839000</v>
      </c>
    </row>
    <row r="70" spans="2:18" ht="17.25" customHeight="1">
      <c r="B70" s="240">
        <v>66</v>
      </c>
      <c r="C70" s="244">
        <v>4269000</v>
      </c>
      <c r="D70" s="244">
        <v>8339000</v>
      </c>
      <c r="E70" s="244">
        <v>15209000</v>
      </c>
      <c r="F70" s="244">
        <v>22079000</v>
      </c>
      <c r="G70" s="244">
        <v>5759000</v>
      </c>
      <c r="H70" s="244">
        <v>11269000</v>
      </c>
      <c r="I70" s="244">
        <v>20519000</v>
      </c>
      <c r="J70" s="244">
        <v>29799000</v>
      </c>
      <c r="K70" s="244">
        <v>1119000</v>
      </c>
      <c r="L70" s="244">
        <v>2109000</v>
      </c>
      <c r="M70" s="244">
        <v>4549000</v>
      </c>
      <c r="N70" s="244">
        <v>6769000</v>
      </c>
      <c r="O70" s="244">
        <v>729000</v>
      </c>
      <c r="P70" s="244">
        <v>1379000</v>
      </c>
      <c r="Q70" s="244">
        <v>3179000</v>
      </c>
      <c r="R70" s="244">
        <v>5839000</v>
      </c>
    </row>
    <row r="71" spans="2:18" ht="17.25" customHeight="1">
      <c r="B71" s="240">
        <v>67</v>
      </c>
      <c r="C71" s="244">
        <v>4269000</v>
      </c>
      <c r="D71" s="244">
        <v>8339000</v>
      </c>
      <c r="E71" s="244">
        <v>15209000</v>
      </c>
      <c r="F71" s="244">
        <v>22079000</v>
      </c>
      <c r="G71" s="244">
        <v>5759000</v>
      </c>
      <c r="H71" s="244">
        <v>11269000</v>
      </c>
      <c r="I71" s="244">
        <v>20519000</v>
      </c>
      <c r="J71" s="244">
        <v>29799000</v>
      </c>
      <c r="K71" s="244">
        <v>1119000</v>
      </c>
      <c r="L71" s="244">
        <v>2109000</v>
      </c>
      <c r="M71" s="244">
        <v>4549000</v>
      </c>
      <c r="N71" s="244">
        <v>6769000</v>
      </c>
      <c r="O71" s="244">
        <v>729000</v>
      </c>
      <c r="P71" s="244">
        <v>1379000</v>
      </c>
      <c r="Q71" s="244">
        <v>3179000</v>
      </c>
      <c r="R71" s="244">
        <v>5839000</v>
      </c>
    </row>
    <row r="72" spans="2:18" ht="17.25" customHeight="1">
      <c r="B72" s="240">
        <v>68</v>
      </c>
      <c r="C72" s="244">
        <v>4269000</v>
      </c>
      <c r="D72" s="244">
        <v>8339000</v>
      </c>
      <c r="E72" s="244">
        <v>15209000</v>
      </c>
      <c r="F72" s="244">
        <v>22079000</v>
      </c>
      <c r="G72" s="244">
        <v>5759000</v>
      </c>
      <c r="H72" s="244">
        <v>11269000</v>
      </c>
      <c r="I72" s="244">
        <v>20519000</v>
      </c>
      <c r="J72" s="244">
        <v>29799000</v>
      </c>
      <c r="K72" s="244">
        <v>1119000</v>
      </c>
      <c r="L72" s="244">
        <v>2109000</v>
      </c>
      <c r="M72" s="244">
        <v>4549000</v>
      </c>
      <c r="N72" s="244">
        <v>6769000</v>
      </c>
      <c r="O72" s="244">
        <v>729000</v>
      </c>
      <c r="P72" s="244">
        <v>1379000</v>
      </c>
      <c r="Q72" s="244">
        <v>3179000</v>
      </c>
      <c r="R72" s="244">
        <v>5839000</v>
      </c>
    </row>
    <row r="73" spans="2:18" ht="17.25" customHeight="1">
      <c r="B73" s="240">
        <v>69</v>
      </c>
      <c r="C73" s="244">
        <v>4269000</v>
      </c>
      <c r="D73" s="244">
        <v>8339000</v>
      </c>
      <c r="E73" s="244">
        <v>15209000</v>
      </c>
      <c r="F73" s="244">
        <v>22079000</v>
      </c>
      <c r="G73" s="244">
        <v>5759000</v>
      </c>
      <c r="H73" s="244">
        <v>11269000</v>
      </c>
      <c r="I73" s="244">
        <v>20519000</v>
      </c>
      <c r="J73" s="244">
        <v>29799000</v>
      </c>
      <c r="K73" s="244">
        <v>1119000</v>
      </c>
      <c r="L73" s="244">
        <v>2109000</v>
      </c>
      <c r="M73" s="244">
        <v>4549000</v>
      </c>
      <c r="N73" s="244">
        <v>6769000</v>
      </c>
      <c r="O73" s="244">
        <v>729000</v>
      </c>
      <c r="P73" s="244">
        <v>1379000</v>
      </c>
      <c r="Q73" s="244">
        <v>3179000</v>
      </c>
      <c r="R73" s="244">
        <v>5839000</v>
      </c>
    </row>
    <row r="74" spans="2:18" ht="17.25" customHeight="1">
      <c r="B74" s="240">
        <v>70</v>
      </c>
      <c r="C74" s="244">
        <v>4679000</v>
      </c>
      <c r="D74" s="244">
        <v>9209000</v>
      </c>
      <c r="E74" s="244">
        <v>16759000</v>
      </c>
      <c r="F74" s="244">
        <v>24309000</v>
      </c>
      <c r="G74" s="244">
        <v>6219000</v>
      </c>
      <c r="H74" s="244">
        <v>12289000</v>
      </c>
      <c r="I74" s="244">
        <v>22379000</v>
      </c>
      <c r="J74" s="244">
        <v>32419000</v>
      </c>
      <c r="K74" s="244">
        <v>1409000</v>
      </c>
      <c r="L74" s="244">
        <v>2659000</v>
      </c>
      <c r="M74" s="244">
        <v>5719000</v>
      </c>
      <c r="N74" s="244">
        <v>8479000</v>
      </c>
      <c r="O74" s="244">
        <v>729000</v>
      </c>
      <c r="P74" s="244">
        <v>1379000</v>
      </c>
      <c r="Q74" s="244">
        <v>3179000</v>
      </c>
      <c r="R74" s="244">
        <v>5839000</v>
      </c>
    </row>
    <row r="75" spans="2:18" ht="17.25" customHeight="1">
      <c r="B75" s="240">
        <v>71</v>
      </c>
      <c r="C75" s="244">
        <v>4679000</v>
      </c>
      <c r="D75" s="244">
        <v>9209000</v>
      </c>
      <c r="E75" s="244">
        <v>16759000</v>
      </c>
      <c r="F75" s="244">
        <v>24309000</v>
      </c>
      <c r="G75" s="244">
        <v>6219000</v>
      </c>
      <c r="H75" s="244">
        <v>12289000</v>
      </c>
      <c r="I75" s="244">
        <v>22379000</v>
      </c>
      <c r="J75" s="244">
        <v>32419000</v>
      </c>
      <c r="K75" s="244">
        <v>1409000</v>
      </c>
      <c r="L75" s="244">
        <v>2659000</v>
      </c>
      <c r="M75" s="244">
        <v>5719000</v>
      </c>
      <c r="N75" s="244">
        <v>8479000</v>
      </c>
      <c r="O75" s="244">
        <v>729000</v>
      </c>
      <c r="P75" s="244">
        <v>1379000</v>
      </c>
      <c r="Q75" s="244">
        <v>3179000</v>
      </c>
      <c r="R75" s="244">
        <v>5839000</v>
      </c>
    </row>
    <row r="76" spans="2:18" ht="17.25" customHeight="1">
      <c r="B76" s="240">
        <v>72</v>
      </c>
      <c r="C76" s="244">
        <v>4679000</v>
      </c>
      <c r="D76" s="244">
        <v>9209000</v>
      </c>
      <c r="E76" s="244">
        <v>16759000</v>
      </c>
      <c r="F76" s="244">
        <v>24309000</v>
      </c>
      <c r="G76" s="244">
        <v>6219000</v>
      </c>
      <c r="H76" s="244">
        <v>12289000</v>
      </c>
      <c r="I76" s="244">
        <v>22379000</v>
      </c>
      <c r="J76" s="244">
        <v>32419000</v>
      </c>
      <c r="K76" s="244">
        <v>1409000</v>
      </c>
      <c r="L76" s="244">
        <v>2659000</v>
      </c>
      <c r="M76" s="244">
        <v>5719000</v>
      </c>
      <c r="N76" s="244">
        <v>8479000</v>
      </c>
      <c r="O76" s="244">
        <v>729000</v>
      </c>
      <c r="P76" s="244">
        <v>1379000</v>
      </c>
      <c r="Q76" s="244">
        <v>3179000</v>
      </c>
      <c r="R76" s="244">
        <v>5839000</v>
      </c>
    </row>
    <row r="77" spans="2:18" ht="17.25" customHeight="1">
      <c r="B77" s="240">
        <v>73</v>
      </c>
      <c r="C77" s="244">
        <v>4679000</v>
      </c>
      <c r="D77" s="244">
        <v>9209000</v>
      </c>
      <c r="E77" s="244">
        <v>16759000</v>
      </c>
      <c r="F77" s="244">
        <v>24309000</v>
      </c>
      <c r="G77" s="244">
        <v>6219000</v>
      </c>
      <c r="H77" s="244">
        <v>12289000</v>
      </c>
      <c r="I77" s="244">
        <v>22379000</v>
      </c>
      <c r="J77" s="244">
        <v>32419000</v>
      </c>
      <c r="K77" s="244">
        <v>1409000</v>
      </c>
      <c r="L77" s="244">
        <v>2659000</v>
      </c>
      <c r="M77" s="244">
        <v>5719000</v>
      </c>
      <c r="N77" s="244">
        <v>8479000</v>
      </c>
      <c r="O77" s="244">
        <v>729000</v>
      </c>
      <c r="P77" s="244">
        <v>1379000</v>
      </c>
      <c r="Q77" s="244">
        <v>3179000</v>
      </c>
      <c r="R77" s="244">
        <v>5839000</v>
      </c>
    </row>
    <row r="78" spans="2:18" ht="15.5">
      <c r="B78" s="240">
        <v>74</v>
      </c>
      <c r="C78" s="244">
        <v>4679000</v>
      </c>
      <c r="D78" s="244">
        <v>9209000</v>
      </c>
      <c r="E78" s="244">
        <v>16759000</v>
      </c>
      <c r="F78" s="244">
        <v>24309000</v>
      </c>
      <c r="G78" s="244">
        <v>6219000</v>
      </c>
      <c r="H78" s="244">
        <v>12289000</v>
      </c>
      <c r="I78" s="244">
        <v>22379000</v>
      </c>
      <c r="J78" s="244">
        <v>32419000</v>
      </c>
      <c r="K78" s="244">
        <v>1409000</v>
      </c>
      <c r="L78" s="244">
        <v>2659000</v>
      </c>
      <c r="M78" s="244">
        <v>5719000</v>
      </c>
      <c r="N78" s="244">
        <v>8479000</v>
      </c>
      <c r="O78" s="244">
        <v>729000</v>
      </c>
      <c r="P78" s="244">
        <v>1379000</v>
      </c>
      <c r="Q78" s="244">
        <v>3179000</v>
      </c>
      <c r="R78" s="244">
        <v>5839000</v>
      </c>
    </row>
  </sheetData>
  <mergeCells count="5">
    <mergeCell ref="B2:B3"/>
    <mergeCell ref="C2:F2"/>
    <mergeCell ref="G2:J2"/>
    <mergeCell ref="K2:N2"/>
    <mergeCell ref="O2:R2"/>
  </mergeCells>
  <pageMargins left="0.7" right="0.7" top="0.75" bottom="0.75" header="0.3" footer="0.3"/>
  <drawing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ED8F74-DD64-46C1-B4E4-5C68F274C763}">
  <dimension ref="B1:P23"/>
  <sheetViews>
    <sheetView showGridLines="0" zoomScale="85" zoomScaleNormal="85" workbookViewId="0">
      <selection activeCell="G4" sqref="G4"/>
    </sheetView>
  </sheetViews>
  <sheetFormatPr defaultColWidth="9.296875" defaultRowHeight="15.5"/>
  <cols>
    <col min="1" max="1" width="1.796875" style="354" customWidth="1"/>
    <col min="2" max="3" width="6" style="354" customWidth="1"/>
    <col min="4" max="4" width="12.5" style="354" customWidth="1"/>
    <col min="5" max="5" width="13.5" style="354" customWidth="1"/>
    <col min="6" max="6" width="15.19921875" style="354" customWidth="1"/>
    <col min="7" max="7" width="14.5" style="354" customWidth="1"/>
    <col min="8" max="8" width="11.5" style="354" customWidth="1"/>
    <col min="9" max="9" width="12.69921875" style="354" customWidth="1"/>
    <col min="10" max="10" width="11.69921875" style="354" customWidth="1"/>
    <col min="11" max="11" width="20.5" style="354" customWidth="1"/>
    <col min="12" max="12" width="18.796875" style="354" customWidth="1"/>
    <col min="13" max="13" width="15" style="354" customWidth="1"/>
    <col min="14" max="14" width="10.796875" style="354" customWidth="1"/>
    <col min="15" max="16" width="17.69921875" style="354" customWidth="1"/>
    <col min="17" max="16384" width="9.296875" style="354"/>
  </cols>
  <sheetData>
    <row r="1" spans="2:16" ht="15.75" customHeight="1">
      <c r="B1" s="1009" t="s">
        <v>741</v>
      </c>
      <c r="C1" s="1009"/>
      <c r="D1" s="1009"/>
      <c r="E1" s="1009"/>
      <c r="F1" s="1009"/>
      <c r="G1" s="1009"/>
      <c r="H1" s="1009"/>
      <c r="I1" s="1009"/>
      <c r="J1" s="1009"/>
      <c r="K1" s="1009"/>
      <c r="L1" s="1009"/>
      <c r="M1" s="1009"/>
      <c r="N1" s="1009"/>
      <c r="O1" s="1009"/>
      <c r="P1" s="353" t="s">
        <v>712</v>
      </c>
    </row>
    <row r="2" spans="2:16" ht="20.25" customHeight="1">
      <c r="B2" s="969" t="s">
        <v>670</v>
      </c>
      <c r="C2" s="969" t="s">
        <v>842</v>
      </c>
      <c r="D2" s="970" t="s">
        <v>735</v>
      </c>
      <c r="E2" s="971"/>
      <c r="F2" s="972"/>
      <c r="G2" s="973" t="s">
        <v>736</v>
      </c>
      <c r="H2" s="969" t="s">
        <v>725</v>
      </c>
      <c r="I2" s="969"/>
      <c r="J2" s="969"/>
      <c r="K2" s="969" t="s">
        <v>737</v>
      </c>
      <c r="L2" s="969"/>
      <c r="M2" s="969"/>
      <c r="N2" s="973" t="s">
        <v>726</v>
      </c>
      <c r="O2" s="970" t="s">
        <v>738</v>
      </c>
      <c r="P2" s="972"/>
    </row>
    <row r="3" spans="2:16" ht="33.75" customHeight="1">
      <c r="B3" s="969"/>
      <c r="C3" s="969"/>
      <c r="D3" s="355" t="s">
        <v>727</v>
      </c>
      <c r="E3" s="355" t="s">
        <v>728</v>
      </c>
      <c r="F3" s="355" t="s">
        <v>729</v>
      </c>
      <c r="G3" s="974"/>
      <c r="H3" s="355" t="s">
        <v>727</v>
      </c>
      <c r="I3" s="355" t="s">
        <v>728</v>
      </c>
      <c r="J3" s="355" t="s">
        <v>730</v>
      </c>
      <c r="K3" s="355" t="s">
        <v>731</v>
      </c>
      <c r="L3" s="355" t="s">
        <v>732</v>
      </c>
      <c r="M3" s="355" t="s">
        <v>733</v>
      </c>
      <c r="N3" s="974"/>
      <c r="O3" s="355" t="s">
        <v>739</v>
      </c>
      <c r="P3" s="355" t="s">
        <v>740</v>
      </c>
    </row>
    <row r="4" spans="2:16" ht="12.75" customHeight="1">
      <c r="B4" s="356">
        <v>1</v>
      </c>
      <c r="C4" s="356">
        <f>KBAGTTKcamket!C7</f>
        <v>1</v>
      </c>
      <c r="D4" s="357">
        <f>KBAGTTKcamket!E7</f>
        <v>10000</v>
      </c>
      <c r="E4" s="358">
        <v>0</v>
      </c>
      <c r="F4" s="358">
        <f>D4+E4</f>
        <v>10000</v>
      </c>
      <c r="G4" s="358">
        <f ca="1">VTLPhi!G4</f>
        <v>6571</v>
      </c>
      <c r="H4" s="358">
        <f>D4*50%</f>
        <v>5000</v>
      </c>
      <c r="I4" s="358">
        <f>E4*1.5%</f>
        <v>0</v>
      </c>
      <c r="J4" s="358">
        <f>H4+I4</f>
        <v>5000</v>
      </c>
      <c r="K4" s="358">
        <f t="shared" ref="K4:K23" si="0">D4-H4</f>
        <v>5000</v>
      </c>
      <c r="L4" s="358">
        <f t="shared" ref="L4:L23" si="1">E4-I4</f>
        <v>0</v>
      </c>
      <c r="M4" s="358">
        <f>K4+L4</f>
        <v>5000</v>
      </c>
      <c r="N4" s="358">
        <f ca="1">VLOOKUP(B4,KBA20namMH!B4:Q243,15,0)</f>
        <v>480</v>
      </c>
      <c r="O4" s="358">
        <f ca="1">VLOOKUP(B4,KBA20namcamket!$B$4:$Q$258,13,0)</f>
        <v>1394.1057395550015</v>
      </c>
      <c r="P4" s="358">
        <f ca="1">VLOOKUP(B4,KBA20namMH!B4:Q243,13,0)</f>
        <v>1394.0756181447107</v>
      </c>
    </row>
    <row r="5" spans="2:16" ht="12.75" customHeight="1">
      <c r="B5" s="356">
        <v>2</v>
      </c>
      <c r="C5" s="356">
        <f>KBAGTTKcamket!C8</f>
        <v>2</v>
      </c>
      <c r="D5" s="357">
        <f>KBAGTTKcamket!E8</f>
        <v>10000</v>
      </c>
      <c r="E5" s="358">
        <f>E4</f>
        <v>0</v>
      </c>
      <c r="F5" s="358">
        <f t="shared" ref="F5:F23" si="2">D5+E5</f>
        <v>10000</v>
      </c>
      <c r="G5" s="358">
        <f ca="1">VTLPhi!G5</f>
        <v>6571</v>
      </c>
      <c r="H5" s="358">
        <f>D5*30%</f>
        <v>3000</v>
      </c>
      <c r="I5" s="358">
        <f t="shared" ref="I5:I8" si="3">E5*1.5%</f>
        <v>0</v>
      </c>
      <c r="J5" s="358">
        <f t="shared" ref="J5:J23" si="4">H5+I5</f>
        <v>3000</v>
      </c>
      <c r="K5" s="358">
        <f t="shared" si="0"/>
        <v>7000</v>
      </c>
      <c r="L5" s="358">
        <f t="shared" si="1"/>
        <v>0</v>
      </c>
      <c r="M5" s="358">
        <f t="shared" ref="M5:M23" si="5">K5+L5</f>
        <v>7000</v>
      </c>
      <c r="N5" s="358">
        <f ca="1">VLOOKUP(B5,KBA20namMH!B5:Q244,15,0)</f>
        <v>480</v>
      </c>
      <c r="O5" s="358">
        <f ca="1">VLOOKUP(B5,KBA20namcamket!B5:Q259,13,0)</f>
        <v>1498.3348686435668</v>
      </c>
      <c r="P5" s="358">
        <f ca="1">VLOOKUP(B5,KBA20namMH!B5:Q244,13,0)</f>
        <v>1498.170543503385</v>
      </c>
    </row>
    <row r="6" spans="2:16" ht="12.75" customHeight="1">
      <c r="B6" s="356">
        <v>3</v>
      </c>
      <c r="C6" s="356">
        <f>KBAGTTKcamket!C9</f>
        <v>3</v>
      </c>
      <c r="D6" s="357">
        <f>KBAGTTKcamket!E9</f>
        <v>10000</v>
      </c>
      <c r="E6" s="358">
        <f t="shared" ref="E6:E21" si="6">E5</f>
        <v>0</v>
      </c>
      <c r="F6" s="358">
        <f t="shared" si="2"/>
        <v>10000</v>
      </c>
      <c r="G6" s="358">
        <f ca="1">VTLPhi!G6</f>
        <v>6571</v>
      </c>
      <c r="H6" s="358">
        <f>D6*20%</f>
        <v>2000</v>
      </c>
      <c r="I6" s="358">
        <f t="shared" si="3"/>
        <v>0</v>
      </c>
      <c r="J6" s="358">
        <f t="shared" si="4"/>
        <v>2000</v>
      </c>
      <c r="K6" s="358">
        <f t="shared" si="0"/>
        <v>8000</v>
      </c>
      <c r="L6" s="358">
        <f t="shared" si="1"/>
        <v>0</v>
      </c>
      <c r="M6" s="358">
        <f t="shared" si="5"/>
        <v>8000</v>
      </c>
      <c r="N6" s="358">
        <f ca="1">VLOOKUP(B6,KBA20namMH!B6:Q245,15,0)</f>
        <v>480</v>
      </c>
      <c r="O6" s="358">
        <f ca="1">VLOOKUP(B6,KBA20namcamket!B6:Q260,13,0)</f>
        <v>1621.9389961368297</v>
      </c>
      <c r="P6" s="358">
        <f ca="1">VLOOKUP(B6,KBA20namMH!B6:Q245,13,0)</f>
        <v>1621.4720874969046</v>
      </c>
    </row>
    <row r="7" spans="2:16" ht="12.75" customHeight="1">
      <c r="B7" s="356">
        <v>4</v>
      </c>
      <c r="C7" s="356">
        <f>KBAGTTKcamket!C10</f>
        <v>4</v>
      </c>
      <c r="D7" s="357">
        <f>KBAGTTKcamket!E10</f>
        <v>10000</v>
      </c>
      <c r="E7" s="358">
        <f t="shared" si="6"/>
        <v>0</v>
      </c>
      <c r="F7" s="358">
        <f t="shared" si="2"/>
        <v>10000</v>
      </c>
      <c r="G7" s="358">
        <f ca="1">VTLPhi!G7</f>
        <v>6571</v>
      </c>
      <c r="H7" s="358">
        <f>D7*20%</f>
        <v>2000</v>
      </c>
      <c r="I7" s="358">
        <f t="shared" si="3"/>
        <v>0</v>
      </c>
      <c r="J7" s="358">
        <f t="shared" si="4"/>
        <v>2000</v>
      </c>
      <c r="K7" s="358">
        <f t="shared" si="0"/>
        <v>8000</v>
      </c>
      <c r="L7" s="358">
        <f t="shared" si="1"/>
        <v>0</v>
      </c>
      <c r="M7" s="358">
        <f t="shared" si="5"/>
        <v>8000</v>
      </c>
      <c r="N7" s="358">
        <f ca="1">VLOOKUP(B7,KBA20namMH!B7:Q246,15,0)</f>
        <v>540</v>
      </c>
      <c r="O7" s="358">
        <f ca="1">VLOOKUP(B7,KBA20namcamket!B7:Q261,13,0)</f>
        <v>1759.5436555403739</v>
      </c>
      <c r="P7" s="358">
        <f ca="1">VLOOKUP(B7,KBA20namMH!B7:Q246,13,0)</f>
        <v>1758.4201564715138</v>
      </c>
    </row>
    <row r="8" spans="2:16" ht="12.75" customHeight="1">
      <c r="B8" s="356">
        <v>5</v>
      </c>
      <c r="C8" s="356">
        <f>KBAGTTKcamket!C11</f>
        <v>5</v>
      </c>
      <c r="D8" s="357">
        <f>KBAGTTKcamket!E11</f>
        <v>10000</v>
      </c>
      <c r="E8" s="358">
        <f t="shared" si="6"/>
        <v>0</v>
      </c>
      <c r="F8" s="358">
        <f t="shared" si="2"/>
        <v>10000</v>
      </c>
      <c r="G8" s="358">
        <f ca="1">VTLPhi!G8</f>
        <v>6571</v>
      </c>
      <c r="H8" s="358">
        <f>D8*20%</f>
        <v>2000</v>
      </c>
      <c r="I8" s="358">
        <f t="shared" si="3"/>
        <v>0</v>
      </c>
      <c r="J8" s="358">
        <f t="shared" si="4"/>
        <v>2000</v>
      </c>
      <c r="K8" s="358">
        <f t="shared" si="0"/>
        <v>8000</v>
      </c>
      <c r="L8" s="358">
        <f t="shared" si="1"/>
        <v>0</v>
      </c>
      <c r="M8" s="358">
        <f t="shared" si="5"/>
        <v>8000</v>
      </c>
      <c r="N8" s="358">
        <f ca="1">VLOOKUP(B8,KBA20namMH!B8:Q247,15,0)</f>
        <v>600</v>
      </c>
      <c r="O8" s="358">
        <f ca="1">VLOOKUP(B8,KBA20namcamket!B8:Q262,13,0)</f>
        <v>1921.8174197353712</v>
      </c>
      <c r="P8" s="358">
        <f ca="1">VLOOKUP(B8,KBA20namMH!B8:Q247,13,0)</f>
        <v>1919.5373614667351</v>
      </c>
    </row>
    <row r="9" spans="2:16" ht="12.75" customHeight="1">
      <c r="B9" s="356">
        <v>6</v>
      </c>
      <c r="C9" s="356">
        <f>KBAGTTKcamket!C12</f>
        <v>6</v>
      </c>
      <c r="D9" s="357">
        <f>KBAGTTKcamket!E12</f>
        <v>10000</v>
      </c>
      <c r="E9" s="358">
        <f t="shared" si="6"/>
        <v>0</v>
      </c>
      <c r="F9" s="358">
        <f t="shared" si="2"/>
        <v>10000</v>
      </c>
      <c r="G9" s="358">
        <f ca="1">VTLPhi!G9</f>
        <v>7495</v>
      </c>
      <c r="H9" s="358">
        <f>D9*2%</f>
        <v>200</v>
      </c>
      <c r="I9" s="358">
        <f>E9*1%</f>
        <v>0</v>
      </c>
      <c r="J9" s="358">
        <f t="shared" si="4"/>
        <v>200</v>
      </c>
      <c r="K9" s="358">
        <f t="shared" si="0"/>
        <v>9800</v>
      </c>
      <c r="L9" s="358">
        <f t="shared" si="1"/>
        <v>0</v>
      </c>
      <c r="M9" s="358">
        <f t="shared" si="5"/>
        <v>9800</v>
      </c>
      <c r="N9" s="358">
        <f ca="1">VLOOKUP(B9,KBA20namMH!B9:Q248,15,0)</f>
        <v>600</v>
      </c>
      <c r="O9" s="358">
        <f ca="1">VLOOKUP(B9,KBA20namcamket!B9:Q263,13,0)</f>
        <v>2107.1593700782928</v>
      </c>
      <c r="P9" s="358">
        <f ca="1">VLOOKUP(B9,KBA20namMH!B9:Q248,13,0)</f>
        <v>2103.0711043332226</v>
      </c>
    </row>
    <row r="10" spans="2:16" ht="12.75" customHeight="1">
      <c r="B10" s="356">
        <v>7</v>
      </c>
      <c r="C10" s="356">
        <f>KBAGTTKcamket!C13</f>
        <v>7</v>
      </c>
      <c r="D10" s="357">
        <f>KBAGTTKcamket!E13</f>
        <v>10000</v>
      </c>
      <c r="E10" s="358">
        <f t="shared" si="6"/>
        <v>0</v>
      </c>
      <c r="F10" s="358">
        <f t="shared" si="2"/>
        <v>10000</v>
      </c>
      <c r="G10" s="358">
        <f ca="1">VTLPhi!G10</f>
        <v>7495</v>
      </c>
      <c r="H10" s="358">
        <f>D10*2%</f>
        <v>200</v>
      </c>
      <c r="I10" s="358">
        <f t="shared" ref="I10:I13" si="7">E10*1%</f>
        <v>0</v>
      </c>
      <c r="J10" s="358">
        <f t="shared" si="4"/>
        <v>200</v>
      </c>
      <c r="K10" s="358">
        <f t="shared" si="0"/>
        <v>9800</v>
      </c>
      <c r="L10" s="358">
        <f t="shared" si="1"/>
        <v>0</v>
      </c>
      <c r="M10" s="358">
        <f t="shared" si="5"/>
        <v>9800</v>
      </c>
      <c r="N10" s="358">
        <f ca="1">VLOOKUP(B10,KBA20namMH!B10:Q249,15,0)</f>
        <v>600</v>
      </c>
      <c r="O10" s="358">
        <f ca="1">VLOOKUP(B10,KBA20namcamket!B10:Q264,13,0)</f>
        <v>2330.990232356588</v>
      </c>
      <c r="P10" s="358">
        <f ca="1">VLOOKUP(B10,KBA20namMH!B10:Q249,13,0)</f>
        <v>2324.147762575773</v>
      </c>
    </row>
    <row r="11" spans="2:16" ht="12.75" customHeight="1">
      <c r="B11" s="356">
        <v>8</v>
      </c>
      <c r="C11" s="356">
        <f>KBAGTTKcamket!C14</f>
        <v>8</v>
      </c>
      <c r="D11" s="357">
        <f>KBAGTTKcamket!E14</f>
        <v>10000</v>
      </c>
      <c r="E11" s="358">
        <f t="shared" si="6"/>
        <v>0</v>
      </c>
      <c r="F11" s="358">
        <f t="shared" si="2"/>
        <v>10000</v>
      </c>
      <c r="G11" s="358">
        <f ca="1">VTLPhi!G11</f>
        <v>7495</v>
      </c>
      <c r="H11" s="358">
        <f>D11*2%</f>
        <v>200</v>
      </c>
      <c r="I11" s="358">
        <f t="shared" si="7"/>
        <v>0</v>
      </c>
      <c r="J11" s="358">
        <f t="shared" si="4"/>
        <v>200</v>
      </c>
      <c r="K11" s="358">
        <f t="shared" si="0"/>
        <v>9800</v>
      </c>
      <c r="L11" s="358">
        <f t="shared" si="1"/>
        <v>0</v>
      </c>
      <c r="M11" s="358">
        <f t="shared" si="5"/>
        <v>9800</v>
      </c>
      <c r="N11" s="358">
        <f ca="1">VLOOKUP(B11,KBA20namMH!B11:Q250,15,0)</f>
        <v>600</v>
      </c>
      <c r="O11" s="358">
        <f ca="1">VLOOKUP(B11,KBA20namcamket!B11:Q265,13,0)</f>
        <v>2585.9411281454782</v>
      </c>
      <c r="P11" s="358">
        <f ca="1">VLOOKUP(B11,KBA20namMH!B11:Q250,13,0)</f>
        <v>2575.3371202569206</v>
      </c>
    </row>
    <row r="12" spans="2:16" ht="12.75" customHeight="1">
      <c r="B12" s="356">
        <v>9</v>
      </c>
      <c r="C12" s="356">
        <f>KBAGTTKcamket!C15</f>
        <v>9</v>
      </c>
      <c r="D12" s="357">
        <f>KBAGTTKcamket!E15</f>
        <v>10000</v>
      </c>
      <c r="E12" s="358">
        <f t="shared" si="6"/>
        <v>0</v>
      </c>
      <c r="F12" s="358">
        <f t="shared" si="2"/>
        <v>10000</v>
      </c>
      <c r="G12" s="358">
        <f ca="1">VTLPhi!G12</f>
        <v>7495</v>
      </c>
      <c r="H12" s="358">
        <f>D12*2%</f>
        <v>200</v>
      </c>
      <c r="I12" s="358">
        <f t="shared" si="7"/>
        <v>0</v>
      </c>
      <c r="J12" s="358">
        <f t="shared" si="4"/>
        <v>200</v>
      </c>
      <c r="K12" s="358">
        <f t="shared" si="0"/>
        <v>9800</v>
      </c>
      <c r="L12" s="358">
        <f t="shared" si="1"/>
        <v>0</v>
      </c>
      <c r="M12" s="358">
        <f t="shared" si="5"/>
        <v>9800</v>
      </c>
      <c r="N12" s="358">
        <f ca="1">VLOOKUP(B12,KBA20namMH!B12:Q251,15,0)</f>
        <v>660</v>
      </c>
      <c r="O12" s="358">
        <f ca="1">VLOOKUP(B12,KBA20namcamket!B12:Q266,13,0)</f>
        <v>2874.189528488263</v>
      </c>
      <c r="P12" s="358">
        <f ca="1">VLOOKUP(B12,KBA20namMH!B12:Q251,13,0)</f>
        <v>2858.5905510320231</v>
      </c>
    </row>
    <row r="13" spans="2:16" ht="12.75" customHeight="1">
      <c r="B13" s="356">
        <v>10</v>
      </c>
      <c r="C13" s="356">
        <f>KBAGTTKcamket!C16</f>
        <v>10</v>
      </c>
      <c r="D13" s="357">
        <f>KBAGTTKcamket!E16</f>
        <v>10000</v>
      </c>
      <c r="E13" s="358">
        <f t="shared" si="6"/>
        <v>0</v>
      </c>
      <c r="F13" s="358">
        <f t="shared" si="2"/>
        <v>10000</v>
      </c>
      <c r="G13" s="358">
        <f ca="1">VTLPhi!G13</f>
        <v>7495</v>
      </c>
      <c r="H13" s="358">
        <f>D13*2%</f>
        <v>200</v>
      </c>
      <c r="I13" s="358">
        <f t="shared" si="7"/>
        <v>0</v>
      </c>
      <c r="J13" s="358">
        <f t="shared" si="4"/>
        <v>200</v>
      </c>
      <c r="K13" s="358">
        <f t="shared" si="0"/>
        <v>9800</v>
      </c>
      <c r="L13" s="358">
        <f t="shared" si="1"/>
        <v>0</v>
      </c>
      <c r="M13" s="358">
        <f t="shared" si="5"/>
        <v>9800</v>
      </c>
      <c r="N13" s="358">
        <f ca="1">VLOOKUP(B13,KBA20namMH!B13:Q252,15,0)</f>
        <v>720</v>
      </c>
      <c r="O13" s="358">
        <f ca="1">VLOOKUP(B13,KBA20namcamket!B13:Q267,13,0)</f>
        <v>3209.1926673569669</v>
      </c>
      <c r="P13" s="358">
        <f ca="1">VLOOKUP(B13,KBA20namMH!B13:Q252,13,0)</f>
        <v>3187.0310474439584</v>
      </c>
    </row>
    <row r="14" spans="2:16" ht="12.75" customHeight="1">
      <c r="B14" s="356">
        <v>11</v>
      </c>
      <c r="C14" s="356">
        <f>KBAGTTKcamket!C17</f>
        <v>11</v>
      </c>
      <c r="D14" s="357">
        <f>KBAGTTKcamket!E17</f>
        <v>10000</v>
      </c>
      <c r="E14" s="358">
        <f t="shared" si="6"/>
        <v>0</v>
      </c>
      <c r="F14" s="358">
        <f t="shared" si="2"/>
        <v>10000</v>
      </c>
      <c r="G14" s="358">
        <f ca="1">VTLPhi!G14</f>
        <v>8533</v>
      </c>
      <c r="H14" s="358">
        <f>D14*0%</f>
        <v>0</v>
      </c>
      <c r="I14" s="358">
        <f>E14*0%</f>
        <v>0</v>
      </c>
      <c r="J14" s="358">
        <f t="shared" si="4"/>
        <v>0</v>
      </c>
      <c r="K14" s="358">
        <f t="shared" si="0"/>
        <v>10000</v>
      </c>
      <c r="L14" s="358">
        <f t="shared" si="1"/>
        <v>0</v>
      </c>
      <c r="M14" s="358">
        <f t="shared" si="5"/>
        <v>10000</v>
      </c>
      <c r="N14" s="358">
        <f ca="1">VLOOKUP(B14,KBA20namMH!B14:Q253,15,0)</f>
        <v>720</v>
      </c>
      <c r="O14" s="358">
        <f ca="1">VLOOKUP(B14,KBA20namcamket!B14:Q268,13,0)</f>
        <v>3594.0439464380011</v>
      </c>
      <c r="P14" s="358">
        <f ca="1">VLOOKUP(B14,KBA20namMH!B14:Q253,13,0)</f>
        <v>3562.9646675959821</v>
      </c>
    </row>
    <row r="15" spans="2:16" ht="12.75" customHeight="1">
      <c r="B15" s="356">
        <v>12</v>
      </c>
      <c r="C15" s="356">
        <f>KBAGTTKcamket!C18</f>
        <v>12</v>
      </c>
      <c r="D15" s="357">
        <f>KBAGTTKcamket!E18</f>
        <v>10000</v>
      </c>
      <c r="E15" s="358">
        <f t="shared" si="6"/>
        <v>0</v>
      </c>
      <c r="F15" s="358">
        <f t="shared" si="2"/>
        <v>10000</v>
      </c>
      <c r="G15" s="358">
        <f ca="1">VTLPhi!G15</f>
        <v>8533</v>
      </c>
      <c r="H15" s="358">
        <f t="shared" ref="H15:H23" si="8">D15*0%</f>
        <v>0</v>
      </c>
      <c r="I15" s="358">
        <f t="shared" ref="I15:I23" si="9">E15*0%</f>
        <v>0</v>
      </c>
      <c r="J15" s="358">
        <f t="shared" si="4"/>
        <v>0</v>
      </c>
      <c r="K15" s="358">
        <f t="shared" si="0"/>
        <v>10000</v>
      </c>
      <c r="L15" s="358">
        <f t="shared" si="1"/>
        <v>0</v>
      </c>
      <c r="M15" s="358">
        <f t="shared" si="5"/>
        <v>10000</v>
      </c>
      <c r="N15" s="358">
        <f ca="1">VLOOKUP(B15,KBA20namMH!B15:Q254,15,0)</f>
        <v>720</v>
      </c>
      <c r="O15" s="358">
        <f ca="1">VLOOKUP(B15,KBA20namcamket!B15:Q269,13,0)</f>
        <v>3884.0078448371692</v>
      </c>
      <c r="P15" s="358">
        <f ca="1">VLOOKUP(B15,KBA20namMH!B15:Q254,13,0)</f>
        <v>3841.1149328628762</v>
      </c>
    </row>
    <row r="16" spans="2:16" ht="12.75" customHeight="1">
      <c r="B16" s="356">
        <v>13</v>
      </c>
      <c r="C16" s="356">
        <f>KBAGTTKcamket!C19</f>
        <v>13</v>
      </c>
      <c r="D16" s="357">
        <f>KBAGTTKcamket!E19</f>
        <v>10000</v>
      </c>
      <c r="E16" s="358">
        <f t="shared" si="6"/>
        <v>0</v>
      </c>
      <c r="F16" s="358">
        <f t="shared" si="2"/>
        <v>10000</v>
      </c>
      <c r="G16" s="358">
        <f ca="1">VTLPhi!G16</f>
        <v>8533</v>
      </c>
      <c r="H16" s="358">
        <f t="shared" si="8"/>
        <v>0</v>
      </c>
      <c r="I16" s="358">
        <f t="shared" si="9"/>
        <v>0</v>
      </c>
      <c r="J16" s="358">
        <f t="shared" si="4"/>
        <v>0</v>
      </c>
      <c r="K16" s="358">
        <f t="shared" si="0"/>
        <v>10000</v>
      </c>
      <c r="L16" s="358">
        <f t="shared" si="1"/>
        <v>0</v>
      </c>
      <c r="M16" s="358">
        <f t="shared" si="5"/>
        <v>10000</v>
      </c>
      <c r="N16" s="358">
        <f ca="1">VLOOKUP(B16,KBA20namMH!B16:Q255,15,0)</f>
        <v>720</v>
      </c>
      <c r="O16" s="358">
        <f ca="1">VLOOKUP(B16,KBA20namcamket!B16:Q270,13,0)</f>
        <v>4194.4187964650109</v>
      </c>
      <c r="P16" s="358">
        <f ca="1">VLOOKUP(B16,KBA20namMH!B16:Q255,13,0)</f>
        <v>4136.776985237766</v>
      </c>
    </row>
    <row r="17" spans="2:16" ht="12.75" customHeight="1">
      <c r="B17" s="356">
        <v>14</v>
      </c>
      <c r="C17" s="356">
        <f>KBAGTTKcamket!C20</f>
        <v>14</v>
      </c>
      <c r="D17" s="357">
        <f>KBAGTTKcamket!E20</f>
        <v>10000</v>
      </c>
      <c r="E17" s="358">
        <f t="shared" si="6"/>
        <v>0</v>
      </c>
      <c r="F17" s="358">
        <f t="shared" si="2"/>
        <v>10000</v>
      </c>
      <c r="G17" s="358">
        <f ca="1">VTLPhi!G17</f>
        <v>8533</v>
      </c>
      <c r="H17" s="358">
        <f t="shared" si="8"/>
        <v>0</v>
      </c>
      <c r="I17" s="358">
        <f t="shared" si="9"/>
        <v>0</v>
      </c>
      <c r="J17" s="358">
        <f t="shared" si="4"/>
        <v>0</v>
      </c>
      <c r="K17" s="358">
        <f t="shared" si="0"/>
        <v>10000</v>
      </c>
      <c r="L17" s="358">
        <f t="shared" si="1"/>
        <v>0</v>
      </c>
      <c r="M17" s="358">
        <f t="shared" si="5"/>
        <v>10000</v>
      </c>
      <c r="N17" s="358">
        <f ca="1">VLOOKUP(B17,KBA20namMH!B17:Q256,15,0)</f>
        <v>720</v>
      </c>
      <c r="O17" s="358">
        <f ca="1">VLOOKUP(B17,KBA20namcamket!B17:Q271,13,0)</f>
        <v>4536.480970222733</v>
      </c>
      <c r="P17" s="358">
        <f ca="1">VLOOKUP(B17,KBA20namMH!B17:Q256,13,0)</f>
        <v>4460.4673468488481</v>
      </c>
    </row>
    <row r="18" spans="2:16" ht="12.75" customHeight="1">
      <c r="B18" s="356">
        <v>15</v>
      </c>
      <c r="C18" s="356">
        <f>KBAGTTKcamket!C21</f>
        <v>15</v>
      </c>
      <c r="D18" s="357">
        <f>KBAGTTKcamket!E21</f>
        <v>10000</v>
      </c>
      <c r="E18" s="358">
        <f t="shared" si="6"/>
        <v>0</v>
      </c>
      <c r="F18" s="358">
        <f t="shared" si="2"/>
        <v>10000</v>
      </c>
      <c r="G18" s="358">
        <f ca="1">VTLPhi!G18</f>
        <v>8533</v>
      </c>
      <c r="H18" s="358">
        <f t="shared" si="8"/>
        <v>0</v>
      </c>
      <c r="I18" s="358">
        <f t="shared" si="9"/>
        <v>0</v>
      </c>
      <c r="J18" s="358">
        <f t="shared" si="4"/>
        <v>0</v>
      </c>
      <c r="K18" s="358">
        <f t="shared" si="0"/>
        <v>10000</v>
      </c>
      <c r="L18" s="358">
        <f t="shared" si="1"/>
        <v>0</v>
      </c>
      <c r="M18" s="358">
        <f t="shared" si="5"/>
        <v>10000</v>
      </c>
      <c r="N18" s="358">
        <f ca="1">VLOOKUP(B18,KBA20namMH!B18:Q257,15,0)</f>
        <v>720</v>
      </c>
      <c r="O18" s="358">
        <f ca="1">VLOOKUP(B18,KBA20namcamket!B18:Q272,13,0)</f>
        <v>4898.8480631424472</v>
      </c>
      <c r="P18" s="358">
        <f ca="1">VLOOKUP(B18,KBA20namMH!B18:Q257,13,0)</f>
        <v>4800.4038165694974</v>
      </c>
    </row>
    <row r="19" spans="2:16" ht="12.75" customHeight="1">
      <c r="B19" s="356">
        <v>16</v>
      </c>
      <c r="C19" s="356">
        <f>KBAGTTKcamket!C22</f>
        <v>16</v>
      </c>
      <c r="D19" s="357">
        <f>KBAGTTKcamket!E22</f>
        <v>10000</v>
      </c>
      <c r="E19" s="358">
        <f t="shared" si="6"/>
        <v>0</v>
      </c>
      <c r="F19" s="358">
        <f t="shared" si="2"/>
        <v>10000</v>
      </c>
      <c r="G19" s="358">
        <f ca="1">VTLPhi!G19</f>
        <v>10469</v>
      </c>
      <c r="H19" s="358">
        <f t="shared" si="8"/>
        <v>0</v>
      </c>
      <c r="I19" s="358">
        <f t="shared" si="9"/>
        <v>0</v>
      </c>
      <c r="J19" s="358">
        <f t="shared" si="4"/>
        <v>0</v>
      </c>
      <c r="K19" s="358">
        <f t="shared" si="0"/>
        <v>10000</v>
      </c>
      <c r="L19" s="358">
        <f t="shared" si="1"/>
        <v>0</v>
      </c>
      <c r="M19" s="358">
        <f t="shared" si="5"/>
        <v>10000</v>
      </c>
      <c r="N19" s="358">
        <f ca="1">VLOOKUP(B19,KBA20namMH!B19:Q258,15,0)</f>
        <v>720</v>
      </c>
      <c r="O19" s="358">
        <f ca="1">VLOOKUP(B19,KBA20namcamket!B19:Q273,13,0)</f>
        <v>5282.4705467287986</v>
      </c>
      <c r="P19" s="358">
        <f ca="1">VLOOKUP(B19,KBA20namMH!B19:Q258,13,0)</f>
        <v>5156.0169098034667</v>
      </c>
    </row>
    <row r="20" spans="2:16" ht="12.75" customHeight="1">
      <c r="B20" s="356">
        <v>17</v>
      </c>
      <c r="C20" s="356">
        <f>KBAGTTKcamket!C23</f>
        <v>17</v>
      </c>
      <c r="D20" s="357">
        <f>KBAGTTKcamket!E23</f>
        <v>10000</v>
      </c>
      <c r="E20" s="358">
        <f t="shared" si="6"/>
        <v>0</v>
      </c>
      <c r="F20" s="358">
        <f t="shared" si="2"/>
        <v>10000</v>
      </c>
      <c r="G20" s="358">
        <f ca="1">VTLPhi!G20</f>
        <v>10469</v>
      </c>
      <c r="H20" s="358">
        <f t="shared" si="8"/>
        <v>0</v>
      </c>
      <c r="I20" s="358">
        <f t="shared" si="9"/>
        <v>0</v>
      </c>
      <c r="J20" s="358">
        <f t="shared" si="4"/>
        <v>0</v>
      </c>
      <c r="K20" s="358">
        <f t="shared" si="0"/>
        <v>10000</v>
      </c>
      <c r="L20" s="358">
        <f t="shared" si="1"/>
        <v>0</v>
      </c>
      <c r="M20" s="358">
        <f t="shared" si="5"/>
        <v>10000</v>
      </c>
      <c r="N20" s="358">
        <f ca="1">VLOOKUP(B20,KBA20namMH!B20:Q259,15,0)</f>
        <v>720</v>
      </c>
      <c r="O20" s="358">
        <f ca="1">VLOOKUP(B20,KBA20namcamket!B20:Q274,13,0)</f>
        <v>5699.0427886017624</v>
      </c>
      <c r="P20" s="358">
        <f ca="1">VLOOKUP(B20,KBA20namMH!B20:Q259,13,0)</f>
        <v>5537.5725452981851</v>
      </c>
    </row>
    <row r="21" spans="2:16" ht="12.75" customHeight="1">
      <c r="B21" s="356">
        <v>18</v>
      </c>
      <c r="C21" s="356">
        <f>KBAGTTKcamket!C24</f>
        <v>18</v>
      </c>
      <c r="D21" s="357">
        <f>KBAGTTKcamket!E24</f>
        <v>10000</v>
      </c>
      <c r="E21" s="358">
        <f t="shared" si="6"/>
        <v>0</v>
      </c>
      <c r="F21" s="358">
        <f t="shared" si="2"/>
        <v>10000</v>
      </c>
      <c r="G21" s="358">
        <f ca="1">VTLPhi!G21</f>
        <v>10469</v>
      </c>
      <c r="H21" s="358">
        <f t="shared" si="8"/>
        <v>0</v>
      </c>
      <c r="I21" s="358">
        <f t="shared" si="9"/>
        <v>0</v>
      </c>
      <c r="J21" s="358">
        <f t="shared" si="4"/>
        <v>0</v>
      </c>
      <c r="K21" s="358">
        <f t="shared" si="0"/>
        <v>10000</v>
      </c>
      <c r="L21" s="358">
        <f t="shared" si="1"/>
        <v>0</v>
      </c>
      <c r="M21" s="358">
        <f t="shared" si="5"/>
        <v>10000</v>
      </c>
      <c r="N21" s="358">
        <f ca="1">VLOOKUP(B21,KBA20namMH!B21:Q260,15,0)</f>
        <v>720</v>
      </c>
      <c r="O21" s="358">
        <f ca="1">VLOOKUP(B21,KBA20namcamket!B21:Q275,13,0)</f>
        <v>6136.6993113996359</v>
      </c>
      <c r="P21" s="358">
        <f ca="1">VLOOKUP(B21,KBA20namMH!B21:Q260,13,0)</f>
        <v>5933.5461909233654</v>
      </c>
    </row>
    <row r="22" spans="2:16" ht="12.75" customHeight="1">
      <c r="B22" s="356">
        <v>19</v>
      </c>
      <c r="C22" s="356">
        <f>KBAGTTKcamket!C25</f>
        <v>19</v>
      </c>
      <c r="D22" s="357">
        <f>KBAGTTKcamket!E25</f>
        <v>10000</v>
      </c>
      <c r="E22" s="358">
        <f t="shared" ref="E22:E23" si="10">E21</f>
        <v>0</v>
      </c>
      <c r="F22" s="358">
        <f t="shared" si="2"/>
        <v>10000</v>
      </c>
      <c r="G22" s="358">
        <f ca="1">VTLPhi!G22</f>
        <v>10469</v>
      </c>
      <c r="H22" s="358">
        <f t="shared" si="8"/>
        <v>0</v>
      </c>
      <c r="I22" s="358">
        <f t="shared" si="9"/>
        <v>0</v>
      </c>
      <c r="J22" s="358">
        <f t="shared" si="4"/>
        <v>0</v>
      </c>
      <c r="K22" s="358">
        <f t="shared" si="0"/>
        <v>10000</v>
      </c>
      <c r="L22" s="358">
        <f t="shared" si="1"/>
        <v>0</v>
      </c>
      <c r="M22" s="358">
        <f t="shared" si="5"/>
        <v>10000</v>
      </c>
      <c r="N22" s="358">
        <f ca="1">VLOOKUP(B22,KBA20namMH!B22:Q261,15,0)</f>
        <v>720</v>
      </c>
      <c r="O22" s="358">
        <f ca="1">VLOOKUP(B22,KBA20namcamket!B22:Q276,13,0)</f>
        <v>6606.8368539289122</v>
      </c>
      <c r="P22" s="358">
        <f ca="1">VLOOKUP(B22,KBA20namMH!B22:Q261,13,0)</f>
        <v>6354.0488133301551</v>
      </c>
    </row>
    <row r="23" spans="2:16" ht="12.75" customHeight="1">
      <c r="B23" s="356">
        <v>20</v>
      </c>
      <c r="C23" s="356">
        <f>KBAGTTKcamket!C26</f>
        <v>20</v>
      </c>
      <c r="D23" s="357">
        <f>KBAGTTKcamket!E26</f>
        <v>10000</v>
      </c>
      <c r="E23" s="358">
        <f t="shared" si="10"/>
        <v>0</v>
      </c>
      <c r="F23" s="358">
        <f t="shared" si="2"/>
        <v>10000</v>
      </c>
      <c r="G23" s="358">
        <f ca="1">VTLPhi!G23</f>
        <v>10469</v>
      </c>
      <c r="H23" s="358">
        <f t="shared" si="8"/>
        <v>0</v>
      </c>
      <c r="I23" s="358">
        <f t="shared" si="9"/>
        <v>0</v>
      </c>
      <c r="J23" s="358">
        <f t="shared" si="4"/>
        <v>0</v>
      </c>
      <c r="K23" s="358">
        <f t="shared" si="0"/>
        <v>10000</v>
      </c>
      <c r="L23" s="358">
        <f t="shared" si="1"/>
        <v>0</v>
      </c>
      <c r="M23" s="358">
        <f t="shared" si="5"/>
        <v>10000</v>
      </c>
      <c r="N23" s="358">
        <f ca="1">VLOOKUP(B23,KBA20namMH!B23:Q262,15,0)</f>
        <v>720</v>
      </c>
      <c r="O23" s="358">
        <f ca="1">VLOOKUP(B23,KBA20namcamket!B23:Q277,13,0)</f>
        <v>7131.9511712525191</v>
      </c>
      <c r="P23" s="358">
        <f ca="1">VLOOKUP(B23,KBA20namMH!B23:Q262,13,0)</f>
        <v>6819.4951677864847</v>
      </c>
    </row>
  </sheetData>
  <mergeCells count="9">
    <mergeCell ref="B1:O1"/>
    <mergeCell ref="B2:B3"/>
    <mergeCell ref="D2:F2"/>
    <mergeCell ref="G2:G3"/>
    <mergeCell ref="H2:J2"/>
    <mergeCell ref="K2:M2"/>
    <mergeCell ref="N2:N3"/>
    <mergeCell ref="O2:P2"/>
    <mergeCell ref="C2:C3"/>
  </mergeCells>
  <conditionalFormatting sqref="B4:P23">
    <cfRule type="expression" dxfId="135" priority="1">
      <formula>MOD(ROW(),2)&gt;0</formula>
    </cfRule>
    <cfRule type="expression" dxfId="134" priority="2">
      <formula>"mod(row(),2).0"</formula>
    </cfRule>
  </conditionalFormatting>
  <pageMargins left="0.7" right="0.7" top="0.75" bottom="0.75" header="0.3" footer="0.3"/>
  <drawing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A38A4-B2BA-47C1-8EF8-23D85AC8B9FD}">
  <dimension ref="B1:W243"/>
  <sheetViews>
    <sheetView showGridLines="0" zoomScaleNormal="100" workbookViewId="0">
      <pane ySplit="3" topLeftCell="A4" activePane="bottomLeft" state="frozen"/>
      <selection pane="bottomLeft"/>
    </sheetView>
  </sheetViews>
  <sheetFormatPr defaultColWidth="7.796875" defaultRowHeight="9.75" customHeight="1"/>
  <cols>
    <col min="1" max="1" width="2.19921875" style="277" customWidth="1"/>
    <col min="2" max="2" width="5.796875" style="270" customWidth="1"/>
    <col min="3" max="3" width="6.796875" style="270" customWidth="1"/>
    <col min="4" max="4" width="9.19921875" style="270" customWidth="1"/>
    <col min="5" max="5" width="14.296875" style="271" customWidth="1"/>
    <col min="6" max="6" width="11.5" style="299" customWidth="1"/>
    <col min="7" max="7" width="13.796875" style="272" customWidth="1"/>
    <col min="8" max="8" width="14.796875" style="271" customWidth="1"/>
    <col min="9" max="9" width="17.296875" style="273" customWidth="1"/>
    <col min="10" max="10" width="15.796875" style="300" customWidth="1"/>
    <col min="11" max="11" width="2.19921875" style="318" hidden="1" customWidth="1"/>
    <col min="12" max="12" width="2.69921875" style="318" hidden="1" customWidth="1"/>
    <col min="13" max="13" width="8.19921875" style="319" hidden="1" customWidth="1"/>
    <col min="14" max="15" width="0" style="298" hidden="1" customWidth="1"/>
    <col min="16" max="23" width="8.19921875" style="277" hidden="1" customWidth="1"/>
    <col min="24" max="16384" width="7.796875" style="277"/>
  </cols>
  <sheetData>
    <row r="1" spans="2:23" ht="9.75" customHeight="1">
      <c r="F1" s="271"/>
      <c r="J1" s="274" t="s">
        <v>681</v>
      </c>
      <c r="N1" s="275" t="s">
        <v>682</v>
      </c>
      <c r="O1" s="275" t="s">
        <v>683</v>
      </c>
      <c r="P1" s="276">
        <v>1</v>
      </c>
      <c r="Q1" s="276">
        <v>2</v>
      </c>
      <c r="R1" s="314">
        <v>3</v>
      </c>
      <c r="S1" s="314">
        <v>4</v>
      </c>
      <c r="T1" s="314">
        <v>5</v>
      </c>
      <c r="U1" s="322" t="s">
        <v>682</v>
      </c>
      <c r="V1" s="322" t="s">
        <v>702</v>
      </c>
      <c r="W1" s="314" t="s">
        <v>703</v>
      </c>
    </row>
    <row r="2" spans="2:23" ht="12" customHeight="1">
      <c r="B2" s="1042" t="s">
        <v>713</v>
      </c>
      <c r="C2" s="1042"/>
      <c r="D2" s="1042"/>
      <c r="E2" s="1042"/>
      <c r="F2" s="1042"/>
      <c r="G2" s="1042"/>
      <c r="H2" s="1042"/>
      <c r="I2" s="326">
        <f>KBAGTTKMH!M2</f>
        <v>4.5999999999999999E-2</v>
      </c>
      <c r="J2" s="274"/>
      <c r="N2" s="278">
        <v>0.02</v>
      </c>
      <c r="O2" s="279">
        <v>0.01</v>
      </c>
      <c r="P2" s="315">
        <f>KBAGTTKMH!M2</f>
        <v>4.5999999999999999E-2</v>
      </c>
      <c r="Q2" s="315">
        <f>P2</f>
        <v>4.5999999999999999E-2</v>
      </c>
      <c r="R2" s="315">
        <f t="shared" ref="R2:W2" si="0">Q2</f>
        <v>4.5999999999999999E-2</v>
      </c>
      <c r="S2" s="315">
        <f t="shared" si="0"/>
        <v>4.5999999999999999E-2</v>
      </c>
      <c r="T2" s="315">
        <f t="shared" si="0"/>
        <v>4.5999999999999999E-2</v>
      </c>
      <c r="U2" s="315">
        <f t="shared" si="0"/>
        <v>4.5999999999999999E-2</v>
      </c>
      <c r="V2" s="315">
        <f t="shared" si="0"/>
        <v>4.5999999999999999E-2</v>
      </c>
      <c r="W2" s="315">
        <f t="shared" si="0"/>
        <v>4.5999999999999999E-2</v>
      </c>
    </row>
    <row r="3" spans="2:23" s="286" customFormat="1" ht="27" customHeight="1">
      <c r="B3" s="280" t="s">
        <v>670</v>
      </c>
      <c r="C3" s="280" t="s">
        <v>1</v>
      </c>
      <c r="D3" s="280" t="s">
        <v>671</v>
      </c>
      <c r="E3" s="281" t="s">
        <v>678</v>
      </c>
      <c r="F3" s="281" t="s">
        <v>684</v>
      </c>
      <c r="G3" s="282" t="s">
        <v>685</v>
      </c>
      <c r="H3" s="281" t="s">
        <v>686</v>
      </c>
      <c r="I3" s="283" t="s">
        <v>687</v>
      </c>
      <c r="J3" s="284" t="s">
        <v>688</v>
      </c>
      <c r="K3" s="320"/>
      <c r="L3" s="320"/>
      <c r="M3" s="321"/>
      <c r="N3" s="285">
        <f t="shared" ref="N3:W3" si="1">(1+N2)^(1/12)-1</f>
        <v>1.6515813019202241E-3</v>
      </c>
      <c r="O3" s="285">
        <f t="shared" si="1"/>
        <v>8.295381143461622E-4</v>
      </c>
      <c r="P3" s="316">
        <f t="shared" si="1"/>
        <v>3.7548121811461499E-3</v>
      </c>
      <c r="Q3" s="316">
        <f t="shared" si="1"/>
        <v>3.7548121811461499E-3</v>
      </c>
      <c r="R3" s="316">
        <f t="shared" si="1"/>
        <v>3.7548121811461499E-3</v>
      </c>
      <c r="S3" s="316">
        <f t="shared" si="1"/>
        <v>3.7548121811461499E-3</v>
      </c>
      <c r="T3" s="316">
        <f t="shared" si="1"/>
        <v>3.7548121811461499E-3</v>
      </c>
      <c r="U3" s="316">
        <f t="shared" si="1"/>
        <v>3.7548121811461499E-3</v>
      </c>
      <c r="V3" s="316">
        <f t="shared" si="1"/>
        <v>3.7548121811461499E-3</v>
      </c>
      <c r="W3" s="316">
        <f t="shared" si="1"/>
        <v>3.7548121811461499E-3</v>
      </c>
    </row>
    <row r="4" spans="2:23" ht="9.75" customHeight="1">
      <c r="B4" s="954">
        <v>1</v>
      </c>
      <c r="C4" s="952">
        <f ca="1">'Tinh phi QL'!I8</f>
        <v>30</v>
      </c>
      <c r="D4" s="287">
        <f ca="1">'Hoach dinh tai chinh'!J3</f>
        <v>46229</v>
      </c>
      <c r="E4" s="288">
        <f>'Tinh phi QL'!E13/1000</f>
        <v>1000000</v>
      </c>
      <c r="F4" s="289">
        <f ca="1">IF(YEAR(D4)=2025,40000,IF(YEAR(D4)=2026,40000,IF(YEAR(D4)=2027,40000,IF(YEAR(D4)=2028,40000,IF(YEAR(D4)=2029,40000,IF(YEAR(D4)=2030,50000,IF(YEAR(D4)=2031,50000,IF(YEAR(D4)=2032,50000,IF(YEAR(D4)=2033,50000,IF(YEAR(D4)=2034,50000,IF(YEAR(D4)&gt;=2035,60000,0)))))))))))/1000</f>
        <v>40</v>
      </c>
      <c r="G4" s="290">
        <f ca="1">KBACOI!Q3</f>
        <v>116.08333333333333</v>
      </c>
      <c r="H4" s="290">
        <f ca="1">(KBAGTTKMH!F7-KBA20namMH!F4-G4)*(1+KBA20namMH!P3)</f>
        <v>4862.104663971124</v>
      </c>
      <c r="I4" s="291"/>
      <c r="J4" s="292">
        <f ca="1">H4</f>
        <v>4862.104663971124</v>
      </c>
      <c r="K4" s="949">
        <f ca="1">J15</f>
        <v>3309.5585040901838</v>
      </c>
      <c r="L4" s="949"/>
      <c r="M4" s="949"/>
      <c r="N4" s="950">
        <f ca="1">SUM(G4:G15)</f>
        <v>1394.0756181447107</v>
      </c>
      <c r="O4" s="950"/>
      <c r="P4" s="950">
        <f ca="1">SUM(F4:F15)</f>
        <v>480</v>
      </c>
      <c r="Q4" s="950"/>
    </row>
    <row r="5" spans="2:23" ht="9.75" customHeight="1">
      <c r="B5" s="954"/>
      <c r="C5" s="952"/>
      <c r="D5" s="287">
        <f t="shared" ref="D5:D68" ca="1" si="2">EDATE(D4,1)</f>
        <v>46260</v>
      </c>
      <c r="E5" s="288">
        <f>E4</f>
        <v>1000000</v>
      </c>
      <c r="F5" s="289">
        <f t="shared" ref="F5:F68" ca="1" si="3">IF(YEAR(D5)=2025,40000,IF(YEAR(D5)=2026,40000,IF(YEAR(D5)=2027,40000,IF(YEAR(D5)=2028,40000,IF(YEAR(D5)=2029,40000,IF(YEAR(D5)=2030,50000,IF(YEAR(D5)=2031,50000,IF(YEAR(D5)=2032,50000,IF(YEAR(D5)=2033,50000,IF(YEAR(D5)=2034,50000,IF(YEAR(D5)&gt;=2035,60000,0)))))))))))/1000</f>
        <v>40</v>
      </c>
      <c r="G5" s="290">
        <f ca="1">KBACOI!Q4</f>
        <v>116.0994211225367</v>
      </c>
      <c r="H5" s="290">
        <f t="shared" ref="H5:H15" ca="1" si="4">(H4-F5-G5)*(1+$P$3)</f>
        <v>4723.6754086589726</v>
      </c>
      <c r="I5" s="291"/>
      <c r="J5" s="292">
        <f t="shared" ref="J5:J68" ca="1" si="5">H5</f>
        <v>4723.6754086589726</v>
      </c>
      <c r="K5" s="949"/>
      <c r="L5" s="949"/>
      <c r="M5" s="949"/>
      <c r="N5" s="950"/>
      <c r="O5" s="950"/>
      <c r="P5" s="950"/>
      <c r="Q5" s="950"/>
    </row>
    <row r="6" spans="2:23" ht="9.75" customHeight="1">
      <c r="B6" s="954"/>
      <c r="C6" s="952"/>
      <c r="D6" s="287">
        <f t="shared" ca="1" si="2"/>
        <v>46291</v>
      </c>
      <c r="E6" s="288">
        <f t="shared" ref="E6:E69" si="6">E5</f>
        <v>1000000</v>
      </c>
      <c r="F6" s="289">
        <f t="shared" ca="1" si="3"/>
        <v>40</v>
      </c>
      <c r="G6" s="290">
        <f ca="1">KBACOI!Q5</f>
        <v>116.11557120232311</v>
      </c>
      <c r="H6" s="290">
        <f t="shared" ca="1" si="4"/>
        <v>4584.7101667724455</v>
      </c>
      <c r="I6" s="291"/>
      <c r="J6" s="292">
        <f t="shared" ca="1" si="5"/>
        <v>4584.7101667724455</v>
      </c>
      <c r="K6" s="949"/>
      <c r="L6" s="949"/>
      <c r="M6" s="949"/>
      <c r="N6" s="950"/>
      <c r="O6" s="950"/>
      <c r="P6" s="950"/>
      <c r="Q6" s="950"/>
    </row>
    <row r="7" spans="2:23" ht="9.75" customHeight="1">
      <c r="B7" s="954"/>
      <c r="C7" s="952"/>
      <c r="D7" s="287">
        <f t="shared" ca="1" si="2"/>
        <v>46321</v>
      </c>
      <c r="E7" s="288">
        <f t="shared" si="6"/>
        <v>1000000</v>
      </c>
      <c r="F7" s="289">
        <f t="shared" ca="1" si="3"/>
        <v>40</v>
      </c>
      <c r="G7" s="290">
        <f ca="1">KBACOI!Q6</f>
        <v>116.13178381387655</v>
      </c>
      <c r="H7" s="290">
        <f t="shared" ca="1" si="4"/>
        <v>4445.206863016062</v>
      </c>
      <c r="I7" s="291"/>
      <c r="J7" s="292">
        <f t="shared" ca="1" si="5"/>
        <v>4445.206863016062</v>
      </c>
      <c r="K7" s="949"/>
      <c r="L7" s="949"/>
      <c r="M7" s="949"/>
      <c r="N7" s="950"/>
      <c r="O7" s="950"/>
      <c r="P7" s="950"/>
      <c r="Q7" s="950"/>
    </row>
    <row r="8" spans="2:23" ht="9.75" customHeight="1">
      <c r="B8" s="954"/>
      <c r="C8" s="952"/>
      <c r="D8" s="287">
        <f t="shared" ca="1" si="2"/>
        <v>46352</v>
      </c>
      <c r="E8" s="288">
        <f t="shared" si="6"/>
        <v>1000000</v>
      </c>
      <c r="F8" s="289">
        <f t="shared" ca="1" si="3"/>
        <v>40</v>
      </c>
      <c r="G8" s="290">
        <f ca="1">KBACOI!Q7</f>
        <v>116.1480591993148</v>
      </c>
      <c r="H8" s="290">
        <f t="shared" ca="1" si="4"/>
        <v>4305.1634140589704</v>
      </c>
      <c r="I8" s="291"/>
      <c r="J8" s="292">
        <f t="shared" ca="1" si="5"/>
        <v>4305.1634140589704</v>
      </c>
      <c r="K8" s="949"/>
      <c r="L8" s="949"/>
      <c r="M8" s="949"/>
      <c r="N8" s="950"/>
      <c r="O8" s="950"/>
      <c r="P8" s="950"/>
      <c r="Q8" s="950"/>
    </row>
    <row r="9" spans="2:23" ht="9.75" customHeight="1">
      <c r="B9" s="954"/>
      <c r="C9" s="952"/>
      <c r="D9" s="287">
        <f t="shared" ca="1" si="2"/>
        <v>46382</v>
      </c>
      <c r="E9" s="288">
        <f t="shared" si="6"/>
        <v>1000000</v>
      </c>
      <c r="F9" s="289">
        <f t="shared" ca="1" si="3"/>
        <v>40</v>
      </c>
      <c r="G9" s="290">
        <f ca="1">KBACOI!Q8</f>
        <v>116.16439760169311</v>
      </c>
      <c r="H9" s="290">
        <f t="shared" ca="1" si="4"/>
        <v>4164.5777285038348</v>
      </c>
      <c r="I9" s="291"/>
      <c r="J9" s="292">
        <f t="shared" ca="1" si="5"/>
        <v>4164.5777285038348</v>
      </c>
      <c r="K9" s="949"/>
      <c r="L9" s="949"/>
      <c r="M9" s="949"/>
      <c r="N9" s="950"/>
      <c r="O9" s="950"/>
      <c r="P9" s="950"/>
      <c r="Q9" s="950"/>
    </row>
    <row r="10" spans="2:23" ht="9.75" customHeight="1">
      <c r="B10" s="954"/>
      <c r="C10" s="952"/>
      <c r="D10" s="287">
        <f t="shared" ca="1" si="2"/>
        <v>46413</v>
      </c>
      <c r="E10" s="288">
        <f t="shared" si="6"/>
        <v>1000000</v>
      </c>
      <c r="F10" s="289">
        <f t="shared" ca="1" si="3"/>
        <v>40</v>
      </c>
      <c r="G10" s="290">
        <f ca="1">KBACOI!Q9</f>
        <v>116.18079926500788</v>
      </c>
      <c r="H10" s="290">
        <f t="shared" ca="1" si="4"/>
        <v>4023.4477068556016</v>
      </c>
      <c r="I10" s="291"/>
      <c r="J10" s="292">
        <f t="shared" ca="1" si="5"/>
        <v>4023.4477068556016</v>
      </c>
      <c r="K10" s="949"/>
      <c r="L10" s="949"/>
      <c r="M10" s="949"/>
      <c r="N10" s="950"/>
      <c r="O10" s="950"/>
      <c r="P10" s="950"/>
      <c r="Q10" s="950"/>
    </row>
    <row r="11" spans="2:23" ht="9.75" customHeight="1">
      <c r="B11" s="954"/>
      <c r="C11" s="952"/>
      <c r="D11" s="287">
        <f t="shared" ca="1" si="2"/>
        <v>46444</v>
      </c>
      <c r="E11" s="288">
        <f t="shared" si="6"/>
        <v>1000000</v>
      </c>
      <c r="F11" s="289">
        <f t="shared" ca="1" si="3"/>
        <v>40</v>
      </c>
      <c r="G11" s="290">
        <f ca="1">KBACOI!Q10</f>
        <v>116.19726443420016</v>
      </c>
      <c r="H11" s="290">
        <f t="shared" ca="1" si="4"/>
        <v>3881.7712414901484</v>
      </c>
      <c r="I11" s="291"/>
      <c r="J11" s="292">
        <f t="shared" ca="1" si="5"/>
        <v>3881.7712414901484</v>
      </c>
      <c r="K11" s="949"/>
      <c r="L11" s="949"/>
      <c r="M11" s="949"/>
      <c r="N11" s="950"/>
      <c r="O11" s="950"/>
      <c r="P11" s="950"/>
      <c r="Q11" s="950"/>
    </row>
    <row r="12" spans="2:23" ht="9.75" customHeight="1">
      <c r="B12" s="954"/>
      <c r="C12" s="952"/>
      <c r="D12" s="287">
        <f t="shared" ca="1" si="2"/>
        <v>46472</v>
      </c>
      <c r="E12" s="288">
        <f t="shared" si="6"/>
        <v>1000000</v>
      </c>
      <c r="F12" s="289">
        <f t="shared" ca="1" si="3"/>
        <v>40</v>
      </c>
      <c r="G12" s="290">
        <f ca="1">KBACOI!Q11</f>
        <v>116.21379335515947</v>
      </c>
      <c r="H12" s="290">
        <f t="shared" ca="1" si="4"/>
        <v>3739.5462166228062</v>
      </c>
      <c r="I12" s="291"/>
      <c r="J12" s="292">
        <f t="shared" ca="1" si="5"/>
        <v>3739.5462166228062</v>
      </c>
      <c r="K12" s="949"/>
      <c r="L12" s="949"/>
      <c r="M12" s="949"/>
      <c r="N12" s="950"/>
      <c r="O12" s="950"/>
      <c r="P12" s="950"/>
      <c r="Q12" s="950"/>
    </row>
    <row r="13" spans="2:23" ht="9.75" customHeight="1">
      <c r="B13" s="954"/>
      <c r="C13" s="952"/>
      <c r="D13" s="287">
        <f t="shared" ca="1" si="2"/>
        <v>46503</v>
      </c>
      <c r="E13" s="288">
        <f t="shared" si="6"/>
        <v>1000000</v>
      </c>
      <c r="F13" s="289">
        <f t="shared" ca="1" si="3"/>
        <v>40</v>
      </c>
      <c r="G13" s="290">
        <f ca="1">KBACOI!Q12</f>
        <v>116.23038627472734</v>
      </c>
      <c r="H13" s="290">
        <f t="shared" ca="1" si="4"/>
        <v>3596.7705082767638</v>
      </c>
      <c r="I13" s="291"/>
      <c r="J13" s="292">
        <f t="shared" ca="1" si="5"/>
        <v>3596.7705082767638</v>
      </c>
      <c r="K13" s="949"/>
      <c r="L13" s="949"/>
      <c r="M13" s="949"/>
      <c r="N13" s="950"/>
      <c r="O13" s="950"/>
      <c r="P13" s="950"/>
      <c r="Q13" s="950"/>
    </row>
    <row r="14" spans="2:23" ht="9.75" customHeight="1">
      <c r="B14" s="954"/>
      <c r="C14" s="952"/>
      <c r="D14" s="287">
        <f t="shared" ca="1" si="2"/>
        <v>46533</v>
      </c>
      <c r="E14" s="288">
        <f t="shared" si="6"/>
        <v>1000000</v>
      </c>
      <c r="F14" s="289">
        <f t="shared" ca="1" si="3"/>
        <v>40</v>
      </c>
      <c r="G14" s="290">
        <f ca="1">KBACOI!Q13</f>
        <v>116.24704344070103</v>
      </c>
      <c r="H14" s="290">
        <f t="shared" ca="1" si="4"/>
        <v>3453.4419842513485</v>
      </c>
      <c r="I14" s="291"/>
      <c r="J14" s="292">
        <f t="shared" ca="1" si="5"/>
        <v>3453.4419842513485</v>
      </c>
      <c r="K14" s="949"/>
      <c r="L14" s="949"/>
      <c r="M14" s="949"/>
      <c r="N14" s="950"/>
      <c r="O14" s="950"/>
      <c r="P14" s="950"/>
      <c r="Q14" s="950"/>
    </row>
    <row r="15" spans="2:23" ht="9.75" customHeight="1">
      <c r="B15" s="954"/>
      <c r="C15" s="952"/>
      <c r="D15" s="287">
        <f t="shared" ca="1" si="2"/>
        <v>46564</v>
      </c>
      <c r="E15" s="288">
        <f t="shared" si="6"/>
        <v>1000000</v>
      </c>
      <c r="F15" s="289">
        <f t="shared" ca="1" si="3"/>
        <v>40</v>
      </c>
      <c r="G15" s="290">
        <f ca="1">KBACOI!Q14</f>
        <v>116.26376510183734</v>
      </c>
      <c r="H15" s="290">
        <f t="shared" ca="1" si="4"/>
        <v>3309.5585040901838</v>
      </c>
      <c r="I15" s="291"/>
      <c r="J15" s="293">
        <f t="shared" ca="1" si="5"/>
        <v>3309.5585040901838</v>
      </c>
      <c r="K15" s="949"/>
      <c r="L15" s="949"/>
      <c r="M15" s="949"/>
      <c r="N15" s="950"/>
      <c r="O15" s="950"/>
      <c r="P15" s="950"/>
      <c r="Q15" s="950"/>
    </row>
    <row r="16" spans="2:23" ht="9.75" customHeight="1">
      <c r="B16" s="955">
        <v>2</v>
      </c>
      <c r="C16" s="947">
        <f ca="1">C4+1</f>
        <v>31</v>
      </c>
      <c r="D16" s="294">
        <f t="shared" ca="1" si="2"/>
        <v>46594</v>
      </c>
      <c r="E16" s="359">
        <f>'Tinh phi QL'!E13*1.05/1000</f>
        <v>1050000</v>
      </c>
      <c r="F16" s="360">
        <f t="shared" ca="1" si="3"/>
        <v>40</v>
      </c>
      <c r="G16" s="295">
        <f ca="1">KBACOI!Q15</f>
        <v>124.76285297950919</v>
      </c>
      <c r="H16" s="295">
        <f ca="1">(H15+KBAGTTKMH!F8-F16-G16)*(1+Q3)</f>
        <v>10182.887453396705</v>
      </c>
      <c r="I16" s="324"/>
      <c r="J16" s="296">
        <f t="shared" ca="1" si="5"/>
        <v>10182.887453396705</v>
      </c>
      <c r="K16" s="949">
        <f ca="1">J27</f>
        <v>8756.6853993346813</v>
      </c>
      <c r="L16" s="949"/>
      <c r="M16" s="949"/>
      <c r="N16" s="950">
        <f ca="1">SUM(G16:G27)</f>
        <v>1498.170543503385</v>
      </c>
      <c r="O16" s="950"/>
      <c r="P16" s="950">
        <f t="shared" ref="P16" ca="1" si="7">SUM(F16:F27)</f>
        <v>480</v>
      </c>
      <c r="Q16" s="950"/>
    </row>
    <row r="17" spans="2:17" ht="9.75" customHeight="1">
      <c r="B17" s="955"/>
      <c r="C17" s="947"/>
      <c r="D17" s="294">
        <f t="shared" ca="1" si="2"/>
        <v>46625</v>
      </c>
      <c r="E17" s="359">
        <f t="shared" si="6"/>
        <v>1050000</v>
      </c>
      <c r="F17" s="360">
        <f t="shared" ca="1" si="3"/>
        <v>40</v>
      </c>
      <c r="G17" s="295">
        <f ca="1">KBACOI!Q16</f>
        <v>124.77805350559241</v>
      </c>
      <c r="H17" s="295">
        <f ca="1">(H16-F17-G17)*(1+$Q$3)</f>
        <v>10055.725519097879</v>
      </c>
      <c r="I17" s="324"/>
      <c r="J17" s="296">
        <f t="shared" ca="1" si="5"/>
        <v>10055.725519097879</v>
      </c>
      <c r="K17" s="949"/>
      <c r="L17" s="949"/>
      <c r="M17" s="949"/>
      <c r="N17" s="950"/>
      <c r="O17" s="950"/>
      <c r="P17" s="950"/>
      <c r="Q17" s="950"/>
    </row>
    <row r="18" spans="2:17" ht="9.75" customHeight="1">
      <c r="B18" s="955"/>
      <c r="C18" s="947"/>
      <c r="D18" s="294">
        <f t="shared" ca="1" si="2"/>
        <v>46656</v>
      </c>
      <c r="E18" s="359">
        <f t="shared" si="6"/>
        <v>1050000</v>
      </c>
      <c r="F18" s="360">
        <f t="shared" ca="1" si="3"/>
        <v>40</v>
      </c>
      <c r="G18" s="295">
        <f ca="1">KBACOI!Q17</f>
        <v>124.79331293770825</v>
      </c>
      <c r="H18" s="295">
        <f t="shared" ref="H18:H27" ca="1" si="8">(H17-F18-G18)*(1+$Q$3)</f>
        <v>9928.0707988907525</v>
      </c>
      <c r="I18" s="324"/>
      <c r="J18" s="296">
        <f t="shared" ca="1" si="5"/>
        <v>9928.0707988907525</v>
      </c>
      <c r="K18" s="949"/>
      <c r="L18" s="949"/>
      <c r="M18" s="949"/>
      <c r="N18" s="950"/>
      <c r="O18" s="950"/>
      <c r="P18" s="950"/>
      <c r="Q18" s="950"/>
    </row>
    <row r="19" spans="2:17" ht="9.75" customHeight="1">
      <c r="B19" s="955"/>
      <c r="C19" s="947"/>
      <c r="D19" s="294">
        <f t="shared" ca="1" si="2"/>
        <v>46686</v>
      </c>
      <c r="E19" s="359">
        <f t="shared" si="6"/>
        <v>1050000</v>
      </c>
      <c r="F19" s="360">
        <f t="shared" ca="1" si="3"/>
        <v>40</v>
      </c>
      <c r="G19" s="295">
        <f ca="1">KBACOI!Q18</f>
        <v>124.80863150413312</v>
      </c>
      <c r="H19" s="295">
        <f t="shared" ca="1" si="8"/>
        <v>9799.9213831004472</v>
      </c>
      <c r="I19" s="324"/>
      <c r="J19" s="296">
        <f t="shared" ca="1" si="5"/>
        <v>9799.9213831004472</v>
      </c>
      <c r="K19" s="949"/>
      <c r="L19" s="949"/>
      <c r="M19" s="949"/>
      <c r="N19" s="950"/>
      <c r="O19" s="950"/>
      <c r="P19" s="950"/>
      <c r="Q19" s="950"/>
    </row>
    <row r="20" spans="2:17" ht="9.75" customHeight="1">
      <c r="B20" s="955"/>
      <c r="C20" s="947"/>
      <c r="D20" s="294">
        <f t="shared" ca="1" si="2"/>
        <v>46717</v>
      </c>
      <c r="E20" s="359">
        <f t="shared" si="6"/>
        <v>1050000</v>
      </c>
      <c r="F20" s="360">
        <f t="shared" ca="1" si="3"/>
        <v>40</v>
      </c>
      <c r="G20" s="295">
        <f ca="1">KBACOI!Q19</f>
        <v>124.82400943402796</v>
      </c>
      <c r="H20" s="295">
        <f t="shared" ca="1" si="8"/>
        <v>9671.2753546515924</v>
      </c>
      <c r="I20" s="324"/>
      <c r="J20" s="296">
        <f t="shared" ca="1" si="5"/>
        <v>9671.2753546515924</v>
      </c>
      <c r="K20" s="949"/>
      <c r="L20" s="949"/>
      <c r="M20" s="949"/>
      <c r="N20" s="950"/>
      <c r="O20" s="950"/>
      <c r="P20" s="950"/>
      <c r="Q20" s="950"/>
    </row>
    <row r="21" spans="2:17" ht="9.75" customHeight="1">
      <c r="B21" s="955"/>
      <c r="C21" s="947"/>
      <c r="D21" s="294">
        <f t="shared" ca="1" si="2"/>
        <v>46747</v>
      </c>
      <c r="E21" s="359">
        <f t="shared" si="6"/>
        <v>1050000</v>
      </c>
      <c r="F21" s="360">
        <f t="shared" ca="1" si="3"/>
        <v>40</v>
      </c>
      <c r="G21" s="295">
        <f ca="1">KBACOI!Q20</f>
        <v>124.83944695744181</v>
      </c>
      <c r="H21" s="295">
        <f t="shared" ca="1" si="8"/>
        <v>9542.1307890396456</v>
      </c>
      <c r="I21" s="324"/>
      <c r="J21" s="296">
        <f t="shared" ca="1" si="5"/>
        <v>9542.1307890396456</v>
      </c>
      <c r="K21" s="949"/>
      <c r="L21" s="949"/>
      <c r="M21" s="949"/>
      <c r="N21" s="950"/>
      <c r="O21" s="950"/>
      <c r="P21" s="950"/>
      <c r="Q21" s="950"/>
    </row>
    <row r="22" spans="2:17" ht="9.75" customHeight="1">
      <c r="B22" s="955"/>
      <c r="C22" s="947"/>
      <c r="D22" s="294">
        <f t="shared" ca="1" si="2"/>
        <v>46778</v>
      </c>
      <c r="E22" s="359">
        <f t="shared" si="6"/>
        <v>1050000</v>
      </c>
      <c r="F22" s="360">
        <f t="shared" ca="1" si="3"/>
        <v>40</v>
      </c>
      <c r="G22" s="295">
        <f ca="1">KBACOI!Q21</f>
        <v>124.85494430531524</v>
      </c>
      <c r="H22" s="295">
        <f t="shared" ca="1" si="8"/>
        <v>9412.485754302108</v>
      </c>
      <c r="I22" s="324"/>
      <c r="J22" s="296">
        <f t="shared" ca="1" si="5"/>
        <v>9412.485754302108</v>
      </c>
      <c r="K22" s="949"/>
      <c r="L22" s="949"/>
      <c r="M22" s="949"/>
      <c r="N22" s="950"/>
      <c r="O22" s="950"/>
      <c r="P22" s="950"/>
      <c r="Q22" s="950"/>
    </row>
    <row r="23" spans="2:17" ht="9.75" customHeight="1">
      <c r="B23" s="955"/>
      <c r="C23" s="947"/>
      <c r="D23" s="294">
        <f t="shared" ca="1" si="2"/>
        <v>46809</v>
      </c>
      <c r="E23" s="359">
        <f t="shared" si="6"/>
        <v>1050000</v>
      </c>
      <c r="F23" s="360">
        <f t="shared" ca="1" si="3"/>
        <v>40</v>
      </c>
      <c r="G23" s="295">
        <f ca="1">KBACOI!Q22</f>
        <v>124.87050170948373</v>
      </c>
      <c r="H23" s="295">
        <f t="shared" ca="1" si="8"/>
        <v>9282.3383109896131</v>
      </c>
      <c r="I23" s="324"/>
      <c r="J23" s="296">
        <f t="shared" ca="1" si="5"/>
        <v>9282.3383109896131</v>
      </c>
      <c r="K23" s="949"/>
      <c r="L23" s="949"/>
      <c r="M23" s="949"/>
      <c r="N23" s="950"/>
      <c r="O23" s="950"/>
      <c r="P23" s="950"/>
      <c r="Q23" s="950"/>
    </row>
    <row r="24" spans="2:17" ht="9.75" customHeight="1">
      <c r="B24" s="955"/>
      <c r="C24" s="947"/>
      <c r="D24" s="294">
        <f t="shared" ca="1" si="2"/>
        <v>46838</v>
      </c>
      <c r="E24" s="359">
        <f t="shared" si="6"/>
        <v>1050000</v>
      </c>
      <c r="F24" s="360">
        <f t="shared" ca="1" si="3"/>
        <v>40</v>
      </c>
      <c r="G24" s="295">
        <f ca="1">KBACOI!Q23</f>
        <v>124.88611940268125</v>
      </c>
      <c r="H24" s="295">
        <f t="shared" ca="1" si="8"/>
        <v>9151.6865121369192</v>
      </c>
      <c r="I24" s="324"/>
      <c r="J24" s="296">
        <f t="shared" ca="1" si="5"/>
        <v>9151.6865121369192</v>
      </c>
      <c r="K24" s="949"/>
      <c r="L24" s="949"/>
      <c r="M24" s="949"/>
      <c r="N24" s="950"/>
      <c r="O24" s="950"/>
      <c r="P24" s="950"/>
      <c r="Q24" s="950"/>
    </row>
    <row r="25" spans="2:17" ht="9.75" customHeight="1">
      <c r="B25" s="955"/>
      <c r="C25" s="947"/>
      <c r="D25" s="294">
        <f t="shared" ca="1" si="2"/>
        <v>46869</v>
      </c>
      <c r="E25" s="359">
        <f t="shared" si="6"/>
        <v>1050000</v>
      </c>
      <c r="F25" s="360">
        <f t="shared" ca="1" si="3"/>
        <v>40</v>
      </c>
      <c r="G25" s="295">
        <f ca="1">KBACOI!Q24</f>
        <v>124.90179761854357</v>
      </c>
      <c r="H25" s="295">
        <f t="shared" ca="1" si="8"/>
        <v>9020.5284032337859</v>
      </c>
      <c r="I25" s="324"/>
      <c r="J25" s="296">
        <f t="shared" ca="1" si="5"/>
        <v>9020.5284032337859</v>
      </c>
      <c r="K25" s="949"/>
      <c r="L25" s="949"/>
      <c r="M25" s="949"/>
      <c r="N25" s="950"/>
      <c r="O25" s="950"/>
      <c r="P25" s="950"/>
      <c r="Q25" s="950"/>
    </row>
    <row r="26" spans="2:17" ht="9.75" customHeight="1">
      <c r="B26" s="955"/>
      <c r="C26" s="947"/>
      <c r="D26" s="294">
        <f t="shared" ca="1" si="2"/>
        <v>46899</v>
      </c>
      <c r="E26" s="359">
        <f t="shared" si="6"/>
        <v>1050000</v>
      </c>
      <c r="F26" s="360">
        <f t="shared" ca="1" si="3"/>
        <v>40</v>
      </c>
      <c r="G26" s="295">
        <f ca="1">KBACOI!Q25</f>
        <v>124.91753659161195</v>
      </c>
      <c r="H26" s="295">
        <f t="shared" ca="1" si="8"/>
        <v>8888.8620221957317</v>
      </c>
      <c r="I26" s="324"/>
      <c r="J26" s="296">
        <f t="shared" ca="1" si="5"/>
        <v>8888.8620221957317</v>
      </c>
      <c r="K26" s="949"/>
      <c r="L26" s="949"/>
      <c r="M26" s="949"/>
      <c r="N26" s="950"/>
      <c r="O26" s="950"/>
      <c r="P26" s="950"/>
      <c r="Q26" s="950"/>
    </row>
    <row r="27" spans="2:17" ht="9.75" customHeight="1">
      <c r="B27" s="955"/>
      <c r="C27" s="947"/>
      <c r="D27" s="294">
        <f t="shared" ca="1" si="2"/>
        <v>46930</v>
      </c>
      <c r="E27" s="359">
        <f t="shared" si="6"/>
        <v>1050000</v>
      </c>
      <c r="F27" s="360">
        <f t="shared" ca="1" si="3"/>
        <v>40</v>
      </c>
      <c r="G27" s="295">
        <f ca="1">KBACOI!Q26</f>
        <v>124.93333655733649</v>
      </c>
      <c r="H27" s="295">
        <f t="shared" ca="1" si="8"/>
        <v>8756.6853993346813</v>
      </c>
      <c r="I27" s="324"/>
      <c r="J27" s="297">
        <f t="shared" ca="1" si="5"/>
        <v>8756.6853993346813</v>
      </c>
      <c r="K27" s="949"/>
      <c r="L27" s="949"/>
      <c r="M27" s="949"/>
      <c r="N27" s="950"/>
      <c r="O27" s="950"/>
      <c r="P27" s="950"/>
      <c r="Q27" s="950"/>
    </row>
    <row r="28" spans="2:17" ht="9.75" customHeight="1">
      <c r="B28" s="954">
        <v>3</v>
      </c>
      <c r="C28" s="952">
        <f ca="1">C16+1</f>
        <v>32</v>
      </c>
      <c r="D28" s="287">
        <f t="shared" ca="1" si="2"/>
        <v>46960</v>
      </c>
      <c r="E28" s="327">
        <f>'Tinh phi QL'!E13*1.1/1000</f>
        <v>1100000</v>
      </c>
      <c r="F28" s="289">
        <f t="shared" ca="1" si="3"/>
        <v>40</v>
      </c>
      <c r="G28" s="290">
        <f ca="1">KBACOI!Q27</f>
        <v>135.04433322021626</v>
      </c>
      <c r="H28" s="290">
        <f ca="1">(H27+KBAGTTKMH!F9-F28-G28)*(1+$R$3)</f>
        <v>16643.902013972904</v>
      </c>
      <c r="I28" s="291"/>
      <c r="J28" s="292">
        <f t="shared" ca="1" si="5"/>
        <v>16643.902013972904</v>
      </c>
      <c r="K28" s="949">
        <f ca="1">J39</f>
        <v>15374.0267946655</v>
      </c>
      <c r="L28" s="949"/>
      <c r="M28" s="949"/>
      <c r="N28" s="950">
        <f t="shared" ref="N28" ca="1" si="9">SUM(G28:G39)</f>
        <v>1621.4720874969046</v>
      </c>
      <c r="O28" s="950"/>
      <c r="P28" s="950">
        <f t="shared" ref="P28" ca="1" si="10">SUM(F28:F39)</f>
        <v>480</v>
      </c>
      <c r="Q28" s="950"/>
    </row>
    <row r="29" spans="2:17" ht="9.75" customHeight="1">
      <c r="B29" s="954"/>
      <c r="C29" s="952"/>
      <c r="D29" s="287">
        <f t="shared" ca="1" si="2"/>
        <v>46991</v>
      </c>
      <c r="E29" s="288">
        <f t="shared" si="6"/>
        <v>1100000</v>
      </c>
      <c r="F29" s="289">
        <f t="shared" ca="1" si="3"/>
        <v>40</v>
      </c>
      <c r="G29" s="290">
        <f ca="1">KBACOI!Q28</f>
        <v>135.05839354892473</v>
      </c>
      <c r="H29" s="290">
        <f ca="1">(H28-F29-G29)*(1+$R$3)</f>
        <v>16530.681035059341</v>
      </c>
      <c r="I29" s="291"/>
      <c r="J29" s="292">
        <f t="shared" ca="1" si="5"/>
        <v>16530.681035059341</v>
      </c>
      <c r="K29" s="949"/>
      <c r="L29" s="949"/>
      <c r="M29" s="949"/>
      <c r="N29" s="950"/>
      <c r="O29" s="950"/>
      <c r="P29" s="950"/>
      <c r="Q29" s="950"/>
    </row>
    <row r="30" spans="2:17" ht="9.75" customHeight="1">
      <c r="B30" s="954"/>
      <c r="C30" s="952"/>
      <c r="D30" s="287">
        <f t="shared" ca="1" si="2"/>
        <v>47022</v>
      </c>
      <c r="E30" s="288">
        <f t="shared" si="6"/>
        <v>1100000</v>
      </c>
      <c r="F30" s="289">
        <f t="shared" ca="1" si="3"/>
        <v>40</v>
      </c>
      <c r="G30" s="290">
        <f ca="1">KBACOI!Q29</f>
        <v>135.07250843096261</v>
      </c>
      <c r="H30" s="290">
        <f t="shared" ref="H30:H39" ca="1" si="11">(H29-F30-G30)*(1+$R$3)</f>
        <v>16417.020764754219</v>
      </c>
      <c r="I30" s="291"/>
      <c r="J30" s="292">
        <f t="shared" ca="1" si="5"/>
        <v>16417.020764754219</v>
      </c>
      <c r="K30" s="949"/>
      <c r="L30" s="949"/>
      <c r="M30" s="949"/>
      <c r="N30" s="950"/>
      <c r="O30" s="950"/>
      <c r="P30" s="950"/>
      <c r="Q30" s="950"/>
    </row>
    <row r="31" spans="2:17" ht="9.75" customHeight="1">
      <c r="B31" s="954"/>
      <c r="C31" s="952"/>
      <c r="D31" s="287">
        <f t="shared" ca="1" si="2"/>
        <v>47052</v>
      </c>
      <c r="E31" s="288">
        <f t="shared" si="6"/>
        <v>1100000</v>
      </c>
      <c r="F31" s="289">
        <f t="shared" ca="1" si="3"/>
        <v>40</v>
      </c>
      <c r="G31" s="290">
        <f ca="1">KBACOI!Q30</f>
        <v>135.08667807799398</v>
      </c>
      <c r="H31" s="290">
        <f t="shared" ca="1" si="11"/>
        <v>16302.91949863025</v>
      </c>
      <c r="I31" s="291"/>
      <c r="J31" s="292">
        <f t="shared" ca="1" si="5"/>
        <v>16302.91949863025</v>
      </c>
      <c r="K31" s="949"/>
      <c r="L31" s="949"/>
      <c r="M31" s="949"/>
      <c r="N31" s="950"/>
      <c r="O31" s="950"/>
      <c r="P31" s="950"/>
      <c r="Q31" s="950"/>
    </row>
    <row r="32" spans="2:17" ht="9.75" customHeight="1">
      <c r="B32" s="954"/>
      <c r="C32" s="952"/>
      <c r="D32" s="287">
        <f t="shared" ca="1" si="2"/>
        <v>47083</v>
      </c>
      <c r="E32" s="288">
        <f t="shared" si="6"/>
        <v>1100000</v>
      </c>
      <c r="F32" s="289">
        <f t="shared" ca="1" si="3"/>
        <v>40</v>
      </c>
      <c r="G32" s="290">
        <f ca="1">KBACOI!Q31</f>
        <v>135.1009027025041</v>
      </c>
      <c r="H32" s="290">
        <f t="shared" ca="1" si="11"/>
        <v>16188.37552564705</v>
      </c>
      <c r="I32" s="291"/>
      <c r="J32" s="292">
        <f t="shared" ca="1" si="5"/>
        <v>16188.37552564705</v>
      </c>
      <c r="K32" s="949"/>
      <c r="L32" s="949"/>
      <c r="M32" s="949"/>
      <c r="N32" s="950"/>
      <c r="O32" s="950"/>
      <c r="P32" s="950"/>
      <c r="Q32" s="950"/>
    </row>
    <row r="33" spans="2:17" ht="9.75" customHeight="1">
      <c r="B33" s="954"/>
      <c r="C33" s="952"/>
      <c r="D33" s="287">
        <f t="shared" ca="1" si="2"/>
        <v>47113</v>
      </c>
      <c r="E33" s="288">
        <f t="shared" si="6"/>
        <v>1100000</v>
      </c>
      <c r="F33" s="289">
        <f t="shared" ca="1" si="3"/>
        <v>40</v>
      </c>
      <c r="G33" s="290">
        <f ca="1">KBACOI!Q32</f>
        <v>135.11518251780268</v>
      </c>
      <c r="H33" s="290">
        <f t="shared" ca="1" si="11"/>
        <v>16073.387128125494</v>
      </c>
      <c r="I33" s="291"/>
      <c r="J33" s="292">
        <f t="shared" ca="1" si="5"/>
        <v>16073.387128125494</v>
      </c>
      <c r="K33" s="949"/>
      <c r="L33" s="949"/>
      <c r="M33" s="949"/>
      <c r="N33" s="950"/>
      <c r="O33" s="950"/>
      <c r="P33" s="950"/>
      <c r="Q33" s="950"/>
    </row>
    <row r="34" spans="2:17" ht="9.75" customHeight="1">
      <c r="B34" s="954"/>
      <c r="C34" s="952"/>
      <c r="D34" s="287">
        <f t="shared" ca="1" si="2"/>
        <v>47144</v>
      </c>
      <c r="E34" s="288">
        <f t="shared" si="6"/>
        <v>1100000</v>
      </c>
      <c r="F34" s="289">
        <f t="shared" ca="1" si="3"/>
        <v>40</v>
      </c>
      <c r="G34" s="290">
        <f ca="1">KBACOI!Q33</f>
        <v>135.12951773802703</v>
      </c>
      <c r="H34" s="290">
        <f t="shared" ca="1" si="11"/>
        <v>15957.952581721949</v>
      </c>
      <c r="I34" s="291"/>
      <c r="J34" s="292">
        <f t="shared" ca="1" si="5"/>
        <v>15957.952581721949</v>
      </c>
      <c r="K34" s="949"/>
      <c r="L34" s="949"/>
      <c r="M34" s="949"/>
      <c r="N34" s="950"/>
      <c r="O34" s="950"/>
      <c r="P34" s="950"/>
      <c r="Q34" s="950"/>
    </row>
    <row r="35" spans="2:17" ht="9.75" customHeight="1">
      <c r="B35" s="954"/>
      <c r="C35" s="952"/>
      <c r="D35" s="287">
        <f t="shared" ca="1" si="2"/>
        <v>47175</v>
      </c>
      <c r="E35" s="288">
        <f t="shared" si="6"/>
        <v>1100000</v>
      </c>
      <c r="F35" s="289">
        <f t="shared" ca="1" si="3"/>
        <v>40</v>
      </c>
      <c r="G35" s="290">
        <f ca="1">KBACOI!Q34</f>
        <v>135.1439085781453</v>
      </c>
      <c r="H35" s="290">
        <f t="shared" ca="1" si="11"/>
        <v>15842.070155402424</v>
      </c>
      <c r="I35" s="291"/>
      <c r="J35" s="292">
        <f t="shared" ca="1" si="5"/>
        <v>15842.070155402424</v>
      </c>
      <c r="K35" s="949"/>
      <c r="L35" s="949"/>
      <c r="M35" s="949"/>
      <c r="N35" s="950"/>
      <c r="O35" s="950"/>
      <c r="P35" s="950"/>
      <c r="Q35" s="950"/>
    </row>
    <row r="36" spans="2:17" ht="9.75" customHeight="1">
      <c r="B36" s="954"/>
      <c r="C36" s="952"/>
      <c r="D36" s="287">
        <f t="shared" ca="1" si="2"/>
        <v>47203</v>
      </c>
      <c r="E36" s="288">
        <f t="shared" si="6"/>
        <v>1100000</v>
      </c>
      <c r="F36" s="289">
        <f t="shared" ca="1" si="3"/>
        <v>40</v>
      </c>
      <c r="G36" s="290">
        <f ca="1">KBACOI!Q35</f>
        <v>135.15835525395983</v>
      </c>
      <c r="H36" s="290">
        <f t="shared" ca="1" si="11"/>
        <v>15725.738111416604</v>
      </c>
      <c r="I36" s="291"/>
      <c r="J36" s="292">
        <f t="shared" ca="1" si="5"/>
        <v>15725.738111416604</v>
      </c>
      <c r="K36" s="949"/>
      <c r="L36" s="949"/>
      <c r="M36" s="949"/>
      <c r="N36" s="950"/>
      <c r="O36" s="950"/>
      <c r="P36" s="950"/>
      <c r="Q36" s="950"/>
    </row>
    <row r="37" spans="2:17" ht="9.75" customHeight="1">
      <c r="B37" s="954"/>
      <c r="C37" s="952"/>
      <c r="D37" s="287">
        <f t="shared" ca="1" si="2"/>
        <v>47234</v>
      </c>
      <c r="E37" s="288">
        <f t="shared" si="6"/>
        <v>1100000</v>
      </c>
      <c r="F37" s="289">
        <f t="shared" ca="1" si="3"/>
        <v>40</v>
      </c>
      <c r="G37" s="290">
        <f ca="1">KBACOI!Q36</f>
        <v>135.17285798211006</v>
      </c>
      <c r="H37" s="290">
        <f t="shared" ca="1" si="11"/>
        <v>15608.954705271797</v>
      </c>
      <c r="I37" s="291"/>
      <c r="J37" s="292">
        <f t="shared" ca="1" si="5"/>
        <v>15608.954705271797</v>
      </c>
      <c r="K37" s="949"/>
      <c r="L37" s="949"/>
      <c r="M37" s="949"/>
      <c r="N37" s="950"/>
      <c r="O37" s="950"/>
      <c r="P37" s="950"/>
      <c r="Q37" s="950"/>
    </row>
    <row r="38" spans="2:17" ht="9.75" customHeight="1">
      <c r="B38" s="954"/>
      <c r="C38" s="952"/>
      <c r="D38" s="287">
        <f t="shared" ca="1" si="2"/>
        <v>47264</v>
      </c>
      <c r="E38" s="288">
        <f t="shared" si="6"/>
        <v>1100000</v>
      </c>
      <c r="F38" s="289">
        <f t="shared" ca="1" si="3"/>
        <v>40</v>
      </c>
      <c r="G38" s="290">
        <f ca="1">KBACOI!Q37</f>
        <v>135.18741698007611</v>
      </c>
      <c r="H38" s="290">
        <f t="shared" ca="1" si="11"/>
        <v>15491.718185706774</v>
      </c>
      <c r="I38" s="291"/>
      <c r="J38" s="292">
        <f t="shared" ca="1" si="5"/>
        <v>15491.718185706774</v>
      </c>
      <c r="K38" s="949"/>
      <c r="L38" s="949"/>
      <c r="M38" s="949"/>
      <c r="N38" s="950"/>
      <c r="O38" s="950"/>
      <c r="P38" s="950"/>
      <c r="Q38" s="950"/>
    </row>
    <row r="39" spans="2:17" ht="9.75" customHeight="1">
      <c r="B39" s="954"/>
      <c r="C39" s="952"/>
      <c r="D39" s="287">
        <f t="shared" ca="1" si="2"/>
        <v>47295</v>
      </c>
      <c r="E39" s="288">
        <f t="shared" si="6"/>
        <v>1100000</v>
      </c>
      <c r="F39" s="289">
        <f t="shared" ca="1" si="3"/>
        <v>40</v>
      </c>
      <c r="G39" s="290">
        <f ca="1">KBACOI!Q38</f>
        <v>135.20203246618189</v>
      </c>
      <c r="H39" s="290">
        <f t="shared" ca="1" si="11"/>
        <v>15374.0267946655</v>
      </c>
      <c r="I39" s="291"/>
      <c r="J39" s="293">
        <f t="shared" ca="1" si="5"/>
        <v>15374.0267946655</v>
      </c>
      <c r="K39" s="949"/>
      <c r="L39" s="949"/>
      <c r="M39" s="949"/>
      <c r="N39" s="950"/>
      <c r="O39" s="950"/>
      <c r="P39" s="950"/>
      <c r="Q39" s="950"/>
    </row>
    <row r="40" spans="2:17" ht="9.75" customHeight="1">
      <c r="B40" s="955">
        <v>4</v>
      </c>
      <c r="C40" s="947">
        <f ca="1">C28+1</f>
        <v>33</v>
      </c>
      <c r="D40" s="294">
        <f t="shared" ca="1" si="2"/>
        <v>47325</v>
      </c>
      <c r="E40" s="359">
        <f>'Tinh phi QL'!E13*1.15/1000</f>
        <v>1150000</v>
      </c>
      <c r="F40" s="360">
        <f t="shared" ca="1" si="3"/>
        <v>40</v>
      </c>
      <c r="G40" s="295">
        <f ca="1">KBACOI!Q39</f>
        <v>146.46137651669349</v>
      </c>
      <c r="H40" s="295">
        <f ca="1">(H39+KBAGTTKMH!F10-F40-G40)*(1+S3)</f>
        <v>23274.630371231993</v>
      </c>
      <c r="I40" s="948"/>
      <c r="J40" s="296">
        <f t="shared" ca="1" si="5"/>
        <v>23274.630371231993</v>
      </c>
      <c r="K40" s="949">
        <f ca="1">J51</f>
        <v>22094.63519360873</v>
      </c>
      <c r="L40" s="949"/>
      <c r="M40" s="949"/>
      <c r="N40" s="950">
        <f t="shared" ref="N40" ca="1" si="12">SUM(G40:G51)</f>
        <v>1758.4201564715138</v>
      </c>
      <c r="O40" s="950"/>
      <c r="P40" s="950">
        <f t="shared" ref="P40" ca="1" si="13">SUM(F40:F51)</f>
        <v>540</v>
      </c>
      <c r="Q40" s="950"/>
    </row>
    <row r="41" spans="2:17" ht="9.75" customHeight="1">
      <c r="B41" s="955"/>
      <c r="C41" s="946"/>
      <c r="D41" s="294">
        <f t="shared" ca="1" si="2"/>
        <v>47356</v>
      </c>
      <c r="E41" s="359">
        <f t="shared" si="6"/>
        <v>1150000</v>
      </c>
      <c r="F41" s="360">
        <f t="shared" ca="1" si="3"/>
        <v>40</v>
      </c>
      <c r="G41" s="295">
        <f ca="1">KBACOI!Q40</f>
        <v>146.47429805173982</v>
      </c>
      <c r="H41" s="295">
        <f ca="1">(H40-F41-G41)*(1+$S$3)</f>
        <v>23174.847762844034</v>
      </c>
      <c r="I41" s="948"/>
      <c r="J41" s="296">
        <f t="shared" ca="1" si="5"/>
        <v>23174.847762844034</v>
      </c>
      <c r="K41" s="949"/>
      <c r="L41" s="949"/>
      <c r="M41" s="949"/>
      <c r="N41" s="950"/>
      <c r="O41" s="950"/>
      <c r="P41" s="950"/>
      <c r="Q41" s="950"/>
    </row>
    <row r="42" spans="2:17" ht="9.75" customHeight="1">
      <c r="B42" s="955"/>
      <c r="C42" s="946"/>
      <c r="D42" s="294">
        <f t="shared" ca="1" si="2"/>
        <v>47387</v>
      </c>
      <c r="E42" s="359">
        <f t="shared" si="6"/>
        <v>1150000</v>
      </c>
      <c r="F42" s="360">
        <f t="shared" ca="1" si="3"/>
        <v>40</v>
      </c>
      <c r="G42" s="295">
        <f ca="1">KBACOI!Q41</f>
        <v>146.48726979083028</v>
      </c>
      <c r="H42" s="295">
        <f t="shared" ref="H42:H51" ca="1" si="14">(H41-F42-G42)*(1+$S$3)</f>
        <v>23074.6774690571</v>
      </c>
      <c r="I42" s="948"/>
      <c r="J42" s="296">
        <f t="shared" ca="1" si="5"/>
        <v>23074.6774690571</v>
      </c>
      <c r="K42" s="949"/>
      <c r="L42" s="949"/>
      <c r="M42" s="949"/>
      <c r="N42" s="950"/>
      <c r="O42" s="950"/>
      <c r="P42" s="950"/>
      <c r="Q42" s="950"/>
    </row>
    <row r="43" spans="2:17" ht="9.75" customHeight="1">
      <c r="B43" s="955"/>
      <c r="C43" s="946"/>
      <c r="D43" s="294">
        <f t="shared" ca="1" si="2"/>
        <v>47417</v>
      </c>
      <c r="E43" s="359">
        <f t="shared" si="6"/>
        <v>1150000</v>
      </c>
      <c r="F43" s="360">
        <f t="shared" ca="1" si="3"/>
        <v>40</v>
      </c>
      <c r="G43" s="295">
        <f ca="1">KBACOI!Q42</f>
        <v>146.50029192902258</v>
      </c>
      <c r="H43" s="295">
        <f t="shared" ca="1" si="14"/>
        <v>22974.117983596989</v>
      </c>
      <c r="I43" s="948"/>
      <c r="J43" s="296">
        <f t="shared" ca="1" si="5"/>
        <v>22974.117983596989</v>
      </c>
      <c r="K43" s="949"/>
      <c r="L43" s="949"/>
      <c r="M43" s="949"/>
      <c r="N43" s="950"/>
      <c r="O43" s="950"/>
      <c r="P43" s="950"/>
      <c r="Q43" s="950"/>
    </row>
    <row r="44" spans="2:17" ht="9.75" customHeight="1">
      <c r="B44" s="955"/>
      <c r="C44" s="946"/>
      <c r="D44" s="294">
        <f t="shared" ca="1" si="2"/>
        <v>47448</v>
      </c>
      <c r="E44" s="359">
        <f t="shared" si="6"/>
        <v>1150000</v>
      </c>
      <c r="F44" s="360">
        <f t="shared" ca="1" si="3"/>
        <v>40</v>
      </c>
      <c r="G44" s="295">
        <f ca="1">KBACOI!Q43</f>
        <v>146.51336466213237</v>
      </c>
      <c r="H44" s="295">
        <f t="shared" ca="1" si="14"/>
        <v>22873.167794337176</v>
      </c>
      <c r="I44" s="948"/>
      <c r="J44" s="296">
        <f t="shared" ca="1" si="5"/>
        <v>22873.167794337176</v>
      </c>
      <c r="K44" s="949"/>
      <c r="L44" s="949"/>
      <c r="M44" s="949"/>
      <c r="N44" s="950"/>
      <c r="O44" s="950"/>
      <c r="P44" s="950"/>
      <c r="Q44" s="950"/>
    </row>
    <row r="45" spans="2:17" ht="9.75" customHeight="1">
      <c r="B45" s="955"/>
      <c r="C45" s="946"/>
      <c r="D45" s="294">
        <f t="shared" ca="1" si="2"/>
        <v>47478</v>
      </c>
      <c r="E45" s="359">
        <f t="shared" si="6"/>
        <v>1150000</v>
      </c>
      <c r="F45" s="360">
        <f t="shared" ca="1" si="3"/>
        <v>40</v>
      </c>
      <c r="G45" s="295">
        <f ca="1">KBACOI!Q44</f>
        <v>146.52648818673617</v>
      </c>
      <c r="H45" s="295">
        <f t="shared" ca="1" si="14"/>
        <v>22771.825383276067</v>
      </c>
      <c r="I45" s="948"/>
      <c r="J45" s="296">
        <f t="shared" ca="1" si="5"/>
        <v>22771.825383276067</v>
      </c>
      <c r="K45" s="949"/>
      <c r="L45" s="949"/>
      <c r="M45" s="949"/>
      <c r="N45" s="950"/>
      <c r="O45" s="950"/>
      <c r="P45" s="950"/>
      <c r="Q45" s="950"/>
    </row>
    <row r="46" spans="2:17" ht="9.75" customHeight="1">
      <c r="B46" s="955"/>
      <c r="C46" s="946"/>
      <c r="D46" s="294">
        <f t="shared" ca="1" si="2"/>
        <v>47509</v>
      </c>
      <c r="E46" s="359">
        <f t="shared" si="6"/>
        <v>1150000</v>
      </c>
      <c r="F46" s="360">
        <f t="shared" ca="1" si="3"/>
        <v>50</v>
      </c>
      <c r="G46" s="295">
        <f ca="1">KBACOI!Q45</f>
        <v>146.53966270017412</v>
      </c>
      <c r="H46" s="295">
        <f t="shared" ca="1" si="14"/>
        <v>22660.051678392367</v>
      </c>
      <c r="I46" s="948"/>
      <c r="J46" s="296">
        <f t="shared" ca="1" si="5"/>
        <v>22660.051678392367</v>
      </c>
      <c r="K46" s="949"/>
      <c r="L46" s="949"/>
      <c r="M46" s="949"/>
      <c r="N46" s="950"/>
      <c r="O46" s="950"/>
      <c r="P46" s="950"/>
      <c r="Q46" s="950"/>
    </row>
    <row r="47" spans="2:17" ht="9.75" customHeight="1">
      <c r="B47" s="955"/>
      <c r="C47" s="946"/>
      <c r="D47" s="294">
        <f t="shared" ca="1" si="2"/>
        <v>47540</v>
      </c>
      <c r="E47" s="359">
        <f t="shared" si="6"/>
        <v>1150000</v>
      </c>
      <c r="F47" s="360">
        <f t="shared" ca="1" si="3"/>
        <v>50</v>
      </c>
      <c r="G47" s="295">
        <f ca="1">KBACOI!Q46</f>
        <v>146.55419328180901</v>
      </c>
      <c r="H47" s="295">
        <f t="shared" ca="1" si="14"/>
        <v>22547.843699098798</v>
      </c>
      <c r="I47" s="948"/>
      <c r="J47" s="296">
        <f t="shared" ca="1" si="5"/>
        <v>22547.843699098798</v>
      </c>
      <c r="K47" s="949"/>
      <c r="L47" s="949"/>
      <c r="M47" s="949"/>
      <c r="N47" s="950"/>
      <c r="O47" s="950"/>
      <c r="P47" s="950"/>
      <c r="Q47" s="950"/>
    </row>
    <row r="48" spans="2:17" ht="9.75" customHeight="1">
      <c r="B48" s="955"/>
      <c r="C48" s="946"/>
      <c r="D48" s="294">
        <f t="shared" ca="1" si="2"/>
        <v>47568</v>
      </c>
      <c r="E48" s="359">
        <f t="shared" si="6"/>
        <v>1150000</v>
      </c>
      <c r="F48" s="360">
        <f t="shared" ca="1" si="3"/>
        <v>50</v>
      </c>
      <c r="G48" s="295">
        <f ca="1">KBACOI!Q47</f>
        <v>146.56878031911717</v>
      </c>
      <c r="H48" s="295">
        <f t="shared" ca="1" si="14"/>
        <v>22435.199758108862</v>
      </c>
      <c r="I48" s="948"/>
      <c r="J48" s="296">
        <f t="shared" ca="1" si="5"/>
        <v>22435.199758108862</v>
      </c>
      <c r="K48" s="949"/>
      <c r="L48" s="949"/>
      <c r="M48" s="949"/>
      <c r="N48" s="950"/>
      <c r="O48" s="950"/>
      <c r="P48" s="950"/>
      <c r="Q48" s="950"/>
    </row>
    <row r="49" spans="2:17" ht="9.75" customHeight="1">
      <c r="B49" s="955"/>
      <c r="C49" s="946"/>
      <c r="D49" s="294">
        <f t="shared" ca="1" si="2"/>
        <v>47599</v>
      </c>
      <c r="E49" s="359">
        <f t="shared" si="6"/>
        <v>1150000</v>
      </c>
      <c r="F49" s="360">
        <f t="shared" ca="1" si="3"/>
        <v>50</v>
      </c>
      <c r="G49" s="295">
        <f ca="1">KBACOI!Q48</f>
        <v>146.58342403144584</v>
      </c>
      <c r="H49" s="295">
        <f t="shared" ca="1" si="14"/>
        <v>22322.118161580445</v>
      </c>
      <c r="I49" s="948"/>
      <c r="J49" s="296">
        <f t="shared" ca="1" si="5"/>
        <v>22322.118161580445</v>
      </c>
      <c r="K49" s="949"/>
      <c r="L49" s="949"/>
      <c r="M49" s="949"/>
      <c r="N49" s="950"/>
      <c r="O49" s="950"/>
      <c r="P49" s="950"/>
      <c r="Q49" s="950"/>
    </row>
    <row r="50" spans="2:17" ht="9.75" customHeight="1">
      <c r="B50" s="955"/>
      <c r="C50" s="946"/>
      <c r="D50" s="294">
        <f t="shared" ca="1" si="2"/>
        <v>47629</v>
      </c>
      <c r="E50" s="359">
        <f t="shared" si="6"/>
        <v>1150000</v>
      </c>
      <c r="F50" s="360">
        <f t="shared" ca="1" si="3"/>
        <v>50</v>
      </c>
      <c r="G50" s="295">
        <f ca="1">KBACOI!Q49</f>
        <v>146.59812463899453</v>
      </c>
      <c r="H50" s="295">
        <f t="shared" ca="1" si="14"/>
        <v>22208.597209090352</v>
      </c>
      <c r="I50" s="948"/>
      <c r="J50" s="296">
        <f t="shared" ca="1" si="5"/>
        <v>22208.597209090352</v>
      </c>
      <c r="K50" s="949"/>
      <c r="L50" s="949"/>
      <c r="M50" s="949"/>
      <c r="N50" s="950"/>
      <c r="O50" s="950"/>
      <c r="P50" s="950"/>
      <c r="Q50" s="950"/>
    </row>
    <row r="51" spans="2:17" ht="9.75" customHeight="1">
      <c r="B51" s="955"/>
      <c r="C51" s="946"/>
      <c r="D51" s="294">
        <f t="shared" ca="1" si="2"/>
        <v>47660</v>
      </c>
      <c r="E51" s="359">
        <f t="shared" si="6"/>
        <v>1150000</v>
      </c>
      <c r="F51" s="360">
        <f t="shared" ca="1" si="3"/>
        <v>50</v>
      </c>
      <c r="G51" s="295">
        <f ca="1">KBACOI!Q50</f>
        <v>146.61288236281825</v>
      </c>
      <c r="H51" s="295">
        <f t="shared" ca="1" si="14"/>
        <v>22094.63519360873</v>
      </c>
      <c r="I51" s="948"/>
      <c r="J51" s="297">
        <f ca="1">H51+I40</f>
        <v>22094.63519360873</v>
      </c>
      <c r="K51" s="949"/>
      <c r="L51" s="949"/>
      <c r="M51" s="949"/>
      <c r="N51" s="950"/>
      <c r="O51" s="950"/>
      <c r="P51" s="950"/>
      <c r="Q51" s="950"/>
    </row>
    <row r="52" spans="2:17" ht="9.75" customHeight="1">
      <c r="B52" s="954">
        <v>5</v>
      </c>
      <c r="C52" s="952">
        <f ca="1">C40+1</f>
        <v>34</v>
      </c>
      <c r="D52" s="287">
        <f t="shared" ca="1" si="2"/>
        <v>47690</v>
      </c>
      <c r="E52" s="288">
        <f>'Tinh phi QL'!E13*1.2/1000</f>
        <v>1200000</v>
      </c>
      <c r="F52" s="289">
        <f t="shared" ca="1" si="3"/>
        <v>50</v>
      </c>
      <c r="G52" s="290">
        <f ca="1">KBACOI!Q51</f>
        <v>159.88706652354014</v>
      </c>
      <c r="H52" s="290">
        <f ca="1">(J51+KBAGTTKMH!F11-F52-G52)*(1+T3)</f>
        <v>29996.959743383253</v>
      </c>
      <c r="I52" s="953">
        <f>IF(COUNTIF(KBAGTTKMH!$E$7:E11,0)&gt;0,0,3%*'Tinh phi QL'!$H$13/1000)</f>
        <v>300</v>
      </c>
      <c r="J52" s="292">
        <f t="shared" ca="1" si="5"/>
        <v>29996.959743383253</v>
      </c>
      <c r="K52" s="949">
        <f ca="1">J63</f>
        <v>29197.111385214012</v>
      </c>
      <c r="L52" s="949"/>
      <c r="M52" s="949"/>
      <c r="N52" s="950">
        <f t="shared" ref="N52" ca="1" si="15">SUM(G52:G63)</f>
        <v>1919.5373614667351</v>
      </c>
      <c r="O52" s="950"/>
      <c r="P52" s="950">
        <f t="shared" ref="P52" ca="1" si="16">SUM(F52:F63)</f>
        <v>600</v>
      </c>
      <c r="Q52" s="950"/>
    </row>
    <row r="53" spans="2:17" ht="9.75" customHeight="1">
      <c r="B53" s="954"/>
      <c r="C53" s="951"/>
      <c r="D53" s="287">
        <f t="shared" ca="1" si="2"/>
        <v>47721</v>
      </c>
      <c r="E53" s="288">
        <f t="shared" si="6"/>
        <v>1200000</v>
      </c>
      <c r="F53" s="289">
        <f t="shared" ca="1" si="3"/>
        <v>50</v>
      </c>
      <c r="G53" s="290">
        <f ca="1">KBACOI!Q52</f>
        <v>159.9004155017376</v>
      </c>
      <c r="H53" s="290">
        <f ca="1">(H52-F53-G53)*(1+$T$3)</f>
        <v>29898.904141086368</v>
      </c>
      <c r="I53" s="953"/>
      <c r="J53" s="292">
        <f t="shared" ca="1" si="5"/>
        <v>29898.904141086368</v>
      </c>
      <c r="K53" s="949"/>
      <c r="L53" s="949"/>
      <c r="M53" s="949"/>
      <c r="N53" s="950"/>
      <c r="O53" s="950"/>
      <c r="P53" s="950"/>
      <c r="Q53" s="950"/>
    </row>
    <row r="54" spans="2:17" ht="9.75" customHeight="1">
      <c r="B54" s="954"/>
      <c r="C54" s="951"/>
      <c r="D54" s="287">
        <f t="shared" ca="1" si="2"/>
        <v>47752</v>
      </c>
      <c r="E54" s="288">
        <f t="shared" si="6"/>
        <v>1200000</v>
      </c>
      <c r="F54" s="289">
        <f t="shared" ca="1" si="3"/>
        <v>50</v>
      </c>
      <c r="G54" s="290">
        <f ca="1">KBACOI!Q53</f>
        <v>159.91381643405151</v>
      </c>
      <c r="H54" s="290">
        <f t="shared" ref="H54:H63" ca="1" si="17">(H53-F54-G54)*(1+$T$3)</f>
        <v>29800.466907169251</v>
      </c>
      <c r="I54" s="953"/>
      <c r="J54" s="292">
        <f t="shared" ca="1" si="5"/>
        <v>29800.466907169251</v>
      </c>
      <c r="K54" s="949"/>
      <c r="L54" s="949"/>
      <c r="M54" s="949"/>
      <c r="N54" s="950"/>
      <c r="O54" s="950"/>
      <c r="P54" s="950"/>
      <c r="Q54" s="950"/>
    </row>
    <row r="55" spans="2:17" ht="9.75" customHeight="1">
      <c r="B55" s="954"/>
      <c r="C55" s="951"/>
      <c r="D55" s="287">
        <f t="shared" ca="1" si="2"/>
        <v>47782</v>
      </c>
      <c r="E55" s="288">
        <f t="shared" si="6"/>
        <v>1200000</v>
      </c>
      <c r="F55" s="289">
        <f t="shared" ca="1" si="3"/>
        <v>50</v>
      </c>
      <c r="G55" s="290">
        <f ca="1">KBACOI!Q54</f>
        <v>159.92726952268686</v>
      </c>
      <c r="H55" s="290">
        <f t="shared" ca="1" si="17"/>
        <v>29701.646556324689</v>
      </c>
      <c r="I55" s="953"/>
      <c r="J55" s="292">
        <f t="shared" ca="1" si="5"/>
        <v>29701.646556324689</v>
      </c>
      <c r="K55" s="949"/>
      <c r="L55" s="949"/>
      <c r="M55" s="949"/>
      <c r="N55" s="950"/>
      <c r="O55" s="950"/>
      <c r="P55" s="950"/>
      <c r="Q55" s="950"/>
    </row>
    <row r="56" spans="2:17" ht="9.75" customHeight="1">
      <c r="B56" s="954"/>
      <c r="C56" s="951"/>
      <c r="D56" s="287">
        <f t="shared" ca="1" si="2"/>
        <v>47813</v>
      </c>
      <c r="E56" s="288">
        <f t="shared" si="6"/>
        <v>1200000</v>
      </c>
      <c r="F56" s="289">
        <f t="shared" ca="1" si="3"/>
        <v>50</v>
      </c>
      <c r="G56" s="290">
        <f ca="1">KBACOI!Q55</f>
        <v>159.9407749706356</v>
      </c>
      <c r="H56" s="290">
        <f t="shared" ca="1" si="17"/>
        <v>29602.441597464658</v>
      </c>
      <c r="I56" s="953"/>
      <c r="J56" s="292">
        <f t="shared" ca="1" si="5"/>
        <v>29602.441597464658</v>
      </c>
      <c r="K56" s="949"/>
      <c r="L56" s="949"/>
      <c r="M56" s="949"/>
      <c r="N56" s="950"/>
      <c r="O56" s="950"/>
      <c r="P56" s="950"/>
      <c r="Q56" s="950"/>
    </row>
    <row r="57" spans="2:17" ht="9.75" customHeight="1">
      <c r="B57" s="954"/>
      <c r="C57" s="951"/>
      <c r="D57" s="287">
        <f t="shared" ca="1" si="2"/>
        <v>47843</v>
      </c>
      <c r="E57" s="288">
        <f t="shared" si="6"/>
        <v>1200000</v>
      </c>
      <c r="F57" s="289">
        <f t="shared" ca="1" si="3"/>
        <v>50</v>
      </c>
      <c r="G57" s="290">
        <f ca="1">KBACOI!Q56</f>
        <v>159.95433298167981</v>
      </c>
      <c r="H57" s="290">
        <f t="shared" ca="1" si="17"/>
        <v>29502.850533697841</v>
      </c>
      <c r="I57" s="953"/>
      <c r="J57" s="292">
        <f t="shared" ca="1" si="5"/>
        <v>29502.850533697841</v>
      </c>
      <c r="K57" s="949"/>
      <c r="L57" s="949"/>
      <c r="M57" s="949"/>
      <c r="N57" s="950"/>
      <c r="O57" s="950"/>
      <c r="P57" s="950"/>
      <c r="Q57" s="950"/>
    </row>
    <row r="58" spans="2:17" ht="9.75" customHeight="1">
      <c r="B58" s="954"/>
      <c r="C58" s="951"/>
      <c r="D58" s="287">
        <f t="shared" ca="1" si="2"/>
        <v>47874</v>
      </c>
      <c r="E58" s="288">
        <f t="shared" si="6"/>
        <v>1200000</v>
      </c>
      <c r="F58" s="289">
        <f t="shared" ca="1" si="3"/>
        <v>50</v>
      </c>
      <c r="G58" s="290">
        <f ca="1">KBACOI!Q57</f>
        <v>159.96794376039463</v>
      </c>
      <c r="H58" s="290">
        <f t="shared" ca="1" si="17"/>
        <v>29402.871862307027</v>
      </c>
      <c r="I58" s="953"/>
      <c r="J58" s="292">
        <f t="shared" ca="1" si="5"/>
        <v>29402.871862307027</v>
      </c>
      <c r="K58" s="949"/>
      <c r="L58" s="949"/>
      <c r="M58" s="949"/>
      <c r="N58" s="950"/>
      <c r="O58" s="950"/>
      <c r="P58" s="950"/>
      <c r="Q58" s="950"/>
    </row>
    <row r="59" spans="2:17" ht="9.75" customHeight="1">
      <c r="B59" s="954"/>
      <c r="C59" s="951"/>
      <c r="D59" s="287">
        <f t="shared" ca="1" si="2"/>
        <v>47905</v>
      </c>
      <c r="E59" s="288">
        <f t="shared" si="6"/>
        <v>1200000</v>
      </c>
      <c r="F59" s="289">
        <f t="shared" ca="1" si="3"/>
        <v>50</v>
      </c>
      <c r="G59" s="290">
        <f ca="1">KBACOI!Q58</f>
        <v>159.98160751215138</v>
      </c>
      <c r="H59" s="290">
        <f t="shared" ca="1" si="17"/>
        <v>29302.504074726443</v>
      </c>
      <c r="I59" s="953"/>
      <c r="J59" s="292">
        <f t="shared" ca="1" si="5"/>
        <v>29302.504074726443</v>
      </c>
      <c r="K59" s="949"/>
      <c r="L59" s="949"/>
      <c r="M59" s="949"/>
      <c r="N59" s="950"/>
      <c r="O59" s="950"/>
      <c r="P59" s="950"/>
      <c r="Q59" s="950"/>
    </row>
    <row r="60" spans="2:17" ht="9.75" customHeight="1">
      <c r="B60" s="954"/>
      <c r="C60" s="951"/>
      <c r="D60" s="287">
        <f t="shared" ca="1" si="2"/>
        <v>47933</v>
      </c>
      <c r="E60" s="288">
        <f t="shared" si="6"/>
        <v>1200000</v>
      </c>
      <c r="F60" s="289">
        <f t="shared" ca="1" si="3"/>
        <v>50</v>
      </c>
      <c r="G60" s="290">
        <f ca="1">KBACOI!Q59</f>
        <v>159.99532444312069</v>
      </c>
      <c r="H60" s="290">
        <f t="shared" ca="1" si="17"/>
        <v>29201.74565651899</v>
      </c>
      <c r="I60" s="953"/>
      <c r="J60" s="292">
        <f t="shared" ca="1" si="5"/>
        <v>29201.74565651899</v>
      </c>
      <c r="K60" s="949"/>
      <c r="L60" s="949"/>
      <c r="M60" s="949"/>
      <c r="N60" s="950"/>
      <c r="O60" s="950"/>
      <c r="P60" s="950"/>
      <c r="Q60" s="950"/>
    </row>
    <row r="61" spans="2:17" ht="9.75" customHeight="1">
      <c r="B61" s="954"/>
      <c r="C61" s="951"/>
      <c r="D61" s="287">
        <f t="shared" ca="1" si="2"/>
        <v>47964</v>
      </c>
      <c r="E61" s="288">
        <f t="shared" si="6"/>
        <v>1200000</v>
      </c>
      <c r="F61" s="289">
        <f t="shared" ca="1" si="3"/>
        <v>50</v>
      </c>
      <c r="G61" s="290">
        <f ca="1">KBACOI!Q60</f>
        <v>160.00909476027573</v>
      </c>
      <c r="H61" s="290">
        <f t="shared" ca="1" si="17"/>
        <v>29100.595087353384</v>
      </c>
      <c r="I61" s="953"/>
      <c r="J61" s="292">
        <f t="shared" ca="1" si="5"/>
        <v>29100.595087353384</v>
      </c>
      <c r="K61" s="949"/>
      <c r="L61" s="949"/>
      <c r="M61" s="949"/>
      <c r="N61" s="950"/>
      <c r="O61" s="950"/>
      <c r="P61" s="950"/>
      <c r="Q61" s="950"/>
    </row>
    <row r="62" spans="2:17" ht="9.75" customHeight="1">
      <c r="B62" s="954"/>
      <c r="C62" s="951"/>
      <c r="D62" s="287">
        <f t="shared" ca="1" si="2"/>
        <v>47994</v>
      </c>
      <c r="E62" s="288">
        <f t="shared" si="6"/>
        <v>1200000</v>
      </c>
      <c r="F62" s="289">
        <f t="shared" ca="1" si="3"/>
        <v>50</v>
      </c>
      <c r="G62" s="290">
        <f ca="1">KBACOI!Q61</f>
        <v>160.02291867139505</v>
      </c>
      <c r="H62" s="290">
        <f t="shared" ca="1" si="17"/>
        <v>28999.050840981239</v>
      </c>
      <c r="I62" s="953"/>
      <c r="J62" s="292">
        <f t="shared" ca="1" si="5"/>
        <v>28999.050840981239</v>
      </c>
      <c r="K62" s="949"/>
      <c r="L62" s="949"/>
      <c r="M62" s="949"/>
      <c r="N62" s="950"/>
      <c r="O62" s="950"/>
      <c r="P62" s="950"/>
      <c r="Q62" s="950"/>
    </row>
    <row r="63" spans="2:17" ht="9.75" customHeight="1">
      <c r="B63" s="954"/>
      <c r="C63" s="951"/>
      <c r="D63" s="287">
        <f t="shared" ca="1" si="2"/>
        <v>48025</v>
      </c>
      <c r="E63" s="288">
        <f t="shared" si="6"/>
        <v>1200000</v>
      </c>
      <c r="F63" s="289">
        <f t="shared" ca="1" si="3"/>
        <v>50</v>
      </c>
      <c r="G63" s="290">
        <f ca="1">KBACOI!Q62</f>
        <v>160.03679638506588</v>
      </c>
      <c r="H63" s="290">
        <f t="shared" ca="1" si="17"/>
        <v>28897.111385214012</v>
      </c>
      <c r="I63" s="953"/>
      <c r="J63" s="293">
        <f ca="1">H63+I52</f>
        <v>29197.111385214012</v>
      </c>
      <c r="K63" s="949"/>
      <c r="L63" s="949"/>
      <c r="M63" s="949"/>
      <c r="N63" s="950"/>
      <c r="O63" s="950"/>
      <c r="P63" s="950"/>
      <c r="Q63" s="950"/>
    </row>
    <row r="64" spans="2:17" ht="9.75" customHeight="1">
      <c r="B64" s="946">
        <f>B52+1</f>
        <v>6</v>
      </c>
      <c r="C64" s="947">
        <f ca="1">C52+1</f>
        <v>35</v>
      </c>
      <c r="D64" s="294">
        <f t="shared" ca="1" si="2"/>
        <v>48055</v>
      </c>
      <c r="E64" s="359">
        <f>'Tinh phi QL'!E13*1.25/1000</f>
        <v>1250000</v>
      </c>
      <c r="F64" s="360">
        <f t="shared" ca="1" si="3"/>
        <v>50</v>
      </c>
      <c r="G64" s="295">
        <f ca="1">KBACOI!Q63</f>
        <v>175.19175121960572</v>
      </c>
      <c r="H64" s="295">
        <f ca="1">(J63+KBAGTTKMH!F12-F64-G64)*(1+U3)</f>
        <v>38917.500910122544</v>
      </c>
      <c r="I64" s="953">
        <f>IF(COUNTIF(KBAGTTKMH!$E$7:E12,0)&gt;0,0,3%*'Tinh phi QL'!$H$13/1000)</f>
        <v>300</v>
      </c>
      <c r="J64" s="296">
        <f t="shared" ca="1" si="5"/>
        <v>38917.500910122544</v>
      </c>
      <c r="K64" s="949">
        <f ca="1">J75</f>
        <v>38321.025084131237</v>
      </c>
      <c r="L64" s="949"/>
      <c r="M64" s="949"/>
      <c r="N64" s="950">
        <f t="shared" ref="N64" ca="1" si="18">SUM(G64:G75)</f>
        <v>2103.0711043332226</v>
      </c>
      <c r="O64" s="950"/>
      <c r="P64" s="950">
        <f t="shared" ref="P64" ca="1" si="19">SUM(F64:F75)</f>
        <v>600</v>
      </c>
      <c r="Q64" s="950"/>
    </row>
    <row r="65" spans="2:17" ht="9.75" customHeight="1">
      <c r="B65" s="946"/>
      <c r="C65" s="946"/>
      <c r="D65" s="294">
        <f t="shared" ca="1" si="2"/>
        <v>48086</v>
      </c>
      <c r="E65" s="359">
        <f t="shared" si="6"/>
        <v>1250000</v>
      </c>
      <c r="F65" s="360">
        <f t="shared" ca="1" si="3"/>
        <v>50</v>
      </c>
      <c r="G65" s="295">
        <f ca="1">KBACOI!Q64</f>
        <v>175.20326820166895</v>
      </c>
      <c r="H65" s="295">
        <f ca="1">(H64-F65-G65)*(1+$U$3)</f>
        <v>38837.579952423286</v>
      </c>
      <c r="I65" s="953"/>
      <c r="J65" s="296">
        <f t="shared" ca="1" si="5"/>
        <v>38837.579952423286</v>
      </c>
      <c r="K65" s="949"/>
      <c r="L65" s="949"/>
      <c r="M65" s="949"/>
      <c r="N65" s="950"/>
      <c r="O65" s="950"/>
      <c r="P65" s="950"/>
      <c r="Q65" s="950"/>
    </row>
    <row r="66" spans="2:17" ht="9.75" customHeight="1">
      <c r="B66" s="946"/>
      <c r="C66" s="946"/>
      <c r="D66" s="294">
        <f t="shared" ca="1" si="2"/>
        <v>48117</v>
      </c>
      <c r="E66" s="359">
        <f t="shared" si="6"/>
        <v>1250000</v>
      </c>
      <c r="F66" s="360">
        <f t="shared" ca="1" si="3"/>
        <v>50</v>
      </c>
      <c r="G66" s="295">
        <f ca="1">KBACOI!Q65</f>
        <v>175.21483010021609</v>
      </c>
      <c r="H66" s="295">
        <f t="shared" ref="H66:H75" ca="1" si="20">(H65-F66-G66)*(1+$U$3)</f>
        <v>38757.34730122723</v>
      </c>
      <c r="I66" s="953"/>
      <c r="J66" s="296">
        <f t="shared" ca="1" si="5"/>
        <v>38757.34730122723</v>
      </c>
      <c r="K66" s="949"/>
      <c r="L66" s="949"/>
      <c r="M66" s="949"/>
      <c r="N66" s="950"/>
      <c r="O66" s="950"/>
      <c r="P66" s="950"/>
      <c r="Q66" s="950"/>
    </row>
    <row r="67" spans="2:17" ht="9.75" customHeight="1">
      <c r="B67" s="946"/>
      <c r="C67" s="946"/>
      <c r="D67" s="294">
        <f t="shared" ca="1" si="2"/>
        <v>48147</v>
      </c>
      <c r="E67" s="359">
        <f t="shared" si="6"/>
        <v>1250000</v>
      </c>
      <c r="F67" s="360">
        <f t="shared" ca="1" si="3"/>
        <v>50</v>
      </c>
      <c r="G67" s="295">
        <f ca="1">KBACOI!Q66</f>
        <v>175.22643709042245</v>
      </c>
      <c r="H67" s="295">
        <f t="shared" ca="1" si="20"/>
        <v>38676.801740922863</v>
      </c>
      <c r="I67" s="953"/>
      <c r="J67" s="296">
        <f t="shared" ca="1" si="5"/>
        <v>38676.801740922863</v>
      </c>
      <c r="K67" s="949"/>
      <c r="L67" s="949"/>
      <c r="M67" s="949"/>
      <c r="N67" s="950"/>
      <c r="O67" s="950"/>
      <c r="P67" s="950"/>
      <c r="Q67" s="950"/>
    </row>
    <row r="68" spans="2:17" ht="9.75" customHeight="1">
      <c r="B68" s="946"/>
      <c r="C68" s="946"/>
      <c r="D68" s="294">
        <f t="shared" ca="1" si="2"/>
        <v>48178</v>
      </c>
      <c r="E68" s="359">
        <f t="shared" si="6"/>
        <v>1250000</v>
      </c>
      <c r="F68" s="360">
        <f t="shared" ca="1" si="3"/>
        <v>50</v>
      </c>
      <c r="G68" s="295">
        <f ca="1">KBACOI!Q67</f>
        <v>175.23808934814645</v>
      </c>
      <c r="H68" s="295">
        <f t="shared" ca="1" si="20"/>
        <v>38595.94205115777</v>
      </c>
      <c r="I68" s="953"/>
      <c r="J68" s="296">
        <f t="shared" ca="1" si="5"/>
        <v>38595.94205115777</v>
      </c>
      <c r="K68" s="949"/>
      <c r="L68" s="949"/>
      <c r="M68" s="949"/>
      <c r="N68" s="950"/>
      <c r="O68" s="950"/>
      <c r="P68" s="950"/>
      <c r="Q68" s="950"/>
    </row>
    <row r="69" spans="2:17" ht="9.75" customHeight="1">
      <c r="B69" s="946"/>
      <c r="C69" s="946"/>
      <c r="D69" s="294">
        <f t="shared" ref="D69:D132" ca="1" si="21">EDATE(D68,1)</f>
        <v>48208</v>
      </c>
      <c r="E69" s="359">
        <f t="shared" si="6"/>
        <v>1250000</v>
      </c>
      <c r="F69" s="360">
        <f t="shared" ref="F69:F132" ca="1" si="22">IF(YEAR(D69)=2025,40000,IF(YEAR(D69)=2026,40000,IF(YEAR(D69)=2027,40000,IF(YEAR(D69)=2028,40000,IF(YEAR(D69)=2029,40000,IF(YEAR(D69)=2030,50000,IF(YEAR(D69)=2031,50000,IF(YEAR(D69)=2032,50000,IF(YEAR(D69)=2033,50000,IF(YEAR(D69)=2034,50000,IF(YEAR(D69)&gt;=2035,60000,0)))))))))))/1000</f>
        <v>50</v>
      </c>
      <c r="G69" s="295">
        <f ca="1">KBACOI!Q68</f>
        <v>175.24978704993248</v>
      </c>
      <c r="H69" s="295">
        <f t="shared" ca="1" si="20"/>
        <v>38514.767006820119</v>
      </c>
      <c r="I69" s="953"/>
      <c r="J69" s="296">
        <f t="shared" ref="J69:J132" ca="1" si="23">H69</f>
        <v>38514.767006820119</v>
      </c>
      <c r="K69" s="949"/>
      <c r="L69" s="949"/>
      <c r="M69" s="949"/>
      <c r="N69" s="950"/>
      <c r="O69" s="950"/>
      <c r="P69" s="950"/>
      <c r="Q69" s="950"/>
    </row>
    <row r="70" spans="2:17" ht="9.75" customHeight="1">
      <c r="B70" s="946"/>
      <c r="C70" s="946"/>
      <c r="D70" s="294">
        <f t="shared" ca="1" si="21"/>
        <v>48239</v>
      </c>
      <c r="E70" s="359">
        <f t="shared" ref="E70:E133" si="24">E69</f>
        <v>1250000</v>
      </c>
      <c r="F70" s="360">
        <f t="shared" ca="1" si="22"/>
        <v>50</v>
      </c>
      <c r="G70" s="295">
        <f ca="1">KBACOI!Q69</f>
        <v>175.26153037301333</v>
      </c>
      <c r="H70" s="295">
        <f t="shared" ca="1" si="20"/>
        <v>38433.275378020131</v>
      </c>
      <c r="I70" s="953"/>
      <c r="J70" s="296">
        <f t="shared" ca="1" si="23"/>
        <v>38433.275378020131</v>
      </c>
      <c r="K70" s="949"/>
      <c r="L70" s="949"/>
      <c r="M70" s="949"/>
      <c r="N70" s="950"/>
      <c r="O70" s="950"/>
      <c r="P70" s="950"/>
      <c r="Q70" s="950"/>
    </row>
    <row r="71" spans="2:17" ht="9.75" customHeight="1">
      <c r="B71" s="946"/>
      <c r="C71" s="946"/>
      <c r="D71" s="294">
        <f t="shared" ca="1" si="21"/>
        <v>48270</v>
      </c>
      <c r="E71" s="359">
        <f t="shared" si="24"/>
        <v>1250000</v>
      </c>
      <c r="F71" s="360">
        <f t="shared" ca="1" si="22"/>
        <v>50</v>
      </c>
      <c r="G71" s="295">
        <f ca="1">KBACOI!Q70</f>
        <v>175.2733194953131</v>
      </c>
      <c r="H71" s="295">
        <f t="shared" ca="1" si="20"/>
        <v>38351.465930071427</v>
      </c>
      <c r="I71" s="953"/>
      <c r="J71" s="296">
        <f t="shared" ca="1" si="23"/>
        <v>38351.465930071427</v>
      </c>
      <c r="K71" s="949"/>
      <c r="L71" s="949"/>
      <c r="M71" s="949"/>
      <c r="N71" s="950"/>
      <c r="O71" s="950"/>
      <c r="P71" s="950"/>
      <c r="Q71" s="950"/>
    </row>
    <row r="72" spans="2:17" ht="9.75" customHeight="1">
      <c r="B72" s="946"/>
      <c r="C72" s="946"/>
      <c r="D72" s="294">
        <f t="shared" ca="1" si="21"/>
        <v>48299</v>
      </c>
      <c r="E72" s="359">
        <f t="shared" si="24"/>
        <v>1250000</v>
      </c>
      <c r="F72" s="360">
        <f t="shared" ca="1" si="22"/>
        <v>50</v>
      </c>
      <c r="G72" s="295">
        <f ca="1">KBACOI!Q71</f>
        <v>175.28515459544971</v>
      </c>
      <c r="H72" s="295">
        <f t="shared" ca="1" si="20"/>
        <v>38269.337423472316</v>
      </c>
      <c r="I72" s="953"/>
      <c r="J72" s="296">
        <f t="shared" ca="1" si="23"/>
        <v>38269.337423472316</v>
      </c>
      <c r="K72" s="949"/>
      <c r="L72" s="949"/>
      <c r="M72" s="949"/>
      <c r="N72" s="950"/>
      <c r="O72" s="950"/>
      <c r="P72" s="950"/>
      <c r="Q72" s="950"/>
    </row>
    <row r="73" spans="2:17" ht="9.75" customHeight="1">
      <c r="B73" s="946"/>
      <c r="C73" s="946"/>
      <c r="D73" s="294">
        <f t="shared" ca="1" si="21"/>
        <v>48330</v>
      </c>
      <c r="E73" s="359">
        <f t="shared" si="24"/>
        <v>1250000</v>
      </c>
      <c r="F73" s="360">
        <f t="shared" ca="1" si="22"/>
        <v>50</v>
      </c>
      <c r="G73" s="295">
        <f ca="1">KBACOI!Q72</f>
        <v>175.29703585273771</v>
      </c>
      <c r="H73" s="295">
        <f t="shared" ca="1" si="20"/>
        <v>38186.888613887029</v>
      </c>
      <c r="I73" s="953"/>
      <c r="J73" s="296">
        <f t="shared" ca="1" si="23"/>
        <v>38186.888613887029</v>
      </c>
      <c r="K73" s="949"/>
      <c r="L73" s="949"/>
      <c r="M73" s="949"/>
      <c r="N73" s="950"/>
      <c r="O73" s="950"/>
      <c r="P73" s="950"/>
      <c r="Q73" s="950"/>
    </row>
    <row r="74" spans="2:17" ht="9.75" customHeight="1">
      <c r="B74" s="946"/>
      <c r="C74" s="946"/>
      <c r="D74" s="294">
        <f t="shared" ca="1" si="21"/>
        <v>48360</v>
      </c>
      <c r="E74" s="359">
        <f t="shared" si="24"/>
        <v>1250000</v>
      </c>
      <c r="F74" s="360">
        <f t="shared" ca="1" si="22"/>
        <v>50</v>
      </c>
      <c r="G74" s="295">
        <f ca="1">KBACOI!Q73</f>
        <v>175.30896344719099</v>
      </c>
      <c r="H74" s="295">
        <f t="shared" ca="1" si="20"/>
        <v>38104.118252126857</v>
      </c>
      <c r="I74" s="953"/>
      <c r="J74" s="296">
        <f t="shared" ca="1" si="23"/>
        <v>38104.118252126857</v>
      </c>
      <c r="K74" s="949"/>
      <c r="L74" s="949"/>
      <c r="M74" s="949"/>
      <c r="N74" s="950"/>
      <c r="O74" s="950"/>
      <c r="P74" s="950"/>
      <c r="Q74" s="950"/>
    </row>
    <row r="75" spans="2:17" ht="9.75" customHeight="1">
      <c r="B75" s="946"/>
      <c r="C75" s="946"/>
      <c r="D75" s="294">
        <f t="shared" ca="1" si="21"/>
        <v>48391</v>
      </c>
      <c r="E75" s="359">
        <f t="shared" si="24"/>
        <v>1250000</v>
      </c>
      <c r="F75" s="360">
        <f t="shared" ca="1" si="22"/>
        <v>50</v>
      </c>
      <c r="G75" s="295">
        <f ca="1">KBACOI!Q74</f>
        <v>175.32093755952565</v>
      </c>
      <c r="H75" s="295">
        <f t="shared" ca="1" si="20"/>
        <v>38021.025084131237</v>
      </c>
      <c r="I75" s="953"/>
      <c r="J75" s="297">
        <f ca="1">H75+I64</f>
        <v>38321.025084131237</v>
      </c>
      <c r="K75" s="949"/>
      <c r="L75" s="949"/>
      <c r="M75" s="949"/>
      <c r="N75" s="950"/>
      <c r="O75" s="950"/>
      <c r="P75" s="950"/>
      <c r="Q75" s="950"/>
    </row>
    <row r="76" spans="2:17" ht="9.75" customHeight="1">
      <c r="B76" s="951">
        <f>B64+1</f>
        <v>7</v>
      </c>
      <c r="C76" s="952">
        <f ca="1">C64+1</f>
        <v>36</v>
      </c>
      <c r="D76" s="287">
        <f t="shared" ca="1" si="21"/>
        <v>48421</v>
      </c>
      <c r="E76" s="288">
        <f>'Tinh phi QL'!E13*1.3/1000</f>
        <v>1300000</v>
      </c>
      <c r="F76" s="289">
        <f t="shared" ca="1" si="22"/>
        <v>50</v>
      </c>
      <c r="G76" s="290">
        <f ca="1">KBACOI!Q75</f>
        <v>193.62394812032107</v>
      </c>
      <c r="H76" s="290">
        <f ca="1">(J75+KBAGTTKMH!F13-F76-G76)*(1+$U$3)</f>
        <v>48057.171784998027</v>
      </c>
      <c r="I76" s="953">
        <f>IF(COUNTIF(KBAGTTKMH!$E$7:E13,0)&gt;0,0,3%*'Tinh phi QL'!$H$13/1000)</f>
        <v>300</v>
      </c>
      <c r="J76" s="292">
        <f t="shared" ca="1" si="23"/>
        <v>48057.171784998027</v>
      </c>
      <c r="K76" s="949">
        <f ca="1">J87</f>
        <v>47638.090590096042</v>
      </c>
      <c r="L76" s="949"/>
      <c r="M76" s="949"/>
      <c r="N76" s="950">
        <f t="shared" ref="N76" ca="1" si="25">SUM(G76:G87)</f>
        <v>2324.147762575773</v>
      </c>
      <c r="O76" s="950"/>
      <c r="P76" s="950">
        <f t="shared" ref="P76" ca="1" si="26">SUM(F76:F87)</f>
        <v>600</v>
      </c>
      <c r="Q76" s="950"/>
    </row>
    <row r="77" spans="2:17" ht="9.75" customHeight="1">
      <c r="B77" s="951"/>
      <c r="C77" s="951"/>
      <c r="D77" s="287">
        <f t="shared" ca="1" si="21"/>
        <v>48452</v>
      </c>
      <c r="E77" s="288">
        <f t="shared" si="24"/>
        <v>1300000</v>
      </c>
      <c r="F77" s="289">
        <f t="shared" ca="1" si="22"/>
        <v>50</v>
      </c>
      <c r="G77" s="290">
        <f ca="1">KBACOI!Q76</f>
        <v>193.63382409725364</v>
      </c>
      <c r="H77" s="290">
        <f ca="1">(H76-F77-G77)*(1+$U$3)</f>
        <v>47993.068815660059</v>
      </c>
      <c r="I77" s="953"/>
      <c r="J77" s="292">
        <f t="shared" ca="1" si="23"/>
        <v>47993.068815660059</v>
      </c>
      <c r="K77" s="949"/>
      <c r="L77" s="949"/>
      <c r="M77" s="949"/>
      <c r="N77" s="950"/>
      <c r="O77" s="950"/>
      <c r="P77" s="950"/>
      <c r="Q77" s="950"/>
    </row>
    <row r="78" spans="2:17" ht="9.75" customHeight="1">
      <c r="B78" s="951"/>
      <c r="C78" s="951"/>
      <c r="D78" s="287">
        <f t="shared" ca="1" si="21"/>
        <v>48483</v>
      </c>
      <c r="E78" s="288">
        <f t="shared" si="24"/>
        <v>1300000</v>
      </c>
      <c r="F78" s="289">
        <f t="shared" ca="1" si="22"/>
        <v>50</v>
      </c>
      <c r="G78" s="290">
        <f ca="1">KBACOI!Q77</f>
        <v>193.64373868984464</v>
      </c>
      <c r="H78" s="290">
        <f t="shared" ref="H78:H87" ca="1" si="27">(H77-F78-G78)*(1+$U$3)</f>
        <v>47928.715199891943</v>
      </c>
      <c r="I78" s="953"/>
      <c r="J78" s="292">
        <f t="shared" ca="1" si="23"/>
        <v>47928.715199891943</v>
      </c>
      <c r="K78" s="949"/>
      <c r="L78" s="949"/>
      <c r="M78" s="949"/>
      <c r="N78" s="950"/>
      <c r="O78" s="950"/>
      <c r="P78" s="950"/>
      <c r="Q78" s="950"/>
    </row>
    <row r="79" spans="2:17" ht="9.75" customHeight="1">
      <c r="B79" s="951"/>
      <c r="C79" s="951"/>
      <c r="D79" s="287">
        <f t="shared" ca="1" si="21"/>
        <v>48513</v>
      </c>
      <c r="E79" s="288">
        <f t="shared" si="24"/>
        <v>1300000</v>
      </c>
      <c r="F79" s="289">
        <f t="shared" ca="1" si="22"/>
        <v>50</v>
      </c>
      <c r="G79" s="290">
        <f ca="1">KBACOI!Q78</f>
        <v>193.65369204908336</v>
      </c>
      <c r="H79" s="290">
        <f t="shared" ca="1" si="27"/>
        <v>47864.109957651213</v>
      </c>
      <c r="I79" s="953"/>
      <c r="J79" s="292">
        <f t="shared" ca="1" si="23"/>
        <v>47864.109957651213</v>
      </c>
      <c r="K79" s="949"/>
      <c r="L79" s="949"/>
      <c r="M79" s="949"/>
      <c r="N79" s="950"/>
      <c r="O79" s="950"/>
      <c r="P79" s="950"/>
      <c r="Q79" s="950"/>
    </row>
    <row r="80" spans="2:17" ht="9.75" customHeight="1">
      <c r="B80" s="951"/>
      <c r="C80" s="951"/>
      <c r="D80" s="287">
        <f t="shared" ca="1" si="21"/>
        <v>48544</v>
      </c>
      <c r="E80" s="288">
        <f t="shared" si="24"/>
        <v>1300000</v>
      </c>
      <c r="F80" s="289">
        <f t="shared" ca="1" si="22"/>
        <v>50</v>
      </c>
      <c r="G80" s="290">
        <f ca="1">KBACOI!Q79</f>
        <v>193.66368432654997</v>
      </c>
      <c r="H80" s="290">
        <f t="shared" ca="1" si="27"/>
        <v>47799.252105063359</v>
      </c>
      <c r="I80" s="953"/>
      <c r="J80" s="292">
        <f t="shared" ca="1" si="23"/>
        <v>47799.252105063359</v>
      </c>
      <c r="K80" s="949"/>
      <c r="L80" s="949"/>
      <c r="M80" s="949"/>
      <c r="N80" s="950"/>
      <c r="O80" s="950"/>
      <c r="P80" s="950"/>
      <c r="Q80" s="950"/>
    </row>
    <row r="81" spans="2:17" ht="9.75" customHeight="1">
      <c r="B81" s="951"/>
      <c r="C81" s="951"/>
      <c r="D81" s="287">
        <f t="shared" ca="1" si="21"/>
        <v>48574</v>
      </c>
      <c r="E81" s="288">
        <f t="shared" si="24"/>
        <v>1300000</v>
      </c>
      <c r="F81" s="289">
        <f t="shared" ca="1" si="22"/>
        <v>50</v>
      </c>
      <c r="G81" s="290">
        <f ca="1">KBACOI!Q80</f>
        <v>193.67371567441691</v>
      </c>
      <c r="H81" s="290">
        <f t="shared" ca="1" si="27"/>
        <v>47734.140654406867</v>
      </c>
      <c r="I81" s="953"/>
      <c r="J81" s="292">
        <f t="shared" ca="1" si="23"/>
        <v>47734.140654406867</v>
      </c>
      <c r="K81" s="949"/>
      <c r="L81" s="949"/>
      <c r="M81" s="949"/>
      <c r="N81" s="950"/>
      <c r="O81" s="950"/>
      <c r="P81" s="950"/>
      <c r="Q81" s="950"/>
    </row>
    <row r="82" spans="2:17" ht="9.75" customHeight="1">
      <c r="B82" s="951"/>
      <c r="C82" s="951"/>
      <c r="D82" s="287">
        <f t="shared" ca="1" si="21"/>
        <v>48605</v>
      </c>
      <c r="E82" s="288">
        <f t="shared" si="24"/>
        <v>1300000</v>
      </c>
      <c r="F82" s="289">
        <f t="shared" ca="1" si="22"/>
        <v>50</v>
      </c>
      <c r="G82" s="290">
        <f ca="1">KBACOI!Q81</f>
        <v>193.68378624545173</v>
      </c>
      <c r="H82" s="290">
        <f t="shared" ca="1" si="27"/>
        <v>47668.774614098184</v>
      </c>
      <c r="I82" s="953"/>
      <c r="J82" s="292">
        <f t="shared" ca="1" si="23"/>
        <v>47668.774614098184</v>
      </c>
      <c r="K82" s="949"/>
      <c r="L82" s="949"/>
      <c r="M82" s="949"/>
      <c r="N82" s="950"/>
      <c r="O82" s="950"/>
      <c r="P82" s="950"/>
      <c r="Q82" s="950"/>
    </row>
    <row r="83" spans="2:17" ht="9.75" customHeight="1">
      <c r="B83" s="951"/>
      <c r="C83" s="951"/>
      <c r="D83" s="287">
        <f t="shared" ca="1" si="21"/>
        <v>48636</v>
      </c>
      <c r="E83" s="288">
        <f t="shared" si="24"/>
        <v>1300000</v>
      </c>
      <c r="F83" s="289">
        <f t="shared" ca="1" si="22"/>
        <v>50</v>
      </c>
      <c r="G83" s="290">
        <f ca="1">KBACOI!Q82</f>
        <v>193.69389619301947</v>
      </c>
      <c r="H83" s="290">
        <f t="shared" ca="1" si="27"/>
        <v>47603.152988676593</v>
      </c>
      <c r="I83" s="953"/>
      <c r="J83" s="292">
        <f t="shared" ca="1" si="23"/>
        <v>47603.152988676593</v>
      </c>
      <c r="K83" s="949"/>
      <c r="L83" s="949"/>
      <c r="M83" s="949"/>
      <c r="N83" s="950"/>
      <c r="O83" s="950"/>
      <c r="P83" s="950"/>
      <c r="Q83" s="950"/>
    </row>
    <row r="84" spans="2:17" ht="9.75" customHeight="1">
      <c r="B84" s="951"/>
      <c r="C84" s="951"/>
      <c r="D84" s="287">
        <f t="shared" ca="1" si="21"/>
        <v>48664</v>
      </c>
      <c r="E84" s="288">
        <f t="shared" si="24"/>
        <v>1300000</v>
      </c>
      <c r="F84" s="289">
        <f t="shared" ca="1" si="22"/>
        <v>50</v>
      </c>
      <c r="G84" s="290">
        <f ca="1">KBACOI!Q83</f>
        <v>193.70404567108471</v>
      </c>
      <c r="H84" s="290">
        <f t="shared" ca="1" si="27"/>
        <v>47537.274778789077</v>
      </c>
      <c r="I84" s="953"/>
      <c r="J84" s="292">
        <f t="shared" ca="1" si="23"/>
        <v>47537.274778789077</v>
      </c>
      <c r="K84" s="949"/>
      <c r="L84" s="949"/>
      <c r="M84" s="949"/>
      <c r="N84" s="950"/>
      <c r="O84" s="950"/>
      <c r="P84" s="950"/>
      <c r="Q84" s="950"/>
    </row>
    <row r="85" spans="2:17" ht="9.75" customHeight="1">
      <c r="B85" s="951"/>
      <c r="C85" s="951"/>
      <c r="D85" s="287">
        <f t="shared" ca="1" si="21"/>
        <v>48695</v>
      </c>
      <c r="E85" s="288">
        <f t="shared" si="24"/>
        <v>1300000</v>
      </c>
      <c r="F85" s="289">
        <f t="shared" ca="1" si="22"/>
        <v>50</v>
      </c>
      <c r="G85" s="290">
        <f ca="1">KBACOI!Q84</f>
        <v>193.71423483421395</v>
      </c>
      <c r="H85" s="290">
        <f t="shared" ca="1" si="27"/>
        <v>47471.138981175078</v>
      </c>
      <c r="I85" s="953"/>
      <c r="J85" s="292">
        <f t="shared" ca="1" si="23"/>
        <v>47471.138981175078</v>
      </c>
      <c r="K85" s="949"/>
      <c r="L85" s="949"/>
      <c r="M85" s="949"/>
      <c r="N85" s="950"/>
      <c r="O85" s="950"/>
      <c r="P85" s="950"/>
      <c r="Q85" s="950"/>
    </row>
    <row r="86" spans="2:17" ht="9.75" customHeight="1">
      <c r="B86" s="951"/>
      <c r="C86" s="951"/>
      <c r="D86" s="287">
        <f t="shared" ca="1" si="21"/>
        <v>48725</v>
      </c>
      <c r="E86" s="288">
        <f t="shared" si="24"/>
        <v>1300000</v>
      </c>
      <c r="F86" s="289">
        <f t="shared" ca="1" si="22"/>
        <v>50</v>
      </c>
      <c r="G86" s="290">
        <f ca="1">KBACOI!Q85</f>
        <v>193.72446383757827</v>
      </c>
      <c r="H86" s="290">
        <f t="shared" ca="1" si="27"/>
        <v>47404.744588651236</v>
      </c>
      <c r="I86" s="953"/>
      <c r="J86" s="292">
        <f t="shared" ca="1" si="23"/>
        <v>47404.744588651236</v>
      </c>
      <c r="K86" s="949"/>
      <c r="L86" s="949"/>
      <c r="M86" s="949"/>
      <c r="N86" s="950"/>
      <c r="O86" s="950"/>
      <c r="P86" s="950"/>
      <c r="Q86" s="950"/>
    </row>
    <row r="87" spans="2:17" ht="9.75" customHeight="1">
      <c r="B87" s="951"/>
      <c r="C87" s="951"/>
      <c r="D87" s="287">
        <f t="shared" ca="1" si="21"/>
        <v>48756</v>
      </c>
      <c r="E87" s="288">
        <f t="shared" si="24"/>
        <v>1300000</v>
      </c>
      <c r="F87" s="289">
        <f t="shared" ca="1" si="22"/>
        <v>50</v>
      </c>
      <c r="G87" s="290">
        <f ca="1">KBACOI!Q86</f>
        <v>193.73473283695532</v>
      </c>
      <c r="H87" s="290">
        <f t="shared" ca="1" si="27"/>
        <v>47338.090590096042</v>
      </c>
      <c r="I87" s="953"/>
      <c r="J87" s="293">
        <f ca="1">H87+I76</f>
        <v>47638.090590096042</v>
      </c>
      <c r="K87" s="949"/>
      <c r="L87" s="949"/>
      <c r="M87" s="949"/>
      <c r="N87" s="950"/>
      <c r="O87" s="950"/>
      <c r="P87" s="950"/>
      <c r="Q87" s="950"/>
    </row>
    <row r="88" spans="2:17" ht="9.75" customHeight="1">
      <c r="B88" s="946">
        <f>B76+1</f>
        <v>8</v>
      </c>
      <c r="C88" s="947">
        <f ca="1">C76+1</f>
        <v>37</v>
      </c>
      <c r="D88" s="294">
        <f t="shared" ca="1" si="21"/>
        <v>48786</v>
      </c>
      <c r="E88" s="359">
        <f>'Tinh phi QL'!E13*1.35/1000</f>
        <v>1350000</v>
      </c>
      <c r="F88" s="360">
        <f t="shared" ca="1" si="22"/>
        <v>50</v>
      </c>
      <c r="G88" s="295">
        <f ca="1">KBACOI!Q87</f>
        <v>214.56527696204407</v>
      </c>
      <c r="H88" s="295">
        <f ca="1">(J87+KBAGTTKMH!F14-F88-G88)*(1+U3)</f>
        <v>57388.201162418824</v>
      </c>
      <c r="I88" s="953">
        <f>IF(COUNTIF(KBAGTTKMH!$E$7:E14,0)&gt;0,0,3%*'Tinh phi QL'!$H$13/1000)</f>
        <v>300</v>
      </c>
      <c r="J88" s="296">
        <f t="shared" ca="1" si="23"/>
        <v>57388.201162418824</v>
      </c>
      <c r="K88" s="949">
        <f ca="1">J99</f>
        <v>57126.335059917219</v>
      </c>
      <c r="L88" s="949"/>
      <c r="M88" s="949"/>
      <c r="N88" s="950">
        <f t="shared" ref="N88" ca="1" si="28">SUM(G88:G99)</f>
        <v>2575.3371202569206</v>
      </c>
      <c r="O88" s="950"/>
      <c r="P88" s="950">
        <f t="shared" ref="P88" ca="1" si="29">SUM(F88:F99)</f>
        <v>600</v>
      </c>
      <c r="Q88" s="950"/>
    </row>
    <row r="89" spans="2:17" ht="9.75" customHeight="1">
      <c r="B89" s="946"/>
      <c r="C89" s="946"/>
      <c r="D89" s="294">
        <f t="shared" ca="1" si="21"/>
        <v>48817</v>
      </c>
      <c r="E89" s="359">
        <f t="shared" si="24"/>
        <v>1350000</v>
      </c>
      <c r="F89" s="360">
        <f t="shared" ca="1" si="22"/>
        <v>50</v>
      </c>
      <c r="G89" s="295">
        <f ca="1">KBACOI!Q88</f>
        <v>214.57355860703845</v>
      </c>
      <c r="H89" s="295">
        <f ca="1">(H88-F89-G89)*(1+$U$3)</f>
        <v>57338.116096569836</v>
      </c>
      <c r="I89" s="953"/>
      <c r="J89" s="296">
        <f t="shared" ca="1" si="23"/>
        <v>57338.116096569836</v>
      </c>
      <c r="K89" s="949"/>
      <c r="L89" s="949"/>
      <c r="M89" s="949"/>
      <c r="N89" s="950"/>
      <c r="O89" s="950"/>
      <c r="P89" s="950"/>
      <c r="Q89" s="950"/>
    </row>
    <row r="90" spans="2:17" ht="9.75" customHeight="1">
      <c r="B90" s="946"/>
      <c r="C90" s="946"/>
      <c r="D90" s="294">
        <f t="shared" ca="1" si="21"/>
        <v>48848</v>
      </c>
      <c r="E90" s="359">
        <f t="shared" si="24"/>
        <v>1350000</v>
      </c>
      <c r="F90" s="360">
        <f t="shared" ca="1" si="22"/>
        <v>50</v>
      </c>
      <c r="G90" s="295">
        <f ca="1">KBACOI!Q89</f>
        <v>214.5818727279694</v>
      </c>
      <c r="H90" s="295">
        <f t="shared" ref="H90:H99" ca="1" si="30">(H89-F90-G90)*(1+$U$3)</f>
        <v>57287.83462536661</v>
      </c>
      <c r="I90" s="953"/>
      <c r="J90" s="296">
        <f t="shared" ca="1" si="23"/>
        <v>57287.83462536661</v>
      </c>
      <c r="K90" s="949"/>
      <c r="L90" s="949"/>
      <c r="M90" s="949"/>
      <c r="N90" s="950"/>
      <c r="O90" s="950"/>
      <c r="P90" s="950"/>
      <c r="Q90" s="950"/>
    </row>
    <row r="91" spans="2:17" ht="9.75" customHeight="1">
      <c r="B91" s="946"/>
      <c r="C91" s="946"/>
      <c r="D91" s="294">
        <f t="shared" ca="1" si="21"/>
        <v>48878</v>
      </c>
      <c r="E91" s="359">
        <f t="shared" si="24"/>
        <v>1350000</v>
      </c>
      <c r="F91" s="360">
        <f t="shared" ca="1" si="22"/>
        <v>50</v>
      </c>
      <c r="G91" s="295">
        <f ca="1">KBACOI!Q90</f>
        <v>214.59021945218913</v>
      </c>
      <c r="H91" s="295">
        <f t="shared" ca="1" si="30"/>
        <v>57237.355978618223</v>
      </c>
      <c r="I91" s="953"/>
      <c r="J91" s="296">
        <f t="shared" ca="1" si="23"/>
        <v>57237.355978618223</v>
      </c>
      <c r="K91" s="949"/>
      <c r="L91" s="949"/>
      <c r="M91" s="949"/>
      <c r="N91" s="950"/>
      <c r="O91" s="950"/>
      <c r="P91" s="950"/>
      <c r="Q91" s="950"/>
    </row>
    <row r="92" spans="2:17" ht="9.75" customHeight="1">
      <c r="B92" s="946"/>
      <c r="C92" s="946"/>
      <c r="D92" s="294">
        <f t="shared" ca="1" si="21"/>
        <v>48909</v>
      </c>
      <c r="E92" s="359">
        <f t="shared" si="24"/>
        <v>1350000</v>
      </c>
      <c r="F92" s="360">
        <f t="shared" ca="1" si="22"/>
        <v>50</v>
      </c>
      <c r="G92" s="295">
        <f ca="1">KBACOI!Q91</f>
        <v>214.59859890754942</v>
      </c>
      <c r="H92" s="295">
        <f t="shared" ca="1" si="30"/>
        <v>57186.679383113493</v>
      </c>
      <c r="I92" s="953"/>
      <c r="J92" s="296">
        <f t="shared" ca="1" si="23"/>
        <v>57186.679383113493</v>
      </c>
      <c r="K92" s="949"/>
      <c r="L92" s="949"/>
      <c r="M92" s="949"/>
      <c r="N92" s="950"/>
      <c r="O92" s="950"/>
      <c r="P92" s="950"/>
      <c r="Q92" s="950"/>
    </row>
    <row r="93" spans="2:17" ht="9.75" customHeight="1">
      <c r="B93" s="946"/>
      <c r="C93" s="946"/>
      <c r="D93" s="294">
        <f t="shared" ca="1" si="21"/>
        <v>48939</v>
      </c>
      <c r="E93" s="359">
        <f t="shared" si="24"/>
        <v>1350000</v>
      </c>
      <c r="F93" s="360">
        <f t="shared" ca="1" si="22"/>
        <v>50</v>
      </c>
      <c r="G93" s="295">
        <f ca="1">KBACOI!Q92</f>
        <v>214.60701122240314</v>
      </c>
      <c r="H93" s="295">
        <f t="shared" ca="1" si="30"/>
        <v>57135.804062609146</v>
      </c>
      <c r="I93" s="953"/>
      <c r="J93" s="296">
        <f t="shared" ca="1" si="23"/>
        <v>57135.804062609146</v>
      </c>
      <c r="K93" s="949"/>
      <c r="L93" s="949"/>
      <c r="M93" s="949"/>
      <c r="N93" s="950"/>
      <c r="O93" s="950"/>
      <c r="P93" s="950"/>
      <c r="Q93" s="950"/>
    </row>
    <row r="94" spans="2:17" ht="9.75" customHeight="1">
      <c r="B94" s="946"/>
      <c r="C94" s="946"/>
      <c r="D94" s="294">
        <f t="shared" ca="1" si="21"/>
        <v>48970</v>
      </c>
      <c r="E94" s="359">
        <f t="shared" si="24"/>
        <v>1350000</v>
      </c>
      <c r="F94" s="360">
        <f t="shared" ca="1" si="22"/>
        <v>50</v>
      </c>
      <c r="G94" s="295">
        <f ca="1">KBACOI!Q93</f>
        <v>214.61545652560687</v>
      </c>
      <c r="H94" s="295">
        <f t="shared" ca="1" si="30"/>
        <v>57084.729237817919</v>
      </c>
      <c r="I94" s="953"/>
      <c r="J94" s="296">
        <f t="shared" ca="1" si="23"/>
        <v>57084.729237817919</v>
      </c>
      <c r="K94" s="949"/>
      <c r="L94" s="949"/>
      <c r="M94" s="949"/>
      <c r="N94" s="950"/>
      <c r="O94" s="950"/>
      <c r="P94" s="950"/>
      <c r="Q94" s="950"/>
    </row>
    <row r="95" spans="2:17" ht="9.75" customHeight="1">
      <c r="B95" s="946"/>
      <c r="C95" s="946"/>
      <c r="D95" s="294">
        <f t="shared" ca="1" si="21"/>
        <v>49001</v>
      </c>
      <c r="E95" s="359">
        <f t="shared" si="24"/>
        <v>1350000</v>
      </c>
      <c r="F95" s="360">
        <f t="shared" ca="1" si="22"/>
        <v>50</v>
      </c>
      <c r="G95" s="295">
        <f ca="1">KBACOI!Q94</f>
        <v>214.62393494652224</v>
      </c>
      <c r="H95" s="295">
        <f t="shared" ca="1" si="30"/>
        <v>57033.454126396624</v>
      </c>
      <c r="I95" s="953"/>
      <c r="J95" s="296">
        <f t="shared" ca="1" si="23"/>
        <v>57033.454126396624</v>
      </c>
      <c r="K95" s="949"/>
      <c r="L95" s="949"/>
      <c r="M95" s="949"/>
      <c r="N95" s="950"/>
      <c r="O95" s="950"/>
      <c r="P95" s="950"/>
      <c r="Q95" s="950"/>
    </row>
    <row r="96" spans="2:17" ht="9.75" customHeight="1">
      <c r="B96" s="946"/>
      <c r="C96" s="946"/>
      <c r="D96" s="294">
        <f t="shared" ca="1" si="21"/>
        <v>49029</v>
      </c>
      <c r="E96" s="359">
        <f t="shared" si="24"/>
        <v>1350000</v>
      </c>
      <c r="F96" s="360">
        <f t="shared" ca="1" si="22"/>
        <v>50</v>
      </c>
      <c r="G96" s="295">
        <f ca="1">KBACOI!Q95</f>
        <v>214.63244661501815</v>
      </c>
      <c r="H96" s="295">
        <f t="shared" ca="1" si="30"/>
        <v>56981.977942934165</v>
      </c>
      <c r="I96" s="953"/>
      <c r="J96" s="296">
        <f t="shared" ca="1" si="23"/>
        <v>56981.977942934165</v>
      </c>
      <c r="K96" s="949"/>
      <c r="L96" s="949"/>
      <c r="M96" s="949"/>
      <c r="N96" s="950"/>
      <c r="O96" s="950"/>
      <c r="P96" s="950"/>
      <c r="Q96" s="950"/>
    </row>
    <row r="97" spans="2:17" ht="9.75" customHeight="1">
      <c r="B97" s="946"/>
      <c r="C97" s="946"/>
      <c r="D97" s="294">
        <f t="shared" ca="1" si="21"/>
        <v>49060</v>
      </c>
      <c r="E97" s="359">
        <f t="shared" si="24"/>
        <v>1350000</v>
      </c>
      <c r="F97" s="360">
        <f t="shared" ca="1" si="22"/>
        <v>50</v>
      </c>
      <c r="G97" s="295">
        <f ca="1">KBACOI!Q96</f>
        <v>214.6409916614729</v>
      </c>
      <c r="H97" s="295">
        <f t="shared" ca="1" si="30"/>
        <v>56930.299898939506</v>
      </c>
      <c r="I97" s="953"/>
      <c r="J97" s="296">
        <f t="shared" ca="1" si="23"/>
        <v>56930.299898939506</v>
      </c>
      <c r="K97" s="949"/>
      <c r="L97" s="949"/>
      <c r="M97" s="949"/>
      <c r="N97" s="950"/>
      <c r="O97" s="950"/>
      <c r="P97" s="950"/>
      <c r="Q97" s="950"/>
    </row>
    <row r="98" spans="2:17" ht="9.75" customHeight="1">
      <c r="B98" s="946"/>
      <c r="C98" s="946"/>
      <c r="D98" s="294">
        <f t="shared" ca="1" si="21"/>
        <v>49090</v>
      </c>
      <c r="E98" s="359">
        <f t="shared" si="24"/>
        <v>1350000</v>
      </c>
      <c r="F98" s="360">
        <f t="shared" ca="1" si="22"/>
        <v>50</v>
      </c>
      <c r="G98" s="295">
        <f ca="1">KBACOI!Q97</f>
        <v>214.64957021677606</v>
      </c>
      <c r="H98" s="295">
        <f t="shared" ca="1" si="30"/>
        <v>56878.419202829587</v>
      </c>
      <c r="I98" s="953"/>
      <c r="J98" s="296">
        <f t="shared" ca="1" si="23"/>
        <v>56878.419202829587</v>
      </c>
      <c r="K98" s="949"/>
      <c r="L98" s="949"/>
      <c r="M98" s="949"/>
      <c r="N98" s="950"/>
      <c r="O98" s="950"/>
      <c r="P98" s="950"/>
      <c r="Q98" s="950"/>
    </row>
    <row r="99" spans="2:17" ht="9.75" customHeight="1">
      <c r="B99" s="946"/>
      <c r="C99" s="946"/>
      <c r="D99" s="294">
        <f t="shared" ca="1" si="21"/>
        <v>49121</v>
      </c>
      <c r="E99" s="359">
        <f t="shared" si="24"/>
        <v>1350000</v>
      </c>
      <c r="F99" s="360">
        <f t="shared" ca="1" si="22"/>
        <v>50</v>
      </c>
      <c r="G99" s="295">
        <f ca="1">KBACOI!Q98</f>
        <v>214.65818241233032</v>
      </c>
      <c r="H99" s="295">
        <f t="shared" ca="1" si="30"/>
        <v>56826.335059917219</v>
      </c>
      <c r="I99" s="953"/>
      <c r="J99" s="297">
        <f ca="1">H99+I88</f>
        <v>57126.335059917219</v>
      </c>
      <c r="K99" s="949"/>
      <c r="L99" s="949"/>
      <c r="M99" s="949"/>
      <c r="N99" s="950"/>
      <c r="O99" s="950"/>
      <c r="P99" s="950"/>
      <c r="Q99" s="950"/>
    </row>
    <row r="100" spans="2:17" ht="9.75" customHeight="1">
      <c r="B100" s="951">
        <f>B88+1</f>
        <v>9</v>
      </c>
      <c r="C100" s="952">
        <f ca="1">C88+1</f>
        <v>38</v>
      </c>
      <c r="D100" s="287">
        <f t="shared" ca="1" si="21"/>
        <v>49151</v>
      </c>
      <c r="E100" s="288">
        <f>'Tinh phi QL'!E13*1.4/1000</f>
        <v>1400000</v>
      </c>
      <c r="F100" s="289">
        <f t="shared" ca="1" si="22"/>
        <v>50</v>
      </c>
      <c r="G100" s="290">
        <f ca="1">KBACOI!Q99</f>
        <v>238.1758281359615</v>
      </c>
      <c r="H100" s="290">
        <f ca="1">(J99+KBAGTTKMH!F15-F100-G100)*(1+$U$3)</f>
        <v>66888.373003793895</v>
      </c>
      <c r="I100" s="953">
        <f>IF(COUNTIF(KBAGTTKMH!$E$7:E15,0)&gt;0,0,3%*'Tinh phi QL'!$H$13/1000)</f>
        <v>300</v>
      </c>
      <c r="J100" s="292">
        <f t="shared" ca="1" si="23"/>
        <v>66888.373003793895</v>
      </c>
      <c r="K100" s="949">
        <f ca="1">J111</f>
        <v>66699.982233514587</v>
      </c>
      <c r="L100" s="949"/>
      <c r="M100" s="949"/>
      <c r="N100" s="950">
        <f t="shared" ref="N100" ca="1" si="31">SUM(G100:G111)</f>
        <v>2858.5905510320231</v>
      </c>
      <c r="O100" s="950"/>
      <c r="P100" s="950">
        <f t="shared" ref="P100" ca="1" si="32">SUM(F100:F111)</f>
        <v>660</v>
      </c>
      <c r="Q100" s="950"/>
    </row>
    <row r="101" spans="2:17" ht="9.75" customHeight="1">
      <c r="B101" s="951"/>
      <c r="C101" s="951"/>
      <c r="D101" s="287">
        <f t="shared" ca="1" si="21"/>
        <v>49182</v>
      </c>
      <c r="E101" s="288">
        <f t="shared" si="24"/>
        <v>1400000</v>
      </c>
      <c r="F101" s="289">
        <f t="shared" ca="1" si="22"/>
        <v>50</v>
      </c>
      <c r="G101" s="290">
        <f ca="1">KBACOI!Q100</f>
        <v>238.18261068998882</v>
      </c>
      <c r="H101" s="290">
        <f ca="1">(H100-F101-G101)*(1+$U$3)</f>
        <v>66850.261599258592</v>
      </c>
      <c r="I101" s="953"/>
      <c r="J101" s="292">
        <f t="shared" ca="1" si="23"/>
        <v>66850.261599258592</v>
      </c>
      <c r="K101" s="949"/>
      <c r="L101" s="949"/>
      <c r="M101" s="949"/>
      <c r="N101" s="950"/>
      <c r="O101" s="950"/>
      <c r="P101" s="950"/>
      <c r="Q101" s="950"/>
    </row>
    <row r="102" spans="2:17" ht="9.75" customHeight="1">
      <c r="B102" s="951"/>
      <c r="C102" s="951"/>
      <c r="D102" s="287">
        <f t="shared" ca="1" si="21"/>
        <v>49213</v>
      </c>
      <c r="E102" s="288">
        <f t="shared" si="24"/>
        <v>1400000</v>
      </c>
      <c r="F102" s="289">
        <f t="shared" ca="1" si="22"/>
        <v>50</v>
      </c>
      <c r="G102" s="290">
        <f ca="1">KBACOI!Q101</f>
        <v>238.18941992759915</v>
      </c>
      <c r="H102" s="290">
        <f t="shared" ref="H102:H111" ca="1" si="33">(H101-F102-G102)*(1+$U$3)</f>
        <v>66812.000258752276</v>
      </c>
      <c r="I102" s="953"/>
      <c r="J102" s="292">
        <f t="shared" ca="1" si="23"/>
        <v>66812.000258752276</v>
      </c>
      <c r="K102" s="949"/>
      <c r="L102" s="949"/>
      <c r="M102" s="949"/>
      <c r="N102" s="950"/>
      <c r="O102" s="950"/>
      <c r="P102" s="950"/>
      <c r="Q102" s="950"/>
    </row>
    <row r="103" spans="2:17" ht="9.75" customHeight="1">
      <c r="B103" s="951"/>
      <c r="C103" s="951"/>
      <c r="D103" s="287">
        <f t="shared" ca="1" si="21"/>
        <v>49243</v>
      </c>
      <c r="E103" s="288">
        <f t="shared" si="24"/>
        <v>1400000</v>
      </c>
      <c r="F103" s="289">
        <f t="shared" ca="1" si="22"/>
        <v>50</v>
      </c>
      <c r="G103" s="290">
        <f ca="1">KBACOI!Q102</f>
        <v>238.19625595376957</v>
      </c>
      <c r="H103" s="290">
        <f t="shared" ca="1" si="33"/>
        <v>66773.588392404403</v>
      </c>
      <c r="I103" s="953"/>
      <c r="J103" s="292">
        <f t="shared" ca="1" si="23"/>
        <v>66773.588392404403</v>
      </c>
      <c r="K103" s="949"/>
      <c r="L103" s="949"/>
      <c r="M103" s="949"/>
      <c r="N103" s="950"/>
      <c r="O103" s="950"/>
      <c r="P103" s="950"/>
      <c r="Q103" s="950"/>
    </row>
    <row r="104" spans="2:17" ht="9.75" customHeight="1">
      <c r="B104" s="951"/>
      <c r="C104" s="951"/>
      <c r="D104" s="287">
        <f t="shared" ca="1" si="21"/>
        <v>49274</v>
      </c>
      <c r="E104" s="288">
        <f t="shared" si="24"/>
        <v>1400000</v>
      </c>
      <c r="F104" s="289">
        <f t="shared" ca="1" si="22"/>
        <v>50</v>
      </c>
      <c r="G104" s="290">
        <f ca="1">KBACOI!Q103</f>
        <v>238.20311887389047</v>
      </c>
      <c r="H104" s="290">
        <f t="shared" ca="1" si="33"/>
        <v>66735.025408023765</v>
      </c>
      <c r="I104" s="953"/>
      <c r="J104" s="292">
        <f t="shared" ca="1" si="23"/>
        <v>66735.025408023765</v>
      </c>
      <c r="K104" s="949"/>
      <c r="L104" s="949"/>
      <c r="M104" s="949"/>
      <c r="N104" s="950"/>
      <c r="O104" s="950"/>
      <c r="P104" s="950"/>
      <c r="Q104" s="950"/>
    </row>
    <row r="105" spans="2:17" ht="9.75" customHeight="1">
      <c r="B105" s="951"/>
      <c r="C105" s="951"/>
      <c r="D105" s="287">
        <f t="shared" ca="1" si="21"/>
        <v>49304</v>
      </c>
      <c r="E105" s="288">
        <f t="shared" si="24"/>
        <v>1400000</v>
      </c>
      <c r="F105" s="289">
        <f t="shared" ca="1" si="22"/>
        <v>50</v>
      </c>
      <c r="G105" s="290">
        <f ca="1">KBACOI!Q104</f>
        <v>238.21000879376643</v>
      </c>
      <c r="H105" s="290">
        <f t="shared" ca="1" si="33"/>
        <v>66696.310711089391</v>
      </c>
      <c r="I105" s="953"/>
      <c r="J105" s="292">
        <f t="shared" ca="1" si="23"/>
        <v>66696.310711089391</v>
      </c>
      <c r="K105" s="949"/>
      <c r="L105" s="949"/>
      <c r="M105" s="949"/>
      <c r="N105" s="950"/>
      <c r="O105" s="950"/>
      <c r="P105" s="950"/>
      <c r="Q105" s="950"/>
    </row>
    <row r="106" spans="2:17" ht="9.75" customHeight="1">
      <c r="B106" s="951"/>
      <c r="C106" s="951"/>
      <c r="D106" s="287">
        <f t="shared" ca="1" si="21"/>
        <v>49335</v>
      </c>
      <c r="E106" s="288">
        <f t="shared" si="24"/>
        <v>1400000</v>
      </c>
      <c r="F106" s="289">
        <f t="shared" ca="1" si="22"/>
        <v>60</v>
      </c>
      <c r="G106" s="290">
        <f ca="1">KBACOI!Q105</f>
        <v>238.21692581961875</v>
      </c>
      <c r="H106" s="290">
        <f t="shared" ca="1" si="33"/>
        <v>66647.406156619589</v>
      </c>
      <c r="I106" s="953"/>
      <c r="J106" s="292">
        <f t="shared" ca="1" si="23"/>
        <v>66647.406156619589</v>
      </c>
      <c r="K106" s="949"/>
      <c r="L106" s="949"/>
      <c r="M106" s="949"/>
      <c r="N106" s="950"/>
      <c r="O106" s="950"/>
      <c r="P106" s="950"/>
      <c r="Q106" s="950"/>
    </row>
    <row r="107" spans="2:17" ht="9.75" customHeight="1">
      <c r="B107" s="951"/>
      <c r="C107" s="951"/>
      <c r="D107" s="287">
        <f t="shared" ca="1" si="21"/>
        <v>49366</v>
      </c>
      <c r="E107" s="288">
        <f t="shared" si="24"/>
        <v>1400000</v>
      </c>
      <c r="F107" s="289">
        <f t="shared" ca="1" si="22"/>
        <v>60</v>
      </c>
      <c r="G107" s="290">
        <f ca="1">KBACOI!Q106</f>
        <v>238.22566343335066</v>
      </c>
      <c r="H107" s="290">
        <f t="shared" ca="1" si="33"/>
        <v>66598.309204311125</v>
      </c>
      <c r="I107" s="953"/>
      <c r="J107" s="292">
        <f t="shared" ca="1" si="23"/>
        <v>66598.309204311125</v>
      </c>
      <c r="K107" s="949"/>
      <c r="L107" s="949"/>
      <c r="M107" s="949"/>
      <c r="N107" s="950"/>
      <c r="O107" s="950"/>
      <c r="P107" s="950"/>
      <c r="Q107" s="950"/>
    </row>
    <row r="108" spans="2:17" ht="9.75" customHeight="1">
      <c r="B108" s="951"/>
      <c r="C108" s="951"/>
      <c r="D108" s="287">
        <f t="shared" ca="1" si="21"/>
        <v>49394</v>
      </c>
      <c r="E108" s="288">
        <f t="shared" si="24"/>
        <v>1400000</v>
      </c>
      <c r="F108" s="289">
        <f t="shared" ca="1" si="22"/>
        <v>60</v>
      </c>
      <c r="G108" s="290">
        <f ca="1">KBACOI!Q107</f>
        <v>238.2344354221631</v>
      </c>
      <c r="H108" s="290">
        <f t="shared" ca="1" si="33"/>
        <v>66549.019097242097</v>
      </c>
      <c r="I108" s="953"/>
      <c r="J108" s="292">
        <f t="shared" ca="1" si="23"/>
        <v>66549.019097242097</v>
      </c>
      <c r="K108" s="949"/>
      <c r="L108" s="949"/>
      <c r="M108" s="949"/>
      <c r="N108" s="950"/>
      <c r="O108" s="950"/>
      <c r="P108" s="950"/>
      <c r="Q108" s="950"/>
    </row>
    <row r="109" spans="2:17" ht="9.75" customHeight="1">
      <c r="B109" s="951"/>
      <c r="C109" s="951"/>
      <c r="D109" s="287">
        <f t="shared" ca="1" si="21"/>
        <v>49425</v>
      </c>
      <c r="E109" s="288">
        <f t="shared" si="24"/>
        <v>1400000</v>
      </c>
      <c r="F109" s="289">
        <f t="shared" ca="1" si="22"/>
        <v>60</v>
      </c>
      <c r="G109" s="290">
        <f ca="1">KBACOI!Q108</f>
        <v>238.24324192129276</v>
      </c>
      <c r="H109" s="290">
        <f t="shared" ca="1" si="33"/>
        <v>66499.535075512758</v>
      </c>
      <c r="I109" s="953"/>
      <c r="J109" s="292">
        <f t="shared" ca="1" si="23"/>
        <v>66499.535075512758</v>
      </c>
      <c r="K109" s="949"/>
      <c r="L109" s="949"/>
      <c r="M109" s="949"/>
      <c r="N109" s="950"/>
      <c r="O109" s="950"/>
      <c r="P109" s="950"/>
      <c r="Q109" s="950"/>
    </row>
    <row r="110" spans="2:17" ht="9.75" customHeight="1">
      <c r="B110" s="951"/>
      <c r="C110" s="951"/>
      <c r="D110" s="287">
        <f t="shared" ca="1" si="21"/>
        <v>49455</v>
      </c>
      <c r="E110" s="288">
        <f t="shared" si="24"/>
        <v>1400000</v>
      </c>
      <c r="F110" s="289">
        <f t="shared" ca="1" si="22"/>
        <v>60</v>
      </c>
      <c r="G110" s="290">
        <f ca="1">KBACOI!Q109</f>
        <v>238.25208306650839</v>
      </c>
      <c r="H110" s="290">
        <f t="shared" ca="1" si="33"/>
        <v>66449.856376233802</v>
      </c>
      <c r="I110" s="953"/>
      <c r="J110" s="292">
        <f t="shared" ca="1" si="23"/>
        <v>66449.856376233802</v>
      </c>
      <c r="K110" s="949"/>
      <c r="L110" s="949"/>
      <c r="M110" s="949"/>
      <c r="N110" s="950"/>
      <c r="O110" s="950"/>
      <c r="P110" s="950"/>
      <c r="Q110" s="950"/>
    </row>
    <row r="111" spans="2:17" ht="9.75" customHeight="1">
      <c r="B111" s="951"/>
      <c r="C111" s="951"/>
      <c r="D111" s="287">
        <f t="shared" ca="1" si="21"/>
        <v>49486</v>
      </c>
      <c r="E111" s="288">
        <f t="shared" si="24"/>
        <v>1400000</v>
      </c>
      <c r="F111" s="289">
        <f t="shared" ca="1" si="22"/>
        <v>60</v>
      </c>
      <c r="G111" s="290">
        <f ca="1">KBACOI!Q110</f>
        <v>238.26095899411291</v>
      </c>
      <c r="H111" s="290">
        <f t="shared" ca="1" si="33"/>
        <v>66399.982233514587</v>
      </c>
      <c r="I111" s="953"/>
      <c r="J111" s="293">
        <f ca="1">H111+I100</f>
        <v>66699.982233514587</v>
      </c>
      <c r="K111" s="949"/>
      <c r="L111" s="949"/>
      <c r="M111" s="949"/>
      <c r="N111" s="950"/>
      <c r="O111" s="950"/>
      <c r="P111" s="950"/>
      <c r="Q111" s="950"/>
    </row>
    <row r="112" spans="2:17" ht="9.75" customHeight="1">
      <c r="B112" s="946">
        <f>B100+1</f>
        <v>10</v>
      </c>
      <c r="C112" s="947">
        <f ca="1">C100+1</f>
        <v>39</v>
      </c>
      <c r="D112" s="294">
        <f t="shared" ca="1" si="21"/>
        <v>49516</v>
      </c>
      <c r="E112" s="359">
        <f>'Tinh phi QL'!E13*1.45/1000</f>
        <v>1450000</v>
      </c>
      <c r="F112" s="360">
        <f t="shared" ca="1" si="22"/>
        <v>60</v>
      </c>
      <c r="G112" s="295">
        <f ca="1">KBACOI!Q111</f>
        <v>265.54333676818715</v>
      </c>
      <c r="H112" s="295">
        <f ca="1">(J111+KBAGTTKMH!F16-F112-G112)*(1+$U$3)</f>
        <v>76460.459607807876</v>
      </c>
      <c r="I112" s="953">
        <f>IF(COUNTIF(KBAGTTKMH!$E$7:E16,0)&gt;0,0,3%*'Tinh phi QL'!$H$13/1000)</f>
        <v>300</v>
      </c>
      <c r="J112" s="296">
        <f t="shared" ca="1" si="23"/>
        <v>76460.459607807876</v>
      </c>
      <c r="K112" s="949">
        <f ca="1">J123</f>
        <v>76315.273322140041</v>
      </c>
      <c r="L112" s="949"/>
      <c r="M112" s="949"/>
      <c r="N112" s="950">
        <f t="shared" ref="N112" ca="1" si="34">SUM(G112:G123)</f>
        <v>3187.0310474439584</v>
      </c>
      <c r="O112" s="950"/>
      <c r="P112" s="950">
        <f t="shared" ref="P112" ca="1" si="35">SUM(F112:F123)</f>
        <v>720</v>
      </c>
      <c r="Q112" s="950"/>
    </row>
    <row r="113" spans="2:17" ht="9.75" customHeight="1">
      <c r="B113" s="946"/>
      <c r="C113" s="946"/>
      <c r="D113" s="294">
        <f t="shared" ca="1" si="21"/>
        <v>49547</v>
      </c>
      <c r="E113" s="359">
        <f t="shared" si="24"/>
        <v>1450000</v>
      </c>
      <c r="F113" s="360">
        <f t="shared" ca="1" si="22"/>
        <v>60</v>
      </c>
      <c r="G113" s="295">
        <f ca="1">KBACOI!Q112</f>
        <v>265.55097780915713</v>
      </c>
      <c r="H113" s="295">
        <f ca="1">(H112-F113-G113)*(1+$U$3)</f>
        <v>76420.780912333095</v>
      </c>
      <c r="I113" s="953"/>
      <c r="J113" s="296">
        <f t="shared" ca="1" si="23"/>
        <v>76420.780912333095</v>
      </c>
      <c r="K113" s="949"/>
      <c r="L113" s="949"/>
      <c r="M113" s="949"/>
      <c r="N113" s="950"/>
      <c r="O113" s="950"/>
      <c r="P113" s="950"/>
      <c r="Q113" s="950"/>
    </row>
    <row r="114" spans="2:17" ht="9.75" customHeight="1">
      <c r="B114" s="946"/>
      <c r="C114" s="946"/>
      <c r="D114" s="294">
        <f t="shared" ca="1" si="21"/>
        <v>49578</v>
      </c>
      <c r="E114" s="359">
        <f t="shared" si="24"/>
        <v>1450000</v>
      </c>
      <c r="F114" s="360">
        <f t="shared" ca="1" si="22"/>
        <v>60</v>
      </c>
      <c r="G114" s="295">
        <f ca="1">KBACOI!Q113</f>
        <v>265.55864902361554</v>
      </c>
      <c r="H114" s="295">
        <f t="shared" ref="H114:H123" ca="1" si="36">(H113-F114-G114)*(1+$U$3)</f>
        <v>76380.945530790777</v>
      </c>
      <c r="I114" s="953"/>
      <c r="J114" s="296">
        <f t="shared" ca="1" si="23"/>
        <v>76380.945530790777</v>
      </c>
      <c r="K114" s="949"/>
      <c r="L114" s="949"/>
      <c r="M114" s="949"/>
      <c r="N114" s="950"/>
      <c r="O114" s="950"/>
      <c r="P114" s="950"/>
      <c r="Q114" s="950"/>
    </row>
    <row r="115" spans="2:17" ht="9.75" customHeight="1">
      <c r="B115" s="946"/>
      <c r="C115" s="946"/>
      <c r="D115" s="294">
        <f t="shared" ca="1" si="21"/>
        <v>49608</v>
      </c>
      <c r="E115" s="359">
        <f t="shared" si="24"/>
        <v>1450000</v>
      </c>
      <c r="F115" s="360">
        <f t="shared" ca="1" si="22"/>
        <v>60</v>
      </c>
      <c r="G115" s="295">
        <f ca="1">KBACOI!Q114</f>
        <v>265.56635053071375</v>
      </c>
      <c r="H115" s="295">
        <f t="shared" ca="1" si="36"/>
        <v>76340.952844447791</v>
      </c>
      <c r="I115" s="953"/>
      <c r="J115" s="296">
        <f t="shared" ca="1" si="23"/>
        <v>76340.952844447791</v>
      </c>
      <c r="K115" s="949"/>
      <c r="L115" s="949"/>
      <c r="M115" s="949"/>
      <c r="N115" s="950"/>
      <c r="O115" s="950"/>
      <c r="P115" s="950"/>
      <c r="Q115" s="950"/>
    </row>
    <row r="116" spans="2:17" ht="9.75" customHeight="1">
      <c r="B116" s="946"/>
      <c r="C116" s="946"/>
      <c r="D116" s="294">
        <f t="shared" ca="1" si="21"/>
        <v>49639</v>
      </c>
      <c r="E116" s="359">
        <f t="shared" si="24"/>
        <v>1450000</v>
      </c>
      <c r="F116" s="360">
        <f t="shared" ca="1" si="22"/>
        <v>60</v>
      </c>
      <c r="G116" s="295">
        <f ca="1">KBACOI!Q115</f>
        <v>265.57408245007343</v>
      </c>
      <c r="H116" s="295">
        <f t="shared" ca="1" si="36"/>
        <v>76300.802232127709</v>
      </c>
      <c r="I116" s="953"/>
      <c r="J116" s="296">
        <f t="shared" ca="1" si="23"/>
        <v>76300.802232127709</v>
      </c>
      <c r="K116" s="949"/>
      <c r="L116" s="949"/>
      <c r="M116" s="949"/>
      <c r="N116" s="950"/>
      <c r="O116" s="950"/>
      <c r="P116" s="950"/>
      <c r="Q116" s="950"/>
    </row>
    <row r="117" spans="2:17" ht="9.75" customHeight="1">
      <c r="B117" s="946"/>
      <c r="C117" s="946"/>
      <c r="D117" s="294">
        <f t="shared" ca="1" si="21"/>
        <v>49669</v>
      </c>
      <c r="E117" s="359">
        <f t="shared" si="24"/>
        <v>1450000</v>
      </c>
      <c r="F117" s="360">
        <f t="shared" ca="1" si="22"/>
        <v>60</v>
      </c>
      <c r="G117" s="295">
        <f ca="1">KBACOI!Q116</f>
        <v>265.58184490178866</v>
      </c>
      <c r="H117" s="295">
        <f t="shared" ca="1" si="36"/>
        <v>76260.493070201148</v>
      </c>
      <c r="I117" s="953"/>
      <c r="J117" s="296">
        <f t="shared" ca="1" si="23"/>
        <v>76260.493070201148</v>
      </c>
      <c r="K117" s="949"/>
      <c r="L117" s="949"/>
      <c r="M117" s="949"/>
      <c r="N117" s="950"/>
      <c r="O117" s="950"/>
      <c r="P117" s="950"/>
      <c r="Q117" s="950"/>
    </row>
    <row r="118" spans="2:17" ht="9.75" customHeight="1">
      <c r="B118" s="946"/>
      <c r="C118" s="946"/>
      <c r="D118" s="294">
        <f t="shared" ca="1" si="21"/>
        <v>49700</v>
      </c>
      <c r="E118" s="359">
        <f t="shared" si="24"/>
        <v>1450000</v>
      </c>
      <c r="F118" s="360">
        <f t="shared" ca="1" si="22"/>
        <v>60</v>
      </c>
      <c r="G118" s="295">
        <f ca="1">KBACOI!Q117</f>
        <v>265.58963800642772</v>
      </c>
      <c r="H118" s="295">
        <f t="shared" ca="1" si="36"/>
        <v>76220.024732576087</v>
      </c>
      <c r="I118" s="953"/>
      <c r="J118" s="296">
        <f t="shared" ca="1" si="23"/>
        <v>76220.024732576087</v>
      </c>
      <c r="K118" s="949"/>
      <c r="L118" s="949"/>
      <c r="M118" s="949"/>
      <c r="N118" s="950"/>
      <c r="O118" s="950"/>
      <c r="P118" s="950"/>
      <c r="Q118" s="950"/>
    </row>
    <row r="119" spans="2:17" ht="9.75" customHeight="1">
      <c r="B119" s="946"/>
      <c r="C119" s="946"/>
      <c r="D119" s="294">
        <f t="shared" ca="1" si="21"/>
        <v>49731</v>
      </c>
      <c r="E119" s="359">
        <f t="shared" si="24"/>
        <v>1450000</v>
      </c>
      <c r="F119" s="360">
        <f t="shared" ca="1" si="22"/>
        <v>60</v>
      </c>
      <c r="G119" s="295">
        <f ca="1">KBACOI!Q118</f>
        <v>265.59746188503533</v>
      </c>
      <c r="H119" s="295">
        <f t="shared" ca="1" si="36"/>
        <v>76179.396590688164</v>
      </c>
      <c r="I119" s="953"/>
      <c r="J119" s="296">
        <f t="shared" ca="1" si="23"/>
        <v>76179.396590688164</v>
      </c>
      <c r="K119" s="949"/>
      <c r="L119" s="949"/>
      <c r="M119" s="949"/>
      <c r="N119" s="950"/>
      <c r="O119" s="950"/>
      <c r="P119" s="950"/>
      <c r="Q119" s="950"/>
    </row>
    <row r="120" spans="2:17" ht="9.75" customHeight="1">
      <c r="B120" s="946"/>
      <c r="C120" s="946"/>
      <c r="D120" s="294">
        <f t="shared" ca="1" si="21"/>
        <v>49760</v>
      </c>
      <c r="E120" s="359">
        <f t="shared" si="24"/>
        <v>1450000</v>
      </c>
      <c r="F120" s="360">
        <f t="shared" ca="1" si="22"/>
        <v>60</v>
      </c>
      <c r="G120" s="295">
        <f ca="1">KBACOI!Q119</f>
        <v>265.60531665913356</v>
      </c>
      <c r="H120" s="295">
        <f t="shared" ca="1" si="36"/>
        <v>76138.60801349087</v>
      </c>
      <c r="I120" s="953"/>
      <c r="J120" s="296">
        <f t="shared" ca="1" si="23"/>
        <v>76138.60801349087</v>
      </c>
      <c r="K120" s="949"/>
      <c r="L120" s="949"/>
      <c r="M120" s="949"/>
      <c r="N120" s="950"/>
      <c r="O120" s="950"/>
      <c r="P120" s="950"/>
      <c r="Q120" s="950"/>
    </row>
    <row r="121" spans="2:17" ht="9.75" customHeight="1">
      <c r="B121" s="946"/>
      <c r="C121" s="946"/>
      <c r="D121" s="294">
        <f t="shared" ca="1" si="21"/>
        <v>49791</v>
      </c>
      <c r="E121" s="359">
        <f t="shared" si="24"/>
        <v>1450000</v>
      </c>
      <c r="F121" s="360">
        <f t="shared" ca="1" si="22"/>
        <v>60</v>
      </c>
      <c r="G121" s="295">
        <f ca="1">KBACOI!Q120</f>
        <v>265.61320245072505</v>
      </c>
      <c r="H121" s="295">
        <f t="shared" ca="1" si="36"/>
        <v>76097.658367445809</v>
      </c>
      <c r="I121" s="953"/>
      <c r="J121" s="296">
        <f t="shared" ca="1" si="23"/>
        <v>76097.658367445809</v>
      </c>
      <c r="K121" s="949"/>
      <c r="L121" s="949"/>
      <c r="M121" s="949"/>
      <c r="N121" s="950"/>
      <c r="O121" s="950"/>
      <c r="P121" s="950"/>
      <c r="Q121" s="950"/>
    </row>
    <row r="122" spans="2:17" ht="9.75" customHeight="1">
      <c r="B122" s="946"/>
      <c r="C122" s="946"/>
      <c r="D122" s="294">
        <f t="shared" ca="1" si="21"/>
        <v>49821</v>
      </c>
      <c r="E122" s="359">
        <f t="shared" si="24"/>
        <v>1450000</v>
      </c>
      <c r="F122" s="360">
        <f t="shared" ca="1" si="22"/>
        <v>60</v>
      </c>
      <c r="G122" s="295">
        <f ca="1">KBACOI!Q121</f>
        <v>265.62111938229378</v>
      </c>
      <c r="H122" s="295">
        <f t="shared" ca="1" si="36"/>
        <v>76056.547016512806</v>
      </c>
      <c r="I122" s="953"/>
      <c r="J122" s="296">
        <f t="shared" ca="1" si="23"/>
        <v>76056.547016512806</v>
      </c>
      <c r="K122" s="949"/>
      <c r="L122" s="949"/>
      <c r="M122" s="949"/>
      <c r="N122" s="950"/>
      <c r="O122" s="950"/>
      <c r="P122" s="950"/>
      <c r="Q122" s="950"/>
    </row>
    <row r="123" spans="2:17" ht="9.75" customHeight="1">
      <c r="B123" s="946"/>
      <c r="C123" s="946"/>
      <c r="D123" s="294">
        <f t="shared" ca="1" si="21"/>
        <v>49852</v>
      </c>
      <c r="E123" s="359">
        <f t="shared" si="24"/>
        <v>1450000</v>
      </c>
      <c r="F123" s="360">
        <f t="shared" ca="1" si="22"/>
        <v>60</v>
      </c>
      <c r="G123" s="295">
        <f ca="1">KBACOI!Q122</f>
        <v>265.62906757680747</v>
      </c>
      <c r="H123" s="295">
        <f t="shared" ca="1" si="36"/>
        <v>76015.273322140041</v>
      </c>
      <c r="I123" s="953"/>
      <c r="J123" s="297">
        <f ca="1">H123+I112</f>
        <v>76315.273322140041</v>
      </c>
      <c r="K123" s="949"/>
      <c r="L123" s="949"/>
      <c r="M123" s="949"/>
      <c r="N123" s="950"/>
      <c r="O123" s="950"/>
      <c r="P123" s="950"/>
      <c r="Q123" s="950"/>
    </row>
    <row r="124" spans="2:17" ht="9.75" customHeight="1">
      <c r="B124" s="951">
        <f>B112+1</f>
        <v>11</v>
      </c>
      <c r="C124" s="952">
        <f ca="1">C112+1</f>
        <v>40</v>
      </c>
      <c r="D124" s="287">
        <f t="shared" ca="1" si="21"/>
        <v>49882</v>
      </c>
      <c r="E124" s="288">
        <f>'Tinh phi QL'!E13*1.5/1000</f>
        <v>1500000</v>
      </c>
      <c r="F124" s="289">
        <f t="shared" ca="1" si="22"/>
        <v>60</v>
      </c>
      <c r="G124" s="290">
        <f ca="1">KBACOI!Q123</f>
        <v>296.87379260235059</v>
      </c>
      <c r="H124" s="290">
        <f ca="1">(J123+KBAGTTKMH!F17-F124-G124)*(1+$V$3)</f>
        <v>86281.157175163025</v>
      </c>
      <c r="I124" s="953">
        <f>IF(COUNTIF(KBAGTTKMH!$E$7:E17,0)&gt;0,0,3%*'Tinh phi QL'!$H$13/1000)</f>
        <v>300</v>
      </c>
      <c r="J124" s="292">
        <f t="shared" ca="1" si="23"/>
        <v>86281.157175163025</v>
      </c>
      <c r="K124" s="949">
        <f ca="1">J135</f>
        <v>86196.831259256389</v>
      </c>
      <c r="L124" s="949"/>
      <c r="M124" s="949"/>
      <c r="N124" s="950">
        <f t="shared" ref="N124" ca="1" si="37">SUM(G124:G135)</f>
        <v>3562.9646675959821</v>
      </c>
      <c r="O124" s="950"/>
      <c r="P124" s="950">
        <f t="shared" ref="P124" ca="1" si="38">SUM(F124:F135)</f>
        <v>720</v>
      </c>
      <c r="Q124" s="950"/>
    </row>
    <row r="125" spans="2:17" ht="9.75" customHeight="1">
      <c r="B125" s="951"/>
      <c r="C125" s="951"/>
      <c r="D125" s="287">
        <f t="shared" ca="1" si="21"/>
        <v>49913</v>
      </c>
      <c r="E125" s="288">
        <f t="shared" si="24"/>
        <v>1500000</v>
      </c>
      <c r="F125" s="289">
        <f t="shared" ca="1" si="22"/>
        <v>60</v>
      </c>
      <c r="G125" s="290">
        <f ca="1">KBACOI!Q124</f>
        <v>296.88095699321576</v>
      </c>
      <c r="H125" s="290">
        <f ca="1">(H124-F125-G125)*(1+$V$3)</f>
        <v>86246.90573716996</v>
      </c>
      <c r="I125" s="953"/>
      <c r="J125" s="292">
        <f t="shared" ca="1" si="23"/>
        <v>86246.90573716996</v>
      </c>
      <c r="K125" s="949"/>
      <c r="L125" s="949"/>
      <c r="M125" s="949"/>
      <c r="N125" s="950"/>
      <c r="O125" s="950"/>
      <c r="P125" s="950"/>
      <c r="Q125" s="950"/>
    </row>
    <row r="126" spans="2:17" ht="9.75" customHeight="1">
      <c r="B126" s="951"/>
      <c r="C126" s="951"/>
      <c r="D126" s="287">
        <f t="shared" ca="1" si="21"/>
        <v>49944</v>
      </c>
      <c r="E126" s="288">
        <f t="shared" si="24"/>
        <v>1500000</v>
      </c>
      <c r="F126" s="289">
        <f t="shared" ca="1" si="22"/>
        <v>60</v>
      </c>
      <c r="G126" s="290">
        <f ca="1">KBACOI!Q125</f>
        <v>296.88814979519429</v>
      </c>
      <c r="H126" s="290">
        <f t="shared" ref="H126:H135" ca="1" si="39">(H125-F126-G126)*(1+$V$3)</f>
        <v>86212.518471650692</v>
      </c>
      <c r="I126" s="953"/>
      <c r="J126" s="292">
        <f t="shared" ca="1" si="23"/>
        <v>86212.518471650692</v>
      </c>
      <c r="K126" s="949"/>
      <c r="L126" s="949"/>
      <c r="M126" s="949"/>
      <c r="N126" s="950"/>
      <c r="O126" s="950"/>
      <c r="P126" s="950"/>
      <c r="Q126" s="950"/>
    </row>
    <row r="127" spans="2:17" ht="9.75" customHeight="1">
      <c r="B127" s="951"/>
      <c r="C127" s="951"/>
      <c r="D127" s="287">
        <f t="shared" ca="1" si="21"/>
        <v>49974</v>
      </c>
      <c r="E127" s="288">
        <f t="shared" si="24"/>
        <v>1500000</v>
      </c>
      <c r="F127" s="289">
        <f t="shared" ca="1" si="22"/>
        <v>60</v>
      </c>
      <c r="G127" s="290">
        <f ca="1">KBACOI!Q126</f>
        <v>296.89537112095337</v>
      </c>
      <c r="H127" s="290">
        <f t="shared" ca="1" si="39"/>
        <v>86177.994839967505</v>
      </c>
      <c r="I127" s="953"/>
      <c r="J127" s="292">
        <f t="shared" ca="1" si="23"/>
        <v>86177.994839967505</v>
      </c>
      <c r="K127" s="949"/>
      <c r="L127" s="949"/>
      <c r="M127" s="949"/>
      <c r="N127" s="950"/>
      <c r="O127" s="950"/>
      <c r="P127" s="950"/>
      <c r="Q127" s="950"/>
    </row>
    <row r="128" spans="2:17" ht="9.75" customHeight="1">
      <c r="B128" s="951"/>
      <c r="C128" s="951"/>
      <c r="D128" s="287">
        <f t="shared" ca="1" si="21"/>
        <v>50005</v>
      </c>
      <c r="E128" s="288">
        <f t="shared" si="24"/>
        <v>1500000</v>
      </c>
      <c r="F128" s="289">
        <f t="shared" ca="1" si="22"/>
        <v>60</v>
      </c>
      <c r="G128" s="290">
        <f ca="1">KBACOI!Q127</f>
        <v>296.90262108360685</v>
      </c>
      <c r="H128" s="290">
        <f t="shared" ca="1" si="39"/>
        <v>86143.334301346636</v>
      </c>
      <c r="I128" s="953"/>
      <c r="J128" s="292">
        <f t="shared" ca="1" si="23"/>
        <v>86143.334301346636</v>
      </c>
      <c r="K128" s="949"/>
      <c r="L128" s="949"/>
      <c r="M128" s="949"/>
      <c r="N128" s="950"/>
      <c r="O128" s="950"/>
      <c r="P128" s="950"/>
      <c r="Q128" s="950"/>
    </row>
    <row r="129" spans="2:17" ht="9.75" customHeight="1">
      <c r="B129" s="951"/>
      <c r="C129" s="951"/>
      <c r="D129" s="287">
        <f t="shared" ca="1" si="21"/>
        <v>50035</v>
      </c>
      <c r="E129" s="288">
        <f t="shared" si="24"/>
        <v>1500000</v>
      </c>
      <c r="F129" s="289">
        <f t="shared" ca="1" si="22"/>
        <v>60</v>
      </c>
      <c r="G129" s="290">
        <f ca="1">KBACOI!Q128</f>
        <v>296.90989979671718</v>
      </c>
      <c r="H129" s="290">
        <f t="shared" ca="1" si="39"/>
        <v>86108.536312869823</v>
      </c>
      <c r="I129" s="953"/>
      <c r="J129" s="292">
        <f t="shared" ca="1" si="23"/>
        <v>86108.536312869823</v>
      </c>
      <c r="K129" s="949"/>
      <c r="L129" s="949"/>
      <c r="M129" s="949"/>
      <c r="N129" s="950"/>
      <c r="O129" s="950"/>
      <c r="P129" s="950"/>
      <c r="Q129" s="950"/>
    </row>
    <row r="130" spans="2:17" ht="9.75" customHeight="1">
      <c r="B130" s="951"/>
      <c r="C130" s="951"/>
      <c r="D130" s="287">
        <f t="shared" ca="1" si="21"/>
        <v>50066</v>
      </c>
      <c r="E130" s="288">
        <f t="shared" si="24"/>
        <v>1500000</v>
      </c>
      <c r="F130" s="289">
        <f t="shared" ca="1" si="22"/>
        <v>60</v>
      </c>
      <c r="G130" s="290">
        <f ca="1">KBACOI!Q129</f>
        <v>296.91720737429733</v>
      </c>
      <c r="H130" s="290">
        <f t="shared" ca="1" si="39"/>
        <v>86073.600329465844</v>
      </c>
      <c r="I130" s="953"/>
      <c r="J130" s="292">
        <f t="shared" ca="1" si="23"/>
        <v>86073.600329465844</v>
      </c>
      <c r="K130" s="949"/>
      <c r="L130" s="949"/>
      <c r="M130" s="949"/>
      <c r="N130" s="950"/>
      <c r="O130" s="950"/>
      <c r="P130" s="950"/>
      <c r="Q130" s="950"/>
    </row>
    <row r="131" spans="2:17" ht="9.75" customHeight="1">
      <c r="B131" s="951"/>
      <c r="C131" s="951"/>
      <c r="D131" s="287">
        <f t="shared" ca="1" si="21"/>
        <v>50097</v>
      </c>
      <c r="E131" s="288">
        <f t="shared" si="24"/>
        <v>1500000</v>
      </c>
      <c r="F131" s="289">
        <f t="shared" ca="1" si="22"/>
        <v>60</v>
      </c>
      <c r="G131" s="290">
        <f ca="1">KBACOI!Q130</f>
        <v>296.92454393081215</v>
      </c>
      <c r="H131" s="290">
        <f t="shared" ca="1" si="39"/>
        <v>86038.52580390191</v>
      </c>
      <c r="I131" s="953"/>
      <c r="J131" s="292">
        <f t="shared" ca="1" si="23"/>
        <v>86038.52580390191</v>
      </c>
      <c r="K131" s="949"/>
      <c r="L131" s="949"/>
      <c r="M131" s="949"/>
      <c r="N131" s="950"/>
      <c r="O131" s="950"/>
      <c r="P131" s="950"/>
      <c r="Q131" s="950"/>
    </row>
    <row r="132" spans="2:17" ht="9.75" customHeight="1">
      <c r="B132" s="951"/>
      <c r="C132" s="951"/>
      <c r="D132" s="287">
        <f t="shared" ca="1" si="21"/>
        <v>50125</v>
      </c>
      <c r="E132" s="288">
        <f t="shared" si="24"/>
        <v>1500000</v>
      </c>
      <c r="F132" s="289">
        <f t="shared" ca="1" si="22"/>
        <v>60</v>
      </c>
      <c r="G132" s="290">
        <f ca="1">KBACOI!Q131</f>
        <v>296.93190958118061</v>
      </c>
      <c r="H132" s="290">
        <f t="shared" ca="1" si="39"/>
        <v>86003.312186775147</v>
      </c>
      <c r="I132" s="953"/>
      <c r="J132" s="292">
        <f t="shared" ca="1" si="23"/>
        <v>86003.312186775147</v>
      </c>
      <c r="K132" s="949"/>
      <c r="L132" s="949"/>
      <c r="M132" s="949"/>
      <c r="N132" s="950"/>
      <c r="O132" s="950"/>
      <c r="P132" s="950"/>
      <c r="Q132" s="950"/>
    </row>
    <row r="133" spans="2:17" ht="9.75" customHeight="1">
      <c r="B133" s="951"/>
      <c r="C133" s="951"/>
      <c r="D133" s="287">
        <f t="shared" ref="D133:D196" ca="1" si="40">EDATE(D132,1)</f>
        <v>50156</v>
      </c>
      <c r="E133" s="288">
        <f t="shared" si="24"/>
        <v>1500000</v>
      </c>
      <c r="F133" s="289">
        <f t="shared" ref="F133:F196" ca="1" si="41">IF(YEAR(D133)=2025,40000,IF(YEAR(D133)=2026,40000,IF(YEAR(D133)=2027,40000,IF(YEAR(D133)=2028,40000,IF(YEAR(D133)=2029,40000,IF(YEAR(D133)=2030,50000,IF(YEAR(D133)=2031,50000,IF(YEAR(D133)=2032,50000,IF(YEAR(D133)=2033,50000,IF(YEAR(D133)=2034,50000,IF(YEAR(D133)&gt;=2035,60000,0)))))))))))/1000</f>
        <v>60</v>
      </c>
      <c r="G133" s="290">
        <f ca="1">KBACOI!Q132</f>
        <v>296.93930444077722</v>
      </c>
      <c r="H133" s="290">
        <f t="shared" ca="1" si="39"/>
        <v>85967.958926503939</v>
      </c>
      <c r="I133" s="953"/>
      <c r="J133" s="292">
        <f t="shared" ref="J133:J196" ca="1" si="42">H133</f>
        <v>85967.958926503939</v>
      </c>
      <c r="K133" s="949"/>
      <c r="L133" s="949"/>
      <c r="M133" s="949"/>
      <c r="N133" s="950"/>
      <c r="O133" s="950"/>
      <c r="P133" s="950"/>
      <c r="Q133" s="950"/>
    </row>
    <row r="134" spans="2:17" ht="9.75" customHeight="1">
      <c r="B134" s="951"/>
      <c r="C134" s="951"/>
      <c r="D134" s="287">
        <f t="shared" ca="1" si="40"/>
        <v>50186</v>
      </c>
      <c r="E134" s="288">
        <f t="shared" ref="E134:E197" si="43">E133</f>
        <v>1500000</v>
      </c>
      <c r="F134" s="289">
        <f t="shared" ca="1" si="41"/>
        <v>60</v>
      </c>
      <c r="G134" s="290">
        <f ca="1">KBACOI!Q133</f>
        <v>296.9467286254341</v>
      </c>
      <c r="H134" s="290">
        <f t="shared" ca="1" si="39"/>
        <v>85932.465469319344</v>
      </c>
      <c r="I134" s="953"/>
      <c r="J134" s="292">
        <f t="shared" ca="1" si="42"/>
        <v>85932.465469319344</v>
      </c>
      <c r="K134" s="949"/>
      <c r="L134" s="949"/>
      <c r="M134" s="949"/>
      <c r="N134" s="950"/>
      <c r="O134" s="950"/>
      <c r="P134" s="950"/>
      <c r="Q134" s="950"/>
    </row>
    <row r="135" spans="2:17" ht="9.75" customHeight="1">
      <c r="B135" s="951"/>
      <c r="C135" s="951"/>
      <c r="D135" s="287">
        <f t="shared" ca="1" si="40"/>
        <v>50217</v>
      </c>
      <c r="E135" s="288">
        <f t="shared" si="43"/>
        <v>1500000</v>
      </c>
      <c r="F135" s="289">
        <f t="shared" ca="1" si="41"/>
        <v>60</v>
      </c>
      <c r="G135" s="290">
        <f ca="1">KBACOI!Q134</f>
        <v>296.95418225144289</v>
      </c>
      <c r="H135" s="290">
        <f t="shared" ca="1" si="39"/>
        <v>85896.831259256389</v>
      </c>
      <c r="I135" s="953"/>
      <c r="J135" s="293">
        <f ca="1">H135+I124</f>
        <v>86196.831259256389</v>
      </c>
      <c r="K135" s="949"/>
      <c r="L135" s="949"/>
      <c r="M135" s="949"/>
      <c r="N135" s="950"/>
      <c r="O135" s="950"/>
      <c r="P135" s="950"/>
      <c r="Q135" s="950"/>
    </row>
    <row r="136" spans="2:17" ht="9.75" customHeight="1">
      <c r="B136" s="946">
        <f>B124+1</f>
        <v>12</v>
      </c>
      <c r="C136" s="947">
        <f ca="1">C124+1</f>
        <v>41</v>
      </c>
      <c r="D136" s="294">
        <f t="shared" ca="1" si="40"/>
        <v>50247</v>
      </c>
      <c r="E136" s="359">
        <f t="shared" si="43"/>
        <v>1500000</v>
      </c>
      <c r="F136" s="360">
        <f t="shared" ca="1" si="41"/>
        <v>60</v>
      </c>
      <c r="G136" s="295">
        <f ca="1">KBACOI!Q135</f>
        <v>320.06712247288959</v>
      </c>
      <c r="H136" s="295">
        <f ca="1">(J135+KBAGTTKMH!F18-F136-G136)*(1+$V$3)</f>
        <v>96176.538089922309</v>
      </c>
      <c r="I136" s="953">
        <f>IF(COUNTIF(KBAGTTKMH!$E$7:E18,0)&gt;0,0,3%*'Tinh phi QL'!$H$13/1000)</f>
        <v>300</v>
      </c>
      <c r="J136" s="296">
        <f t="shared" ca="1" si="42"/>
        <v>96176.538089922309</v>
      </c>
      <c r="K136" s="949">
        <f ca="1">J147</f>
        <v>96247.906215466035</v>
      </c>
      <c r="L136" s="949"/>
      <c r="M136" s="949"/>
      <c r="N136" s="950">
        <f t="shared" ref="N136" ca="1" si="44">SUM(G136:G147)</f>
        <v>3841.1149328628762</v>
      </c>
      <c r="O136" s="950"/>
      <c r="P136" s="950">
        <f t="shared" ref="P136" ca="1" si="45">SUM(F136:F147)</f>
        <v>720</v>
      </c>
      <c r="Q136" s="950"/>
    </row>
    <row r="137" spans="2:17" ht="9.75" customHeight="1">
      <c r="B137" s="946"/>
      <c r="C137" s="946"/>
      <c r="D137" s="294">
        <f t="shared" ca="1" si="40"/>
        <v>50278</v>
      </c>
      <c r="E137" s="359">
        <f t="shared" si="43"/>
        <v>1500000</v>
      </c>
      <c r="F137" s="360">
        <f t="shared" ca="1" si="41"/>
        <v>60</v>
      </c>
      <c r="G137" s="295">
        <f ca="1">KBACOI!Q136</f>
        <v>320.07174931549775</v>
      </c>
      <c r="H137" s="295">
        <f ca="1">(H136-F137-G137)*(1+$V$3)</f>
        <v>96156.164079333277</v>
      </c>
      <c r="I137" s="953"/>
      <c r="J137" s="296">
        <f t="shared" ca="1" si="42"/>
        <v>96156.164079333277</v>
      </c>
      <c r="K137" s="949"/>
      <c r="L137" s="949"/>
      <c r="M137" s="949"/>
      <c r="N137" s="950"/>
      <c r="O137" s="950"/>
      <c r="P137" s="950"/>
      <c r="Q137" s="950"/>
    </row>
    <row r="138" spans="2:17" ht="9.75" customHeight="1">
      <c r="B138" s="946"/>
      <c r="C138" s="946"/>
      <c r="D138" s="294">
        <f t="shared" ca="1" si="40"/>
        <v>50309</v>
      </c>
      <c r="E138" s="359">
        <f t="shared" si="43"/>
        <v>1500000</v>
      </c>
      <c r="F138" s="360">
        <f t="shared" ca="1" si="41"/>
        <v>60</v>
      </c>
      <c r="G138" s="295">
        <f ca="1">KBACOI!Q137</f>
        <v>320.07639458991207</v>
      </c>
      <c r="H138" s="295">
        <f t="shared" ref="H138:H147" ca="1" si="46">(H137-F138-G138)*(1+$V$3)</f>
        <v>96135.708905444568</v>
      </c>
      <c r="I138" s="953"/>
      <c r="J138" s="296">
        <f t="shared" ca="1" si="42"/>
        <v>96135.708905444568</v>
      </c>
      <c r="K138" s="949"/>
      <c r="L138" s="949"/>
      <c r="M138" s="949"/>
      <c r="N138" s="950"/>
      <c r="O138" s="950"/>
      <c r="P138" s="950"/>
      <c r="Q138" s="950"/>
    </row>
    <row r="139" spans="2:17" ht="9.75" customHeight="1">
      <c r="B139" s="946"/>
      <c r="C139" s="946"/>
      <c r="D139" s="294">
        <f t="shared" ca="1" si="40"/>
        <v>50339</v>
      </c>
      <c r="E139" s="359">
        <f t="shared" si="43"/>
        <v>1500000</v>
      </c>
      <c r="F139" s="360">
        <f t="shared" ca="1" si="41"/>
        <v>60</v>
      </c>
      <c r="G139" s="295">
        <f ca="1">KBACOI!Q138</f>
        <v>320.08105836955866</v>
      </c>
      <c r="H139" s="295">
        <f t="shared" ca="1" si="46"/>
        <v>96115.172244928501</v>
      </c>
      <c r="I139" s="953"/>
      <c r="J139" s="296">
        <f t="shared" ca="1" si="42"/>
        <v>96115.172244928501</v>
      </c>
      <c r="K139" s="949"/>
      <c r="L139" s="949"/>
      <c r="M139" s="949"/>
      <c r="N139" s="950"/>
      <c r="O139" s="950"/>
      <c r="P139" s="950"/>
      <c r="Q139" s="950"/>
    </row>
    <row r="140" spans="2:17" ht="9.75" customHeight="1">
      <c r="B140" s="946"/>
      <c r="C140" s="946"/>
      <c r="D140" s="294">
        <f t="shared" ca="1" si="40"/>
        <v>50370</v>
      </c>
      <c r="E140" s="359">
        <f t="shared" si="43"/>
        <v>1500000</v>
      </c>
      <c r="F140" s="360">
        <f t="shared" ca="1" si="41"/>
        <v>60</v>
      </c>
      <c r="G140" s="295">
        <f ca="1">KBACOI!Q139</f>
        <v>320.08574072815634</v>
      </c>
      <c r="H140" s="295">
        <f t="shared" ca="1" si="46"/>
        <v>96094.553773169391</v>
      </c>
      <c r="I140" s="953"/>
      <c r="J140" s="296">
        <f t="shared" ca="1" si="42"/>
        <v>96094.553773169391</v>
      </c>
      <c r="K140" s="949"/>
      <c r="L140" s="949"/>
      <c r="M140" s="949"/>
      <c r="N140" s="950"/>
      <c r="O140" s="950"/>
      <c r="P140" s="950"/>
      <c r="Q140" s="950"/>
    </row>
    <row r="141" spans="2:17" ht="9.75" customHeight="1">
      <c r="B141" s="946"/>
      <c r="C141" s="946"/>
      <c r="D141" s="294">
        <f t="shared" ca="1" si="40"/>
        <v>50400</v>
      </c>
      <c r="E141" s="359">
        <f t="shared" si="43"/>
        <v>1500000</v>
      </c>
      <c r="F141" s="360">
        <f t="shared" ca="1" si="41"/>
        <v>60</v>
      </c>
      <c r="G141" s="295">
        <f ca="1">KBACOI!Q140</f>
        <v>320.09044173971739</v>
      </c>
      <c r="H141" s="295">
        <f t="shared" ca="1" si="46"/>
        <v>96073.853164258398</v>
      </c>
      <c r="I141" s="953"/>
      <c r="J141" s="296">
        <f t="shared" ca="1" si="42"/>
        <v>96073.853164258398</v>
      </c>
      <c r="K141" s="949"/>
      <c r="L141" s="949"/>
      <c r="M141" s="949"/>
      <c r="N141" s="950"/>
      <c r="O141" s="950"/>
      <c r="P141" s="950"/>
      <c r="Q141" s="950"/>
    </row>
    <row r="142" spans="2:17" ht="9.75" customHeight="1">
      <c r="B142" s="946"/>
      <c r="C142" s="946"/>
      <c r="D142" s="294">
        <f t="shared" ca="1" si="40"/>
        <v>50431</v>
      </c>
      <c r="E142" s="359">
        <f t="shared" si="43"/>
        <v>1500000</v>
      </c>
      <c r="F142" s="360">
        <f t="shared" ca="1" si="41"/>
        <v>60</v>
      </c>
      <c r="G142" s="295">
        <f ca="1">KBACOI!Q141</f>
        <v>320.09516147854913</v>
      </c>
      <c r="H142" s="295">
        <f t="shared" ca="1" si="46"/>
        <v>96053.070090988345</v>
      </c>
      <c r="I142" s="953"/>
      <c r="J142" s="296">
        <f t="shared" ca="1" si="42"/>
        <v>96053.070090988345</v>
      </c>
      <c r="K142" s="949"/>
      <c r="L142" s="949"/>
      <c r="M142" s="949"/>
      <c r="N142" s="950"/>
      <c r="O142" s="950"/>
      <c r="P142" s="950"/>
      <c r="Q142" s="950"/>
    </row>
    <row r="143" spans="2:17" ht="9.75" customHeight="1">
      <c r="B143" s="946"/>
      <c r="C143" s="946"/>
      <c r="D143" s="294">
        <f t="shared" ca="1" si="40"/>
        <v>50462</v>
      </c>
      <c r="E143" s="359">
        <f t="shared" si="43"/>
        <v>1500000</v>
      </c>
      <c r="F143" s="360">
        <f t="shared" ca="1" si="41"/>
        <v>60</v>
      </c>
      <c r="G143" s="295">
        <f ca="1">KBACOI!Q142</f>
        <v>320.09990001925468</v>
      </c>
      <c r="H143" s="295">
        <f t="shared" ca="1" si="46"/>
        <v>96032.204224848581</v>
      </c>
      <c r="I143" s="953"/>
      <c r="J143" s="296">
        <f t="shared" ca="1" si="42"/>
        <v>96032.204224848581</v>
      </c>
      <c r="K143" s="949"/>
      <c r="L143" s="949"/>
      <c r="M143" s="949"/>
      <c r="N143" s="950"/>
      <c r="O143" s="950"/>
      <c r="P143" s="950"/>
      <c r="Q143" s="950"/>
    </row>
    <row r="144" spans="2:17" ht="9.75" customHeight="1">
      <c r="B144" s="946"/>
      <c r="C144" s="946"/>
      <c r="D144" s="294">
        <f t="shared" ca="1" si="40"/>
        <v>50490</v>
      </c>
      <c r="E144" s="359">
        <f t="shared" si="43"/>
        <v>1500000</v>
      </c>
      <c r="F144" s="360">
        <f t="shared" ca="1" si="41"/>
        <v>60</v>
      </c>
      <c r="G144" s="295">
        <f ca="1">KBACOI!Q143</f>
        <v>320.1046574367345</v>
      </c>
      <c r="H144" s="295">
        <f t="shared" ca="1" si="46"/>
        <v>96011.255236019773</v>
      </c>
      <c r="I144" s="953"/>
      <c r="J144" s="296">
        <f t="shared" ca="1" si="42"/>
        <v>96011.255236019773</v>
      </c>
      <c r="K144" s="949"/>
      <c r="L144" s="949"/>
      <c r="M144" s="949"/>
      <c r="N144" s="950"/>
      <c r="O144" s="950"/>
      <c r="P144" s="950"/>
      <c r="Q144" s="950"/>
    </row>
    <row r="145" spans="2:17" ht="9.75" customHeight="1">
      <c r="B145" s="946"/>
      <c r="C145" s="946"/>
      <c r="D145" s="294">
        <f t="shared" ca="1" si="40"/>
        <v>50521</v>
      </c>
      <c r="E145" s="359">
        <f t="shared" si="43"/>
        <v>1500000</v>
      </c>
      <c r="F145" s="360">
        <f t="shared" ca="1" si="41"/>
        <v>60</v>
      </c>
      <c r="G145" s="295">
        <f ca="1">KBACOI!Q144</f>
        <v>320.1094338061875</v>
      </c>
      <c r="H145" s="295">
        <f t="shared" ca="1" si="46"/>
        <v>95990.22279336871</v>
      </c>
      <c r="I145" s="953"/>
      <c r="J145" s="296">
        <f t="shared" ca="1" si="42"/>
        <v>95990.22279336871</v>
      </c>
      <c r="K145" s="949"/>
      <c r="L145" s="949"/>
      <c r="M145" s="949"/>
      <c r="N145" s="950"/>
      <c r="O145" s="950"/>
      <c r="P145" s="950"/>
      <c r="Q145" s="950"/>
    </row>
    <row r="146" spans="2:17" ht="9.75" customHeight="1">
      <c r="B146" s="946"/>
      <c r="C146" s="946"/>
      <c r="D146" s="294">
        <f t="shared" ca="1" si="40"/>
        <v>50551</v>
      </c>
      <c r="E146" s="359">
        <f t="shared" si="43"/>
        <v>1500000</v>
      </c>
      <c r="F146" s="360">
        <f t="shared" ca="1" si="41"/>
        <v>60</v>
      </c>
      <c r="G146" s="295">
        <f ca="1">KBACOI!Q145</f>
        <v>320.11422920311196</v>
      </c>
      <c r="H146" s="295">
        <f t="shared" ca="1" si="46"/>
        <v>95969.106564443035</v>
      </c>
      <c r="I146" s="953"/>
      <c r="J146" s="296">
        <f t="shared" ca="1" si="42"/>
        <v>95969.106564443035</v>
      </c>
      <c r="K146" s="949"/>
      <c r="L146" s="949"/>
      <c r="M146" s="949"/>
      <c r="N146" s="950"/>
      <c r="O146" s="950"/>
      <c r="P146" s="950"/>
      <c r="Q146" s="950"/>
    </row>
    <row r="147" spans="2:17" ht="9.75" customHeight="1">
      <c r="B147" s="946"/>
      <c r="C147" s="946"/>
      <c r="D147" s="294">
        <f t="shared" ca="1" si="40"/>
        <v>50582</v>
      </c>
      <c r="E147" s="359">
        <f t="shared" si="43"/>
        <v>1500000</v>
      </c>
      <c r="F147" s="360">
        <f t="shared" ca="1" si="41"/>
        <v>60</v>
      </c>
      <c r="G147" s="295">
        <f ca="1">KBACOI!Q146</f>
        <v>320.119043703307</v>
      </c>
      <c r="H147" s="295">
        <f t="shared" ca="1" si="46"/>
        <v>95947.906215466035</v>
      </c>
      <c r="I147" s="953"/>
      <c r="J147" s="297">
        <f ca="1">H147+I136</f>
        <v>96247.906215466035</v>
      </c>
      <c r="K147" s="949"/>
      <c r="L147" s="949"/>
      <c r="M147" s="949"/>
      <c r="N147" s="950"/>
      <c r="O147" s="950"/>
      <c r="P147" s="950"/>
      <c r="Q147" s="950"/>
    </row>
    <row r="148" spans="2:17" ht="9.75" customHeight="1">
      <c r="B148" s="951">
        <f>B136+1</f>
        <v>13</v>
      </c>
      <c r="C148" s="952">
        <f ca="1">C136+1</f>
        <v>42</v>
      </c>
      <c r="D148" s="287">
        <f t="shared" ca="1" si="40"/>
        <v>50612</v>
      </c>
      <c r="E148" s="288">
        <f t="shared" si="43"/>
        <v>1500000</v>
      </c>
      <c r="F148" s="289">
        <f t="shared" ca="1" si="41"/>
        <v>60</v>
      </c>
      <c r="G148" s="290">
        <f ca="1">KBACOI!Q147</f>
        <v>344.72135119604133</v>
      </c>
      <c r="H148" s="290">
        <f ca="1">(J147+KBAGTTKMH!F19-F148-G148)*(1+$V$3)</f>
        <v>106240.60614408966</v>
      </c>
      <c r="I148" s="953">
        <f>IF(COUNTIF(KBAGTTKMH!$E$7:E19,0)&gt;0,0,3%*'Tinh phi QL'!$H$13/1000)</f>
        <v>300</v>
      </c>
      <c r="J148" s="292">
        <f t="shared" ca="1" si="42"/>
        <v>106240.60614408966</v>
      </c>
      <c r="K148" s="949">
        <f ca="1">J159</f>
        <v>106458.35068988416</v>
      </c>
      <c r="L148" s="949"/>
      <c r="M148" s="949"/>
      <c r="N148" s="950">
        <f t="shared" ref="N148" ca="1" si="47">SUM(G148:G159)</f>
        <v>4136.776985237766</v>
      </c>
      <c r="O148" s="950"/>
      <c r="P148" s="950">
        <f t="shared" ref="P148" ca="1" si="48">SUM(F148:F159)</f>
        <v>720</v>
      </c>
      <c r="Q148" s="950"/>
    </row>
    <row r="149" spans="2:17" ht="9.75" customHeight="1">
      <c r="B149" s="951"/>
      <c r="C149" s="951"/>
      <c r="D149" s="287">
        <f t="shared" ca="1" si="40"/>
        <v>50643</v>
      </c>
      <c r="E149" s="288">
        <f t="shared" si="43"/>
        <v>1500000</v>
      </c>
      <c r="F149" s="289">
        <f t="shared" ca="1" si="41"/>
        <v>60</v>
      </c>
      <c r="G149" s="290">
        <f ca="1">KBACOI!Q148</f>
        <v>344.7231567470285</v>
      </c>
      <c r="H149" s="290">
        <f ca="1">(H148-F149-G149)*(1+$V$3)</f>
        <v>106233.27684998586</v>
      </c>
      <c r="I149" s="953"/>
      <c r="J149" s="292">
        <f t="shared" ca="1" si="42"/>
        <v>106233.27684998586</v>
      </c>
      <c r="K149" s="949"/>
      <c r="L149" s="949"/>
      <c r="M149" s="949"/>
      <c r="N149" s="950"/>
      <c r="O149" s="950"/>
      <c r="P149" s="950"/>
      <c r="Q149" s="950"/>
    </row>
    <row r="150" spans="2:17" ht="9.75" customHeight="1">
      <c r="B150" s="951"/>
      <c r="C150" s="951"/>
      <c r="D150" s="287">
        <f t="shared" ca="1" si="40"/>
        <v>50674</v>
      </c>
      <c r="E150" s="288">
        <f t="shared" si="43"/>
        <v>1500000</v>
      </c>
      <c r="F150" s="289">
        <f t="shared" ca="1" si="41"/>
        <v>60</v>
      </c>
      <c r="G150" s="290">
        <f ca="1">KBACOI!Q149</f>
        <v>344.72496952577018</v>
      </c>
      <c r="H150" s="290">
        <f t="shared" ref="H150:H159" ca="1" si="49">(H149-F150-G150)*(1+$V$3)</f>
        <v>106225.91821617392</v>
      </c>
      <c r="I150" s="953"/>
      <c r="J150" s="292">
        <f t="shared" ca="1" si="42"/>
        <v>106225.91821617392</v>
      </c>
      <c r="K150" s="949"/>
      <c r="L150" s="949"/>
      <c r="M150" s="949"/>
      <c r="N150" s="950"/>
      <c r="O150" s="950"/>
      <c r="P150" s="950"/>
      <c r="Q150" s="950"/>
    </row>
    <row r="151" spans="2:17" ht="9.75" customHeight="1">
      <c r="B151" s="951"/>
      <c r="C151" s="951"/>
      <c r="D151" s="287">
        <f t="shared" ca="1" si="40"/>
        <v>50704</v>
      </c>
      <c r="E151" s="288">
        <f t="shared" si="43"/>
        <v>1500000</v>
      </c>
      <c r="F151" s="289">
        <f t="shared" ca="1" si="41"/>
        <v>60</v>
      </c>
      <c r="G151" s="290">
        <f ca="1">KBACOI!Q150</f>
        <v>344.72678956119967</v>
      </c>
      <c r="H151" s="290">
        <f t="shared" ca="1" si="49"/>
        <v>106218.53012520475</v>
      </c>
      <c r="I151" s="953"/>
      <c r="J151" s="292">
        <f t="shared" ca="1" si="42"/>
        <v>106218.53012520475</v>
      </c>
      <c r="K151" s="949"/>
      <c r="L151" s="949"/>
      <c r="M151" s="949"/>
      <c r="N151" s="950"/>
      <c r="O151" s="950"/>
      <c r="P151" s="950"/>
      <c r="Q151" s="950"/>
    </row>
    <row r="152" spans="2:17" ht="9.75" customHeight="1">
      <c r="B152" s="951"/>
      <c r="C152" s="951"/>
      <c r="D152" s="287">
        <f t="shared" ca="1" si="40"/>
        <v>50735</v>
      </c>
      <c r="E152" s="288">
        <f t="shared" si="43"/>
        <v>1500000</v>
      </c>
      <c r="F152" s="289">
        <f t="shared" ca="1" si="41"/>
        <v>60</v>
      </c>
      <c r="G152" s="290">
        <f ca="1">KBACOI!Q151</f>
        <v>344.728616882366</v>
      </c>
      <c r="H152" s="290">
        <f t="shared" ca="1" si="49"/>
        <v>106211.11245915922</v>
      </c>
      <c r="I152" s="953"/>
      <c r="J152" s="292">
        <f t="shared" ca="1" si="42"/>
        <v>106211.11245915922</v>
      </c>
      <c r="K152" s="949"/>
      <c r="L152" s="949"/>
      <c r="M152" s="949"/>
      <c r="N152" s="950"/>
      <c r="O152" s="950"/>
      <c r="P152" s="950"/>
      <c r="Q152" s="950"/>
    </row>
    <row r="153" spans="2:17" ht="9.75" customHeight="1">
      <c r="B153" s="951"/>
      <c r="C153" s="951"/>
      <c r="D153" s="287">
        <f t="shared" ca="1" si="40"/>
        <v>50765</v>
      </c>
      <c r="E153" s="288">
        <f t="shared" si="43"/>
        <v>1500000</v>
      </c>
      <c r="F153" s="289">
        <f t="shared" ca="1" si="41"/>
        <v>60</v>
      </c>
      <c r="G153" s="290">
        <f ca="1">KBACOI!Q152</f>
        <v>344.73045151843462</v>
      </c>
      <c r="H153" s="290">
        <f t="shared" ca="1" si="49"/>
        <v>106203.66509964608</v>
      </c>
      <c r="I153" s="953"/>
      <c r="J153" s="292">
        <f t="shared" ca="1" si="42"/>
        <v>106203.66509964608</v>
      </c>
      <c r="K153" s="949"/>
      <c r="L153" s="949"/>
      <c r="M153" s="949"/>
      <c r="N153" s="950"/>
      <c r="O153" s="950"/>
      <c r="P153" s="950"/>
      <c r="Q153" s="950"/>
    </row>
    <row r="154" spans="2:17" ht="9.75" customHeight="1">
      <c r="B154" s="951"/>
      <c r="C154" s="951"/>
      <c r="D154" s="287">
        <f t="shared" ca="1" si="40"/>
        <v>50796</v>
      </c>
      <c r="E154" s="288">
        <f t="shared" si="43"/>
        <v>1500000</v>
      </c>
      <c r="F154" s="289">
        <f t="shared" ca="1" si="41"/>
        <v>60</v>
      </c>
      <c r="G154" s="290">
        <f ca="1">KBACOI!Q153</f>
        <v>344.73229349868757</v>
      </c>
      <c r="H154" s="290">
        <f t="shared" ca="1" si="49"/>
        <v>106196.18792780017</v>
      </c>
      <c r="I154" s="953"/>
      <c r="J154" s="292">
        <f t="shared" ca="1" si="42"/>
        <v>106196.18792780017</v>
      </c>
      <c r="K154" s="949"/>
      <c r="L154" s="949"/>
      <c r="M154" s="949"/>
      <c r="N154" s="950"/>
      <c r="O154" s="950"/>
      <c r="P154" s="950"/>
      <c r="Q154" s="950"/>
    </row>
    <row r="155" spans="2:17" ht="9.75" customHeight="1">
      <c r="B155" s="951"/>
      <c r="C155" s="951"/>
      <c r="D155" s="287">
        <f t="shared" ca="1" si="40"/>
        <v>50827</v>
      </c>
      <c r="E155" s="288">
        <f t="shared" si="43"/>
        <v>1500000</v>
      </c>
      <c r="F155" s="289">
        <f t="shared" ca="1" si="41"/>
        <v>60</v>
      </c>
      <c r="G155" s="290">
        <f ca="1">KBACOI!Q154</f>
        <v>344.73414285252403</v>
      </c>
      <c r="H155" s="290">
        <f t="shared" ca="1" si="49"/>
        <v>106188.68082428053</v>
      </c>
      <c r="I155" s="953"/>
      <c r="J155" s="292">
        <f t="shared" ca="1" si="42"/>
        <v>106188.68082428053</v>
      </c>
      <c r="K155" s="949"/>
      <c r="L155" s="949"/>
      <c r="M155" s="949"/>
      <c r="N155" s="950"/>
      <c r="O155" s="950"/>
      <c r="P155" s="950"/>
      <c r="Q155" s="950"/>
    </row>
    <row r="156" spans="2:17" ht="9.75" customHeight="1">
      <c r="B156" s="951"/>
      <c r="C156" s="951"/>
      <c r="D156" s="287">
        <f t="shared" ca="1" si="40"/>
        <v>50855</v>
      </c>
      <c r="E156" s="288">
        <f t="shared" si="43"/>
        <v>1500000</v>
      </c>
      <c r="F156" s="289">
        <f t="shared" ca="1" si="41"/>
        <v>60</v>
      </c>
      <c r="G156" s="290">
        <f ca="1">KBACOI!Q155</f>
        <v>344.73599960946126</v>
      </c>
      <c r="H156" s="290">
        <f t="shared" ca="1" si="49"/>
        <v>106181.14366926844</v>
      </c>
      <c r="I156" s="953"/>
      <c r="J156" s="292">
        <f t="shared" ca="1" si="42"/>
        <v>106181.14366926844</v>
      </c>
      <c r="K156" s="949"/>
      <c r="L156" s="949"/>
      <c r="M156" s="949"/>
      <c r="N156" s="950"/>
      <c r="O156" s="950"/>
      <c r="P156" s="950"/>
      <c r="Q156" s="950"/>
    </row>
    <row r="157" spans="2:17" ht="9.75" customHeight="1">
      <c r="B157" s="951"/>
      <c r="C157" s="951"/>
      <c r="D157" s="287">
        <f t="shared" ca="1" si="40"/>
        <v>50886</v>
      </c>
      <c r="E157" s="288">
        <f t="shared" si="43"/>
        <v>1500000</v>
      </c>
      <c r="F157" s="289">
        <f t="shared" ca="1" si="41"/>
        <v>60</v>
      </c>
      <c r="G157" s="290">
        <f ca="1">KBACOI!Q156</f>
        <v>344.73786379913435</v>
      </c>
      <c r="H157" s="290">
        <f t="shared" ca="1" si="49"/>
        <v>106173.57634246553</v>
      </c>
      <c r="I157" s="953"/>
      <c r="J157" s="292">
        <f t="shared" ca="1" si="42"/>
        <v>106173.57634246553</v>
      </c>
      <c r="K157" s="949"/>
      <c r="L157" s="949"/>
      <c r="M157" s="949"/>
      <c r="N157" s="950"/>
      <c r="O157" s="950"/>
      <c r="P157" s="950"/>
      <c r="Q157" s="950"/>
    </row>
    <row r="158" spans="2:17" ht="9.75" customHeight="1">
      <c r="B158" s="951"/>
      <c r="C158" s="951"/>
      <c r="D158" s="287">
        <f t="shared" ca="1" si="40"/>
        <v>50916</v>
      </c>
      <c r="E158" s="288">
        <f t="shared" si="43"/>
        <v>1500000</v>
      </c>
      <c r="F158" s="289">
        <f t="shared" ca="1" si="41"/>
        <v>60</v>
      </c>
      <c r="G158" s="290">
        <f ca="1">KBACOI!Q157</f>
        <v>344.73973545129684</v>
      </c>
      <c r="H158" s="290">
        <f t="shared" ca="1" si="49"/>
        <v>106165.97872309192</v>
      </c>
      <c r="I158" s="953"/>
      <c r="J158" s="292">
        <f t="shared" ca="1" si="42"/>
        <v>106165.97872309192</v>
      </c>
      <c r="K158" s="949"/>
      <c r="L158" s="949"/>
      <c r="M158" s="949"/>
      <c r="N158" s="950"/>
      <c r="O158" s="950"/>
      <c r="P158" s="950"/>
      <c r="Q158" s="950"/>
    </row>
    <row r="159" spans="2:17" ht="9.75" customHeight="1">
      <c r="B159" s="951"/>
      <c r="C159" s="951"/>
      <c r="D159" s="287">
        <f t="shared" ca="1" si="40"/>
        <v>50947</v>
      </c>
      <c r="E159" s="288">
        <f t="shared" si="43"/>
        <v>1500000</v>
      </c>
      <c r="F159" s="289">
        <f t="shared" ca="1" si="41"/>
        <v>60</v>
      </c>
      <c r="G159" s="290">
        <f ca="1">KBACOI!Q158</f>
        <v>344.74161459582189</v>
      </c>
      <c r="H159" s="290">
        <f t="shared" ca="1" si="49"/>
        <v>106158.35068988416</v>
      </c>
      <c r="I159" s="953"/>
      <c r="J159" s="293">
        <f ca="1">H159+I148</f>
        <v>106458.35068988416</v>
      </c>
      <c r="K159" s="949"/>
      <c r="L159" s="949"/>
      <c r="M159" s="949"/>
      <c r="N159" s="950"/>
      <c r="O159" s="950"/>
      <c r="P159" s="950"/>
      <c r="Q159" s="950"/>
    </row>
    <row r="160" spans="2:17" ht="9.75" customHeight="1">
      <c r="B160" s="946">
        <f>B148+1</f>
        <v>14</v>
      </c>
      <c r="C160" s="947">
        <f ca="1">C148+1</f>
        <v>43</v>
      </c>
      <c r="D160" s="294">
        <f t="shared" ca="1" si="40"/>
        <v>50977</v>
      </c>
      <c r="E160" s="359">
        <f t="shared" si="43"/>
        <v>1500000</v>
      </c>
      <c r="F160" s="360">
        <f t="shared" ca="1" si="41"/>
        <v>60</v>
      </c>
      <c r="G160" s="295">
        <f ca="1">KBACOI!Q159</f>
        <v>371.71152311465113</v>
      </c>
      <c r="H160" s="295">
        <f ca="1">(J159+KBAGTTKMH!F20-F160-G160)*(1+$V$3)</f>
        <v>116462.29740485035</v>
      </c>
      <c r="I160" s="953">
        <f>IF(COUNTIF(KBAGTTKMH!$E$7:E20,0)&gt;0,0,3%*'Tinh phi QL'!$H$13/1000)</f>
        <v>300</v>
      </c>
      <c r="J160" s="296">
        <f t="shared" ca="1" si="42"/>
        <v>116462.29740485035</v>
      </c>
      <c r="K160" s="949">
        <f ca="1">J171</f>
        <v>116806.77377206816</v>
      </c>
      <c r="L160" s="949"/>
      <c r="M160" s="949"/>
      <c r="N160" s="950">
        <f t="shared" ref="N160" ca="1" si="50">SUM(G160:G171)</f>
        <v>4460.4673468488481</v>
      </c>
      <c r="O160" s="950"/>
      <c r="P160" s="950">
        <f t="shared" ref="P160" ca="1" si="51">SUM(F160:F171)</f>
        <v>720</v>
      </c>
      <c r="Q160" s="950"/>
    </row>
    <row r="161" spans="2:17" ht="9.75" customHeight="1">
      <c r="B161" s="946"/>
      <c r="C161" s="946"/>
      <c r="D161" s="294">
        <f t="shared" ca="1" si="40"/>
        <v>51008</v>
      </c>
      <c r="E161" s="359">
        <f t="shared" si="43"/>
        <v>1500000</v>
      </c>
      <c r="F161" s="360">
        <f t="shared" ca="1" si="41"/>
        <v>60</v>
      </c>
      <c r="G161" s="295">
        <f ca="1">KBACOI!Q160</f>
        <v>371.71046276389689</v>
      </c>
      <c r="H161" s="295">
        <f ca="1">(H160-F161-G161)*(1+$V$3)</f>
        <v>116466.26000332214</v>
      </c>
      <c r="I161" s="953"/>
      <c r="J161" s="296">
        <f t="shared" ca="1" si="42"/>
        <v>116466.26000332214</v>
      </c>
      <c r="K161" s="949"/>
      <c r="L161" s="949"/>
      <c r="M161" s="949"/>
      <c r="N161" s="950"/>
      <c r="O161" s="950"/>
      <c r="P161" s="950"/>
      <c r="Q161" s="950"/>
    </row>
    <row r="162" spans="2:17" ht="9.75" customHeight="1">
      <c r="B162" s="946"/>
      <c r="C162" s="946"/>
      <c r="D162" s="294">
        <f t="shared" ca="1" si="40"/>
        <v>51039</v>
      </c>
      <c r="E162" s="359">
        <f t="shared" si="43"/>
        <v>1500000</v>
      </c>
      <c r="F162" s="360">
        <f t="shared" ca="1" si="41"/>
        <v>60</v>
      </c>
      <c r="G162" s="295">
        <f ca="1">KBACOI!Q161</f>
        <v>371.70939814577417</v>
      </c>
      <c r="H162" s="295">
        <f t="shared" ref="H162:H171" ca="1" si="52">(H161-F162-G162)*(1+$V$3)</f>
        <v>116470.2385492225</v>
      </c>
      <c r="I162" s="953"/>
      <c r="J162" s="296">
        <f t="shared" ca="1" si="42"/>
        <v>116470.2385492225</v>
      </c>
      <c r="K162" s="949"/>
      <c r="L162" s="949"/>
      <c r="M162" s="949"/>
      <c r="N162" s="950"/>
      <c r="O162" s="950"/>
      <c r="P162" s="950"/>
      <c r="Q162" s="950"/>
    </row>
    <row r="163" spans="2:17" ht="9.75" customHeight="1">
      <c r="B163" s="946"/>
      <c r="C163" s="946"/>
      <c r="D163" s="294">
        <f t="shared" ca="1" si="40"/>
        <v>51069</v>
      </c>
      <c r="E163" s="359">
        <f t="shared" si="43"/>
        <v>1500000</v>
      </c>
      <c r="F163" s="360">
        <f t="shared" ca="1" si="41"/>
        <v>60</v>
      </c>
      <c r="G163" s="295">
        <f ca="1">KBACOI!Q162</f>
        <v>371.70832924310895</v>
      </c>
      <c r="H163" s="295">
        <f t="shared" ca="1" si="52"/>
        <v>116474.23310673167</v>
      </c>
      <c r="I163" s="953"/>
      <c r="J163" s="296">
        <f t="shared" ca="1" si="42"/>
        <v>116474.23310673167</v>
      </c>
      <c r="K163" s="949"/>
      <c r="L163" s="949"/>
      <c r="M163" s="949"/>
      <c r="N163" s="950"/>
      <c r="O163" s="950"/>
      <c r="P163" s="950"/>
      <c r="Q163" s="950"/>
    </row>
    <row r="164" spans="2:17" ht="9.75" customHeight="1">
      <c r="B164" s="946"/>
      <c r="C164" s="946"/>
      <c r="D164" s="294">
        <f t="shared" ca="1" si="40"/>
        <v>51100</v>
      </c>
      <c r="E164" s="359">
        <f t="shared" si="43"/>
        <v>1500000</v>
      </c>
      <c r="F164" s="360">
        <f t="shared" ca="1" si="41"/>
        <v>60</v>
      </c>
      <c r="G164" s="295">
        <f ca="1">KBACOI!Q163</f>
        <v>371.70725603865804</v>
      </c>
      <c r="H164" s="295">
        <f t="shared" ca="1" si="52"/>
        <v>116478.24374028816</v>
      </c>
      <c r="I164" s="953"/>
      <c r="J164" s="296">
        <f t="shared" ca="1" si="42"/>
        <v>116478.24374028816</v>
      </c>
      <c r="K164" s="949"/>
      <c r="L164" s="949"/>
      <c r="M164" s="949"/>
      <c r="N164" s="950"/>
      <c r="O164" s="950"/>
      <c r="P164" s="950"/>
      <c r="Q164" s="950"/>
    </row>
    <row r="165" spans="2:17" ht="9.75" customHeight="1">
      <c r="B165" s="946"/>
      <c r="C165" s="946"/>
      <c r="D165" s="294">
        <f t="shared" ca="1" si="40"/>
        <v>51130</v>
      </c>
      <c r="E165" s="359">
        <f t="shared" si="43"/>
        <v>1500000</v>
      </c>
      <c r="F165" s="360">
        <f t="shared" ca="1" si="41"/>
        <v>60</v>
      </c>
      <c r="G165" s="295">
        <f ca="1">KBACOI!Q164</f>
        <v>371.70617851510929</v>
      </c>
      <c r="H165" s="295">
        <f t="shared" ca="1" si="52"/>
        <v>116482.27051458982</v>
      </c>
      <c r="I165" s="953"/>
      <c r="J165" s="296">
        <f t="shared" ca="1" si="42"/>
        <v>116482.27051458982</v>
      </c>
      <c r="K165" s="949"/>
      <c r="L165" s="949"/>
      <c r="M165" s="949"/>
      <c r="N165" s="950"/>
      <c r="O165" s="950"/>
      <c r="P165" s="950"/>
      <c r="Q165" s="950"/>
    </row>
    <row r="166" spans="2:17" ht="9.75" customHeight="1">
      <c r="B166" s="946"/>
      <c r="C166" s="946"/>
      <c r="D166" s="294">
        <f t="shared" ca="1" si="40"/>
        <v>51161</v>
      </c>
      <c r="E166" s="359">
        <f t="shared" si="43"/>
        <v>1500000</v>
      </c>
      <c r="F166" s="360">
        <f t="shared" ca="1" si="41"/>
        <v>60</v>
      </c>
      <c r="G166" s="295">
        <f ca="1">KBACOI!Q165</f>
        <v>371.70509665508024</v>
      </c>
      <c r="H166" s="295">
        <f t="shared" ca="1" si="52"/>
        <v>116486.31349459491</v>
      </c>
      <c r="I166" s="953"/>
      <c r="J166" s="296">
        <f t="shared" ca="1" si="42"/>
        <v>116486.31349459491</v>
      </c>
      <c r="K166" s="949"/>
      <c r="L166" s="949"/>
      <c r="M166" s="949"/>
      <c r="N166" s="950"/>
      <c r="O166" s="950"/>
      <c r="P166" s="950"/>
      <c r="Q166" s="950"/>
    </row>
    <row r="167" spans="2:17" ht="9.75" customHeight="1">
      <c r="B167" s="946"/>
      <c r="C167" s="946"/>
      <c r="D167" s="294">
        <f t="shared" ca="1" si="40"/>
        <v>51192</v>
      </c>
      <c r="E167" s="359">
        <f t="shared" si="43"/>
        <v>1500000</v>
      </c>
      <c r="F167" s="360">
        <f t="shared" ca="1" si="41"/>
        <v>60</v>
      </c>
      <c r="G167" s="295">
        <f ca="1">KBACOI!Q166</f>
        <v>371.7040104411189</v>
      </c>
      <c r="H167" s="295">
        <f t="shared" ca="1" si="52"/>
        <v>116490.37274552305</v>
      </c>
      <c r="I167" s="953"/>
      <c r="J167" s="296">
        <f t="shared" ca="1" si="42"/>
        <v>116490.37274552305</v>
      </c>
      <c r="K167" s="949"/>
      <c r="L167" s="949"/>
      <c r="M167" s="949"/>
      <c r="N167" s="950"/>
      <c r="O167" s="950"/>
      <c r="P167" s="950"/>
      <c r="Q167" s="950"/>
    </row>
    <row r="168" spans="2:17" ht="9.75" customHeight="1">
      <c r="B168" s="946"/>
      <c r="C168" s="946"/>
      <c r="D168" s="294">
        <f t="shared" ca="1" si="40"/>
        <v>51221</v>
      </c>
      <c r="E168" s="359">
        <f t="shared" si="43"/>
        <v>1500000</v>
      </c>
      <c r="F168" s="360">
        <f t="shared" ca="1" si="41"/>
        <v>60</v>
      </c>
      <c r="G168" s="295">
        <f ca="1">KBACOI!Q167</f>
        <v>371.70291985570287</v>
      </c>
      <c r="H168" s="295">
        <f t="shared" ca="1" si="52"/>
        <v>116494.44833285639</v>
      </c>
      <c r="I168" s="953"/>
      <c r="J168" s="296">
        <f t="shared" ca="1" si="42"/>
        <v>116494.44833285639</v>
      </c>
      <c r="K168" s="949"/>
      <c r="L168" s="949"/>
      <c r="M168" s="949"/>
      <c r="N168" s="950"/>
      <c r="O168" s="950"/>
      <c r="P168" s="950"/>
      <c r="Q168" s="950"/>
    </row>
    <row r="169" spans="2:17" ht="9.75" customHeight="1">
      <c r="B169" s="946"/>
      <c r="C169" s="946"/>
      <c r="D169" s="294">
        <f t="shared" ca="1" si="40"/>
        <v>51252</v>
      </c>
      <c r="E169" s="359">
        <f t="shared" si="43"/>
        <v>1500000</v>
      </c>
      <c r="F169" s="360">
        <f t="shared" ca="1" si="41"/>
        <v>60</v>
      </c>
      <c r="G169" s="295">
        <f ca="1">KBACOI!Q168</f>
        <v>371.70182488123925</v>
      </c>
      <c r="H169" s="295">
        <f t="shared" ca="1" si="52"/>
        <v>116498.54032234057</v>
      </c>
      <c r="I169" s="953"/>
      <c r="J169" s="296">
        <f t="shared" ca="1" si="42"/>
        <v>116498.54032234057</v>
      </c>
      <c r="K169" s="949"/>
      <c r="L169" s="949"/>
      <c r="M169" s="949"/>
      <c r="N169" s="950"/>
      <c r="O169" s="950"/>
      <c r="P169" s="950"/>
      <c r="Q169" s="950"/>
    </row>
    <row r="170" spans="2:17" ht="9.75" customHeight="1">
      <c r="B170" s="946"/>
      <c r="C170" s="946"/>
      <c r="D170" s="294">
        <f t="shared" ca="1" si="40"/>
        <v>51282</v>
      </c>
      <c r="E170" s="359">
        <f t="shared" si="43"/>
        <v>1500000</v>
      </c>
      <c r="F170" s="360">
        <f t="shared" ca="1" si="41"/>
        <v>60</v>
      </c>
      <c r="G170" s="295">
        <f ca="1">KBACOI!Q169</f>
        <v>371.70072550006449</v>
      </c>
      <c r="H170" s="295">
        <f t="shared" ca="1" si="52"/>
        <v>116502.64877998586</v>
      </c>
      <c r="I170" s="953"/>
      <c r="J170" s="296">
        <f t="shared" ca="1" si="42"/>
        <v>116502.64877998586</v>
      </c>
      <c r="K170" s="949"/>
      <c r="L170" s="949"/>
      <c r="M170" s="949"/>
      <c r="N170" s="950"/>
      <c r="O170" s="950"/>
      <c r="P170" s="950"/>
      <c r="Q170" s="950"/>
    </row>
    <row r="171" spans="2:17" ht="9.75" customHeight="1">
      <c r="B171" s="946"/>
      <c r="C171" s="946"/>
      <c r="D171" s="294">
        <f t="shared" ca="1" si="40"/>
        <v>51313</v>
      </c>
      <c r="E171" s="359">
        <f t="shared" si="43"/>
        <v>1500000</v>
      </c>
      <c r="F171" s="360">
        <f t="shared" ca="1" si="41"/>
        <v>60</v>
      </c>
      <c r="G171" s="295">
        <f ca="1">KBACOI!Q170</f>
        <v>371.69962169444381</v>
      </c>
      <c r="H171" s="295">
        <f t="shared" ca="1" si="52"/>
        <v>116506.77377206816</v>
      </c>
      <c r="I171" s="953"/>
      <c r="J171" s="297">
        <f ca="1">H171+I160</f>
        <v>116806.77377206816</v>
      </c>
      <c r="K171" s="949"/>
      <c r="L171" s="949"/>
      <c r="M171" s="949"/>
      <c r="N171" s="950"/>
      <c r="O171" s="950"/>
      <c r="P171" s="950"/>
      <c r="Q171" s="950"/>
    </row>
    <row r="172" spans="2:17" ht="9.75" customHeight="1">
      <c r="B172" s="951">
        <f>B160+1</f>
        <v>15</v>
      </c>
      <c r="C172" s="952">
        <f ca="1">C160+1</f>
        <v>44</v>
      </c>
      <c r="D172" s="287">
        <f t="shared" ca="1" si="40"/>
        <v>51343</v>
      </c>
      <c r="E172" s="288">
        <f t="shared" si="43"/>
        <v>1500000</v>
      </c>
      <c r="F172" s="289">
        <f t="shared" ca="1" si="41"/>
        <v>60</v>
      </c>
      <c r="G172" s="290">
        <f ca="1">KBACOI!Q171</f>
        <v>400.05695990773751</v>
      </c>
      <c r="H172" s="290">
        <f ca="1">(J171+KBAGTTKMH!F20-F172-G172)*(1+$V$3)</f>
        <v>126821.12500349454</v>
      </c>
      <c r="I172" s="953">
        <f>IF(COUNTIF(KBAGTTKMH!$E$7:E21,0)&gt;0,0,3%*'Tinh phi QL'!$H$13/1000)</f>
        <v>300</v>
      </c>
      <c r="J172" s="292">
        <f t="shared" ca="1" si="42"/>
        <v>126821.12500349454</v>
      </c>
      <c r="K172" s="949">
        <f ca="1">J183</f>
        <v>127282.87420914335</v>
      </c>
      <c r="L172" s="949"/>
      <c r="M172" s="949"/>
      <c r="N172" s="950">
        <f t="shared" ref="N172" ca="1" si="53">SUM(G172:G183)</f>
        <v>4800.4038165694974</v>
      </c>
      <c r="O172" s="950"/>
      <c r="P172" s="950">
        <f t="shared" ref="P172" ca="1" si="54">SUM(F172:F183)</f>
        <v>720</v>
      </c>
      <c r="Q172" s="950"/>
    </row>
    <row r="173" spans="2:17" ht="9.75" customHeight="1">
      <c r="B173" s="951"/>
      <c r="C173" s="951"/>
      <c r="D173" s="287">
        <f t="shared" ca="1" si="40"/>
        <v>51374</v>
      </c>
      <c r="E173" s="288">
        <f t="shared" si="43"/>
        <v>1500000</v>
      </c>
      <c r="F173" s="289">
        <f t="shared" ca="1" si="41"/>
        <v>60</v>
      </c>
      <c r="G173" s="290">
        <f ca="1">KBACOI!Q172</f>
        <v>400.05277891564856</v>
      </c>
      <c r="H173" s="290">
        <f ca="1">(H172-F173-G173)*(1+$V$3)</f>
        <v>126835.53431779043</v>
      </c>
      <c r="I173" s="953"/>
      <c r="J173" s="292">
        <f t="shared" ca="1" si="42"/>
        <v>126835.53431779043</v>
      </c>
      <c r="K173" s="949"/>
      <c r="L173" s="949"/>
      <c r="M173" s="949"/>
      <c r="N173" s="950"/>
      <c r="O173" s="950"/>
      <c r="P173" s="950"/>
      <c r="Q173" s="950"/>
    </row>
    <row r="174" spans="2:17" ht="9.75" customHeight="1">
      <c r="B174" s="951"/>
      <c r="C174" s="951"/>
      <c r="D174" s="287">
        <f t="shared" ca="1" si="40"/>
        <v>51405</v>
      </c>
      <c r="E174" s="288">
        <f t="shared" si="43"/>
        <v>1500000</v>
      </c>
      <c r="F174" s="289">
        <f t="shared" ca="1" si="41"/>
        <v>60</v>
      </c>
      <c r="G174" s="290">
        <f ca="1">KBACOI!Q173</f>
        <v>400.04858100208367</v>
      </c>
      <c r="H174" s="290">
        <f t="shared" ref="H174:H183" ca="1" si="55">(H173-F174-G174)*(1+$V$3)</f>
        <v>126850.00195003109</v>
      </c>
      <c r="I174" s="953"/>
      <c r="J174" s="292">
        <f t="shared" ca="1" si="42"/>
        <v>126850.00195003109</v>
      </c>
      <c r="K174" s="949"/>
      <c r="L174" s="949"/>
      <c r="M174" s="949"/>
      <c r="N174" s="950"/>
      <c r="O174" s="950"/>
      <c r="P174" s="950"/>
      <c r="Q174" s="950"/>
    </row>
    <row r="175" spans="2:17" ht="9.75" customHeight="1">
      <c r="B175" s="951"/>
      <c r="C175" s="951"/>
      <c r="D175" s="287">
        <f t="shared" ca="1" si="40"/>
        <v>51435</v>
      </c>
      <c r="E175" s="288">
        <f t="shared" si="43"/>
        <v>1500000</v>
      </c>
      <c r="F175" s="289">
        <f t="shared" ca="1" si="41"/>
        <v>60</v>
      </c>
      <c r="G175" s="290">
        <f ca="1">KBACOI!Q174</f>
        <v>400.04436609855765</v>
      </c>
      <c r="H175" s="290">
        <f t="shared" ca="1" si="55"/>
        <v>126864.52813624321</v>
      </c>
      <c r="I175" s="953"/>
      <c r="J175" s="292">
        <f t="shared" ca="1" si="42"/>
        <v>126864.52813624321</v>
      </c>
      <c r="K175" s="949"/>
      <c r="L175" s="949"/>
      <c r="M175" s="949"/>
      <c r="N175" s="950"/>
      <c r="O175" s="950"/>
      <c r="P175" s="950"/>
      <c r="Q175" s="950"/>
    </row>
    <row r="176" spans="2:17" ht="9.75" customHeight="1">
      <c r="B176" s="951"/>
      <c r="C176" s="951"/>
      <c r="D176" s="287">
        <f t="shared" ca="1" si="40"/>
        <v>51466</v>
      </c>
      <c r="E176" s="288">
        <f t="shared" si="43"/>
        <v>1500000</v>
      </c>
      <c r="F176" s="289">
        <f t="shared" ca="1" si="41"/>
        <v>60</v>
      </c>
      <c r="G176" s="290">
        <f ca="1">KBACOI!Q175</f>
        <v>400.04013413630781</v>
      </c>
      <c r="H176" s="290">
        <f t="shared" ca="1" si="55"/>
        <v>126879.11311340876</v>
      </c>
      <c r="I176" s="953"/>
      <c r="J176" s="292">
        <f t="shared" ca="1" si="42"/>
        <v>126879.11311340876</v>
      </c>
      <c r="K176" s="949"/>
      <c r="L176" s="949"/>
      <c r="M176" s="949"/>
      <c r="N176" s="950"/>
      <c r="O176" s="950"/>
      <c r="P176" s="950"/>
      <c r="Q176" s="950"/>
    </row>
    <row r="177" spans="2:17" ht="9.75" customHeight="1">
      <c r="B177" s="951"/>
      <c r="C177" s="951"/>
      <c r="D177" s="287">
        <f t="shared" ca="1" si="40"/>
        <v>51496</v>
      </c>
      <c r="E177" s="288">
        <f t="shared" si="43"/>
        <v>1500000</v>
      </c>
      <c r="F177" s="289">
        <f t="shared" ca="1" si="41"/>
        <v>60</v>
      </c>
      <c r="G177" s="290">
        <f ca="1">KBACOI!Q176</f>
        <v>400.03588504629357</v>
      </c>
      <c r="H177" s="290">
        <f t="shared" ca="1" si="55"/>
        <v>126893.75711946878</v>
      </c>
      <c r="I177" s="953"/>
      <c r="J177" s="292">
        <f t="shared" ca="1" si="42"/>
        <v>126893.75711946878</v>
      </c>
      <c r="K177" s="949"/>
      <c r="L177" s="949"/>
      <c r="M177" s="949"/>
      <c r="N177" s="950"/>
      <c r="O177" s="950"/>
      <c r="P177" s="950"/>
      <c r="Q177" s="950"/>
    </row>
    <row r="178" spans="2:17" ht="9.75" customHeight="1">
      <c r="B178" s="951"/>
      <c r="C178" s="951"/>
      <c r="D178" s="287">
        <f t="shared" ca="1" si="40"/>
        <v>51527</v>
      </c>
      <c r="E178" s="288">
        <f t="shared" si="43"/>
        <v>1500000</v>
      </c>
      <c r="F178" s="289">
        <f t="shared" ca="1" si="41"/>
        <v>60</v>
      </c>
      <c r="G178" s="290">
        <f ca="1">KBACOI!Q177</f>
        <v>400.03161875919471</v>
      </c>
      <c r="H178" s="290">
        <f t="shared" ca="1" si="55"/>
        <v>126908.46039332733</v>
      </c>
      <c r="I178" s="953"/>
      <c r="J178" s="292">
        <f t="shared" ca="1" si="42"/>
        <v>126908.46039332733</v>
      </c>
      <c r="K178" s="949"/>
      <c r="L178" s="949"/>
      <c r="M178" s="949"/>
      <c r="N178" s="950"/>
      <c r="O178" s="950"/>
      <c r="P178" s="950"/>
      <c r="Q178" s="950"/>
    </row>
    <row r="179" spans="2:17" ht="9.75" customHeight="1">
      <c r="B179" s="951"/>
      <c r="C179" s="951"/>
      <c r="D179" s="287">
        <f t="shared" ca="1" si="40"/>
        <v>51558</v>
      </c>
      <c r="E179" s="288">
        <f t="shared" si="43"/>
        <v>1500000</v>
      </c>
      <c r="F179" s="289">
        <f t="shared" ca="1" si="41"/>
        <v>60</v>
      </c>
      <c r="G179" s="290">
        <f ca="1">KBACOI!Q178</f>
        <v>400.02733520541068</v>
      </c>
      <c r="H179" s="290">
        <f t="shared" ca="1" si="55"/>
        <v>126923.2231748554</v>
      </c>
      <c r="I179" s="953"/>
      <c r="J179" s="292">
        <f t="shared" ca="1" si="42"/>
        <v>126923.2231748554</v>
      </c>
      <c r="K179" s="949"/>
      <c r="L179" s="949"/>
      <c r="M179" s="949"/>
      <c r="N179" s="950"/>
      <c r="O179" s="950"/>
      <c r="P179" s="950"/>
      <c r="Q179" s="950"/>
    </row>
    <row r="180" spans="2:17" ht="9.75" customHeight="1">
      <c r="B180" s="951"/>
      <c r="C180" s="951"/>
      <c r="D180" s="287">
        <f t="shared" ca="1" si="40"/>
        <v>51586</v>
      </c>
      <c r="E180" s="288">
        <f t="shared" si="43"/>
        <v>1500000</v>
      </c>
      <c r="F180" s="289">
        <f t="shared" ca="1" si="41"/>
        <v>60</v>
      </c>
      <c r="G180" s="290">
        <f ca="1">KBACOI!Q179</f>
        <v>400.02303431505879</v>
      </c>
      <c r="H180" s="290">
        <f t="shared" ca="1" si="55"/>
        <v>126938.04570489477</v>
      </c>
      <c r="I180" s="953"/>
      <c r="J180" s="292">
        <f t="shared" ca="1" si="42"/>
        <v>126938.04570489477</v>
      </c>
      <c r="K180" s="949"/>
      <c r="L180" s="949"/>
      <c r="M180" s="949"/>
      <c r="N180" s="950"/>
      <c r="O180" s="950"/>
      <c r="P180" s="950"/>
      <c r="Q180" s="950"/>
    </row>
    <row r="181" spans="2:17" ht="9.75" customHeight="1">
      <c r="B181" s="951"/>
      <c r="C181" s="951"/>
      <c r="D181" s="287">
        <f t="shared" ca="1" si="40"/>
        <v>51617</v>
      </c>
      <c r="E181" s="288">
        <f t="shared" si="43"/>
        <v>1500000</v>
      </c>
      <c r="F181" s="289">
        <f t="shared" ca="1" si="41"/>
        <v>60</v>
      </c>
      <c r="G181" s="290">
        <f ca="1">KBACOI!Q180</f>
        <v>400.01871601797399</v>
      </c>
      <c r="H181" s="290">
        <f t="shared" ca="1" si="55"/>
        <v>126952.92822526196</v>
      </c>
      <c r="I181" s="953"/>
      <c r="J181" s="292">
        <f t="shared" ca="1" si="42"/>
        <v>126952.92822526196</v>
      </c>
      <c r="K181" s="949"/>
      <c r="L181" s="949"/>
      <c r="M181" s="949"/>
      <c r="N181" s="950"/>
      <c r="O181" s="950"/>
      <c r="P181" s="950"/>
      <c r="Q181" s="950"/>
    </row>
    <row r="182" spans="2:17" ht="9.75" customHeight="1">
      <c r="B182" s="951"/>
      <c r="C182" s="951"/>
      <c r="D182" s="287">
        <f t="shared" ca="1" si="40"/>
        <v>51647</v>
      </c>
      <c r="E182" s="288">
        <f t="shared" si="43"/>
        <v>1500000</v>
      </c>
      <c r="F182" s="289">
        <f t="shared" ca="1" si="41"/>
        <v>60</v>
      </c>
      <c r="G182" s="290">
        <f ca="1">KBACOI!Q181</f>
        <v>400.01438024370708</v>
      </c>
      <c r="H182" s="290">
        <f t="shared" ca="1" si="55"/>
        <v>126967.87097875219</v>
      </c>
      <c r="I182" s="953"/>
      <c r="J182" s="292">
        <f t="shared" ca="1" si="42"/>
        <v>126967.87097875219</v>
      </c>
      <c r="K182" s="949"/>
      <c r="L182" s="949"/>
      <c r="M182" s="949"/>
      <c r="N182" s="950"/>
      <c r="O182" s="950"/>
      <c r="P182" s="950"/>
      <c r="Q182" s="950"/>
    </row>
    <row r="183" spans="2:17" ht="9.75" customHeight="1">
      <c r="B183" s="951"/>
      <c r="C183" s="951"/>
      <c r="D183" s="287">
        <f t="shared" ca="1" si="40"/>
        <v>51678</v>
      </c>
      <c r="E183" s="288">
        <f t="shared" si="43"/>
        <v>1500000</v>
      </c>
      <c r="F183" s="289">
        <f t="shared" ca="1" si="41"/>
        <v>60</v>
      </c>
      <c r="G183" s="290">
        <f ca="1">KBACOI!Q182</f>
        <v>400.01002692152355</v>
      </c>
      <c r="H183" s="290">
        <f t="shared" ca="1" si="55"/>
        <v>126982.87420914335</v>
      </c>
      <c r="I183" s="953"/>
      <c r="J183" s="293">
        <f ca="1">H183+I172</f>
        <v>127282.87420914335</v>
      </c>
      <c r="K183" s="949"/>
      <c r="L183" s="949"/>
      <c r="M183" s="949"/>
      <c r="N183" s="950"/>
      <c r="O183" s="950"/>
      <c r="P183" s="950"/>
      <c r="Q183" s="950"/>
    </row>
    <row r="184" spans="2:17" ht="9.75" customHeight="1">
      <c r="B184" s="946">
        <f>B172+1</f>
        <v>16</v>
      </c>
      <c r="C184" s="947">
        <f ca="1">C172+1</f>
        <v>45</v>
      </c>
      <c r="D184" s="294">
        <f t="shared" ca="1" si="40"/>
        <v>51708</v>
      </c>
      <c r="E184" s="359">
        <f t="shared" si="43"/>
        <v>1500000</v>
      </c>
      <c r="F184" s="360">
        <f t="shared" ca="1" si="41"/>
        <v>60</v>
      </c>
      <c r="G184" s="295">
        <f ca="1">KBACOI!Q183</f>
        <v>429.71013366605007</v>
      </c>
      <c r="H184" s="295">
        <f ca="1">(J183+KBAGTTKMH!F21-F184-G184)*(1+$W$3)</f>
        <v>137306.7967142454</v>
      </c>
      <c r="I184" s="953">
        <f>IF(COUNTIF(KBAGTTKMH!$E$7:E22,0)&gt;0,0,3%*'Tinh phi QL'!$H$13/1000)</f>
        <v>300</v>
      </c>
      <c r="J184" s="296">
        <f t="shared" ca="1" si="42"/>
        <v>137306.7967142454</v>
      </c>
      <c r="K184" s="949">
        <f ca="1">J195</f>
        <v>137876.4604744596</v>
      </c>
      <c r="L184" s="949"/>
      <c r="M184" s="949"/>
      <c r="N184" s="950">
        <f t="shared" ref="N184" ca="1" si="56">SUM(G184:G195)</f>
        <v>5156.0169098034667</v>
      </c>
      <c r="O184" s="950"/>
      <c r="P184" s="950">
        <f t="shared" ref="P184" ca="1" si="57">SUM(F184:F195)</f>
        <v>720</v>
      </c>
      <c r="Q184" s="950"/>
    </row>
    <row r="185" spans="2:17" ht="9.75" customHeight="1">
      <c r="B185" s="946"/>
      <c r="C185" s="946"/>
      <c r="D185" s="294">
        <f t="shared" ca="1" si="40"/>
        <v>51739</v>
      </c>
      <c r="E185" s="359">
        <f t="shared" si="43"/>
        <v>1500000</v>
      </c>
      <c r="F185" s="360">
        <f t="shared" ca="1" si="41"/>
        <v>60</v>
      </c>
      <c r="G185" s="295">
        <f ca="1">KBACOI!Q184</f>
        <v>429.70259010277465</v>
      </c>
      <c r="H185" s="295">
        <f ca="1">(H184-F185-G185)*(1+$W$3)</f>
        <v>137330.81661574898</v>
      </c>
      <c r="I185" s="953"/>
      <c r="J185" s="296">
        <f t="shared" ca="1" si="42"/>
        <v>137330.81661574898</v>
      </c>
      <c r="K185" s="949"/>
      <c r="L185" s="949"/>
      <c r="M185" s="949"/>
      <c r="N185" s="950"/>
      <c r="O185" s="950"/>
      <c r="P185" s="950"/>
      <c r="Q185" s="950"/>
    </row>
    <row r="186" spans="2:17" ht="9.75" customHeight="1">
      <c r="B186" s="946"/>
      <c r="C186" s="946"/>
      <c r="D186" s="294">
        <f t="shared" ca="1" si="40"/>
        <v>51770</v>
      </c>
      <c r="E186" s="359">
        <f t="shared" si="43"/>
        <v>1500000</v>
      </c>
      <c r="F186" s="360">
        <f t="shared" ca="1" si="41"/>
        <v>60</v>
      </c>
      <c r="G186" s="295">
        <f ca="1">KBACOI!Q185</f>
        <v>429.6950158271672</v>
      </c>
      <c r="H186" s="295">
        <f t="shared" ref="H186:H243" ca="1" si="58">(H185-F186-G186)*(1+$W$3)</f>
        <v>137354.93431018689</v>
      </c>
      <c r="I186" s="953"/>
      <c r="J186" s="296">
        <f t="shared" ca="1" si="42"/>
        <v>137354.93431018689</v>
      </c>
      <c r="K186" s="949"/>
      <c r="L186" s="949"/>
      <c r="M186" s="949"/>
      <c r="N186" s="950"/>
      <c r="O186" s="950"/>
      <c r="P186" s="950"/>
      <c r="Q186" s="950"/>
    </row>
    <row r="187" spans="2:17" ht="9.75" customHeight="1">
      <c r="B187" s="946"/>
      <c r="C187" s="946"/>
      <c r="D187" s="294">
        <f t="shared" ca="1" si="40"/>
        <v>51800</v>
      </c>
      <c r="E187" s="359">
        <f t="shared" si="43"/>
        <v>1500000</v>
      </c>
      <c r="F187" s="360">
        <f t="shared" ca="1" si="41"/>
        <v>60</v>
      </c>
      <c r="G187" s="295">
        <f ca="1">KBACOI!Q186</f>
        <v>429.68741071418776</v>
      </c>
      <c r="H187" s="295">
        <f t="shared" ca="1" si="58"/>
        <v>137379.1501957064</v>
      </c>
      <c r="I187" s="953"/>
      <c r="J187" s="296">
        <f t="shared" ca="1" si="42"/>
        <v>137379.1501957064</v>
      </c>
      <c r="K187" s="949"/>
      <c r="L187" s="949"/>
      <c r="M187" s="949"/>
      <c r="N187" s="950"/>
      <c r="O187" s="950"/>
      <c r="P187" s="950"/>
      <c r="Q187" s="950"/>
    </row>
    <row r="188" spans="2:17" ht="9.75" customHeight="1">
      <c r="B188" s="946"/>
      <c r="C188" s="946"/>
      <c r="D188" s="294">
        <f t="shared" ca="1" si="40"/>
        <v>51831</v>
      </c>
      <c r="E188" s="359">
        <f t="shared" si="43"/>
        <v>1500000</v>
      </c>
      <c r="F188" s="360">
        <f t="shared" ca="1" si="41"/>
        <v>60</v>
      </c>
      <c r="G188" s="295">
        <f ca="1">KBACOI!Q187</f>
        <v>429.67977463828726</v>
      </c>
      <c r="H188" s="295">
        <f t="shared" ca="1" si="58"/>
        <v>137403.46467207579</v>
      </c>
      <c r="I188" s="953"/>
      <c r="J188" s="296">
        <f t="shared" ca="1" si="42"/>
        <v>137403.46467207579</v>
      </c>
      <c r="K188" s="949"/>
      <c r="L188" s="949"/>
      <c r="M188" s="949"/>
      <c r="N188" s="950"/>
      <c r="O188" s="950"/>
      <c r="P188" s="950"/>
      <c r="Q188" s="950"/>
    </row>
    <row r="189" spans="2:17" ht="9.75" customHeight="1">
      <c r="B189" s="946"/>
      <c r="C189" s="946"/>
      <c r="D189" s="294">
        <f t="shared" ca="1" si="40"/>
        <v>51861</v>
      </c>
      <c r="E189" s="359">
        <f t="shared" si="43"/>
        <v>1500000</v>
      </c>
      <c r="F189" s="360">
        <f t="shared" ca="1" si="41"/>
        <v>60</v>
      </c>
      <c r="G189" s="295">
        <f ca="1">KBACOI!Q188</f>
        <v>429.67210747340533</v>
      </c>
      <c r="H189" s="295">
        <f t="shared" ca="1" si="58"/>
        <v>137427.87814069088</v>
      </c>
      <c r="I189" s="953"/>
      <c r="J189" s="296">
        <f t="shared" ca="1" si="42"/>
        <v>137427.87814069088</v>
      </c>
      <c r="K189" s="949"/>
      <c r="L189" s="949"/>
      <c r="M189" s="949"/>
      <c r="N189" s="950"/>
      <c r="O189" s="950"/>
      <c r="P189" s="950"/>
      <c r="Q189" s="950"/>
    </row>
    <row r="190" spans="2:17" ht="9.75" customHeight="1">
      <c r="B190" s="946"/>
      <c r="C190" s="946"/>
      <c r="D190" s="294">
        <f t="shared" ca="1" si="40"/>
        <v>51892</v>
      </c>
      <c r="E190" s="359">
        <f t="shared" si="43"/>
        <v>1500000</v>
      </c>
      <c r="F190" s="360">
        <f t="shared" ca="1" si="41"/>
        <v>60</v>
      </c>
      <c r="G190" s="295">
        <f ca="1">KBACOI!Q189</f>
        <v>429.66440909296881</v>
      </c>
      <c r="H190" s="295">
        <f t="shared" ca="1" si="58"/>
        <v>137452.3910045817</v>
      </c>
      <c r="I190" s="953"/>
      <c r="J190" s="296">
        <f t="shared" ca="1" si="42"/>
        <v>137452.3910045817</v>
      </c>
      <c r="K190" s="949"/>
      <c r="L190" s="949"/>
      <c r="M190" s="949"/>
      <c r="N190" s="950"/>
      <c r="O190" s="950"/>
      <c r="P190" s="950"/>
      <c r="Q190" s="950"/>
    </row>
    <row r="191" spans="2:17" ht="9.75" customHeight="1">
      <c r="B191" s="946"/>
      <c r="C191" s="946"/>
      <c r="D191" s="294">
        <f t="shared" ca="1" si="40"/>
        <v>51923</v>
      </c>
      <c r="E191" s="359">
        <f t="shared" si="43"/>
        <v>1500000</v>
      </c>
      <c r="F191" s="360">
        <f t="shared" ca="1" si="41"/>
        <v>60</v>
      </c>
      <c r="G191" s="295">
        <f ca="1">KBACOI!Q190</f>
        <v>429.65667936988854</v>
      </c>
      <c r="H191" s="295">
        <f t="shared" ca="1" si="58"/>
        <v>137477.0036684192</v>
      </c>
      <c r="I191" s="953"/>
      <c r="J191" s="296">
        <f t="shared" ca="1" si="42"/>
        <v>137477.0036684192</v>
      </c>
      <c r="K191" s="949"/>
      <c r="L191" s="949"/>
      <c r="M191" s="949"/>
      <c r="N191" s="950"/>
      <c r="O191" s="950"/>
      <c r="P191" s="950"/>
      <c r="Q191" s="950"/>
    </row>
    <row r="192" spans="2:17" ht="9.75" customHeight="1">
      <c r="B192" s="946"/>
      <c r="C192" s="946"/>
      <c r="D192" s="294">
        <f t="shared" ca="1" si="40"/>
        <v>51951</v>
      </c>
      <c r="E192" s="359">
        <f t="shared" si="43"/>
        <v>1500000</v>
      </c>
      <c r="F192" s="360">
        <f t="shared" ca="1" si="41"/>
        <v>60</v>
      </c>
      <c r="G192" s="295">
        <f ca="1">KBACOI!Q191</f>
        <v>429.64891817655848</v>
      </c>
      <c r="H192" s="295">
        <f t="shared" ca="1" si="58"/>
        <v>137501.71653852184</v>
      </c>
      <c r="I192" s="953"/>
      <c r="J192" s="296">
        <f t="shared" ca="1" si="42"/>
        <v>137501.71653852184</v>
      </c>
      <c r="K192" s="949"/>
      <c r="L192" s="949"/>
      <c r="M192" s="949"/>
      <c r="N192" s="950"/>
      <c r="O192" s="950"/>
      <c r="P192" s="950"/>
      <c r="Q192" s="950"/>
    </row>
    <row r="193" spans="2:17" ht="9.75" customHeight="1">
      <c r="B193" s="946"/>
      <c r="C193" s="946"/>
      <c r="D193" s="294">
        <f t="shared" ca="1" si="40"/>
        <v>51982</v>
      </c>
      <c r="E193" s="359">
        <f t="shared" si="43"/>
        <v>1500000</v>
      </c>
      <c r="F193" s="360">
        <f t="shared" ca="1" si="41"/>
        <v>60</v>
      </c>
      <c r="G193" s="295">
        <f ca="1">KBACOI!Q192</f>
        <v>429.64112538485278</v>
      </c>
      <c r="H193" s="295">
        <f t="shared" ca="1" si="58"/>
        <v>137526.53002286234</v>
      </c>
      <c r="I193" s="953"/>
      <c r="J193" s="296">
        <f t="shared" ca="1" si="42"/>
        <v>137526.53002286234</v>
      </c>
      <c r="K193" s="949"/>
      <c r="L193" s="949"/>
      <c r="M193" s="949"/>
      <c r="N193" s="950"/>
      <c r="O193" s="950"/>
      <c r="P193" s="950"/>
      <c r="Q193" s="950"/>
    </row>
    <row r="194" spans="2:17" ht="9.75" customHeight="1">
      <c r="B194" s="946"/>
      <c r="C194" s="946"/>
      <c r="D194" s="294">
        <f t="shared" ca="1" si="40"/>
        <v>52012</v>
      </c>
      <c r="E194" s="359">
        <f t="shared" si="43"/>
        <v>1500000</v>
      </c>
      <c r="F194" s="360">
        <f t="shared" ca="1" si="41"/>
        <v>60</v>
      </c>
      <c r="G194" s="295">
        <f ca="1">KBACOI!Q193</f>
        <v>429.63330086612405</v>
      </c>
      <c r="H194" s="295">
        <f t="shared" ca="1" si="58"/>
        <v>137551.44453107443</v>
      </c>
      <c r="I194" s="953"/>
      <c r="J194" s="296">
        <f t="shared" ca="1" si="42"/>
        <v>137551.44453107443</v>
      </c>
      <c r="K194" s="949"/>
      <c r="L194" s="949"/>
      <c r="M194" s="949"/>
      <c r="N194" s="950"/>
      <c r="O194" s="950"/>
      <c r="P194" s="950"/>
      <c r="Q194" s="950"/>
    </row>
    <row r="195" spans="2:17" ht="9.75" customHeight="1">
      <c r="B195" s="946"/>
      <c r="C195" s="946"/>
      <c r="D195" s="294">
        <f t="shared" ca="1" si="40"/>
        <v>52043</v>
      </c>
      <c r="E195" s="359">
        <f t="shared" si="43"/>
        <v>1500000</v>
      </c>
      <c r="F195" s="360">
        <f t="shared" ca="1" si="41"/>
        <v>60</v>
      </c>
      <c r="G195" s="295">
        <f ca="1">KBACOI!Q194</f>
        <v>429.62544449120111</v>
      </c>
      <c r="H195" s="295">
        <f t="shared" ca="1" si="58"/>
        <v>137576.4604744596</v>
      </c>
      <c r="I195" s="953"/>
      <c r="J195" s="297">
        <f ca="1">H195+I184</f>
        <v>137876.4604744596</v>
      </c>
      <c r="K195" s="949"/>
      <c r="L195" s="949"/>
      <c r="M195" s="949"/>
      <c r="N195" s="950"/>
      <c r="O195" s="950"/>
      <c r="P195" s="950"/>
      <c r="Q195" s="950"/>
    </row>
    <row r="196" spans="2:17" ht="9.75" customHeight="1">
      <c r="B196" s="951">
        <f>B184+1</f>
        <v>17</v>
      </c>
      <c r="C196" s="952">
        <f ca="1">C184+1</f>
        <v>46</v>
      </c>
      <c r="D196" s="287">
        <f t="shared" ca="1" si="40"/>
        <v>52073</v>
      </c>
      <c r="E196" s="288">
        <f t="shared" si="43"/>
        <v>1500000</v>
      </c>
      <c r="F196" s="289">
        <f t="shared" ca="1" si="41"/>
        <v>60</v>
      </c>
      <c r="G196" s="290">
        <f ca="1">KBACOI!Q195</f>
        <v>461.52483482471774</v>
      </c>
      <c r="H196" s="290">
        <f ca="1">(J195+KBAGTTKMH!F23-F196-G196)*(1+$W$3)</f>
        <v>147908.22574692659</v>
      </c>
      <c r="I196" s="953">
        <f>IF(COUNTIF(KBAGTTKMH!$E$7:E23,0)&gt;0,0,3%*'Tinh phi QL'!$H$13/1000)</f>
        <v>300</v>
      </c>
      <c r="J196" s="292">
        <f t="shared" ca="1" si="42"/>
        <v>147908.22574692659</v>
      </c>
      <c r="K196" s="949">
        <f ca="1">J207</f>
        <v>148566.35244853562</v>
      </c>
      <c r="L196" s="949"/>
      <c r="M196" s="949"/>
      <c r="N196" s="950">
        <f t="shared" ref="N196" ca="1" si="59">SUM(G196:G207)</f>
        <v>5537.5725452981851</v>
      </c>
      <c r="O196" s="950"/>
      <c r="P196" s="950">
        <f t="shared" ref="P196" ca="1" si="60">SUM(F196:F207)</f>
        <v>720</v>
      </c>
      <c r="Q196" s="950"/>
    </row>
    <row r="197" spans="2:17" ht="9.75" customHeight="1">
      <c r="B197" s="951"/>
      <c r="C197" s="951"/>
      <c r="D197" s="287">
        <f t="shared" ref="D197:D243" ca="1" si="61">EDATE(D196,1)</f>
        <v>52104</v>
      </c>
      <c r="E197" s="288">
        <f t="shared" si="43"/>
        <v>1500000</v>
      </c>
      <c r="F197" s="289">
        <f t="shared" ref="F197:F243" ca="1" si="62">IF(YEAR(D197)=2025,40000,IF(YEAR(D197)=2026,40000,IF(YEAR(D197)=2027,40000,IF(YEAR(D197)=2028,40000,IF(YEAR(D197)=2029,40000,IF(YEAR(D197)=2030,50000,IF(YEAR(D197)=2031,50000,IF(YEAR(D197)=2032,50000,IF(YEAR(D197)=2033,50000,IF(YEAR(D197)=2034,50000,IF(YEAR(D197)&gt;=2035,60000,0)))))))))))/1000</f>
        <v>60</v>
      </c>
      <c r="G197" s="290">
        <f ca="1">KBACOI!Q196</f>
        <v>461.51399227838243</v>
      </c>
      <c r="H197" s="290">
        <f t="shared" ca="1" si="58"/>
        <v>147940.12117528365</v>
      </c>
      <c r="I197" s="953"/>
      <c r="J197" s="292">
        <f t="shared" ref="J197:J242" ca="1" si="63">H197</f>
        <v>147940.12117528365</v>
      </c>
      <c r="K197" s="949"/>
      <c r="L197" s="949"/>
      <c r="M197" s="949"/>
      <c r="N197" s="950"/>
      <c r="O197" s="950"/>
      <c r="P197" s="950"/>
      <c r="Q197" s="950"/>
    </row>
    <row r="198" spans="2:17" ht="9.75" customHeight="1">
      <c r="B198" s="951"/>
      <c r="C198" s="951"/>
      <c r="D198" s="287">
        <f t="shared" ca="1" si="61"/>
        <v>52135</v>
      </c>
      <c r="E198" s="288">
        <f t="shared" ref="E198:E243" si="64">E197</f>
        <v>1500000</v>
      </c>
      <c r="F198" s="289">
        <f t="shared" ca="1" si="62"/>
        <v>60</v>
      </c>
      <c r="G198" s="290">
        <f ca="1">KBACOI!Q197</f>
        <v>461.5031053055032</v>
      </c>
      <c r="H198" s="290">
        <f t="shared" ca="1" si="58"/>
        <v>147972.14729283503</v>
      </c>
      <c r="I198" s="953"/>
      <c r="J198" s="292">
        <f t="shared" ca="1" si="63"/>
        <v>147972.14729283503</v>
      </c>
      <c r="K198" s="949"/>
      <c r="L198" s="949"/>
      <c r="M198" s="949"/>
      <c r="N198" s="950"/>
      <c r="O198" s="950"/>
      <c r="P198" s="950"/>
      <c r="Q198" s="950"/>
    </row>
    <row r="199" spans="2:17" ht="9.75" customHeight="1">
      <c r="B199" s="951"/>
      <c r="C199" s="951"/>
      <c r="D199" s="287">
        <f t="shared" ca="1" si="61"/>
        <v>52165</v>
      </c>
      <c r="E199" s="288">
        <f t="shared" si="64"/>
        <v>1500000</v>
      </c>
      <c r="F199" s="289">
        <f t="shared" ca="1" si="62"/>
        <v>60</v>
      </c>
      <c r="G199" s="290">
        <f ca="1">KBACOI!Q198</f>
        <v>461.49217372404564</v>
      </c>
      <c r="H199" s="290">
        <f t="shared" ca="1" si="58"/>
        <v>148004.30463507021</v>
      </c>
      <c r="I199" s="953"/>
      <c r="J199" s="292">
        <f t="shared" ca="1" si="63"/>
        <v>148004.30463507021</v>
      </c>
      <c r="K199" s="949"/>
      <c r="L199" s="949"/>
      <c r="M199" s="949"/>
      <c r="N199" s="950"/>
      <c r="O199" s="950"/>
      <c r="P199" s="950"/>
      <c r="Q199" s="950"/>
    </row>
    <row r="200" spans="2:17" ht="9.75" customHeight="1">
      <c r="B200" s="951"/>
      <c r="C200" s="951"/>
      <c r="D200" s="287">
        <f t="shared" ca="1" si="61"/>
        <v>52196</v>
      </c>
      <c r="E200" s="288">
        <f t="shared" si="64"/>
        <v>1500000</v>
      </c>
      <c r="F200" s="289">
        <f t="shared" ca="1" si="62"/>
        <v>60</v>
      </c>
      <c r="G200" s="290">
        <f ca="1">KBACOI!Q199</f>
        <v>461.48119735122941</v>
      </c>
      <c r="H200" s="290">
        <f t="shared" ca="1" si="58"/>
        <v>148036.59373967274</v>
      </c>
      <c r="I200" s="953"/>
      <c r="J200" s="292">
        <f t="shared" ca="1" si="63"/>
        <v>148036.59373967274</v>
      </c>
      <c r="K200" s="949"/>
      <c r="L200" s="949"/>
      <c r="M200" s="949"/>
      <c r="N200" s="950"/>
      <c r="O200" s="950"/>
      <c r="P200" s="950"/>
      <c r="Q200" s="950"/>
    </row>
    <row r="201" spans="2:17" ht="9.75" customHeight="1">
      <c r="B201" s="951"/>
      <c r="C201" s="951"/>
      <c r="D201" s="287">
        <f t="shared" ca="1" si="61"/>
        <v>52226</v>
      </c>
      <c r="E201" s="288">
        <f t="shared" si="64"/>
        <v>1500000</v>
      </c>
      <c r="F201" s="289">
        <f t="shared" ca="1" si="62"/>
        <v>60</v>
      </c>
      <c r="G201" s="290">
        <f ca="1">KBACOI!Q200</f>
        <v>461.47017600352501</v>
      </c>
      <c r="H201" s="290">
        <f t="shared" ca="1" si="58"/>
        <v>148069.01514652936</v>
      </c>
      <c r="I201" s="953"/>
      <c r="J201" s="292">
        <f t="shared" ca="1" si="63"/>
        <v>148069.01514652936</v>
      </c>
      <c r="K201" s="949"/>
      <c r="L201" s="949"/>
      <c r="M201" s="949"/>
      <c r="N201" s="950"/>
      <c r="O201" s="950"/>
      <c r="P201" s="950"/>
      <c r="Q201" s="950"/>
    </row>
    <row r="202" spans="2:17" ht="9.75" customHeight="1">
      <c r="B202" s="951"/>
      <c r="C202" s="951"/>
      <c r="D202" s="287">
        <f t="shared" ca="1" si="61"/>
        <v>52257</v>
      </c>
      <c r="E202" s="288">
        <f t="shared" si="64"/>
        <v>1500000</v>
      </c>
      <c r="F202" s="289">
        <f t="shared" ca="1" si="62"/>
        <v>60</v>
      </c>
      <c r="G202" s="290">
        <f ca="1">KBACOI!Q201</f>
        <v>461.45910949665137</v>
      </c>
      <c r="H202" s="290">
        <f t="shared" ca="1" si="58"/>
        <v>148101.5693977389</v>
      </c>
      <c r="I202" s="953"/>
      <c r="J202" s="292">
        <f t="shared" ca="1" si="63"/>
        <v>148101.5693977389</v>
      </c>
      <c r="K202" s="949"/>
      <c r="L202" s="949"/>
      <c r="M202" s="949"/>
      <c r="N202" s="950"/>
      <c r="O202" s="950"/>
      <c r="P202" s="950"/>
      <c r="Q202" s="950"/>
    </row>
    <row r="203" spans="2:17" ht="9.75" customHeight="1">
      <c r="B203" s="951"/>
      <c r="C203" s="951"/>
      <c r="D203" s="287">
        <f t="shared" ca="1" si="61"/>
        <v>52288</v>
      </c>
      <c r="E203" s="288">
        <f t="shared" si="64"/>
        <v>1500000</v>
      </c>
      <c r="F203" s="289">
        <f t="shared" ca="1" si="62"/>
        <v>60</v>
      </c>
      <c r="G203" s="290">
        <f ca="1">KBACOI!Q202</f>
        <v>461.44799764557183</v>
      </c>
      <c r="H203" s="290">
        <f t="shared" ca="1" si="58"/>
        <v>148134.25703762143</v>
      </c>
      <c r="I203" s="953"/>
      <c r="J203" s="292">
        <f t="shared" ca="1" si="63"/>
        <v>148134.25703762143</v>
      </c>
      <c r="K203" s="949"/>
      <c r="L203" s="949"/>
      <c r="M203" s="949"/>
      <c r="N203" s="950"/>
      <c r="O203" s="950"/>
      <c r="P203" s="950"/>
      <c r="Q203" s="950"/>
    </row>
    <row r="204" spans="2:17" ht="9.75" customHeight="1">
      <c r="B204" s="951"/>
      <c r="C204" s="951"/>
      <c r="D204" s="287">
        <f t="shared" ca="1" si="61"/>
        <v>52316</v>
      </c>
      <c r="E204" s="288">
        <f t="shared" si="64"/>
        <v>1500000</v>
      </c>
      <c r="F204" s="289">
        <f t="shared" ca="1" si="62"/>
        <v>60</v>
      </c>
      <c r="G204" s="290">
        <f ca="1">KBACOI!Q203</f>
        <v>461.43684026449188</v>
      </c>
      <c r="H204" s="290">
        <f t="shared" ca="1" si="58"/>
        <v>148167.07861272729</v>
      </c>
      <c r="I204" s="953"/>
      <c r="J204" s="292">
        <f t="shared" ca="1" si="63"/>
        <v>148167.07861272729</v>
      </c>
      <c r="K204" s="949"/>
      <c r="L204" s="949"/>
      <c r="M204" s="949"/>
      <c r="N204" s="950"/>
      <c r="O204" s="950"/>
      <c r="P204" s="950"/>
      <c r="Q204" s="950"/>
    </row>
    <row r="205" spans="2:17" ht="9.75" customHeight="1">
      <c r="B205" s="951"/>
      <c r="C205" s="951"/>
      <c r="D205" s="287">
        <f t="shared" ca="1" si="61"/>
        <v>52347</v>
      </c>
      <c r="E205" s="288">
        <f t="shared" si="64"/>
        <v>1500000</v>
      </c>
      <c r="F205" s="289">
        <f t="shared" ca="1" si="62"/>
        <v>60</v>
      </c>
      <c r="G205" s="290">
        <f ca="1">KBACOI!Q204</f>
        <v>461.42563716685578</v>
      </c>
      <c r="H205" s="290">
        <f t="shared" ca="1" si="58"/>
        <v>148200.03467184634</v>
      </c>
      <c r="I205" s="953"/>
      <c r="J205" s="292">
        <f t="shared" ca="1" si="63"/>
        <v>148200.03467184634</v>
      </c>
      <c r="K205" s="949"/>
      <c r="L205" s="949"/>
      <c r="M205" s="949"/>
      <c r="N205" s="950"/>
      <c r="O205" s="950"/>
      <c r="P205" s="950"/>
      <c r="Q205" s="950"/>
    </row>
    <row r="206" spans="2:17" ht="9.75" customHeight="1">
      <c r="B206" s="951"/>
      <c r="C206" s="951"/>
      <c r="D206" s="287">
        <f t="shared" ca="1" si="61"/>
        <v>52377</v>
      </c>
      <c r="E206" s="288">
        <f t="shared" si="64"/>
        <v>1500000</v>
      </c>
      <c r="F206" s="289">
        <f t="shared" ca="1" si="62"/>
        <v>60</v>
      </c>
      <c r="G206" s="290">
        <f ca="1">KBACOI!Q205</f>
        <v>461.41438816534315</v>
      </c>
      <c r="H206" s="290">
        <f t="shared" ca="1" si="58"/>
        <v>148233.12576601701</v>
      </c>
      <c r="I206" s="953"/>
      <c r="J206" s="292">
        <f t="shared" ca="1" si="63"/>
        <v>148233.12576601701</v>
      </c>
      <c r="K206" s="949"/>
      <c r="L206" s="949"/>
      <c r="M206" s="949"/>
      <c r="N206" s="950"/>
      <c r="O206" s="950"/>
      <c r="P206" s="950"/>
      <c r="Q206" s="950"/>
    </row>
    <row r="207" spans="2:17" ht="9.75" customHeight="1">
      <c r="B207" s="951"/>
      <c r="C207" s="951"/>
      <c r="D207" s="287">
        <f t="shared" ca="1" si="61"/>
        <v>52408</v>
      </c>
      <c r="E207" s="288">
        <f t="shared" si="64"/>
        <v>1500000</v>
      </c>
      <c r="F207" s="289">
        <f t="shared" ca="1" si="62"/>
        <v>60</v>
      </c>
      <c r="G207" s="290">
        <f ca="1">KBACOI!Q206</f>
        <v>461.40309307186618</v>
      </c>
      <c r="H207" s="290">
        <f t="shared" ca="1" si="58"/>
        <v>148266.35244853562</v>
      </c>
      <c r="I207" s="953"/>
      <c r="J207" s="293">
        <f ca="1">H207+I196</f>
        <v>148566.35244853562</v>
      </c>
      <c r="K207" s="949"/>
      <c r="L207" s="949"/>
      <c r="M207" s="949"/>
      <c r="N207" s="950"/>
      <c r="O207" s="950"/>
      <c r="P207" s="950"/>
      <c r="Q207" s="950"/>
    </row>
    <row r="208" spans="2:17" ht="9.75" customHeight="1">
      <c r="B208" s="946">
        <f>B196+1</f>
        <v>18</v>
      </c>
      <c r="C208" s="947">
        <f ca="1">C196+1</f>
        <v>47</v>
      </c>
      <c r="D208" s="294">
        <f t="shared" ca="1" si="61"/>
        <v>52438</v>
      </c>
      <c r="E208" s="359">
        <f t="shared" si="64"/>
        <v>1500000</v>
      </c>
      <c r="F208" s="360">
        <f t="shared" ca="1" si="62"/>
        <v>60</v>
      </c>
      <c r="G208" s="295">
        <f ca="1">KBACOI!Q207</f>
        <v>494.54187139730658</v>
      </c>
      <c r="H208" s="295">
        <f ca="1">(J207+KBAGTTKMH!F24-F208-G208)*(1+$W$3)</f>
        <v>158605.11524825828</v>
      </c>
      <c r="I208" s="953">
        <f>IF(COUNTIF(KBAGTTKMH!$E$7:E24,0)&gt;0,0,3%*'Tinh phi QL'!$H$13/1000)</f>
        <v>300</v>
      </c>
      <c r="J208" s="296">
        <f t="shared" ca="1" si="63"/>
        <v>158605.11524825828</v>
      </c>
      <c r="K208" s="949">
        <f ca="1">J219</f>
        <v>159342.20531930175</v>
      </c>
      <c r="L208" s="949"/>
      <c r="M208" s="949"/>
      <c r="N208" s="950">
        <f t="shared" ref="N208" ca="1" si="65">SUM(G208:G219)</f>
        <v>5933.5461909233654</v>
      </c>
      <c r="O208" s="950"/>
      <c r="P208" s="950">
        <f t="shared" ref="P208" ca="1" si="66">SUM(F208:F219)</f>
        <v>720</v>
      </c>
      <c r="Q208" s="950"/>
    </row>
    <row r="209" spans="2:17" ht="9.75" customHeight="1">
      <c r="B209" s="946"/>
      <c r="C209" s="946"/>
      <c r="D209" s="294">
        <f t="shared" ca="1" si="61"/>
        <v>52469</v>
      </c>
      <c r="E209" s="359">
        <f t="shared" si="64"/>
        <v>1500000</v>
      </c>
      <c r="F209" s="360">
        <f t="shared" ca="1" si="62"/>
        <v>60</v>
      </c>
      <c r="G209" s="295">
        <f ca="1">KBACOI!Q208</f>
        <v>494.52758084514215</v>
      </c>
      <c r="H209" s="295">
        <f t="shared" ca="1" si="58"/>
        <v>158644.03793922404</v>
      </c>
      <c r="I209" s="953"/>
      <c r="J209" s="296">
        <f t="shared" ca="1" si="63"/>
        <v>158644.03793922404</v>
      </c>
      <c r="K209" s="949"/>
      <c r="L209" s="949"/>
      <c r="M209" s="949"/>
      <c r="N209" s="950"/>
      <c r="O209" s="950"/>
      <c r="P209" s="950"/>
      <c r="Q209" s="950"/>
    </row>
    <row r="210" spans="2:17" ht="9.75" customHeight="1">
      <c r="B210" s="946"/>
      <c r="C210" s="946"/>
      <c r="D210" s="294">
        <f t="shared" ca="1" si="61"/>
        <v>52500</v>
      </c>
      <c r="E210" s="359">
        <f t="shared" si="64"/>
        <v>1500000</v>
      </c>
      <c r="F210" s="360">
        <f t="shared" ca="1" si="62"/>
        <v>60</v>
      </c>
      <c r="G210" s="295">
        <f ca="1">KBACOI!Q209</f>
        <v>494.51323134640614</v>
      </c>
      <c r="H210" s="295">
        <f t="shared" ca="1" si="58"/>
        <v>158683.12118096236</v>
      </c>
      <c r="I210" s="953"/>
      <c r="J210" s="296">
        <f t="shared" ca="1" si="63"/>
        <v>158683.12118096236</v>
      </c>
      <c r="K210" s="949"/>
      <c r="L210" s="949"/>
      <c r="M210" s="949"/>
      <c r="N210" s="950"/>
      <c r="O210" s="950"/>
      <c r="P210" s="950"/>
      <c r="Q210" s="950"/>
    </row>
    <row r="211" spans="2:17" ht="9.75" customHeight="1">
      <c r="B211" s="946"/>
      <c r="C211" s="946"/>
      <c r="D211" s="294">
        <f t="shared" ca="1" si="61"/>
        <v>52530</v>
      </c>
      <c r="E211" s="359">
        <f t="shared" si="64"/>
        <v>1500000</v>
      </c>
      <c r="F211" s="360">
        <f t="shared" ca="1" si="62"/>
        <v>60</v>
      </c>
      <c r="G211" s="295">
        <f ca="1">KBACOI!Q210</f>
        <v>494.49882265795191</v>
      </c>
      <c r="H211" s="295">
        <f t="shared" ca="1" si="58"/>
        <v>158722.36563572325</v>
      </c>
      <c r="I211" s="953"/>
      <c r="J211" s="296">
        <f t="shared" ca="1" si="63"/>
        <v>158722.36563572325</v>
      </c>
      <c r="K211" s="949"/>
      <c r="L211" s="949"/>
      <c r="M211" s="949"/>
      <c r="N211" s="950"/>
      <c r="O211" s="950"/>
      <c r="P211" s="950"/>
      <c r="Q211" s="950"/>
    </row>
    <row r="212" spans="2:17" ht="9.75" customHeight="1">
      <c r="B212" s="946"/>
      <c r="C212" s="946"/>
      <c r="D212" s="294">
        <f t="shared" ca="1" si="61"/>
        <v>52561</v>
      </c>
      <c r="E212" s="359">
        <f t="shared" si="64"/>
        <v>1500000</v>
      </c>
      <c r="F212" s="360">
        <f t="shared" ca="1" si="62"/>
        <v>60</v>
      </c>
      <c r="G212" s="295">
        <f ca="1">KBACOI!Q211</f>
        <v>494.48435453563002</v>
      </c>
      <c r="H212" s="295">
        <f t="shared" ca="1" si="58"/>
        <v>158761.77196848829</v>
      </c>
      <c r="I212" s="953"/>
      <c r="J212" s="296">
        <f t="shared" ca="1" si="63"/>
        <v>158761.77196848829</v>
      </c>
      <c r="K212" s="949"/>
      <c r="L212" s="949"/>
      <c r="M212" s="949"/>
      <c r="N212" s="950"/>
      <c r="O212" s="950"/>
      <c r="P212" s="950"/>
      <c r="Q212" s="950"/>
    </row>
    <row r="213" spans="2:17" ht="9.75" customHeight="1">
      <c r="B213" s="946"/>
      <c r="C213" s="946"/>
      <c r="D213" s="294">
        <f t="shared" ca="1" si="61"/>
        <v>52591</v>
      </c>
      <c r="E213" s="359">
        <f t="shared" si="64"/>
        <v>1500000</v>
      </c>
      <c r="F213" s="360">
        <f t="shared" ca="1" si="62"/>
        <v>60</v>
      </c>
      <c r="G213" s="295">
        <f ca="1">KBACOI!Q212</f>
        <v>494.46982673428403</v>
      </c>
      <c r="H213" s="295">
        <f t="shared" ca="1" si="58"/>
        <v>158801.34084698214</v>
      </c>
      <c r="I213" s="953"/>
      <c r="J213" s="296">
        <f t="shared" ca="1" si="63"/>
        <v>158801.34084698214</v>
      </c>
      <c r="K213" s="949"/>
      <c r="L213" s="949"/>
      <c r="M213" s="949"/>
      <c r="N213" s="950"/>
      <c r="O213" s="950"/>
      <c r="P213" s="950"/>
      <c r="Q213" s="950"/>
    </row>
    <row r="214" spans="2:17" ht="9.75" customHeight="1">
      <c r="B214" s="946"/>
      <c r="C214" s="946"/>
      <c r="D214" s="294">
        <f t="shared" ca="1" si="61"/>
        <v>52622</v>
      </c>
      <c r="E214" s="359">
        <f t="shared" si="64"/>
        <v>1500000</v>
      </c>
      <c r="F214" s="360">
        <f t="shared" ca="1" si="62"/>
        <v>60</v>
      </c>
      <c r="G214" s="295">
        <f ca="1">KBACOI!Q213</f>
        <v>494.455239007746</v>
      </c>
      <c r="H214" s="295">
        <f t="shared" ca="1" si="58"/>
        <v>158841.07294168367</v>
      </c>
      <c r="I214" s="953"/>
      <c r="J214" s="296">
        <f t="shared" ca="1" si="63"/>
        <v>158841.07294168367</v>
      </c>
      <c r="K214" s="949"/>
      <c r="L214" s="949"/>
      <c r="M214" s="949"/>
      <c r="N214" s="950"/>
      <c r="O214" s="950"/>
      <c r="P214" s="950"/>
      <c r="Q214" s="950"/>
    </row>
    <row r="215" spans="2:17" ht="9.75" customHeight="1">
      <c r="B215" s="946"/>
      <c r="C215" s="946"/>
      <c r="D215" s="294">
        <f t="shared" ca="1" si="61"/>
        <v>52653</v>
      </c>
      <c r="E215" s="359">
        <f t="shared" si="64"/>
        <v>1500000</v>
      </c>
      <c r="F215" s="360">
        <f t="shared" ca="1" si="62"/>
        <v>60</v>
      </c>
      <c r="G215" s="295">
        <f ca="1">KBACOI!Q214</f>
        <v>494.44059110883268</v>
      </c>
      <c r="H215" s="295">
        <f t="shared" ca="1" si="58"/>
        <v>158880.96892583737</v>
      </c>
      <c r="I215" s="953"/>
      <c r="J215" s="296">
        <f t="shared" ca="1" si="63"/>
        <v>158880.96892583737</v>
      </c>
      <c r="K215" s="949"/>
      <c r="L215" s="949"/>
      <c r="M215" s="949"/>
      <c r="N215" s="950"/>
      <c r="O215" s="950"/>
      <c r="P215" s="950"/>
      <c r="Q215" s="950"/>
    </row>
    <row r="216" spans="2:17" ht="9.75" customHeight="1">
      <c r="B216" s="946"/>
      <c r="C216" s="946"/>
      <c r="D216" s="294">
        <f t="shared" ca="1" si="61"/>
        <v>52682</v>
      </c>
      <c r="E216" s="359">
        <f t="shared" si="64"/>
        <v>1500000</v>
      </c>
      <c r="F216" s="360">
        <f t="shared" ca="1" si="62"/>
        <v>60</v>
      </c>
      <c r="G216" s="295">
        <f ca="1">KBACOI!Q215</f>
        <v>494.42588278934136</v>
      </c>
      <c r="H216" s="295">
        <f t="shared" ca="1" si="58"/>
        <v>158921.02947546483</v>
      </c>
      <c r="I216" s="953"/>
      <c r="J216" s="296">
        <f t="shared" ca="1" si="63"/>
        <v>158921.02947546483</v>
      </c>
      <c r="K216" s="949"/>
      <c r="L216" s="949"/>
      <c r="M216" s="949"/>
      <c r="N216" s="950"/>
      <c r="O216" s="950"/>
      <c r="P216" s="950"/>
      <c r="Q216" s="950"/>
    </row>
    <row r="217" spans="2:17" ht="9.75" customHeight="1">
      <c r="B217" s="946"/>
      <c r="C217" s="946"/>
      <c r="D217" s="294">
        <f t="shared" ca="1" si="61"/>
        <v>52713</v>
      </c>
      <c r="E217" s="359">
        <f t="shared" si="64"/>
        <v>1500000</v>
      </c>
      <c r="F217" s="360">
        <f t="shared" ca="1" si="62"/>
        <v>60</v>
      </c>
      <c r="G217" s="295">
        <f ca="1">KBACOI!Q216</f>
        <v>494.41111380004526</v>
      </c>
      <c r="H217" s="295">
        <f t="shared" ca="1" si="58"/>
        <v>158961.2552693761</v>
      </c>
      <c r="I217" s="953"/>
      <c r="J217" s="296">
        <f t="shared" ca="1" si="63"/>
        <v>158961.2552693761</v>
      </c>
      <c r="K217" s="949"/>
      <c r="L217" s="949"/>
      <c r="M217" s="949"/>
      <c r="N217" s="950"/>
      <c r="O217" s="950"/>
      <c r="P217" s="950"/>
      <c r="Q217" s="950"/>
    </row>
    <row r="218" spans="2:17" ht="9.75" customHeight="1">
      <c r="B218" s="946"/>
      <c r="C218" s="946"/>
      <c r="D218" s="294">
        <f t="shared" ca="1" si="61"/>
        <v>52743</v>
      </c>
      <c r="E218" s="359">
        <f t="shared" si="64"/>
        <v>1500000</v>
      </c>
      <c r="F218" s="360">
        <f t="shared" ca="1" si="62"/>
        <v>60</v>
      </c>
      <c r="G218" s="295">
        <f ca="1">KBACOI!Q217</f>
        <v>494.39628389069003</v>
      </c>
      <c r="H218" s="295">
        <f t="shared" ca="1" si="58"/>
        <v>159001.6469891812</v>
      </c>
      <c r="I218" s="953"/>
      <c r="J218" s="296">
        <f t="shared" ca="1" si="63"/>
        <v>159001.6469891812</v>
      </c>
      <c r="K218" s="949"/>
      <c r="L218" s="949"/>
      <c r="M218" s="949"/>
      <c r="N218" s="950"/>
      <c r="O218" s="950"/>
      <c r="P218" s="950"/>
      <c r="Q218" s="950"/>
    </row>
    <row r="219" spans="2:17" ht="9.75" customHeight="1">
      <c r="B219" s="946"/>
      <c r="C219" s="946"/>
      <c r="D219" s="294">
        <f t="shared" ca="1" si="61"/>
        <v>52774</v>
      </c>
      <c r="E219" s="359">
        <f t="shared" si="64"/>
        <v>1500000</v>
      </c>
      <c r="F219" s="360">
        <f t="shared" ca="1" si="62"/>
        <v>60</v>
      </c>
      <c r="G219" s="295">
        <f ca="1">KBACOI!Q218</f>
        <v>494.38139280998865</v>
      </c>
      <c r="H219" s="295">
        <f t="shared" ca="1" si="58"/>
        <v>159042.20531930175</v>
      </c>
      <c r="I219" s="953"/>
      <c r="J219" s="297">
        <f ca="1">H219+I208</f>
        <v>159342.20531930175</v>
      </c>
      <c r="K219" s="949"/>
      <c r="L219" s="949"/>
      <c r="M219" s="949"/>
      <c r="N219" s="950"/>
      <c r="O219" s="950"/>
      <c r="P219" s="950"/>
      <c r="Q219" s="950"/>
    </row>
    <row r="220" spans="2:17" ht="9.75" customHeight="1">
      <c r="B220" s="951">
        <f>B208+1</f>
        <v>19</v>
      </c>
      <c r="C220" s="952">
        <f ca="1">C208+1</f>
        <v>48</v>
      </c>
      <c r="D220" s="287">
        <f t="shared" ca="1" si="61"/>
        <v>52804</v>
      </c>
      <c r="E220" s="288">
        <f t="shared" si="64"/>
        <v>1500000</v>
      </c>
      <c r="F220" s="289">
        <f t="shared" ca="1" si="62"/>
        <v>60</v>
      </c>
      <c r="G220" s="290">
        <f ca="1">KBACOI!Q219</f>
        <v>529.6018022829179</v>
      </c>
      <c r="H220" s="290">
        <f ca="1">(J219+KBAGTTKMH!F25-F220-G220)*(1+$W$3)</f>
        <v>169386.23784830468</v>
      </c>
      <c r="I220" s="953">
        <f>IF(COUNTIF(KBAGTTKMH!$E$7:E25,0)&gt;0,0,3%*'Tinh phi QL'!$H$13/1000)</f>
        <v>300</v>
      </c>
      <c r="J220" s="292">
        <f t="shared" ca="1" si="63"/>
        <v>169386.23784830468</v>
      </c>
      <c r="K220" s="949">
        <f ca="1">J231</f>
        <v>170182.83744926125</v>
      </c>
      <c r="L220" s="949"/>
      <c r="M220" s="949"/>
      <c r="N220" s="950">
        <f t="shared" ref="N220" ca="1" si="67">SUM(G220:G231)</f>
        <v>6354.0488133301551</v>
      </c>
      <c r="O220" s="950"/>
      <c r="P220" s="950">
        <f t="shared" ref="P220" ca="1" si="68">SUM(F220:F231)</f>
        <v>720</v>
      </c>
      <c r="Q220" s="950"/>
    </row>
    <row r="221" spans="2:17" ht="9.75" customHeight="1">
      <c r="B221" s="951"/>
      <c r="C221" s="951"/>
      <c r="D221" s="287">
        <f t="shared" ca="1" si="61"/>
        <v>52835</v>
      </c>
      <c r="E221" s="288">
        <f t="shared" si="64"/>
        <v>1500000</v>
      </c>
      <c r="F221" s="289">
        <f t="shared" ca="1" si="62"/>
        <v>60</v>
      </c>
      <c r="G221" s="290">
        <f ca="1">KBACOI!Q220</f>
        <v>529.58427733637473</v>
      </c>
      <c r="H221" s="290">
        <f t="shared" ca="1" si="58"/>
        <v>169430.45330193327</v>
      </c>
      <c r="I221" s="953"/>
      <c r="J221" s="292">
        <f t="shared" ca="1" si="63"/>
        <v>169430.45330193327</v>
      </c>
      <c r="K221" s="949"/>
      <c r="L221" s="949"/>
      <c r="M221" s="949"/>
      <c r="N221" s="950"/>
      <c r="O221" s="950"/>
      <c r="P221" s="950"/>
      <c r="Q221" s="950"/>
    </row>
    <row r="222" spans="2:17" ht="9.75" customHeight="1">
      <c r="B222" s="951"/>
      <c r="C222" s="951"/>
      <c r="D222" s="287">
        <f t="shared" ca="1" si="61"/>
        <v>52866</v>
      </c>
      <c r="E222" s="288">
        <f t="shared" si="64"/>
        <v>1500000</v>
      </c>
      <c r="F222" s="289">
        <f t="shared" ca="1" si="62"/>
        <v>60</v>
      </c>
      <c r="G222" s="290">
        <f ca="1">KBACOI!Q221</f>
        <v>529.56667958583046</v>
      </c>
      <c r="H222" s="290">
        <f t="shared" ca="1" si="58"/>
        <v>169474.85244011253</v>
      </c>
      <c r="I222" s="953"/>
      <c r="J222" s="292">
        <f t="shared" ca="1" si="63"/>
        <v>169474.85244011253</v>
      </c>
      <c r="K222" s="949"/>
      <c r="L222" s="949"/>
      <c r="M222" s="949"/>
      <c r="N222" s="950"/>
      <c r="O222" s="950"/>
      <c r="P222" s="950"/>
      <c r="Q222" s="950"/>
    </row>
    <row r="223" spans="2:17" ht="9.75" customHeight="1">
      <c r="B223" s="951"/>
      <c r="C223" s="951"/>
      <c r="D223" s="287">
        <f t="shared" ca="1" si="61"/>
        <v>52896</v>
      </c>
      <c r="E223" s="288">
        <f t="shared" si="64"/>
        <v>1500000</v>
      </c>
      <c r="F223" s="289">
        <f t="shared" ca="1" si="62"/>
        <v>60</v>
      </c>
      <c r="G223" s="290">
        <f ca="1">KBACOI!Q222</f>
        <v>529.54900872883525</v>
      </c>
      <c r="H223" s="290">
        <f t="shared" ca="1" si="58"/>
        <v>169519.4360259244</v>
      </c>
      <c r="I223" s="953"/>
      <c r="J223" s="292">
        <f t="shared" ca="1" si="63"/>
        <v>169519.4360259244</v>
      </c>
      <c r="K223" s="949"/>
      <c r="L223" s="949"/>
      <c r="M223" s="949"/>
      <c r="N223" s="950"/>
      <c r="O223" s="950"/>
      <c r="P223" s="950"/>
      <c r="Q223" s="950"/>
    </row>
    <row r="224" spans="2:17" ht="9.75" customHeight="1">
      <c r="B224" s="951"/>
      <c r="C224" s="951"/>
      <c r="D224" s="287">
        <f t="shared" ca="1" si="61"/>
        <v>52927</v>
      </c>
      <c r="E224" s="288">
        <f t="shared" si="64"/>
        <v>1500000</v>
      </c>
      <c r="F224" s="289">
        <f t="shared" ca="1" si="62"/>
        <v>60</v>
      </c>
      <c r="G224" s="290">
        <f ca="1">KBACOI!Q223</f>
        <v>529.53126446168199</v>
      </c>
      <c r="H224" s="290">
        <f t="shared" ca="1" si="58"/>
        <v>169564.20482562089</v>
      </c>
      <c r="I224" s="953"/>
      <c r="J224" s="292">
        <f t="shared" ca="1" si="63"/>
        <v>169564.20482562089</v>
      </c>
      <c r="K224" s="949"/>
      <c r="L224" s="949"/>
      <c r="M224" s="949"/>
      <c r="N224" s="950"/>
      <c r="O224" s="950"/>
      <c r="P224" s="950"/>
      <c r="Q224" s="950"/>
    </row>
    <row r="225" spans="2:17" ht="9.75" customHeight="1">
      <c r="B225" s="951"/>
      <c r="C225" s="951"/>
      <c r="D225" s="287">
        <f t="shared" ca="1" si="61"/>
        <v>52957</v>
      </c>
      <c r="E225" s="288">
        <f t="shared" si="64"/>
        <v>1500000</v>
      </c>
      <c r="F225" s="289">
        <f t="shared" ca="1" si="62"/>
        <v>60</v>
      </c>
      <c r="G225" s="290">
        <f ca="1">KBACOI!Q224</f>
        <v>529.51344647940289</v>
      </c>
      <c r="H225" s="290">
        <f t="shared" ca="1" si="58"/>
        <v>169609.1596086373</v>
      </c>
      <c r="I225" s="953"/>
      <c r="J225" s="292">
        <f t="shared" ca="1" si="63"/>
        <v>169609.1596086373</v>
      </c>
      <c r="K225" s="949"/>
      <c r="L225" s="949"/>
      <c r="M225" s="949"/>
      <c r="N225" s="950"/>
      <c r="O225" s="950"/>
      <c r="P225" s="950"/>
      <c r="Q225" s="950"/>
    </row>
    <row r="226" spans="2:17" ht="9.75" customHeight="1">
      <c r="B226" s="951"/>
      <c r="C226" s="951"/>
      <c r="D226" s="287">
        <f t="shared" ca="1" si="61"/>
        <v>52988</v>
      </c>
      <c r="E226" s="288">
        <f t="shared" si="64"/>
        <v>1500000</v>
      </c>
      <c r="F226" s="289">
        <f t="shared" ca="1" si="62"/>
        <v>60</v>
      </c>
      <c r="G226" s="290">
        <f ca="1">KBACOI!Q225</f>
        <v>529.49555447576233</v>
      </c>
      <c r="H226" s="290">
        <f t="shared" ca="1" si="58"/>
        <v>169654.30114760535</v>
      </c>
      <c r="I226" s="953"/>
      <c r="J226" s="292">
        <f t="shared" ca="1" si="63"/>
        <v>169654.30114760535</v>
      </c>
      <c r="K226" s="949"/>
      <c r="L226" s="949"/>
      <c r="M226" s="949"/>
      <c r="N226" s="950"/>
      <c r="O226" s="950"/>
      <c r="P226" s="950"/>
      <c r="Q226" s="950"/>
    </row>
    <row r="227" spans="2:17" ht="9.75" customHeight="1">
      <c r="B227" s="951"/>
      <c r="C227" s="951"/>
      <c r="D227" s="287">
        <f t="shared" ca="1" si="61"/>
        <v>53019</v>
      </c>
      <c r="E227" s="288">
        <f t="shared" si="64"/>
        <v>1500000</v>
      </c>
      <c r="F227" s="289">
        <f t="shared" ca="1" si="62"/>
        <v>60</v>
      </c>
      <c r="G227" s="290">
        <f ca="1">KBACOI!Q226</f>
        <v>529.47758814325312</v>
      </c>
      <c r="H227" s="290">
        <f t="shared" ca="1" si="58"/>
        <v>169699.63021836648</v>
      </c>
      <c r="I227" s="953"/>
      <c r="J227" s="292">
        <f t="shared" ca="1" si="63"/>
        <v>169699.63021836648</v>
      </c>
      <c r="K227" s="949"/>
      <c r="L227" s="949"/>
      <c r="M227" s="949"/>
      <c r="N227" s="950"/>
      <c r="O227" s="950"/>
      <c r="P227" s="950"/>
      <c r="Q227" s="950"/>
    </row>
    <row r="228" spans="2:17" ht="9.75" customHeight="1">
      <c r="B228" s="951"/>
      <c r="C228" s="951"/>
      <c r="D228" s="287">
        <f t="shared" ca="1" si="61"/>
        <v>53047</v>
      </c>
      <c r="E228" s="288">
        <f t="shared" si="64"/>
        <v>1500000</v>
      </c>
      <c r="F228" s="289">
        <f t="shared" ca="1" si="62"/>
        <v>60</v>
      </c>
      <c r="G228" s="290">
        <f ca="1">KBACOI!Q227</f>
        <v>529.45954717309007</v>
      </c>
      <c r="H228" s="290">
        <f t="shared" ca="1" si="58"/>
        <v>169745.1475999853</v>
      </c>
      <c r="I228" s="953"/>
      <c r="J228" s="292">
        <f t="shared" ca="1" si="63"/>
        <v>169745.1475999853</v>
      </c>
      <c r="K228" s="949"/>
      <c r="L228" s="949"/>
      <c r="M228" s="949"/>
      <c r="N228" s="950"/>
      <c r="O228" s="950"/>
      <c r="P228" s="950"/>
      <c r="Q228" s="950"/>
    </row>
    <row r="229" spans="2:17" ht="9.75" customHeight="1">
      <c r="B229" s="951"/>
      <c r="C229" s="951"/>
      <c r="D229" s="287">
        <f t="shared" ca="1" si="61"/>
        <v>53078</v>
      </c>
      <c r="E229" s="288">
        <f t="shared" si="64"/>
        <v>1500000</v>
      </c>
      <c r="F229" s="289">
        <f t="shared" ca="1" si="62"/>
        <v>60</v>
      </c>
      <c r="G229" s="290">
        <f ca="1">KBACOI!Q228</f>
        <v>529.44143125520577</v>
      </c>
      <c r="H229" s="290">
        <f t="shared" ca="1" si="58"/>
        <v>169790.85407476284</v>
      </c>
      <c r="I229" s="953"/>
      <c r="J229" s="292">
        <f t="shared" ca="1" si="63"/>
        <v>169790.85407476284</v>
      </c>
      <c r="K229" s="949"/>
      <c r="L229" s="949"/>
      <c r="M229" s="949"/>
      <c r="N229" s="950"/>
      <c r="O229" s="950"/>
      <c r="P229" s="950"/>
      <c r="Q229" s="950"/>
    </row>
    <row r="230" spans="2:17" ht="9.75" customHeight="1">
      <c r="B230" s="951"/>
      <c r="C230" s="951"/>
      <c r="D230" s="287">
        <f t="shared" ca="1" si="61"/>
        <v>53108</v>
      </c>
      <c r="E230" s="288">
        <f t="shared" si="64"/>
        <v>1500000</v>
      </c>
      <c r="F230" s="289">
        <f t="shared" ca="1" si="62"/>
        <v>60</v>
      </c>
      <c r="G230" s="290">
        <f ca="1">KBACOI!Q229</f>
        <v>529.42324007824436</v>
      </c>
      <c r="H230" s="290">
        <f t="shared" ca="1" si="58"/>
        <v>169836.75042825003</v>
      </c>
      <c r="I230" s="953"/>
      <c r="J230" s="292">
        <f t="shared" ca="1" si="63"/>
        <v>169836.75042825003</v>
      </c>
      <c r="K230" s="949"/>
      <c r="L230" s="949"/>
      <c r="M230" s="949"/>
      <c r="N230" s="950"/>
      <c r="O230" s="950"/>
      <c r="P230" s="950"/>
      <c r="Q230" s="950"/>
    </row>
    <row r="231" spans="2:17" ht="9.75" customHeight="1">
      <c r="B231" s="951"/>
      <c r="C231" s="951"/>
      <c r="D231" s="287">
        <f t="shared" ca="1" si="61"/>
        <v>53139</v>
      </c>
      <c r="E231" s="288">
        <f t="shared" si="64"/>
        <v>1500000</v>
      </c>
      <c r="F231" s="289">
        <f t="shared" ca="1" si="62"/>
        <v>60</v>
      </c>
      <c r="G231" s="290">
        <f ca="1">KBACOI!Q230</f>
        <v>529.40497332955647</v>
      </c>
      <c r="H231" s="290">
        <f t="shared" ca="1" si="58"/>
        <v>169882.83744926125</v>
      </c>
      <c r="I231" s="953"/>
      <c r="J231" s="293">
        <f ca="1">H231+I220</f>
        <v>170182.83744926125</v>
      </c>
      <c r="K231" s="949"/>
      <c r="L231" s="949"/>
      <c r="M231" s="949"/>
      <c r="N231" s="950"/>
      <c r="O231" s="950"/>
      <c r="P231" s="950"/>
      <c r="Q231" s="950"/>
    </row>
    <row r="232" spans="2:17" ht="9.75" customHeight="1">
      <c r="B232" s="946">
        <f>B220+1</f>
        <v>20</v>
      </c>
      <c r="C232" s="947">
        <f ca="1">C220+1</f>
        <v>49</v>
      </c>
      <c r="D232" s="294">
        <f t="shared" ca="1" si="61"/>
        <v>53169</v>
      </c>
      <c r="E232" s="359">
        <f t="shared" si="64"/>
        <v>1500000</v>
      </c>
      <c r="F232" s="360">
        <f t="shared" ca="1" si="62"/>
        <v>60</v>
      </c>
      <c r="G232" s="295">
        <f ca="1">KBACOI!Q231</f>
        <v>568.40125800518479</v>
      </c>
      <c r="H232" s="295">
        <f ca="1">(J231+KBAGTTKMH!F26-F232-G232)*(1+$W$3)</f>
        <v>180228.62937544583</v>
      </c>
      <c r="I232" s="953">
        <f>IF(COUNTIF(KBAGTTKMH!$E$7:E26,0)&gt;0,0,3%*'Tinh phi QL'!$H$13/1000)</f>
        <v>300</v>
      </c>
      <c r="J232" s="296">
        <f t="shared" ca="1" si="63"/>
        <v>180228.62937544583</v>
      </c>
      <c r="K232" s="949">
        <f ca="1">J243</f>
        <v>181045.17337995843</v>
      </c>
      <c r="L232" s="949"/>
      <c r="M232" s="949"/>
      <c r="N232" s="950">
        <f t="shared" ref="N232" ca="1" si="69">SUM(G232:G243)</f>
        <v>6819.4951677864847</v>
      </c>
      <c r="O232" s="950"/>
      <c r="P232" s="950">
        <f t="shared" ref="P232" ca="1" si="70">SUM(F232:F243)</f>
        <v>720</v>
      </c>
      <c r="Q232" s="950"/>
    </row>
    <row r="233" spans="2:17" ht="9.75" customHeight="1">
      <c r="B233" s="946"/>
      <c r="C233" s="946"/>
      <c r="D233" s="294">
        <f t="shared" ca="1" si="61"/>
        <v>53200</v>
      </c>
      <c r="E233" s="359">
        <f t="shared" si="64"/>
        <v>1500000</v>
      </c>
      <c r="F233" s="360">
        <f t="shared" ca="1" si="62"/>
        <v>60</v>
      </c>
      <c r="G233" s="295">
        <f ca="1">KBACOI!Q232</f>
        <v>568.3815369489746</v>
      </c>
      <c r="H233" s="295">
        <f t="shared" ca="1" si="58"/>
        <v>180274.61303681773</v>
      </c>
      <c r="I233" s="953"/>
      <c r="J233" s="296">
        <f t="shared" ca="1" si="63"/>
        <v>180274.61303681773</v>
      </c>
      <c r="K233" s="949"/>
      <c r="L233" s="949"/>
      <c r="M233" s="949"/>
      <c r="N233" s="950"/>
      <c r="O233" s="950"/>
      <c r="P233" s="950"/>
      <c r="Q233" s="950"/>
    </row>
    <row r="234" spans="2:17" ht="9.75" customHeight="1">
      <c r="B234" s="946"/>
      <c r="C234" s="946"/>
      <c r="D234" s="294">
        <f t="shared" ca="1" si="61"/>
        <v>53231</v>
      </c>
      <c r="E234" s="359">
        <f t="shared" si="64"/>
        <v>1500000</v>
      </c>
      <c r="F234" s="360">
        <f t="shared" ca="1" si="62"/>
        <v>60</v>
      </c>
      <c r="G234" s="295">
        <f ca="1">KBACOI!Q233</f>
        <v>568.36173331881059</v>
      </c>
      <c r="H234" s="295">
        <f t="shared" ca="1" si="58"/>
        <v>180320.78923619055</v>
      </c>
      <c r="I234" s="953"/>
      <c r="J234" s="296">
        <f t="shared" ca="1" si="63"/>
        <v>180320.78923619055</v>
      </c>
      <c r="K234" s="949"/>
      <c r="L234" s="949"/>
      <c r="M234" s="949"/>
      <c r="N234" s="950"/>
      <c r="O234" s="950"/>
      <c r="P234" s="950"/>
      <c r="Q234" s="950"/>
    </row>
    <row r="235" spans="2:17" ht="9.75" customHeight="1">
      <c r="B235" s="946"/>
      <c r="C235" s="946"/>
      <c r="D235" s="294">
        <f t="shared" ca="1" si="61"/>
        <v>53261</v>
      </c>
      <c r="E235" s="359">
        <f t="shared" si="64"/>
        <v>1500000</v>
      </c>
      <c r="F235" s="360">
        <f t="shared" ca="1" si="62"/>
        <v>60</v>
      </c>
      <c r="G235" s="295">
        <f ca="1">KBACOI!Q234</f>
        <v>568.34184676894733</v>
      </c>
      <c r="H235" s="295">
        <f t="shared" ca="1" si="58"/>
        <v>180367.15877973937</v>
      </c>
      <c r="I235" s="953"/>
      <c r="J235" s="296">
        <f t="shared" ca="1" si="63"/>
        <v>180367.15877973937</v>
      </c>
      <c r="K235" s="949"/>
      <c r="L235" s="949"/>
      <c r="M235" s="949"/>
      <c r="N235" s="950"/>
      <c r="O235" s="950"/>
      <c r="P235" s="950"/>
      <c r="Q235" s="950"/>
    </row>
    <row r="236" spans="2:17" ht="9.75" customHeight="1">
      <c r="B236" s="946"/>
      <c r="C236" s="946"/>
      <c r="D236" s="294">
        <f t="shared" ca="1" si="61"/>
        <v>53292</v>
      </c>
      <c r="E236" s="359">
        <f t="shared" si="64"/>
        <v>1500000</v>
      </c>
      <c r="F236" s="360">
        <f t="shared" ca="1" si="62"/>
        <v>60</v>
      </c>
      <c r="G236" s="295">
        <f ca="1">KBACOI!Q235</f>
        <v>568.32187695219227</v>
      </c>
      <c r="H236" s="295">
        <f t="shared" ca="1" si="58"/>
        <v>180413.72247701482</v>
      </c>
      <c r="I236" s="953"/>
      <c r="J236" s="296">
        <f t="shared" ca="1" si="63"/>
        <v>180413.72247701482</v>
      </c>
      <c r="K236" s="949"/>
      <c r="L236" s="949"/>
      <c r="M236" s="949"/>
      <c r="N236" s="950"/>
      <c r="O236" s="950"/>
      <c r="P236" s="950"/>
      <c r="Q236" s="950"/>
    </row>
    <row r="237" spans="2:17" ht="9.75" customHeight="1">
      <c r="B237" s="946"/>
      <c r="C237" s="946"/>
      <c r="D237" s="294">
        <f t="shared" ca="1" si="61"/>
        <v>53322</v>
      </c>
      <c r="E237" s="359">
        <f t="shared" si="64"/>
        <v>1500000</v>
      </c>
      <c r="F237" s="360">
        <f t="shared" ca="1" si="62"/>
        <v>60</v>
      </c>
      <c r="G237" s="295">
        <f ca="1">KBACOI!Q236</f>
        <v>568.3018235198989</v>
      </c>
      <c r="H237" s="295">
        <f t="shared" ca="1" si="58"/>
        <v>180460.48114095716</v>
      </c>
      <c r="I237" s="953"/>
      <c r="J237" s="296">
        <f t="shared" ca="1" si="63"/>
        <v>180460.48114095716</v>
      </c>
      <c r="K237" s="949"/>
      <c r="L237" s="949"/>
      <c r="M237" s="949"/>
      <c r="N237" s="950"/>
      <c r="O237" s="950"/>
      <c r="P237" s="950"/>
      <c r="Q237" s="950"/>
    </row>
    <row r="238" spans="2:17" ht="9.75" customHeight="1">
      <c r="B238" s="946"/>
      <c r="C238" s="946"/>
      <c r="D238" s="294">
        <f t="shared" ca="1" si="61"/>
        <v>53353</v>
      </c>
      <c r="E238" s="359">
        <f t="shared" si="64"/>
        <v>1500000</v>
      </c>
      <c r="F238" s="360">
        <f t="shared" ca="1" si="62"/>
        <v>60</v>
      </c>
      <c r="G238" s="295">
        <f ca="1">KBACOI!Q237</f>
        <v>568.28168612196112</v>
      </c>
      <c r="H238" s="295">
        <f t="shared" ca="1" si="58"/>
        <v>180507.43558791053</v>
      </c>
      <c r="I238" s="953"/>
      <c r="J238" s="296">
        <f t="shared" ca="1" si="63"/>
        <v>180507.43558791053</v>
      </c>
      <c r="K238" s="949"/>
      <c r="L238" s="949"/>
      <c r="M238" s="949"/>
      <c r="N238" s="950"/>
      <c r="O238" s="950"/>
      <c r="P238" s="950"/>
      <c r="Q238" s="950"/>
    </row>
    <row r="239" spans="2:17" ht="9.75" customHeight="1">
      <c r="B239" s="946"/>
      <c r="C239" s="946"/>
      <c r="D239" s="294">
        <f t="shared" ca="1" si="61"/>
        <v>53384</v>
      </c>
      <c r="E239" s="359">
        <f t="shared" si="64"/>
        <v>1500000</v>
      </c>
      <c r="F239" s="360">
        <f t="shared" ca="1" si="62"/>
        <v>60</v>
      </c>
      <c r="G239" s="295">
        <f ca="1">KBACOI!Q238</f>
        <v>568.26146440680657</v>
      </c>
      <c r="H239" s="295">
        <f t="shared" ca="1" si="58"/>
        <v>180554.58663763717</v>
      </c>
      <c r="I239" s="953"/>
      <c r="J239" s="296">
        <f t="shared" ca="1" si="63"/>
        <v>180554.58663763717</v>
      </c>
      <c r="K239" s="949"/>
      <c r="L239" s="949"/>
      <c r="M239" s="949"/>
      <c r="N239" s="950"/>
      <c r="O239" s="950"/>
      <c r="P239" s="950"/>
      <c r="Q239" s="950"/>
    </row>
    <row r="240" spans="2:17" ht="9.75" customHeight="1">
      <c r="B240" s="946"/>
      <c r="C240" s="946"/>
      <c r="D240" s="294">
        <f t="shared" ca="1" si="61"/>
        <v>53412</v>
      </c>
      <c r="E240" s="359">
        <f t="shared" si="64"/>
        <v>1500000</v>
      </c>
      <c r="F240" s="360">
        <f t="shared" ca="1" si="62"/>
        <v>60</v>
      </c>
      <c r="G240" s="295">
        <f ca="1">KBACOI!Q239</f>
        <v>568.24115802139102</v>
      </c>
      <c r="H240" s="295">
        <f t="shared" ca="1" si="58"/>
        <v>180601.93511333177</v>
      </c>
      <c r="I240" s="953"/>
      <c r="J240" s="296">
        <f t="shared" ca="1" si="63"/>
        <v>180601.93511333177</v>
      </c>
      <c r="K240" s="949"/>
      <c r="L240" s="949"/>
      <c r="M240" s="949"/>
      <c r="N240" s="950"/>
      <c r="O240" s="950"/>
      <c r="P240" s="950"/>
      <c r="Q240" s="950"/>
    </row>
    <row r="241" spans="2:17" ht="9.75" customHeight="1">
      <c r="B241" s="946"/>
      <c r="C241" s="946"/>
      <c r="D241" s="294">
        <f t="shared" ca="1" si="61"/>
        <v>53443</v>
      </c>
      <c r="E241" s="359">
        <f t="shared" si="64"/>
        <v>1500000</v>
      </c>
      <c r="F241" s="360">
        <f t="shared" ca="1" si="62"/>
        <v>60</v>
      </c>
      <c r="G241" s="295">
        <f ca="1">KBACOI!Q240</f>
        <v>568.22076661119183</v>
      </c>
      <c r="H241" s="295">
        <f t="shared" ca="1" si="58"/>
        <v>180649.48184163574</v>
      </c>
      <c r="I241" s="953"/>
      <c r="J241" s="296">
        <f t="shared" ca="1" si="63"/>
        <v>180649.48184163574</v>
      </c>
      <c r="K241" s="949"/>
      <c r="L241" s="949"/>
      <c r="M241" s="949"/>
      <c r="N241" s="950"/>
      <c r="O241" s="950"/>
      <c r="P241" s="950"/>
      <c r="Q241" s="950"/>
    </row>
    <row r="242" spans="2:17" ht="9.75" customHeight="1">
      <c r="B242" s="946"/>
      <c r="C242" s="946"/>
      <c r="D242" s="294">
        <f t="shared" ca="1" si="61"/>
        <v>53473</v>
      </c>
      <c r="E242" s="359">
        <f t="shared" si="64"/>
        <v>1500000</v>
      </c>
      <c r="F242" s="360">
        <f t="shared" ca="1" si="62"/>
        <v>60</v>
      </c>
      <c r="G242" s="295">
        <f ca="1">KBACOI!Q241</f>
        <v>568.20028982020222</v>
      </c>
      <c r="H242" s="295">
        <f t="shared" ca="1" si="58"/>
        <v>180697.22765265184</v>
      </c>
      <c r="I242" s="953"/>
      <c r="J242" s="296">
        <f t="shared" ca="1" si="63"/>
        <v>180697.22765265184</v>
      </c>
      <c r="K242" s="949"/>
      <c r="L242" s="949"/>
      <c r="M242" s="949"/>
      <c r="N242" s="950"/>
      <c r="O242" s="950"/>
      <c r="P242" s="950"/>
      <c r="Q242" s="950"/>
    </row>
    <row r="243" spans="2:17" ht="9.75" customHeight="1">
      <c r="B243" s="946"/>
      <c r="C243" s="946"/>
      <c r="D243" s="294">
        <f t="shared" ca="1" si="61"/>
        <v>53504</v>
      </c>
      <c r="E243" s="359">
        <f t="shared" si="64"/>
        <v>1500000</v>
      </c>
      <c r="F243" s="360">
        <f t="shared" ca="1" si="62"/>
        <v>60</v>
      </c>
      <c r="G243" s="295">
        <f ca="1">KBACOI!Q242</f>
        <v>568.17972729092469</v>
      </c>
      <c r="H243" s="295">
        <f t="shared" ca="1" si="58"/>
        <v>180745.17337995843</v>
      </c>
      <c r="I243" s="953"/>
      <c r="J243" s="297">
        <f ca="1">H243+I232</f>
        <v>181045.17337995843</v>
      </c>
      <c r="K243" s="949"/>
      <c r="L243" s="949"/>
      <c r="M243" s="949"/>
      <c r="N243" s="950"/>
      <c r="O243" s="950"/>
      <c r="P243" s="950"/>
      <c r="Q243" s="950"/>
    </row>
  </sheetData>
  <sheetProtection selectLockedCells="1"/>
  <mergeCells count="118">
    <mergeCell ref="P232:Q243"/>
    <mergeCell ref="P172:Q183"/>
    <mergeCell ref="P184:Q195"/>
    <mergeCell ref="P196:Q207"/>
    <mergeCell ref="P208:Q219"/>
    <mergeCell ref="P220:Q231"/>
    <mergeCell ref="P112:Q123"/>
    <mergeCell ref="P124:Q135"/>
    <mergeCell ref="P136:Q147"/>
    <mergeCell ref="P148:Q159"/>
    <mergeCell ref="P160:Q171"/>
    <mergeCell ref="P52:Q63"/>
    <mergeCell ref="P64:Q75"/>
    <mergeCell ref="P76:Q87"/>
    <mergeCell ref="P88:Q99"/>
    <mergeCell ref="P100:Q111"/>
    <mergeCell ref="B2:H2"/>
    <mergeCell ref="P4:Q15"/>
    <mergeCell ref="P16:Q27"/>
    <mergeCell ref="P28:Q39"/>
    <mergeCell ref="P40:Q51"/>
    <mergeCell ref="B4:B15"/>
    <mergeCell ref="C4:C15"/>
    <mergeCell ref="K4:M15"/>
    <mergeCell ref="N4:O15"/>
    <mergeCell ref="B16:B27"/>
    <mergeCell ref="C16:C27"/>
    <mergeCell ref="K16:M27"/>
    <mergeCell ref="N16:O27"/>
    <mergeCell ref="B28:B39"/>
    <mergeCell ref="C28:C39"/>
    <mergeCell ref="K28:M39"/>
    <mergeCell ref="N28:O39"/>
    <mergeCell ref="B40:B51"/>
    <mergeCell ref="C40:C51"/>
    <mergeCell ref="I40:I51"/>
    <mergeCell ref="K40:M51"/>
    <mergeCell ref="N40:O51"/>
    <mergeCell ref="B64:B75"/>
    <mergeCell ref="C64:C75"/>
    <mergeCell ref="I64:I75"/>
    <mergeCell ref="K64:M75"/>
    <mergeCell ref="N64:O75"/>
    <mergeCell ref="B52:B63"/>
    <mergeCell ref="C52:C63"/>
    <mergeCell ref="I52:I63"/>
    <mergeCell ref="K52:M63"/>
    <mergeCell ref="N52:O63"/>
    <mergeCell ref="B88:B99"/>
    <mergeCell ref="C88:C99"/>
    <mergeCell ref="I88:I99"/>
    <mergeCell ref="K88:M99"/>
    <mergeCell ref="N88:O99"/>
    <mergeCell ref="B76:B87"/>
    <mergeCell ref="C76:C87"/>
    <mergeCell ref="I76:I87"/>
    <mergeCell ref="K76:M87"/>
    <mergeCell ref="N76:O87"/>
    <mergeCell ref="B112:B123"/>
    <mergeCell ref="C112:C123"/>
    <mergeCell ref="I112:I123"/>
    <mergeCell ref="K112:M123"/>
    <mergeCell ref="N112:O123"/>
    <mergeCell ref="B100:B111"/>
    <mergeCell ref="C100:C111"/>
    <mergeCell ref="I100:I111"/>
    <mergeCell ref="K100:M111"/>
    <mergeCell ref="N100:O111"/>
    <mergeCell ref="B136:B147"/>
    <mergeCell ref="C136:C147"/>
    <mergeCell ref="I136:I147"/>
    <mergeCell ref="K136:M147"/>
    <mergeCell ref="N136:O147"/>
    <mergeCell ref="B124:B135"/>
    <mergeCell ref="C124:C135"/>
    <mergeCell ref="I124:I135"/>
    <mergeCell ref="K124:M135"/>
    <mergeCell ref="N124:O135"/>
    <mergeCell ref="B160:B171"/>
    <mergeCell ref="C160:C171"/>
    <mergeCell ref="I160:I171"/>
    <mergeCell ref="K160:M171"/>
    <mergeCell ref="N160:O171"/>
    <mergeCell ref="B148:B159"/>
    <mergeCell ref="C148:C159"/>
    <mergeCell ref="I148:I159"/>
    <mergeCell ref="K148:M159"/>
    <mergeCell ref="N148:O159"/>
    <mergeCell ref="B184:B195"/>
    <mergeCell ref="C184:C195"/>
    <mergeCell ref="I184:I195"/>
    <mergeCell ref="K184:M195"/>
    <mergeCell ref="N184:O195"/>
    <mergeCell ref="B172:B183"/>
    <mergeCell ref="C172:C183"/>
    <mergeCell ref="I172:I183"/>
    <mergeCell ref="K172:M183"/>
    <mergeCell ref="N172:O183"/>
    <mergeCell ref="B208:B219"/>
    <mergeCell ref="C208:C219"/>
    <mergeCell ref="I208:I219"/>
    <mergeCell ref="K208:M219"/>
    <mergeCell ref="N208:O219"/>
    <mergeCell ref="B196:B207"/>
    <mergeCell ref="C196:C207"/>
    <mergeCell ref="I196:I207"/>
    <mergeCell ref="K196:M207"/>
    <mergeCell ref="N196:O207"/>
    <mergeCell ref="B232:B243"/>
    <mergeCell ref="C232:C243"/>
    <mergeCell ref="I232:I243"/>
    <mergeCell ref="K232:M243"/>
    <mergeCell ref="N232:O243"/>
    <mergeCell ref="B220:B231"/>
    <mergeCell ref="C220:C231"/>
    <mergeCell ref="I220:I231"/>
    <mergeCell ref="K220:M231"/>
    <mergeCell ref="N220:O231"/>
  </mergeCells>
  <conditionalFormatting sqref="H1:J1 H3:J51 H52:H243 J52:J243 H244:J1048576">
    <cfRule type="cellIs" dxfId="133" priority="3" operator="lessThan">
      <formula>0</formula>
    </cfRule>
  </conditionalFormatting>
  <conditionalFormatting sqref="I52 I64 I76 I88 I100 I112 I124 I136 I148 I160 I172 I184 I196 I208 I220 I232">
    <cfRule type="cellIs" dxfId="132" priority="1" operator="lessThan">
      <formula>0</formula>
    </cfRule>
  </conditionalFormatting>
  <conditionalFormatting sqref="I2:J2">
    <cfRule type="cellIs" dxfId="131" priority="2" operator="lessThan">
      <formula>0</formula>
    </cfRule>
  </conditionalFormatting>
  <pageMargins left="0.75" right="0.75" top="1" bottom="1" header="0.5" footer="0.5"/>
  <drawing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155EC-A8AC-45A8-A920-71FED3B5D6C0}">
  <dimension ref="B1:U242"/>
  <sheetViews>
    <sheetView showGridLines="0" zoomScale="85" zoomScaleNormal="85" workbookViewId="0">
      <pane ySplit="2" topLeftCell="A3" activePane="bottomLeft" state="frozen"/>
      <selection activeCell="C1" sqref="C1"/>
      <selection pane="bottomLeft" activeCell="M3" sqref="M3:O50 Q3:S50 C2:C6 U3:U50 M51:U242 I3:I103 K15:K242"/>
    </sheetView>
  </sheetViews>
  <sheetFormatPr defaultColWidth="9.296875" defaultRowHeight="9.75" customHeight="1"/>
  <cols>
    <col min="1" max="1" width="0.19921875" style="252" customWidth="1"/>
    <col min="2" max="2" width="23.69921875" style="252" customWidth="1"/>
    <col min="3" max="3" width="16.69921875" style="252" customWidth="1"/>
    <col min="4" max="6" width="9.296875" style="252"/>
    <col min="7" max="7" width="1.19921875" style="252" customWidth="1"/>
    <col min="8" max="8" width="7.796875" style="252" customWidth="1"/>
    <col min="9" max="9" width="9.296875" style="252"/>
    <col min="10" max="10" width="4.5" style="252" customWidth="1"/>
    <col min="11" max="11" width="5.296875" style="252" customWidth="1"/>
    <col min="12" max="12" width="9" style="252" customWidth="1"/>
    <col min="13" max="13" width="20.69921875" style="252" customWidth="1"/>
    <col min="14" max="14" width="14" style="252" customWidth="1"/>
    <col min="15" max="15" width="16.19921875" style="454" customWidth="1"/>
    <col min="16" max="16" width="16" style="454" customWidth="1"/>
    <col min="17" max="17" width="15" style="252" customWidth="1"/>
    <col min="18" max="18" width="17.296875" style="252" customWidth="1"/>
    <col min="19" max="19" width="25.796875" style="252" customWidth="1"/>
    <col min="20" max="20" width="22.796875" style="325" customWidth="1"/>
    <col min="21" max="21" width="28.796875" style="252" customWidth="1"/>
    <col min="22" max="16384" width="9.296875" style="252"/>
  </cols>
  <sheetData>
    <row r="1" spans="2:21" ht="9.75" customHeight="1">
      <c r="L1" s="252" t="s">
        <v>665</v>
      </c>
    </row>
    <row r="2" spans="2:21" ht="36" customHeight="1">
      <c r="B2" s="253" t="s">
        <v>666</v>
      </c>
      <c r="C2" s="546">
        <f ca="1">'Hoach dinh tai chinh'!J3</f>
        <v>46229</v>
      </c>
      <c r="D2" s="252" t="s">
        <v>667</v>
      </c>
      <c r="E2" s="252" t="s">
        <v>668</v>
      </c>
      <c r="F2" s="252" t="s">
        <v>669</v>
      </c>
      <c r="H2" s="252" t="s">
        <v>670</v>
      </c>
      <c r="I2" s="252" t="s">
        <v>1</v>
      </c>
      <c r="K2" s="252" t="s">
        <v>34</v>
      </c>
      <c r="L2" s="252" t="s">
        <v>671</v>
      </c>
      <c r="M2" s="450" t="s">
        <v>672</v>
      </c>
      <c r="N2" s="252" t="s">
        <v>673</v>
      </c>
      <c r="O2" s="254" t="s">
        <v>674</v>
      </c>
      <c r="P2" s="254" t="s">
        <v>675</v>
      </c>
      <c r="Q2" s="450" t="s">
        <v>706</v>
      </c>
      <c r="R2" s="450" t="s">
        <v>707</v>
      </c>
      <c r="S2" s="450" t="s">
        <v>676</v>
      </c>
      <c r="T2" s="255" t="s">
        <v>708</v>
      </c>
      <c r="U2" s="450" t="s">
        <v>709</v>
      </c>
    </row>
    <row r="3" spans="2:21" ht="9.75" customHeight="1">
      <c r="B3" s="253" t="s">
        <v>677</v>
      </c>
      <c r="C3" s="546">
        <f>'Hoach dinh tai chinh'!J5</f>
        <v>34926</v>
      </c>
      <c r="D3" s="252">
        <v>0</v>
      </c>
      <c r="E3" s="252">
        <v>2.0779999999999998</v>
      </c>
      <c r="F3" s="252">
        <v>1.504</v>
      </c>
      <c r="H3" s="252">
        <v>1</v>
      </c>
      <c r="I3" s="548">
        <f ca="1">C5</f>
        <v>30</v>
      </c>
      <c r="K3" s="961">
        <v>1</v>
      </c>
      <c r="L3" s="252">
        <v>1</v>
      </c>
      <c r="M3" s="538">
        <f>C4-KBAGTTKcamket!F7</f>
        <v>995000</v>
      </c>
      <c r="N3" s="538">
        <f ca="1">VTL20namcamket!F4</f>
        <v>40</v>
      </c>
      <c r="O3" s="539">
        <f ca="1">IF('Tinh phi QL'!$H$9="Nam",VLOOKUP(KBACOI!$I$3,KBACOI!$D$3:$F$103,2,0)*M3/1000/12,IF('Tinh phi QL'!$H$9="Nữ",VLOOKUP(KBACOI!$I$3,KBACOI!$D$3:$F$103,3,0)*M3/1000/12,0))</f>
        <v>116.08333333333333</v>
      </c>
      <c r="Q3" s="539">
        <f ca="1">IF('Tinh phi QL'!$H$9="Nam",VLOOKUP(KBACOI!$I$3,KBACOI!$D$3:$F$103,2,0)*R3/1000/12,IF('Tinh phi QL'!$H$9="Nữ",VLOOKUP(KBACOI!$I$3,KBACOI!$D$3:$F$103,3,0)*R3/1000/12,0))</f>
        <v>116.08333333333333</v>
      </c>
      <c r="R3" s="539">
        <f>C4-KBAGTTKMH!F7</f>
        <v>995000</v>
      </c>
      <c r="S3" s="542">
        <f ca="1">(KBAGTTKcamket!F7-N3-O3)*(1+KBA20namcamket!P3)</f>
        <v>4857.8230608203139</v>
      </c>
      <c r="U3" s="542">
        <f ca="1">(KBAGTTKMH!F7-N3-Q3)*(1+KBA20namMH!$P$3)</f>
        <v>4862.104663971124</v>
      </c>
    </row>
    <row r="4" spans="2:21" ht="9.75" customHeight="1">
      <c r="B4" s="253" t="s">
        <v>678</v>
      </c>
      <c r="C4" s="547">
        <f>'Tinh phi QL'!E13/1000</f>
        <v>1000000</v>
      </c>
      <c r="D4" s="252">
        <v>1</v>
      </c>
      <c r="E4" s="252">
        <v>0.82399999999999995</v>
      </c>
      <c r="F4" s="252">
        <v>0.67200000000000004</v>
      </c>
      <c r="H4" s="252">
        <v>2</v>
      </c>
      <c r="I4" s="548">
        <f ca="1">I3+1</f>
        <v>31</v>
      </c>
      <c r="K4" s="961"/>
      <c r="L4" s="252">
        <v>2</v>
      </c>
      <c r="M4" s="538">
        <f t="shared" ref="M4:M14" ca="1" si="0">$C$4-S3</f>
        <v>995142.17693917966</v>
      </c>
      <c r="N4" s="538">
        <f ca="1">VTL20namcamket!F5</f>
        <v>40</v>
      </c>
      <c r="O4" s="539">
        <f ca="1">IF('Tinh phi QL'!$H$9="Nam",VLOOKUP(KBACOI!$I$3,KBACOI!$D$3:$F$103,2,0)*M4/1000/12,IF('Tinh phi QL'!$H$9="Nữ",VLOOKUP(KBACOI!$I$3,KBACOI!$D$3:$F$103,3,0)*M4/1000/12,0))</f>
        <v>116.09992064290428</v>
      </c>
      <c r="Q4" s="539">
        <f ca="1">IF('Tinh phi QL'!$H$9="Nam",VLOOKUP(KBACOI!$I$3,KBACOI!$D$3:$F$103,2,0)*R4/1000/12,IF('Tinh phi QL'!$H$9="Nữ",VLOOKUP(KBACOI!$I$3,KBACOI!$D$3:$F$103,3,0)*R4/1000/12,0))</f>
        <v>116.0994211225367</v>
      </c>
      <c r="R4" s="539">
        <f ca="1">$C$4-U3</f>
        <v>995137.89533602889</v>
      </c>
      <c r="S4" s="542">
        <f ca="1">(S3-N4-O4)*(1+KBA20namcamket!$P$3)</f>
        <v>4715.2213111179981</v>
      </c>
      <c r="U4" s="542">
        <f ca="1">(U3-N4-Q4)*(1+KBA20namMH!$P$3)</f>
        <v>4723.6754086589726</v>
      </c>
    </row>
    <row r="5" spans="2:21" ht="9.75" customHeight="1">
      <c r="B5" s="252" t="s">
        <v>679</v>
      </c>
      <c r="C5" s="548">
        <f ca="1">'Hoach dinh tai chinh'!J7</f>
        <v>30</v>
      </c>
      <c r="D5" s="252">
        <v>2</v>
      </c>
      <c r="E5" s="252">
        <v>0.79200000000000004</v>
      </c>
      <c r="F5" s="252">
        <v>0.64</v>
      </c>
      <c r="H5" s="252">
        <v>3</v>
      </c>
      <c r="I5" s="548">
        <f t="shared" ref="I5:I68" ca="1" si="1">I4+1</f>
        <v>32</v>
      </c>
      <c r="K5" s="961"/>
      <c r="L5" s="252">
        <v>3</v>
      </c>
      <c r="M5" s="538">
        <f t="shared" ca="1" si="0"/>
        <v>995284.77868888201</v>
      </c>
      <c r="N5" s="538">
        <f ca="1">VTL20namcamket!F6</f>
        <v>40</v>
      </c>
      <c r="O5" s="539">
        <f ca="1">IF('Tinh phi QL'!$H$9="Nam",VLOOKUP(KBACOI!$I$3,KBACOI!$D$3:$F$103,2,0)*M5/1000/12,IF('Tinh phi QL'!$H$9="Nữ",VLOOKUP(KBACOI!$I$3,KBACOI!$D$3:$F$103,3,0)*M5/1000/12,0))</f>
        <v>116.1165575137029</v>
      </c>
      <c r="Q5" s="539">
        <f ca="1">IF('Tinh phi QL'!$H$9="Nam",VLOOKUP(KBACOI!$I$3,KBACOI!$D$3:$F$103,2,0)*R5/1000/12,IF('Tinh phi QL'!$H$9="Nữ",VLOOKUP(KBACOI!$I$3,KBACOI!$D$3:$F$103,3,0)*R5/1000/12,0))</f>
        <v>116.11557120232311</v>
      </c>
      <c r="R5" s="539">
        <f t="shared" ref="R5:R14" ca="1" si="2">$C$4-U4</f>
        <v>995276.32459134108</v>
      </c>
      <c r="S5" s="542">
        <f ca="1">(S4-N5-O5)*(1+KBA20namcamket!$P$3)</f>
        <v>4572.1934816015537</v>
      </c>
      <c r="U5" s="542">
        <f ca="1">(U4-N5-Q5)*(1+KBA20namMH!$P$3)</f>
        <v>4584.7101667724455</v>
      </c>
    </row>
    <row r="6" spans="2:21" ht="9.75" customHeight="1">
      <c r="B6" s="252" t="s">
        <v>680</v>
      </c>
      <c r="C6" s="549">
        <f ca="1">EDATE(C3,C5*12)</f>
        <v>45884</v>
      </c>
      <c r="D6" s="252">
        <v>3</v>
      </c>
      <c r="E6" s="252">
        <v>0.77600000000000002</v>
      </c>
      <c r="F6" s="252">
        <v>0.624</v>
      </c>
      <c r="H6" s="252">
        <v>4</v>
      </c>
      <c r="I6" s="548">
        <f t="shared" ca="1" si="1"/>
        <v>33</v>
      </c>
      <c r="K6" s="961"/>
      <c r="L6" s="252">
        <v>4</v>
      </c>
      <c r="M6" s="538">
        <f t="shared" ca="1" si="0"/>
        <v>995427.80651839846</v>
      </c>
      <c r="N6" s="538">
        <f ca="1">VTL20namcamket!F7</f>
        <v>40</v>
      </c>
      <c r="O6" s="539">
        <f ca="1">IF('Tinh phi QL'!$H$9="Nam",VLOOKUP(KBACOI!$I$3,KBACOI!$D$3:$F$103,2,0)*M6/1000/12,IF('Tinh phi QL'!$H$9="Nữ",VLOOKUP(KBACOI!$I$3,KBACOI!$D$3:$F$103,3,0)*M6/1000/12,0))</f>
        <v>116.13324409381313</v>
      </c>
      <c r="Q6" s="539">
        <f ca="1">IF('Tinh phi QL'!$H$9="Nam",VLOOKUP(KBACOI!$I$3,KBACOI!$D$3:$F$103,2,0)*R6/1000/12,IF('Tinh phi QL'!$H$9="Nữ",VLOOKUP(KBACOI!$I$3,KBACOI!$D$3:$F$103,3,0)*R6/1000/12,0))</f>
        <v>116.13178381387655</v>
      </c>
      <c r="R6" s="539">
        <f t="shared" ca="1" si="2"/>
        <v>995415.28983322752</v>
      </c>
      <c r="S6" s="542">
        <f ca="1">(S5-N6-O6)*(1+KBA20namcamket!$P$3)</f>
        <v>4428.7382991869672</v>
      </c>
      <c r="U6" s="542">
        <f ca="1">(U5-N6-Q6)*(1+KBA20namMH!$P$3)</f>
        <v>4445.206863016062</v>
      </c>
    </row>
    <row r="7" spans="2:21" ht="9.75" customHeight="1">
      <c r="C7" s="258"/>
      <c r="D7" s="252">
        <v>4</v>
      </c>
      <c r="E7" s="252">
        <v>0.74399999999999999</v>
      </c>
      <c r="F7" s="252">
        <v>0.61599999999999999</v>
      </c>
      <c r="H7" s="252">
        <v>5</v>
      </c>
      <c r="I7" s="548">
        <f t="shared" ca="1" si="1"/>
        <v>34</v>
      </c>
      <c r="K7" s="961"/>
      <c r="L7" s="252">
        <v>5</v>
      </c>
      <c r="M7" s="538">
        <f t="shared" ca="1" si="0"/>
        <v>995571.26170081308</v>
      </c>
      <c r="N7" s="538">
        <f ca="1">VTL20namcamket!F8</f>
        <v>40</v>
      </c>
      <c r="O7" s="539">
        <f ca="1">IF('Tinh phi QL'!$H$9="Nam",VLOOKUP(KBACOI!$I$3,KBACOI!$D$3:$F$103,2,0)*M7/1000/12,IF('Tinh phi QL'!$H$9="Nữ",VLOOKUP(KBACOI!$I$3,KBACOI!$D$3:$F$103,3,0)*M7/1000/12,0))</f>
        <v>116.14998053176151</v>
      </c>
      <c r="Q7" s="539">
        <f ca="1">IF('Tinh phi QL'!$H$9="Nam",VLOOKUP(KBACOI!$I$3,KBACOI!$D$3:$F$103,2,0)*R7/1000/12,IF('Tinh phi QL'!$H$9="Nữ",VLOOKUP(KBACOI!$I$3,KBACOI!$D$3:$F$103,3,0)*R7/1000/12,0))</f>
        <v>116.1480591993148</v>
      </c>
      <c r="R7" s="539">
        <f t="shared" ca="1" si="2"/>
        <v>995554.79313698399</v>
      </c>
      <c r="S7" s="542">
        <f ca="1">(S6-N7-O7)*(1+KBA20namcamket!$P$3)</f>
        <v>4284.8544869863745</v>
      </c>
      <c r="U7" s="542">
        <f ca="1">(U6-N7-Q7)*(1+KBA20namMH!$P$3)</f>
        <v>4305.1634140589704</v>
      </c>
    </row>
    <row r="8" spans="2:21" ht="9.75" customHeight="1">
      <c r="C8" s="258"/>
      <c r="D8" s="252">
        <v>5</v>
      </c>
      <c r="E8" s="252">
        <v>0.70399999999999996</v>
      </c>
      <c r="F8" s="252">
        <v>0.6</v>
      </c>
      <c r="H8" s="252">
        <v>6</v>
      </c>
      <c r="I8" s="548">
        <f t="shared" ca="1" si="1"/>
        <v>35</v>
      </c>
      <c r="K8" s="961"/>
      <c r="L8" s="252">
        <v>6</v>
      </c>
      <c r="M8" s="538">
        <f t="shared" ca="1" si="0"/>
        <v>995715.14551301359</v>
      </c>
      <c r="N8" s="538">
        <f ca="1">VTL20namcamket!F9</f>
        <v>40</v>
      </c>
      <c r="O8" s="539">
        <f ca="1">IF('Tinh phi QL'!$H$9="Nam",VLOOKUP(KBACOI!$I$3,KBACOI!$D$3:$F$103,2,0)*M8/1000/12,IF('Tinh phi QL'!$H$9="Nữ",VLOOKUP(KBACOI!$I$3,KBACOI!$D$3:$F$103,3,0)*M8/1000/12,0))</f>
        <v>116.16676697651825</v>
      </c>
      <c r="Q8" s="539">
        <f ca="1">IF('Tinh phi QL'!$H$9="Nam",VLOOKUP(KBACOI!$I$3,KBACOI!$D$3:$F$103,2,0)*R8/1000/12,IF('Tinh phi QL'!$H$9="Nữ",VLOOKUP(KBACOI!$I$3,KBACOI!$D$3:$F$103,3,0)*R8/1000/12,0))</f>
        <v>116.16439760169311</v>
      </c>
      <c r="R8" s="539">
        <f t="shared" ca="1" si="2"/>
        <v>995694.83658594103</v>
      </c>
      <c r="S8" s="542">
        <f ca="1">(S7-N8-O8)*(1+KBA20namcamket!$P$3)</f>
        <v>4140.5407642967002</v>
      </c>
      <c r="U8" s="542">
        <f ca="1">(U7-N8-Q8)*(1+KBA20namMH!$P$3)</f>
        <v>4164.5777285038348</v>
      </c>
    </row>
    <row r="9" spans="2:21" ht="9.75" customHeight="1">
      <c r="B9" s="253"/>
      <c r="C9" s="253"/>
      <c r="D9" s="252">
        <v>6</v>
      </c>
      <c r="E9" s="252">
        <v>0.66400000000000003</v>
      </c>
      <c r="F9" s="252">
        <v>0.58399999999999996</v>
      </c>
      <c r="H9" s="252">
        <v>7</v>
      </c>
      <c r="I9" s="548">
        <f t="shared" ca="1" si="1"/>
        <v>36</v>
      </c>
      <c r="K9" s="961"/>
      <c r="L9" s="252">
        <v>7</v>
      </c>
      <c r="M9" s="538">
        <f t="shared" ca="1" si="0"/>
        <v>995859.45923570334</v>
      </c>
      <c r="N9" s="538">
        <f ca="1">VTL20namcamket!F10</f>
        <v>40</v>
      </c>
      <c r="O9" s="539">
        <f ca="1">IF('Tinh phi QL'!$H$9="Nam",VLOOKUP(KBACOI!$I$3,KBACOI!$D$3:$F$103,2,0)*M9/1000/12,IF('Tinh phi QL'!$H$9="Nữ",VLOOKUP(KBACOI!$I$3,KBACOI!$D$3:$F$103,3,0)*M9/1000/12,0))</f>
        <v>116.18360357749872</v>
      </c>
      <c r="Q9" s="539">
        <f ca="1">IF('Tinh phi QL'!$H$9="Nam",VLOOKUP(KBACOI!$I$3,KBACOI!$D$3:$F$103,2,0)*R9/1000/12,IF('Tinh phi QL'!$H$9="Nữ",VLOOKUP(KBACOI!$I$3,KBACOI!$D$3:$F$103,3,0)*R9/1000/12,0))</f>
        <v>116.18079926500788</v>
      </c>
      <c r="R9" s="539">
        <f t="shared" ca="1" si="2"/>
        <v>995835.42227149615</v>
      </c>
      <c r="S9" s="542">
        <f ca="1">(S8-N9-O9)*(1+KBA20namcamket!$P$3)</f>
        <v>3995.7958465882543</v>
      </c>
      <c r="U9" s="542">
        <f ca="1">(U8-N9-Q9)*(1+KBA20namMH!$P$3)</f>
        <v>4023.4477068556016</v>
      </c>
    </row>
    <row r="10" spans="2:21" ht="9.75" customHeight="1">
      <c r="D10" s="252">
        <v>7</v>
      </c>
      <c r="E10" s="252">
        <v>0.624</v>
      </c>
      <c r="F10" s="252">
        <v>0.56799999999999995</v>
      </c>
      <c r="H10" s="252">
        <v>8</v>
      </c>
      <c r="I10" s="548">
        <f t="shared" ca="1" si="1"/>
        <v>37</v>
      </c>
      <c r="K10" s="961"/>
      <c r="L10" s="252">
        <v>8</v>
      </c>
      <c r="M10" s="538">
        <f t="shared" ca="1" si="0"/>
        <v>996004.20415341179</v>
      </c>
      <c r="N10" s="538">
        <f ca="1">VTL20namcamket!F11</f>
        <v>40</v>
      </c>
      <c r="O10" s="539">
        <f ca="1">IF('Tinh phi QL'!$H$9="Nam",VLOOKUP(KBACOI!$I$3,KBACOI!$D$3:$F$103,2,0)*M10/1000/12,IF('Tinh phi QL'!$H$9="Nữ",VLOOKUP(KBACOI!$I$3,KBACOI!$D$3:$F$103,3,0)*M10/1000/12,0))</f>
        <v>116.2004904845647</v>
      </c>
      <c r="Q10" s="539">
        <f ca="1">IF('Tinh phi QL'!$H$9="Nam",VLOOKUP(KBACOI!$I$3,KBACOI!$D$3:$F$103,2,0)*R10/1000/12,IF('Tinh phi QL'!$H$9="Nữ",VLOOKUP(KBACOI!$I$3,KBACOI!$D$3:$F$103,3,0)*R10/1000/12,0))</f>
        <v>116.19726443420016</v>
      </c>
      <c r="R10" s="539">
        <f t="shared" ca="1" si="2"/>
        <v>995976.5522931444</v>
      </c>
      <c r="S10" s="542">
        <f ca="1">(S9-N10-O10)*(1+KBA20namcamket!$P$3)</f>
        <v>3850.6184454933</v>
      </c>
      <c r="U10" s="542">
        <f ca="1">(U9-N10-Q10)*(1+KBA20namMH!$P$3)</f>
        <v>3881.7712414901484</v>
      </c>
    </row>
    <row r="11" spans="2:21" ht="9.75" customHeight="1">
      <c r="B11" s="259"/>
      <c r="C11" s="260"/>
      <c r="D11" s="252">
        <v>8</v>
      </c>
      <c r="E11" s="252">
        <v>0.6</v>
      </c>
      <c r="F11" s="252">
        <v>0.56000000000000005</v>
      </c>
      <c r="H11" s="252">
        <v>9</v>
      </c>
      <c r="I11" s="548">
        <f t="shared" ca="1" si="1"/>
        <v>38</v>
      </c>
      <c r="K11" s="961"/>
      <c r="L11" s="252">
        <v>9</v>
      </c>
      <c r="M11" s="538">
        <f t="shared" ca="1" si="0"/>
        <v>996149.38155450672</v>
      </c>
      <c r="N11" s="538">
        <f ca="1">VTL20namcamket!F12</f>
        <v>40</v>
      </c>
      <c r="O11" s="539">
        <f ca="1">IF('Tinh phi QL'!$H$9="Nam",VLOOKUP(KBACOI!$I$3,KBACOI!$D$3:$F$103,2,0)*M11/1000/12,IF('Tinh phi QL'!$H$9="Nữ",VLOOKUP(KBACOI!$I$3,KBACOI!$D$3:$F$103,3,0)*M11/1000/12,0))</f>
        <v>116.21742784802576</v>
      </c>
      <c r="Q11" s="539">
        <f ca="1">IF('Tinh phi QL'!$H$9="Nam",VLOOKUP(KBACOI!$I$3,KBACOI!$D$3:$F$103,2,0)*R11/1000/12,IF('Tinh phi QL'!$H$9="Nữ",VLOOKUP(KBACOI!$I$3,KBACOI!$D$3:$F$103,3,0)*R11/1000/12,0))</f>
        <v>116.21379335515947</v>
      </c>
      <c r="R11" s="539">
        <f t="shared" ca="1" si="2"/>
        <v>996118.22875850985</v>
      </c>
      <c r="S11" s="542">
        <f ca="1">(S10-N11-O11)*(1+KBA20namcamket!$P$3)</f>
        <v>3705.0072687945876</v>
      </c>
      <c r="U11" s="542">
        <f ca="1">(U10-N11-Q11)*(1+KBA20namMH!$P$3)</f>
        <v>3739.5462166228062</v>
      </c>
    </row>
    <row r="12" spans="2:21" ht="9.75" customHeight="1">
      <c r="C12" s="261"/>
      <c r="D12" s="252">
        <v>9</v>
      </c>
      <c r="E12" s="252">
        <v>0.59199999999999997</v>
      </c>
      <c r="F12" s="252">
        <v>0.55200000000000005</v>
      </c>
      <c r="H12" s="252">
        <v>10</v>
      </c>
      <c r="I12" s="548">
        <f t="shared" ca="1" si="1"/>
        <v>39</v>
      </c>
      <c r="K12" s="961"/>
      <c r="L12" s="252">
        <v>10</v>
      </c>
      <c r="M12" s="538">
        <f t="shared" ca="1" si="0"/>
        <v>996294.99273120542</v>
      </c>
      <c r="N12" s="538">
        <f ca="1">VTL20namcamket!F13</f>
        <v>40</v>
      </c>
      <c r="O12" s="539">
        <f ca="1">IF('Tinh phi QL'!$H$9="Nam",VLOOKUP(KBACOI!$I$3,KBACOI!$D$3:$F$103,2,0)*M12/1000/12,IF('Tinh phi QL'!$H$9="Nữ",VLOOKUP(KBACOI!$I$3,KBACOI!$D$3:$F$103,3,0)*M12/1000/12,0))</f>
        <v>116.23441581864063</v>
      </c>
      <c r="Q12" s="539">
        <f ca="1">IF('Tinh phi QL'!$H$9="Nam",VLOOKUP(KBACOI!$I$3,KBACOI!$D$3:$F$103,2,0)*R12/1000/12,IF('Tinh phi QL'!$H$9="Nữ",VLOOKUP(KBACOI!$I$3,KBACOI!$D$3:$F$103,3,0)*R12/1000/12,0))</f>
        <v>116.23038627472734</v>
      </c>
      <c r="R12" s="539">
        <f t="shared" ca="1" si="2"/>
        <v>996260.45378337719</v>
      </c>
      <c r="S12" s="542">
        <f ca="1">(S11-N12-O12)*(1+KBA20namcamket!$P$3)</f>
        <v>3558.9610204138494</v>
      </c>
      <c r="U12" s="542">
        <f ca="1">(U11-N12-Q12)*(1+KBA20namMH!$P$3)</f>
        <v>3596.7705082767638</v>
      </c>
    </row>
    <row r="13" spans="2:21" ht="9.75" customHeight="1">
      <c r="D13" s="252">
        <v>10</v>
      </c>
      <c r="E13" s="252">
        <v>0.6</v>
      </c>
      <c r="F13" s="252">
        <v>0.54400000000000004</v>
      </c>
      <c r="H13" s="252">
        <v>11</v>
      </c>
      <c r="I13" s="548">
        <f t="shared" ca="1" si="1"/>
        <v>40</v>
      </c>
      <c r="K13" s="961"/>
      <c r="L13" s="252">
        <v>11</v>
      </c>
      <c r="M13" s="538">
        <f t="shared" ca="1" si="0"/>
        <v>996441.0389795861</v>
      </c>
      <c r="N13" s="538">
        <f ca="1">VTL20namcamket!F14</f>
        <v>40</v>
      </c>
      <c r="O13" s="539">
        <f ca="1">IF('Tinh phi QL'!$H$9="Nam",VLOOKUP(KBACOI!$I$3,KBACOI!$D$3:$F$103,2,0)*M13/1000/12,IF('Tinh phi QL'!$H$9="Nữ",VLOOKUP(KBACOI!$I$3,KBACOI!$D$3:$F$103,3,0)*M13/1000/12,0))</f>
        <v>116.25145454761838</v>
      </c>
      <c r="Q13" s="539">
        <f ca="1">IF('Tinh phi QL'!$H$9="Nam",VLOOKUP(KBACOI!$I$3,KBACOI!$D$3:$F$103,2,0)*R13/1000/12,IF('Tinh phi QL'!$H$9="Nữ",VLOOKUP(KBACOI!$I$3,KBACOI!$D$3:$F$103,3,0)*R13/1000/12,0))</f>
        <v>116.24704344070103</v>
      </c>
      <c r="R13" s="539">
        <f t="shared" ca="1" si="2"/>
        <v>996403.22949172324</v>
      </c>
      <c r="S13" s="542">
        <f ca="1">(S12-N13-O13)*(1+KBA20namcamket!$P$3)</f>
        <v>3412.4784004002663</v>
      </c>
      <c r="U13" s="542">
        <f ca="1">(U12-N13-Q13)*(1+KBA20namMH!$P$3)</f>
        <v>3453.4419842513485</v>
      </c>
    </row>
    <row r="14" spans="2:21" ht="9.75" customHeight="1">
      <c r="D14" s="252">
        <v>11</v>
      </c>
      <c r="E14" s="252">
        <v>0.64800000000000002</v>
      </c>
      <c r="F14" s="252">
        <v>0.56000000000000005</v>
      </c>
      <c r="H14" s="252">
        <v>12</v>
      </c>
      <c r="I14" s="548">
        <f t="shared" ca="1" si="1"/>
        <v>41</v>
      </c>
      <c r="K14" s="961"/>
      <c r="L14" s="252">
        <v>12</v>
      </c>
      <c r="M14" s="538">
        <f t="shared" ca="1" si="0"/>
        <v>996587.52159959974</v>
      </c>
      <c r="N14" s="538">
        <f ca="1">VTL20namcamket!F15</f>
        <v>40</v>
      </c>
      <c r="O14" s="539">
        <f ca="1">IF('Tinh phi QL'!$H$9="Nam",VLOOKUP(KBACOI!$I$3,KBACOI!$D$3:$F$103,2,0)*M14/1000/12,IF('Tinh phi QL'!$H$9="Nữ",VLOOKUP(KBACOI!$I$3,KBACOI!$D$3:$F$103,3,0)*M14/1000/12,0))</f>
        <v>116.26854418661996</v>
      </c>
      <c r="Q14" s="539">
        <f ca="1">IF('Tinh phi QL'!$H$9="Nam",VLOOKUP(KBACOI!$I$3,KBACOI!$D$3:$F$103,2,0)*R14/1000/12,IF('Tinh phi QL'!$H$9="Nữ",VLOOKUP(KBACOI!$I$3,KBACOI!$D$3:$F$103,3,0)*R14/1000/12,0))</f>
        <v>116.26376510183734</v>
      </c>
      <c r="R14" s="539">
        <f t="shared" ca="1" si="2"/>
        <v>996546.55801574863</v>
      </c>
      <c r="S14" s="543">
        <f ca="1">(S13-N14-O14)*(1+KBA20namcamket!$P$3)</f>
        <v>3265.5581049188945</v>
      </c>
      <c r="U14" s="543">
        <f ca="1">(U13-N14-Q14)*(1+KBA20namMH!$P$3)</f>
        <v>3309.5585040901838</v>
      </c>
    </row>
    <row r="15" spans="2:21" ht="9.75" customHeight="1">
      <c r="D15" s="252">
        <v>12</v>
      </c>
      <c r="E15" s="252">
        <v>0.73599999999999999</v>
      </c>
      <c r="F15" s="252">
        <v>0.58399999999999996</v>
      </c>
      <c r="H15" s="252">
        <v>13</v>
      </c>
      <c r="I15" s="548">
        <f t="shared" ca="1" si="1"/>
        <v>42</v>
      </c>
      <c r="K15" s="1043">
        <f>K3+1</f>
        <v>2</v>
      </c>
      <c r="L15" s="262">
        <v>13</v>
      </c>
      <c r="M15" s="540">
        <f ca="1">KBA20namcamket!E16-S14-KBAGTTKcamket!F8</f>
        <v>1039734.4418950811</v>
      </c>
      <c r="N15" s="538">
        <f ca="1">VTL20namcamket!F16</f>
        <v>40</v>
      </c>
      <c r="O15" s="541">
        <f ca="1">IF('Tinh phi QL'!$H$9="Nam",VLOOKUP(KBACOI!$I$4,KBACOI!$D$3:$F$103,2,0)*M15/1000/12,IF('Tinh phi QL'!$H$9="Nữ",VLOOKUP(KBACOI!$I$4,KBACOI!$D$3:$F$103,3,0)*M15/1000/12,0))</f>
        <v>124.76813302740972</v>
      </c>
      <c r="P15" s="455"/>
      <c r="Q15" s="539">
        <f ca="1">IF('Tinh phi QL'!$H$9="Nam",VLOOKUP(KBACOI!$I$4,KBACOI!$D$3:$F$103,2,0)*R15/1000/12,IF('Tinh phi QL'!$H$9="Nữ",VLOOKUP(KBACOI!$I$4,KBACOI!$D$3:$F$103,3,0)*R15/1000/12,0))</f>
        <v>124.76285297950919</v>
      </c>
      <c r="R15" s="541">
        <f ca="1">KBA20namMH!E16-U14-KBAGTTKMH!F8</f>
        <v>1039690.4414959098</v>
      </c>
      <c r="S15" s="544">
        <f ca="1">(S14+KBAGTTKcamket!F8-N15-O15)*(1+KBA20namcamket!Q3)</f>
        <v>10125.701244875549</v>
      </c>
      <c r="T15" s="264"/>
      <c r="U15" s="542">
        <f ca="1">(U14+KBAGTTKMH!F8-N15-Q15)*(1+KBA20namMH!$P$3)</f>
        <v>10182.887453396705</v>
      </c>
    </row>
    <row r="16" spans="2:21" ht="9.75" customHeight="1">
      <c r="D16" s="252">
        <v>13</v>
      </c>
      <c r="E16" s="252">
        <v>0.85599999999999998</v>
      </c>
      <c r="F16" s="252">
        <v>0.61599999999999999</v>
      </c>
      <c r="H16" s="252">
        <v>14</v>
      </c>
      <c r="I16" s="548">
        <f t="shared" ca="1" si="1"/>
        <v>43</v>
      </c>
      <c r="K16" s="1043"/>
      <c r="L16" s="262">
        <v>14</v>
      </c>
      <c r="M16" s="540">
        <f ca="1">KBA20namcamket!E17-S15</f>
        <v>1039874.2987551244</v>
      </c>
      <c r="N16" s="538">
        <f ca="1">VTL20namcamket!F17</f>
        <v>40</v>
      </c>
      <c r="O16" s="541">
        <f ca="1">IF('Tinh phi QL'!$H$9="Nam",VLOOKUP(KBACOI!$I$4,KBACOI!$D$3:$F$103,2,0)*M16/1000/12,IF('Tinh phi QL'!$H$9="Nữ",VLOOKUP(KBACOI!$I$4,KBACOI!$D$3:$F$103,3,0)*M16/1000/12,0))</f>
        <v>124.78491585061494</v>
      </c>
      <c r="P16" s="455"/>
      <c r="Q16" s="539">
        <f ca="1">IF('Tinh phi QL'!$H$9="Nam",VLOOKUP(KBACOI!$I$4,KBACOI!$D$3:$F$103,2,0)*R16/1000/12,IF('Tinh phi QL'!$H$9="Nữ",VLOOKUP(KBACOI!$I$4,KBACOI!$D$3:$F$103,3,0)*R16/1000/12,0))</f>
        <v>124.77805350559241</v>
      </c>
      <c r="R16" s="541">
        <f ca="1">KBA20namMH!E17-U15</f>
        <v>1039817.1125466033</v>
      </c>
      <c r="S16" s="544">
        <f ca="1">(S15-N16-O16)*(1+KBA20namcamket!$Q$3)</f>
        <v>9985.4826358716546</v>
      </c>
      <c r="T16" s="264"/>
      <c r="U16" s="542">
        <f ca="1">(U15-N16-Q16)*(1+KBA20namMH!$P$3)</f>
        <v>10055.725519097879</v>
      </c>
    </row>
    <row r="17" spans="4:21" ht="9.75" customHeight="1">
      <c r="D17" s="252">
        <v>14</v>
      </c>
      <c r="E17" s="252">
        <v>0.99199999999999999</v>
      </c>
      <c r="F17" s="252">
        <v>0.65600000000000003</v>
      </c>
      <c r="H17" s="252">
        <v>15</v>
      </c>
      <c r="I17" s="548">
        <f t="shared" ca="1" si="1"/>
        <v>44</v>
      </c>
      <c r="K17" s="1043"/>
      <c r="L17" s="262">
        <v>15</v>
      </c>
      <c r="M17" s="540">
        <f ca="1">KBA20namcamket!E18-S16</f>
        <v>1040014.5173641284</v>
      </c>
      <c r="N17" s="538">
        <f ca="1">VTL20namcamket!F18</f>
        <v>40</v>
      </c>
      <c r="O17" s="541">
        <f ca="1">IF('Tinh phi QL'!$H$9="Nam",VLOOKUP(KBACOI!$I$4,KBACOI!$D$3:$F$103,2,0)*M17/1000/12,IF('Tinh phi QL'!$H$9="Nữ",VLOOKUP(KBACOI!$I$4,KBACOI!$D$3:$F$103,3,0)*M17/1000/12,0))</f>
        <v>124.8017420836954</v>
      </c>
      <c r="P17" s="455"/>
      <c r="Q17" s="539">
        <f ca="1">IF('Tinh phi QL'!$H$9="Nam",VLOOKUP(KBACOI!$I$4,KBACOI!$D$3:$F$103,2,0)*R17/1000/12,IF('Tinh phi QL'!$H$9="Nữ",VLOOKUP(KBACOI!$I$4,KBACOI!$D$3:$F$103,3,0)*R17/1000/12,0))</f>
        <v>124.79331293770825</v>
      </c>
      <c r="R17" s="541">
        <f ca="1">KBA20namMH!E18-U16</f>
        <v>1039944.2744809021</v>
      </c>
      <c r="S17" s="544">
        <f ca="1">(S16-N17-O17)*(1+KBA20namcamket!$Q$3)</f>
        <v>9844.9013422197495</v>
      </c>
      <c r="T17" s="264"/>
      <c r="U17" s="542">
        <f ca="1">(U16-N17-Q17)*(1+KBA20namMH!$P$3)</f>
        <v>9928.0707988907525</v>
      </c>
    </row>
    <row r="18" spans="4:21" ht="9.75" customHeight="1">
      <c r="D18" s="252">
        <v>15</v>
      </c>
      <c r="E18" s="252">
        <v>1.1359999999999999</v>
      </c>
      <c r="F18" s="252">
        <v>0.69599999999999995</v>
      </c>
      <c r="H18" s="252">
        <v>16</v>
      </c>
      <c r="I18" s="548">
        <f t="shared" ca="1" si="1"/>
        <v>45</v>
      </c>
      <c r="K18" s="1043"/>
      <c r="L18" s="262">
        <v>16</v>
      </c>
      <c r="M18" s="540">
        <f ca="1">KBA20namcamket!E19-S17</f>
        <v>1040155.0986577802</v>
      </c>
      <c r="N18" s="538">
        <f ca="1">VTL20namcamket!F19</f>
        <v>40</v>
      </c>
      <c r="O18" s="541">
        <f ca="1">IF('Tinh phi QL'!$H$9="Nam",VLOOKUP(KBACOI!$I$4,KBACOI!$D$3:$F$103,2,0)*M18/1000/12,IF('Tinh phi QL'!$H$9="Nữ",VLOOKUP(KBACOI!$I$4,KBACOI!$D$3:$F$103,3,0)*M18/1000/12,0))</f>
        <v>124.81861183893362</v>
      </c>
      <c r="P18" s="455"/>
      <c r="Q18" s="539">
        <f ca="1">IF('Tinh phi QL'!$H$9="Nam",VLOOKUP(KBACOI!$I$4,KBACOI!$D$3:$F$103,2,0)*R18/1000/12,IF('Tinh phi QL'!$H$9="Nữ",VLOOKUP(KBACOI!$I$4,KBACOI!$D$3:$F$103,3,0)*R18/1000/12,0))</f>
        <v>124.80863150413312</v>
      </c>
      <c r="R18" s="541">
        <f ca="1">KBA20namMH!E19-U17</f>
        <v>1040071.9292011092</v>
      </c>
      <c r="S18" s="544">
        <f ca="1">(S17-N18-O18)*(1+KBA20namcamket!$Q$3)</f>
        <v>9703.9564258121536</v>
      </c>
      <c r="T18" s="264"/>
      <c r="U18" s="542">
        <f ca="1">(U17-N18-Q18)*(1+KBA20namMH!$P$3)</f>
        <v>9799.9213831004472</v>
      </c>
    </row>
    <row r="19" spans="4:21" ht="9.75" customHeight="1">
      <c r="D19" s="252">
        <v>16</v>
      </c>
      <c r="E19" s="252">
        <v>1.272</v>
      </c>
      <c r="F19" s="252">
        <v>0.73599999999999999</v>
      </c>
      <c r="H19" s="252">
        <v>17</v>
      </c>
      <c r="I19" s="548">
        <f t="shared" ca="1" si="1"/>
        <v>46</v>
      </c>
      <c r="K19" s="1043"/>
      <c r="L19" s="262">
        <v>17</v>
      </c>
      <c r="M19" s="540">
        <f ca="1">KBA20namcamket!E20-S18</f>
        <v>1040296.0435741879</v>
      </c>
      <c r="N19" s="538">
        <f ca="1">VTL20namcamket!F20</f>
        <v>40</v>
      </c>
      <c r="O19" s="541">
        <f ca="1">IF('Tinh phi QL'!$H$9="Nam",VLOOKUP(KBACOI!$I$4,KBACOI!$D$3:$F$103,2,0)*M19/1000/12,IF('Tinh phi QL'!$H$9="Nữ",VLOOKUP(KBACOI!$I$4,KBACOI!$D$3:$F$103,3,0)*M19/1000/12,0))</f>
        <v>124.83552522890254</v>
      </c>
      <c r="P19" s="455"/>
      <c r="Q19" s="539">
        <f ca="1">IF('Tinh phi QL'!$H$9="Nam",VLOOKUP(KBACOI!$I$4,KBACOI!$D$3:$F$103,2,0)*R19/1000/12,IF('Tinh phi QL'!$H$9="Nữ",VLOOKUP(KBACOI!$I$4,KBACOI!$D$3:$F$103,3,0)*R19/1000/12,0))</f>
        <v>124.82400943402796</v>
      </c>
      <c r="R19" s="541">
        <f ca="1">KBA20namMH!E20-U18</f>
        <v>1040200.0786168996</v>
      </c>
      <c r="S19" s="544">
        <f ca="1">(S18-N19-O19)*(1+KBA20namcamket!$Q$3)</f>
        <v>9562.6469461147099</v>
      </c>
      <c r="T19" s="264"/>
      <c r="U19" s="542">
        <f ca="1">(U18-N19-Q19)*(1+KBA20namMH!$P$3)</f>
        <v>9671.2753546515924</v>
      </c>
    </row>
    <row r="20" spans="4:21" ht="9.75" customHeight="1">
      <c r="D20" s="252">
        <v>17</v>
      </c>
      <c r="E20" s="252">
        <v>1.3759999999999999</v>
      </c>
      <c r="F20" s="252">
        <v>0.76800000000000002</v>
      </c>
      <c r="H20" s="252">
        <v>18</v>
      </c>
      <c r="I20" s="548">
        <f t="shared" ca="1" si="1"/>
        <v>47</v>
      </c>
      <c r="K20" s="1043"/>
      <c r="L20" s="262">
        <v>18</v>
      </c>
      <c r="M20" s="540">
        <f ca="1">KBA20namcamket!E21-S19</f>
        <v>1040437.3530538853</v>
      </c>
      <c r="N20" s="538">
        <f ca="1">VTL20namcamket!F21</f>
        <v>40</v>
      </c>
      <c r="O20" s="541">
        <f ca="1">IF('Tinh phi QL'!$H$9="Nam",VLOOKUP(KBACOI!$I$4,KBACOI!$D$3:$F$103,2,0)*M20/1000/12,IF('Tinh phi QL'!$H$9="Nữ",VLOOKUP(KBACOI!$I$4,KBACOI!$D$3:$F$103,3,0)*M20/1000/12,0))</f>
        <v>124.85248236646623</v>
      </c>
      <c r="P20" s="455"/>
      <c r="Q20" s="539">
        <f ca="1">IF('Tinh phi QL'!$H$9="Nam",VLOOKUP(KBACOI!$I$4,KBACOI!$D$3:$F$103,2,0)*R20/1000/12,IF('Tinh phi QL'!$H$9="Nữ",VLOOKUP(KBACOI!$I$4,KBACOI!$D$3:$F$103,3,0)*R20/1000/12,0))</f>
        <v>124.83944695744181</v>
      </c>
      <c r="R20" s="541">
        <f ca="1">KBA20namMH!E21-U19</f>
        <v>1040328.7246453484</v>
      </c>
      <c r="S20" s="544">
        <f ca="1">(S19-N20-O20)*(1+KBA20namcamket!$Q$3)</f>
        <v>9420.9719601605084</v>
      </c>
      <c r="T20" s="264"/>
      <c r="U20" s="542">
        <f ca="1">(U19-N20-Q20)*(1+KBA20namMH!$P$3)</f>
        <v>9542.1307890396456</v>
      </c>
    </row>
    <row r="21" spans="4:21" ht="9.75" customHeight="1">
      <c r="D21" s="252">
        <v>18</v>
      </c>
      <c r="E21" s="252">
        <v>1.456</v>
      </c>
      <c r="F21" s="252">
        <v>0.8</v>
      </c>
      <c r="H21" s="252">
        <v>19</v>
      </c>
      <c r="I21" s="548">
        <f t="shared" ca="1" si="1"/>
        <v>48</v>
      </c>
      <c r="K21" s="1043"/>
      <c r="L21" s="262">
        <v>19</v>
      </c>
      <c r="M21" s="540">
        <f ca="1">KBA20namcamket!E22-S20</f>
        <v>1040579.0280398395</v>
      </c>
      <c r="N21" s="538">
        <f ca="1">VTL20namcamket!F22</f>
        <v>40</v>
      </c>
      <c r="O21" s="541">
        <f ca="1">IF('Tinh phi QL'!$H$9="Nam",VLOOKUP(KBACOI!$I$4,KBACOI!$D$3:$F$103,2,0)*M21/1000/12,IF('Tinh phi QL'!$H$9="Nữ",VLOOKUP(KBACOI!$I$4,KBACOI!$D$3:$F$103,3,0)*M21/1000/12,0))</f>
        <v>124.86948336478072</v>
      </c>
      <c r="P21" s="455"/>
      <c r="Q21" s="539">
        <f ca="1">IF('Tinh phi QL'!$H$9="Nam",VLOOKUP(KBACOI!$I$4,KBACOI!$D$3:$F$103,2,0)*R21/1000/12,IF('Tinh phi QL'!$H$9="Nữ",VLOOKUP(KBACOI!$I$4,KBACOI!$D$3:$F$103,3,0)*R21/1000/12,0))</f>
        <v>124.85494430531524</v>
      </c>
      <c r="R21" s="541">
        <f ca="1">KBA20namMH!E22-U20</f>
        <v>1040457.8692109603</v>
      </c>
      <c r="S21" s="544">
        <f ca="1">(S20-N21-O21)*(1+KBA20namcamket!$Q$3)</f>
        <v>9278.9305225435946</v>
      </c>
      <c r="T21" s="264"/>
      <c r="U21" s="542">
        <f ca="1">(U20-N21-Q21)*(1+KBA20namMH!$P$3)</f>
        <v>9412.485754302108</v>
      </c>
    </row>
    <row r="22" spans="4:21" ht="9.75" customHeight="1">
      <c r="D22" s="252">
        <v>19</v>
      </c>
      <c r="E22" s="252">
        <v>1.504</v>
      </c>
      <c r="F22" s="252">
        <v>0.82399999999999995</v>
      </c>
      <c r="H22" s="252">
        <v>20</v>
      </c>
      <c r="I22" s="548">
        <f t="shared" ca="1" si="1"/>
        <v>49</v>
      </c>
      <c r="K22" s="1043"/>
      <c r="L22" s="262">
        <v>20</v>
      </c>
      <c r="M22" s="540">
        <f ca="1">KBA20namcamket!E23-S21</f>
        <v>1040721.0694774564</v>
      </c>
      <c r="N22" s="538">
        <f ca="1">VTL20namcamket!F23</f>
        <v>40</v>
      </c>
      <c r="O22" s="541">
        <f ca="1">IF('Tinh phi QL'!$H$9="Nam",VLOOKUP(KBACOI!$I$4,KBACOI!$D$3:$F$103,2,0)*M22/1000/12,IF('Tinh phi QL'!$H$9="Nữ",VLOOKUP(KBACOI!$I$4,KBACOI!$D$3:$F$103,3,0)*M22/1000/12,0))</f>
        <v>124.88652833729476</v>
      </c>
      <c r="P22" s="455"/>
      <c r="Q22" s="539">
        <f ca="1">IF('Tinh phi QL'!$H$9="Nam",VLOOKUP(KBACOI!$I$4,KBACOI!$D$3:$F$103,2,0)*R22/1000/12,IF('Tinh phi QL'!$H$9="Nữ",VLOOKUP(KBACOI!$I$4,KBACOI!$D$3:$F$103,3,0)*R22/1000/12,0))</f>
        <v>124.87050170948373</v>
      </c>
      <c r="R22" s="541">
        <f ca="1">KBA20namMH!E23-U21</f>
        <v>1040587.5142456979</v>
      </c>
      <c r="S22" s="544">
        <f ca="1">(S21-N22-O22)*(1+KBA20namcamket!$Q$3)</f>
        <v>9136.5216854126575</v>
      </c>
      <c r="T22" s="264"/>
      <c r="U22" s="542">
        <f ca="1">(U21-N22-Q22)*(1+KBA20namMH!$P$3)</f>
        <v>9282.3383109896131</v>
      </c>
    </row>
    <row r="23" spans="4:21" ht="9.75" customHeight="1">
      <c r="D23" s="252">
        <v>20</v>
      </c>
      <c r="E23" s="252">
        <v>1.52</v>
      </c>
      <c r="F23" s="252">
        <v>0.84799999999999998</v>
      </c>
      <c r="H23" s="252">
        <v>21</v>
      </c>
      <c r="I23" s="548">
        <f t="shared" ca="1" si="1"/>
        <v>50</v>
      </c>
      <c r="K23" s="1043"/>
      <c r="L23" s="262">
        <v>21</v>
      </c>
      <c r="M23" s="540">
        <f ca="1">KBA20namcamket!E24-S22</f>
        <v>1040863.4783145874</v>
      </c>
      <c r="N23" s="538">
        <f ca="1">VTL20namcamket!F24</f>
        <v>40</v>
      </c>
      <c r="O23" s="541">
        <f ca="1">IF('Tinh phi QL'!$H$9="Nam",VLOOKUP(KBACOI!$I$4,KBACOI!$D$3:$F$103,2,0)*M23/1000/12,IF('Tinh phi QL'!$H$9="Nữ",VLOOKUP(KBACOI!$I$4,KBACOI!$D$3:$F$103,3,0)*M23/1000/12,0))</f>
        <v>124.90361739775047</v>
      </c>
      <c r="P23" s="455"/>
      <c r="Q23" s="539">
        <f ca="1">IF('Tinh phi QL'!$H$9="Nam",VLOOKUP(KBACOI!$I$4,KBACOI!$D$3:$F$103,2,0)*R23/1000/12,IF('Tinh phi QL'!$H$9="Nữ",VLOOKUP(KBACOI!$I$4,KBACOI!$D$3:$F$103,3,0)*R23/1000/12,0))</f>
        <v>124.88611940268125</v>
      </c>
      <c r="R23" s="541">
        <f ca="1">KBA20namMH!E24-U22</f>
        <v>1040717.6616890103</v>
      </c>
      <c r="S23" s="544">
        <f ca="1">(S22-N23-O23)*(1+KBA20namcamket!$Q$3)</f>
        <v>8993.7444984647045</v>
      </c>
      <c r="T23" s="264"/>
      <c r="U23" s="542">
        <f ca="1">(U22-N23-Q23)*(1+KBA20namMH!$P$3)</f>
        <v>9151.6865121369192</v>
      </c>
    </row>
    <row r="24" spans="4:21" ht="9.75" customHeight="1">
      <c r="D24" s="252">
        <v>21</v>
      </c>
      <c r="E24" s="252">
        <v>1.52</v>
      </c>
      <c r="F24" s="252">
        <v>0.86399999999999999</v>
      </c>
      <c r="H24" s="252">
        <v>22</v>
      </c>
      <c r="I24" s="548">
        <f t="shared" ca="1" si="1"/>
        <v>51</v>
      </c>
      <c r="K24" s="1043"/>
      <c r="L24" s="262">
        <v>22</v>
      </c>
      <c r="M24" s="540">
        <f ca="1">KBA20namcamket!E25-S23</f>
        <v>1041006.2555015353</v>
      </c>
      <c r="N24" s="538">
        <f ca="1">VTL20namcamket!F25</f>
        <v>40</v>
      </c>
      <c r="O24" s="541">
        <f ca="1">IF('Tinh phi QL'!$H$9="Nam",VLOOKUP(KBACOI!$I$4,KBACOI!$D$3:$F$103,2,0)*M24/1000/12,IF('Tinh phi QL'!$H$9="Nữ",VLOOKUP(KBACOI!$I$4,KBACOI!$D$3:$F$103,3,0)*M24/1000/12,0))</f>
        <v>124.92075066018423</v>
      </c>
      <c r="P24" s="455"/>
      <c r="Q24" s="539">
        <f ca="1">IF('Tinh phi QL'!$H$9="Nam",VLOOKUP(KBACOI!$I$4,KBACOI!$D$3:$F$103,2,0)*R24/1000/12,IF('Tinh phi QL'!$H$9="Nữ",VLOOKUP(KBACOI!$I$4,KBACOI!$D$3:$F$103,3,0)*R24/1000/12,0))</f>
        <v>124.90179761854357</v>
      </c>
      <c r="R24" s="541">
        <f ca="1">KBA20namMH!E25-U23</f>
        <v>1040848.3134878631</v>
      </c>
      <c r="S24" s="544">
        <f ca="1">(S23-N24-O24)*(1+KBA20namcamket!$Q$3)</f>
        <v>8850.5980089387285</v>
      </c>
      <c r="T24" s="264"/>
      <c r="U24" s="542">
        <f ca="1">(U23-N24-Q24)*(1+KBA20namMH!$P$3)</f>
        <v>9020.5284032337859</v>
      </c>
    </row>
    <row r="25" spans="4:21" ht="9.75" customHeight="1">
      <c r="D25" s="252">
        <v>22</v>
      </c>
      <c r="E25" s="252">
        <v>1.504</v>
      </c>
      <c r="F25" s="252">
        <v>0.88</v>
      </c>
      <c r="H25" s="252">
        <v>23</v>
      </c>
      <c r="I25" s="548">
        <f t="shared" ca="1" si="1"/>
        <v>52</v>
      </c>
      <c r="K25" s="1043"/>
      <c r="L25" s="262">
        <v>23</v>
      </c>
      <c r="M25" s="540">
        <f ca="1">KBA20namcamket!E26-S24</f>
        <v>1041149.4019910613</v>
      </c>
      <c r="N25" s="538">
        <f ca="1">VTL20namcamket!F26</f>
        <v>40</v>
      </c>
      <c r="O25" s="541">
        <f ca="1">IF('Tinh phi QL'!$H$9="Nam",VLOOKUP(KBACOI!$I$4,KBACOI!$D$3:$F$103,2,0)*M25/1000/12,IF('Tinh phi QL'!$H$9="Nữ",VLOOKUP(KBACOI!$I$4,KBACOI!$D$3:$F$103,3,0)*M25/1000/12,0))</f>
        <v>124.93792823892734</v>
      </c>
      <c r="P25" s="455"/>
      <c r="Q25" s="539">
        <f ca="1">IF('Tinh phi QL'!$H$9="Nam",VLOOKUP(KBACOI!$I$4,KBACOI!$D$3:$F$103,2,0)*R25/1000/12,IF('Tinh phi QL'!$H$9="Nữ",VLOOKUP(KBACOI!$I$4,KBACOI!$D$3:$F$103,3,0)*R25/1000/12,0))</f>
        <v>124.91753659161195</v>
      </c>
      <c r="R25" s="541">
        <f ca="1">KBA20namMH!E26-U24</f>
        <v>1040979.4715967663</v>
      </c>
      <c r="S25" s="544">
        <f ca="1">(S24-N25-O25)*(1+KBA20namcamket!$Q$3)</f>
        <v>8707.0812616093353</v>
      </c>
      <c r="T25" s="264"/>
      <c r="U25" s="542">
        <f ca="1">(U24-N25-Q25)*(1+KBA20namMH!$P$3)</f>
        <v>8888.8620221957317</v>
      </c>
    </row>
    <row r="26" spans="4:21" ht="9.75" customHeight="1">
      <c r="D26" s="252">
        <v>23</v>
      </c>
      <c r="E26" s="252">
        <v>1.472</v>
      </c>
      <c r="F26" s="252">
        <v>0.89600000000000002</v>
      </c>
      <c r="H26" s="252">
        <v>24</v>
      </c>
      <c r="I26" s="548">
        <f t="shared" ca="1" si="1"/>
        <v>53</v>
      </c>
      <c r="K26" s="1043"/>
      <c r="L26" s="262">
        <v>24</v>
      </c>
      <c r="M26" s="540">
        <f ca="1">KBA20namcamket!E27-S25</f>
        <v>1041292.9187383907</v>
      </c>
      <c r="N26" s="538">
        <f ca="1">VTL20namcamket!F27</f>
        <v>40</v>
      </c>
      <c r="O26" s="541">
        <f ca="1">IF('Tinh phi QL'!$H$9="Nam",VLOOKUP(KBACOI!$I$4,KBACOI!$D$3:$F$103,2,0)*M26/1000/12,IF('Tinh phi QL'!$H$9="Nữ",VLOOKUP(KBACOI!$I$4,KBACOI!$D$3:$F$103,3,0)*M26/1000/12,0))</f>
        <v>124.95515024860687</v>
      </c>
      <c r="P26" s="455"/>
      <c r="Q26" s="539">
        <f ca="1">IF('Tinh phi QL'!$H$9="Nam",VLOOKUP(KBACOI!$I$4,KBACOI!$D$3:$F$103,2,0)*R26/1000/12,IF('Tinh phi QL'!$H$9="Nữ",VLOOKUP(KBACOI!$I$4,KBACOI!$D$3:$F$103,3,0)*R26/1000/12,0))</f>
        <v>124.93333655733649</v>
      </c>
      <c r="R26" s="541">
        <f ca="1">KBA20namMH!E27-U25</f>
        <v>1041111.1379778043</v>
      </c>
      <c r="S26" s="545">
        <f ca="1">(S25-N26-O26)*(1+KBA20namcamket!$Q$3)</f>
        <v>8563.193298780383</v>
      </c>
      <c r="T26" s="264"/>
      <c r="U26" s="543">
        <f ca="1">(U25-N26-Q26)*(1+KBA20namMH!$P$3)</f>
        <v>8756.6853993346813</v>
      </c>
    </row>
    <row r="27" spans="4:21" ht="9.75" customHeight="1">
      <c r="D27" s="252">
        <v>24</v>
      </c>
      <c r="E27" s="252">
        <v>1.44</v>
      </c>
      <c r="F27" s="252">
        <v>0.92</v>
      </c>
      <c r="H27" s="252">
        <v>25</v>
      </c>
      <c r="I27" s="548">
        <f t="shared" ca="1" si="1"/>
        <v>54</v>
      </c>
      <c r="K27" s="1045">
        <f>K15+1</f>
        <v>3</v>
      </c>
      <c r="L27" s="252">
        <v>25</v>
      </c>
      <c r="M27" s="538">
        <f ca="1">KBA20namcamket!E28-S26-KBAGTTKcamket!F9</f>
        <v>1083436.8067012196</v>
      </c>
      <c r="N27" s="538">
        <f ca="1">VTL20namcamket!F28</f>
        <v>40</v>
      </c>
      <c r="O27" s="539">
        <f ca="1">IF('Tinh phi QL'!$H$9="Nam",VLOOKUP(KBACOI!$I$5,KBACOI!$D$3:$F$103,2,0)*M27/1000/12,IF('Tinh phi QL'!$H$9="Nữ",VLOOKUP(KBACOI!$I$5,KBACOI!$D$3:$F$103,3,0)*M27/1000/12,0))</f>
        <v>135.06845523541872</v>
      </c>
      <c r="Q27" s="539">
        <f ca="1">IF('Tinh phi QL'!$H$9="Nam",VLOOKUP(KBACOI!$I$5,KBACOI!$D$3:$F$103,2,0)*R27/1000/12,IF('Tinh phi QL'!$H$9="Nữ",VLOOKUP(KBACOI!$I$5,KBACOI!$D$3:$F$103,3,0)*R27/1000/12,0))</f>
        <v>135.04433322021626</v>
      </c>
      <c r="R27" s="541">
        <f ca="1">KBA20namMH!E28-U26-KBAGTTKMH!F9</f>
        <v>1083243.3146006654</v>
      </c>
      <c r="S27" s="544">
        <f ca="1">(S26+KBAGTTKcamket!F9-N27-O27)*(1+KBA20namcamket!Q3)</f>
        <v>16428.542380471339</v>
      </c>
      <c r="T27" s="264"/>
      <c r="U27" s="542">
        <f ca="1">(U26+KBAGTTKMH!F9-N27-Q27)*(1+KBA20namMH!$P$3)</f>
        <v>16643.902013972904</v>
      </c>
    </row>
    <row r="28" spans="4:21" ht="9.75" customHeight="1">
      <c r="D28" s="252">
        <v>25</v>
      </c>
      <c r="E28" s="252">
        <v>1.4</v>
      </c>
      <c r="F28" s="252">
        <v>0.93600000000000005</v>
      </c>
      <c r="H28" s="252">
        <v>26</v>
      </c>
      <c r="I28" s="548">
        <f t="shared" ca="1" si="1"/>
        <v>55</v>
      </c>
      <c r="K28" s="1045"/>
      <c r="L28" s="252">
        <v>26</v>
      </c>
      <c r="M28" s="538">
        <f ca="1">KBA20namcamket!E28-S27</f>
        <v>1083571.4576195288</v>
      </c>
      <c r="N28" s="538">
        <f ca="1">VTL20namcamket!F29</f>
        <v>40</v>
      </c>
      <c r="O28" s="539">
        <f ca="1">IF('Tinh phi QL'!$H$9="Nam",VLOOKUP(KBACOI!$I$5,KBACOI!$D$3:$F$103,2,0)*M28/1000/12,IF('Tinh phi QL'!$H$9="Nữ",VLOOKUP(KBACOI!$I$5,KBACOI!$D$3:$F$103,3,0)*M28/1000/12,0))</f>
        <v>135.08524171656791</v>
      </c>
      <c r="Q28" s="539">
        <f ca="1">IF('Tinh phi QL'!$H$9="Nam",VLOOKUP(KBACOI!$I$5,KBACOI!$D$3:$F$103,2,0)*R28/1000/12,IF('Tinh phi QL'!$H$9="Nữ",VLOOKUP(KBACOI!$I$5,KBACOI!$D$3:$F$103,3,0)*R28/1000/12,0))</f>
        <v>135.05839354892473</v>
      </c>
      <c r="R28" s="541">
        <f ca="1">KBA20namMH!E29-U27</f>
        <v>1083356.0979860271</v>
      </c>
      <c r="S28" s="544">
        <f ca="1">(S27-N28-O28)*(1+KBA20namcamket!$Q$3)</f>
        <v>16293.542548791516</v>
      </c>
      <c r="T28" s="264"/>
      <c r="U28" s="542">
        <f ca="1">(U27-N28-Q28)*(1+KBA20namMH!$P$3)</f>
        <v>16530.681035059341</v>
      </c>
    </row>
    <row r="29" spans="4:21" ht="9.75" customHeight="1">
      <c r="D29" s="252">
        <v>26</v>
      </c>
      <c r="E29" s="252">
        <v>1.3759999999999999</v>
      </c>
      <c r="F29" s="252">
        <v>0.96</v>
      </c>
      <c r="H29" s="252">
        <v>27</v>
      </c>
      <c r="I29" s="548">
        <f t="shared" ca="1" si="1"/>
        <v>56</v>
      </c>
      <c r="K29" s="1045"/>
      <c r="L29" s="252">
        <v>27</v>
      </c>
      <c r="M29" s="538">
        <f ca="1">KBA20namcamket!E29-S28</f>
        <v>1083706.4574512085</v>
      </c>
      <c r="N29" s="538">
        <f ca="1">VTL20namcamket!F30</f>
        <v>40</v>
      </c>
      <c r="O29" s="539">
        <f ca="1">IF('Tinh phi QL'!$H$9="Nam",VLOOKUP(KBACOI!$I$5,KBACOI!$D$3:$F$103,2,0)*M29/1000/12,IF('Tinh phi QL'!$H$9="Nữ",VLOOKUP(KBACOI!$I$5,KBACOI!$D$3:$F$103,3,0)*M29/1000/12,0))</f>
        <v>135.10207169558399</v>
      </c>
      <c r="Q29" s="539">
        <f ca="1">IF('Tinh phi QL'!$H$9="Nam",VLOOKUP(KBACOI!$I$5,KBACOI!$D$3:$F$103,2,0)*R29/1000/12,IF('Tinh phi QL'!$H$9="Nữ",VLOOKUP(KBACOI!$I$5,KBACOI!$D$3:$F$103,3,0)*R29/1000/12,0))</f>
        <v>135.07250843096261</v>
      </c>
      <c r="R29" s="541">
        <f ca="1">KBA20namMH!E30-U28</f>
        <v>1083469.3189649407</v>
      </c>
      <c r="S29" s="544">
        <f ca="1">(S28-N29-O29)*(1+KBA20namcamket!$Q$3)</f>
        <v>16158.19289962127</v>
      </c>
      <c r="T29" s="264"/>
      <c r="U29" s="542">
        <f ca="1">(U28-N29-Q29)*(1+KBA20namMH!$P$3)</f>
        <v>16417.020764754219</v>
      </c>
    </row>
    <row r="30" spans="4:21" ht="9.75" customHeight="1">
      <c r="D30" s="252">
        <v>27</v>
      </c>
      <c r="E30" s="252">
        <v>1.3680000000000001</v>
      </c>
      <c r="F30" s="252">
        <v>0.99199999999999999</v>
      </c>
      <c r="H30" s="252">
        <v>28</v>
      </c>
      <c r="I30" s="548">
        <f t="shared" ca="1" si="1"/>
        <v>57</v>
      </c>
      <c r="K30" s="1045"/>
      <c r="L30" s="252">
        <v>28</v>
      </c>
      <c r="M30" s="538">
        <f ca="1">KBA20namcamket!E30-S29</f>
        <v>1083841.8071003787</v>
      </c>
      <c r="N30" s="538">
        <f ca="1">VTL20namcamket!F31</f>
        <v>40</v>
      </c>
      <c r="O30" s="539">
        <f ca="1">IF('Tinh phi QL'!$H$9="Nam",VLOOKUP(KBACOI!$I$5,KBACOI!$D$3:$F$103,2,0)*M30/1000/12,IF('Tinh phi QL'!$H$9="Nữ",VLOOKUP(KBACOI!$I$5,KBACOI!$D$3:$F$103,3,0)*M30/1000/12,0))</f>
        <v>135.11894528518056</v>
      </c>
      <c r="Q30" s="539">
        <f ca="1">IF('Tinh phi QL'!$H$9="Nam",VLOOKUP(KBACOI!$I$5,KBACOI!$D$3:$F$103,2,0)*R30/1000/12,IF('Tinh phi QL'!$H$9="Nữ",VLOOKUP(KBACOI!$I$5,KBACOI!$D$3:$F$103,3,0)*R30/1000/12,0))</f>
        <v>135.08667807799398</v>
      </c>
      <c r="R30" s="541">
        <f ca="1">KBA20namMH!E31-U29</f>
        <v>1083582.9792352458</v>
      </c>
      <c r="S30" s="544">
        <f ca="1">(S29-N30-O30)*(1+KBA20namcamket!$Q$3)</f>
        <v>16022.492526498163</v>
      </c>
      <c r="T30" s="264"/>
      <c r="U30" s="542">
        <f ca="1">(U29-N30-Q30)*(1+KBA20namMH!$P$3)</f>
        <v>16302.91949863025</v>
      </c>
    </row>
    <row r="31" spans="4:21" ht="9.75" customHeight="1">
      <c r="D31" s="252">
        <v>28</v>
      </c>
      <c r="E31" s="252">
        <v>1.36</v>
      </c>
      <c r="F31" s="252">
        <v>1.024</v>
      </c>
      <c r="H31" s="252">
        <v>29</v>
      </c>
      <c r="I31" s="548">
        <f t="shared" ca="1" si="1"/>
        <v>58</v>
      </c>
      <c r="K31" s="1045"/>
      <c r="L31" s="252">
        <v>29</v>
      </c>
      <c r="M31" s="538">
        <f ca="1">KBA20namcamket!E31-S30</f>
        <v>1083977.5074735018</v>
      </c>
      <c r="N31" s="538">
        <f ca="1">VTL20namcamket!F32</f>
        <v>40</v>
      </c>
      <c r="O31" s="539">
        <f ca="1">IF('Tinh phi QL'!$H$9="Nam",VLOOKUP(KBACOI!$I$5,KBACOI!$D$3:$F$103,2,0)*M31/1000/12,IF('Tinh phi QL'!$H$9="Nữ",VLOOKUP(KBACOI!$I$5,KBACOI!$D$3:$F$103,3,0)*M31/1000/12,0))</f>
        <v>135.13586259836322</v>
      </c>
      <c r="Q31" s="539">
        <f ca="1">IF('Tinh phi QL'!$H$9="Nam",VLOOKUP(KBACOI!$I$5,KBACOI!$D$3:$F$103,2,0)*R31/1000/12,IF('Tinh phi QL'!$H$9="Nữ",VLOOKUP(KBACOI!$I$5,KBACOI!$D$3:$F$103,3,0)*R31/1000/12,0))</f>
        <v>135.1009027025041</v>
      </c>
      <c r="R31" s="541">
        <f ca="1">KBA20namMH!E32-U30</f>
        <v>1083697.0805013697</v>
      </c>
      <c r="S31" s="544">
        <f ca="1">(S30-N31-O31)*(1+KBA20namcamket!$Q$3)</f>
        <v>15886.440520610891</v>
      </c>
      <c r="T31" s="264"/>
      <c r="U31" s="542">
        <f ca="1">(U30-N31-Q31)*(1+KBA20namMH!$P$3)</f>
        <v>16188.37552564705</v>
      </c>
    </row>
    <row r="32" spans="4:21" ht="9.75" customHeight="1">
      <c r="D32" s="252">
        <v>29</v>
      </c>
      <c r="E32" s="252">
        <v>1.3759999999999999</v>
      </c>
      <c r="F32" s="252">
        <v>1.056</v>
      </c>
      <c r="H32" s="252">
        <v>30</v>
      </c>
      <c r="I32" s="548">
        <f t="shared" ca="1" si="1"/>
        <v>59</v>
      </c>
      <c r="K32" s="1045"/>
      <c r="L32" s="252">
        <v>30</v>
      </c>
      <c r="M32" s="538">
        <f ca="1">KBA20namcamket!E32-S31</f>
        <v>1084113.5594793891</v>
      </c>
      <c r="N32" s="538">
        <f ca="1">VTL20namcamket!F33</f>
        <v>40</v>
      </c>
      <c r="O32" s="539">
        <f ca="1">IF('Tinh phi QL'!$H$9="Nam",VLOOKUP(KBACOI!$I$5,KBACOI!$D$3:$F$103,2,0)*M32/1000/12,IF('Tinh phi QL'!$H$9="Nữ",VLOOKUP(KBACOI!$I$5,KBACOI!$D$3:$F$103,3,0)*M32/1000/12,0))</f>
        <v>135.15282374843051</v>
      </c>
      <c r="Q32" s="539">
        <f ca="1">IF('Tinh phi QL'!$H$9="Nam",VLOOKUP(KBACOI!$I$5,KBACOI!$D$3:$F$103,2,0)*R32/1000/12,IF('Tinh phi QL'!$H$9="Nữ",VLOOKUP(KBACOI!$I$5,KBACOI!$D$3:$F$103,3,0)*R32/1000/12,0))</f>
        <v>135.11518251780268</v>
      </c>
      <c r="R32" s="541">
        <f ca="1">KBA20namMH!E33-U31</f>
        <v>1083811.6244743529</v>
      </c>
      <c r="S32" s="544">
        <f ca="1">(S31-N32-O32)*(1+KBA20namcamket!$Q$3)</f>
        <v>15750.035970793198</v>
      </c>
      <c r="T32" s="264"/>
      <c r="U32" s="542">
        <f ca="1">(U31-N32-Q32)*(1+KBA20namMH!$P$3)</f>
        <v>16073.387128125494</v>
      </c>
    </row>
    <row r="33" spans="4:21" ht="9.75" customHeight="1">
      <c r="D33" s="252">
        <v>30</v>
      </c>
      <c r="E33" s="252">
        <v>1.4</v>
      </c>
      <c r="F33" s="252">
        <v>1.0960000000000001</v>
      </c>
      <c r="H33" s="252">
        <v>31</v>
      </c>
      <c r="I33" s="548">
        <f t="shared" ca="1" si="1"/>
        <v>60</v>
      </c>
      <c r="K33" s="1045"/>
      <c r="L33" s="252">
        <v>31</v>
      </c>
      <c r="M33" s="538">
        <f ca="1">KBA20namcamket!E33-S32</f>
        <v>1084249.9640292069</v>
      </c>
      <c r="N33" s="538">
        <f ca="1">VTL20namcamket!F34</f>
        <v>40</v>
      </c>
      <c r="O33" s="539">
        <f ca="1">IF('Tinh phi QL'!$H$9="Nam",VLOOKUP(KBACOI!$I$5,KBACOI!$D$3:$F$103,2,0)*M33/1000/12,IF('Tinh phi QL'!$H$9="Nữ",VLOOKUP(KBACOI!$I$5,KBACOI!$D$3:$F$103,3,0)*M33/1000/12,0))</f>
        <v>135.16982884897448</v>
      </c>
      <c r="Q33" s="539">
        <f ca="1">IF('Tinh phi QL'!$H$9="Nam",VLOOKUP(KBACOI!$I$5,KBACOI!$D$3:$F$103,2,0)*R33/1000/12,IF('Tinh phi QL'!$H$9="Nữ",VLOOKUP(KBACOI!$I$5,KBACOI!$D$3:$F$103,3,0)*R33/1000/12,0))</f>
        <v>135.12951773802703</v>
      </c>
      <c r="R33" s="541">
        <f ca="1">KBA20namMH!E34-U32</f>
        <v>1083926.6128718746</v>
      </c>
      <c r="S33" s="544">
        <f ca="1">(S32-N33-O33)*(1+KBA20namcamket!$Q$3)</f>
        <v>15613.277963517776</v>
      </c>
      <c r="T33" s="264"/>
      <c r="U33" s="542">
        <f ca="1">(U32-N33-Q33)*(1+KBA20namMH!$P$3)</f>
        <v>15957.952581721949</v>
      </c>
    </row>
    <row r="34" spans="4:21" ht="9.75" customHeight="1">
      <c r="D34" s="252">
        <v>31</v>
      </c>
      <c r="E34" s="252">
        <v>1.44</v>
      </c>
      <c r="F34" s="252">
        <v>1.1399999999999999</v>
      </c>
      <c r="H34" s="252">
        <v>32</v>
      </c>
      <c r="I34" s="548">
        <f t="shared" ca="1" si="1"/>
        <v>61</v>
      </c>
      <c r="K34" s="1045"/>
      <c r="L34" s="252">
        <v>32</v>
      </c>
      <c r="M34" s="538">
        <f ca="1">KBA20namcamket!E34-S33</f>
        <v>1084386.7220364823</v>
      </c>
      <c r="N34" s="538">
        <f ca="1">VTL20namcamket!F35</f>
        <v>40</v>
      </c>
      <c r="O34" s="539">
        <f ca="1">IF('Tinh phi QL'!$H$9="Nam",VLOOKUP(KBACOI!$I$5,KBACOI!$D$3:$F$103,2,0)*M34/1000/12,IF('Tinh phi QL'!$H$9="Nữ",VLOOKUP(KBACOI!$I$5,KBACOI!$D$3:$F$103,3,0)*M34/1000/12,0))</f>
        <v>135.18687801388145</v>
      </c>
      <c r="Q34" s="539">
        <f ca="1">IF('Tinh phi QL'!$H$9="Nam",VLOOKUP(KBACOI!$I$5,KBACOI!$D$3:$F$103,2,0)*R34/1000/12,IF('Tinh phi QL'!$H$9="Nữ",VLOOKUP(KBACOI!$I$5,KBACOI!$D$3:$F$103,3,0)*R34/1000/12,0))</f>
        <v>135.1439085781453</v>
      </c>
      <c r="R34" s="541">
        <f ca="1">KBA20namMH!E35-U33</f>
        <v>1084042.0474182779</v>
      </c>
      <c r="S34" s="544">
        <f ca="1">(S33-N34-O34)*(1+KBA20namcamket!$Q$3)</f>
        <v>15476.165582890144</v>
      </c>
      <c r="T34" s="264"/>
      <c r="U34" s="542">
        <f ca="1">(U33-N34-Q34)*(1+KBA20namMH!$P$3)</f>
        <v>15842.070155402424</v>
      </c>
    </row>
    <row r="35" spans="4:21" ht="9.75" customHeight="1">
      <c r="D35" s="252">
        <v>32</v>
      </c>
      <c r="E35" s="252">
        <v>1.496</v>
      </c>
      <c r="F35" s="252">
        <v>1.18</v>
      </c>
      <c r="H35" s="252">
        <v>33</v>
      </c>
      <c r="I35" s="548">
        <f t="shared" ca="1" si="1"/>
        <v>62</v>
      </c>
      <c r="K35" s="1045"/>
      <c r="L35" s="252">
        <v>33</v>
      </c>
      <c r="M35" s="538">
        <f ca="1">KBA20namcamket!E35-S34</f>
        <v>1084523.8344171098</v>
      </c>
      <c r="N35" s="538">
        <f ca="1">VTL20namcamket!F36</f>
        <v>40</v>
      </c>
      <c r="O35" s="539">
        <f ca="1">IF('Tinh phi QL'!$H$9="Nam",VLOOKUP(KBACOI!$I$5,KBACOI!$D$3:$F$103,2,0)*M35/1000/12,IF('Tinh phi QL'!$H$9="Nữ",VLOOKUP(KBACOI!$I$5,KBACOI!$D$3:$F$103,3,0)*M35/1000/12,0))</f>
        <v>135.20397135733302</v>
      </c>
      <c r="Q35" s="539">
        <f ca="1">IF('Tinh phi QL'!$H$9="Nam",VLOOKUP(KBACOI!$I$5,KBACOI!$D$3:$F$103,2,0)*R35/1000/12,IF('Tinh phi QL'!$H$9="Nữ",VLOOKUP(KBACOI!$I$5,KBACOI!$D$3:$F$103,3,0)*R35/1000/12,0))</f>
        <v>135.15835525395983</v>
      </c>
      <c r="R35" s="541">
        <f ca="1">KBA20namMH!E36-U34</f>
        <v>1084157.9298445976</v>
      </c>
      <c r="S35" s="544">
        <f ca="1">(S34-N35-O35)*(1+KBA20namcamket!$Q$3)</f>
        <v>15338.697910642513</v>
      </c>
      <c r="T35" s="264"/>
      <c r="U35" s="542">
        <f ca="1">(U34-N35-Q35)*(1+KBA20namMH!$P$3)</f>
        <v>15725.738111416604</v>
      </c>
    </row>
    <row r="36" spans="4:21" ht="9.75" customHeight="1">
      <c r="D36" s="252">
        <v>33</v>
      </c>
      <c r="E36" s="252">
        <v>1.56</v>
      </c>
      <c r="F36" s="252">
        <v>1.2310000000000001</v>
      </c>
      <c r="H36" s="252">
        <v>34</v>
      </c>
      <c r="I36" s="548">
        <f t="shared" ca="1" si="1"/>
        <v>63</v>
      </c>
      <c r="K36" s="1045"/>
      <c r="L36" s="252">
        <v>34</v>
      </c>
      <c r="M36" s="538">
        <f ca="1">KBA20namcamket!E36-S35</f>
        <v>1084661.3020893575</v>
      </c>
      <c r="N36" s="538">
        <f ca="1">VTL20namcamket!F37</f>
        <v>40</v>
      </c>
      <c r="O36" s="539">
        <f ca="1">IF('Tinh phi QL'!$H$9="Nam",VLOOKUP(KBACOI!$I$5,KBACOI!$D$3:$F$103,2,0)*M36/1000/12,IF('Tinh phi QL'!$H$9="Nữ",VLOOKUP(KBACOI!$I$5,KBACOI!$D$3:$F$103,3,0)*M36/1000/12,0))</f>
        <v>135.22110899380655</v>
      </c>
      <c r="Q36" s="539">
        <f ca="1">IF('Tinh phi QL'!$H$9="Nam",VLOOKUP(KBACOI!$I$5,KBACOI!$D$3:$F$103,2,0)*R36/1000/12,IF('Tinh phi QL'!$H$9="Nữ",VLOOKUP(KBACOI!$I$5,KBACOI!$D$3:$F$103,3,0)*R36/1000/12,0))</f>
        <v>135.17285798211006</v>
      </c>
      <c r="R36" s="541">
        <f ca="1">KBA20namMH!E37-U35</f>
        <v>1084274.2618885834</v>
      </c>
      <c r="S36" s="544">
        <f ca="1">(S35-N36-O36)*(1+KBA20namcamket!$Q$3)</f>
        <v>15200.874026127642</v>
      </c>
      <c r="T36" s="264"/>
      <c r="U36" s="542">
        <f ca="1">(U35-N36-Q36)*(1+KBA20namMH!$P$3)</f>
        <v>15608.954705271797</v>
      </c>
    </row>
    <row r="37" spans="4:21" ht="9.75" customHeight="1">
      <c r="D37" s="252">
        <v>34</v>
      </c>
      <c r="E37" s="252">
        <v>1.64</v>
      </c>
      <c r="F37" s="252">
        <v>1.2889999999999999</v>
      </c>
      <c r="H37" s="252">
        <v>35</v>
      </c>
      <c r="I37" s="548">
        <f t="shared" ca="1" si="1"/>
        <v>64</v>
      </c>
      <c r="K37" s="1045"/>
      <c r="L37" s="252">
        <v>35</v>
      </c>
      <c r="M37" s="538">
        <f ca="1">KBA20namcamket!E37-S36</f>
        <v>1084799.1259738724</v>
      </c>
      <c r="N37" s="538">
        <f ca="1">VTL20namcamket!F38</f>
        <v>40</v>
      </c>
      <c r="O37" s="539">
        <f ca="1">IF('Tinh phi QL'!$H$9="Nam",VLOOKUP(KBACOI!$I$5,KBACOI!$D$3:$F$103,2,0)*M37/1000/12,IF('Tinh phi QL'!$H$9="Nữ",VLOOKUP(KBACOI!$I$5,KBACOI!$D$3:$F$103,3,0)*M37/1000/12,0))</f>
        <v>135.23829103807608</v>
      </c>
      <c r="Q37" s="539">
        <f ca="1">IF('Tinh phi QL'!$H$9="Nam",VLOOKUP(KBACOI!$I$5,KBACOI!$D$3:$F$103,2,0)*R37/1000/12,IF('Tinh phi QL'!$H$9="Nữ",VLOOKUP(KBACOI!$I$5,KBACOI!$D$3:$F$103,3,0)*R37/1000/12,0))</f>
        <v>135.18741698007611</v>
      </c>
      <c r="R37" s="541">
        <f ca="1">KBA20namMH!E38-U36</f>
        <v>1084391.0452947281</v>
      </c>
      <c r="S37" s="544">
        <f ca="1">(S36-N37-O37)*(1+KBA20namcamket!$Q$3)</f>
        <v>15062.693006312662</v>
      </c>
      <c r="T37" s="264"/>
      <c r="U37" s="542">
        <f ca="1">(U36-N37-Q37)*(1+KBA20namMH!$P$3)</f>
        <v>15491.718185706774</v>
      </c>
    </row>
    <row r="38" spans="4:21" ht="9.75" customHeight="1">
      <c r="D38" s="252">
        <v>35</v>
      </c>
      <c r="E38" s="252">
        <v>1.736</v>
      </c>
      <c r="F38" s="252">
        <v>1.36</v>
      </c>
      <c r="H38" s="252">
        <v>36</v>
      </c>
      <c r="I38" s="548">
        <f t="shared" ca="1" si="1"/>
        <v>65</v>
      </c>
      <c r="K38" s="1045"/>
      <c r="L38" s="252">
        <v>36</v>
      </c>
      <c r="M38" s="538">
        <f ca="1">KBA20namcamket!E38-S37</f>
        <v>1084937.3069936873</v>
      </c>
      <c r="N38" s="538">
        <f ca="1">VTL20namcamket!F39</f>
        <v>40</v>
      </c>
      <c r="O38" s="539">
        <f ca="1">IF('Tinh phi QL'!$H$9="Nam",VLOOKUP(KBACOI!$I$5,KBACOI!$D$3:$F$103,2,0)*M38/1000/12,IF('Tinh phi QL'!$H$9="Nữ",VLOOKUP(KBACOI!$I$5,KBACOI!$D$3:$F$103,3,0)*M38/1000/12,0))</f>
        <v>135.25551760521302</v>
      </c>
      <c r="Q38" s="539">
        <f ca="1">IF('Tinh phi QL'!$H$9="Nam",VLOOKUP(KBACOI!$I$5,KBACOI!$D$3:$F$103,2,0)*R38/1000/12,IF('Tinh phi QL'!$H$9="Nữ",VLOOKUP(KBACOI!$I$5,KBACOI!$D$3:$F$103,3,0)*R38/1000/12,0))</f>
        <v>135.20203246618189</v>
      </c>
      <c r="R38" s="541">
        <f ca="1">KBA20namMH!E39-U37</f>
        <v>1084508.2818142932</v>
      </c>
      <c r="S38" s="545">
        <f ca="1">(S37-N38-O38)*(1+KBA20namcamket!$Q$3)</f>
        <v>14924.153925772907</v>
      </c>
      <c r="T38" s="264"/>
      <c r="U38" s="543">
        <f ca="1">(U37-N38-Q38)*(1+KBA20namMH!$P$3)</f>
        <v>15374.0267946655</v>
      </c>
    </row>
    <row r="39" spans="4:21" ht="9.75" customHeight="1">
      <c r="D39" s="252">
        <v>36</v>
      </c>
      <c r="E39" s="252">
        <v>1.8560000000000001</v>
      </c>
      <c r="F39" s="252">
        <v>1.46</v>
      </c>
      <c r="H39" s="252">
        <v>37</v>
      </c>
      <c r="I39" s="548">
        <f t="shared" ca="1" si="1"/>
        <v>66</v>
      </c>
      <c r="K39" s="1043">
        <f>K27+1</f>
        <v>4</v>
      </c>
      <c r="L39" s="262">
        <v>37</v>
      </c>
      <c r="M39" s="540">
        <f ca="1">KBA20namcamket!E40-S38-KBAGTTKcamket!F10</f>
        <v>1127075.846074227</v>
      </c>
      <c r="N39" s="538">
        <f ca="1">VTL20namcamket!F40</f>
        <v>40</v>
      </c>
      <c r="O39" s="541">
        <f ca="1">IF('Tinh phi QL'!$H$9="Nam",VLOOKUP(KBACOI!$I$6,KBACOI!$D$3:$F$103,2,0)*M39/1000/12,IF('Tinh phi QL'!$H$9="Nữ",VLOOKUP(KBACOI!$I$6,KBACOI!$D$3:$F$103,3,0)*M39/1000/12,0))</f>
        <v>146.51985998964952</v>
      </c>
      <c r="P39" s="962"/>
      <c r="Q39" s="539">
        <f ca="1">IF('Tinh phi QL'!$H$9="Nam",VLOOKUP(KBACOI!$I$6,KBACOI!$D$3:$F$103,2,0)*R39/1000/12,IF('Tinh phi QL'!$H$9="Nữ",VLOOKUP(KBACOI!$I$6,KBACOI!$D$3:$F$103,3,0)*R39/1000/12,0))</f>
        <v>146.46137651669349</v>
      </c>
      <c r="R39" s="541">
        <f ca="1">KBA20namMH!E40-U38-KBAGTTKMH!F10</f>
        <v>1126625.9732053345</v>
      </c>
      <c r="S39" s="544">
        <f ca="1">(S38+KBAGTTKcamket!F10-N39-O39)*(1+KBA20namcamket!S3)</f>
        <v>22775.187117056212</v>
      </c>
      <c r="T39" s="264"/>
      <c r="U39" s="542">
        <f ca="1">(U38+KBAGTTKMH!F10-N39-Q39)*(1+KBA20namMH!$P$3)</f>
        <v>23274.630371231993</v>
      </c>
    </row>
    <row r="40" spans="4:21" ht="9.75" customHeight="1">
      <c r="D40" s="252">
        <v>37</v>
      </c>
      <c r="E40" s="252">
        <v>1.992</v>
      </c>
      <c r="F40" s="252">
        <v>1.57</v>
      </c>
      <c r="H40" s="252">
        <v>38</v>
      </c>
      <c r="I40" s="548">
        <f t="shared" ca="1" si="1"/>
        <v>67</v>
      </c>
      <c r="K40" s="1043"/>
      <c r="L40" s="262">
        <v>38</v>
      </c>
      <c r="M40" s="540">
        <f ca="1">KBA20namcamket!E40-S39</f>
        <v>1127224.8128829438</v>
      </c>
      <c r="N40" s="538">
        <f ca="1">VTL20namcamket!F41</f>
        <v>40</v>
      </c>
      <c r="O40" s="541">
        <f ca="1">IF('Tinh phi QL'!$H$9="Nam",VLOOKUP(KBACOI!$I$6,KBACOI!$D$3:$F$103,2,0)*M40/1000/12,IF('Tinh phi QL'!$H$9="Nữ",VLOOKUP(KBACOI!$I$6,KBACOI!$D$3:$F$103,3,0)*M40/1000/12,0))</f>
        <v>146.5392256747827</v>
      </c>
      <c r="P40" s="962"/>
      <c r="Q40" s="539">
        <f ca="1">IF('Tinh phi QL'!$H$9="Nam",VLOOKUP(KBACOI!$I$6,KBACOI!$D$3:$F$103,2,0)*R40/1000/12,IF('Tinh phi QL'!$H$9="Nữ",VLOOKUP(KBACOI!$I$6,KBACOI!$D$3:$F$103,3,0)*R40/1000/12,0))</f>
        <v>146.47429805173982</v>
      </c>
      <c r="R40" s="541">
        <f ca="1">KBA20namMH!E41-U39</f>
        <v>1126725.3696287679</v>
      </c>
      <c r="S40" s="544">
        <f ca="1">(S39-N40-O40)*(1+KBA20namcamket!$S$3)</f>
        <v>22625.954879874495</v>
      </c>
      <c r="T40" s="264"/>
      <c r="U40" s="542">
        <f ca="1">(U39-N40-Q40)*(1+KBA20namMH!$P$3)</f>
        <v>23174.847762844034</v>
      </c>
    </row>
    <row r="41" spans="4:21" ht="9.75" customHeight="1">
      <c r="D41" s="252">
        <v>38</v>
      </c>
      <c r="E41" s="252">
        <v>2.1440000000000001</v>
      </c>
      <c r="F41" s="252">
        <v>1.7</v>
      </c>
      <c r="H41" s="252">
        <v>39</v>
      </c>
      <c r="I41" s="548">
        <f t="shared" ca="1" si="1"/>
        <v>68</v>
      </c>
      <c r="K41" s="1043"/>
      <c r="L41" s="262">
        <v>39</v>
      </c>
      <c r="M41" s="540">
        <f ca="1">KBA20namcamket!E41-S40</f>
        <v>1127374.0451201254</v>
      </c>
      <c r="N41" s="538">
        <f ca="1">VTL20namcamket!F42</f>
        <v>40</v>
      </c>
      <c r="O41" s="541">
        <f ca="1">IF('Tinh phi QL'!$H$9="Nam",VLOOKUP(KBACOI!$I$6,KBACOI!$D$3:$F$103,2,0)*M41/1000/12,IF('Tinh phi QL'!$H$9="Nữ",VLOOKUP(KBACOI!$I$6,KBACOI!$D$3:$F$103,3,0)*M41/1000/12,0))</f>
        <v>146.55862586561631</v>
      </c>
      <c r="P41" s="962"/>
      <c r="Q41" s="539">
        <f ca="1">IF('Tinh phi QL'!$H$9="Nam",VLOOKUP(KBACOI!$I$6,KBACOI!$D$3:$F$103,2,0)*R41/1000/12,IF('Tinh phi QL'!$H$9="Nữ",VLOOKUP(KBACOI!$I$6,KBACOI!$D$3:$F$103,3,0)*R41/1000/12,0))</f>
        <v>146.48726979083028</v>
      </c>
      <c r="R41" s="541">
        <f ca="1">KBA20namMH!E42-U40</f>
        <v>1126825.1522371559</v>
      </c>
      <c r="S41" s="544">
        <f ca="1">(S40-N41-O41)*(1+KBA20namcamket!$S$3)</f>
        <v>22476.456741288381</v>
      </c>
      <c r="T41" s="264"/>
      <c r="U41" s="542">
        <f ca="1">(U40-N41-Q41)*(1+KBA20namMH!$P$3)</f>
        <v>23074.6774690571</v>
      </c>
    </row>
    <row r="42" spans="4:21" ht="9.75" customHeight="1">
      <c r="D42" s="252">
        <v>39</v>
      </c>
      <c r="E42" s="252">
        <v>2.3199999999999998</v>
      </c>
      <c r="F42" s="252">
        <v>1.86</v>
      </c>
      <c r="H42" s="252">
        <v>40</v>
      </c>
      <c r="I42" s="548">
        <f t="shared" ca="1" si="1"/>
        <v>69</v>
      </c>
      <c r="K42" s="1043"/>
      <c r="L42" s="262">
        <v>40</v>
      </c>
      <c r="M42" s="540">
        <f ca="1">KBA20namcamket!E42-S41</f>
        <v>1127523.5432587117</v>
      </c>
      <c r="N42" s="538">
        <f ca="1">VTL20namcamket!F43</f>
        <v>40</v>
      </c>
      <c r="O42" s="541">
        <f ca="1">IF('Tinh phi QL'!$H$9="Nam",VLOOKUP(KBACOI!$I$6,KBACOI!$D$3:$F$103,2,0)*M42/1000/12,IF('Tinh phi QL'!$H$9="Nữ",VLOOKUP(KBACOI!$I$6,KBACOI!$D$3:$F$103,3,0)*M42/1000/12,0))</f>
        <v>146.57806062363252</v>
      </c>
      <c r="P42" s="962"/>
      <c r="Q42" s="539">
        <f ca="1">IF('Tinh phi QL'!$H$9="Nam",VLOOKUP(KBACOI!$I$6,KBACOI!$D$3:$F$103,2,0)*R42/1000/12,IF('Tinh phi QL'!$H$9="Nữ",VLOOKUP(KBACOI!$I$6,KBACOI!$D$3:$F$103,3,0)*R42/1000/12,0))</f>
        <v>146.50029192902258</v>
      </c>
      <c r="R42" s="541">
        <f ca="1">KBA20namMH!E43-U41</f>
        <v>1126925.322530943</v>
      </c>
      <c r="S42" s="544">
        <f ca="1">(S41-N42-O42)*(1+KBA20namcamket!$S$3)</f>
        <v>22326.692227515803</v>
      </c>
      <c r="T42" s="264"/>
      <c r="U42" s="542">
        <f ca="1">(U41-N42-Q42)*(1+KBA20namMH!$P$3)</f>
        <v>22974.117983596989</v>
      </c>
    </row>
    <row r="43" spans="4:21" ht="9.75" customHeight="1">
      <c r="D43" s="252">
        <v>40</v>
      </c>
      <c r="E43" s="252">
        <v>2.52</v>
      </c>
      <c r="F43" s="252">
        <v>2.02</v>
      </c>
      <c r="H43" s="252">
        <v>41</v>
      </c>
      <c r="I43" s="548">
        <f t="shared" ca="1" si="1"/>
        <v>70</v>
      </c>
      <c r="K43" s="1043"/>
      <c r="L43" s="262">
        <v>41</v>
      </c>
      <c r="M43" s="540">
        <f ca="1">KBA20namcamket!E43-S42</f>
        <v>1127673.3077724841</v>
      </c>
      <c r="N43" s="538">
        <f ca="1">VTL20namcamket!F44</f>
        <v>40</v>
      </c>
      <c r="O43" s="541">
        <f ca="1">IF('Tinh phi QL'!$H$9="Nam",VLOOKUP(KBACOI!$I$6,KBACOI!$D$3:$F$103,2,0)*M43/1000/12,IF('Tinh phi QL'!$H$9="Nữ",VLOOKUP(KBACOI!$I$6,KBACOI!$D$3:$F$103,3,0)*M43/1000/12,0))</f>
        <v>146.59753001042296</v>
      </c>
      <c r="P43" s="962"/>
      <c r="Q43" s="539">
        <f ca="1">IF('Tinh phi QL'!$H$9="Nam",VLOOKUP(KBACOI!$I$6,KBACOI!$D$3:$F$103,2,0)*R43/1000/12,IF('Tinh phi QL'!$H$9="Nữ",VLOOKUP(KBACOI!$I$6,KBACOI!$D$3:$F$103,3,0)*R43/1000/12,0))</f>
        <v>146.51336466213237</v>
      </c>
      <c r="R43" s="541">
        <f ca="1">KBA20namMH!E44-U42</f>
        <v>1127025.8820164029</v>
      </c>
      <c r="S43" s="544">
        <f ca="1">(S42-N43-O43)*(1+KBA20namcamket!$S$3)</f>
        <v>22176.660863930523</v>
      </c>
      <c r="T43" s="264"/>
      <c r="U43" s="542">
        <f ca="1">(U42-N43-Q43)*(1+KBA20namMH!$P$3)</f>
        <v>22873.167794337176</v>
      </c>
    </row>
    <row r="44" spans="4:21" ht="9.75" customHeight="1">
      <c r="D44" s="252">
        <v>41</v>
      </c>
      <c r="E44" s="252">
        <v>2.7360000000000002</v>
      </c>
      <c r="F44" s="252">
        <v>2.2000000000000002</v>
      </c>
      <c r="H44" s="252">
        <v>42</v>
      </c>
      <c r="I44" s="548">
        <f t="shared" ca="1" si="1"/>
        <v>71</v>
      </c>
      <c r="K44" s="1043"/>
      <c r="L44" s="262">
        <v>42</v>
      </c>
      <c r="M44" s="540">
        <f ca="1">KBA20namcamket!E44-S43</f>
        <v>1127823.3391360694</v>
      </c>
      <c r="N44" s="538">
        <f ca="1">VTL20namcamket!F45</f>
        <v>40</v>
      </c>
      <c r="O44" s="541">
        <f ca="1">IF('Tinh phi QL'!$H$9="Nam",VLOOKUP(KBACOI!$I$6,KBACOI!$D$3:$F$103,2,0)*M44/1000/12,IF('Tinh phi QL'!$H$9="Nữ",VLOOKUP(KBACOI!$I$6,KBACOI!$D$3:$F$103,3,0)*M44/1000/12,0))</f>
        <v>146.61703408768904</v>
      </c>
      <c r="P44" s="962"/>
      <c r="Q44" s="539">
        <f ca="1">IF('Tinh phi QL'!$H$9="Nam",VLOOKUP(KBACOI!$I$6,KBACOI!$D$3:$F$103,2,0)*R44/1000/12,IF('Tinh phi QL'!$H$9="Nữ",VLOOKUP(KBACOI!$I$6,KBACOI!$D$3:$F$103,3,0)*R44/1000/12,0))</f>
        <v>146.52648818673617</v>
      </c>
      <c r="R44" s="541">
        <f ca="1">KBA20namMH!E45-U43</f>
        <v>1127126.8322056627</v>
      </c>
      <c r="S44" s="544">
        <f ca="1">(S43-N44-O44)*(1+KBA20namcamket!$S$3)</f>
        <v>22026.362175060611</v>
      </c>
      <c r="T44" s="264"/>
      <c r="U44" s="542">
        <f ca="1">(U43-N44-Q44)*(1+KBA20namMH!$P$3)</f>
        <v>22771.825383276067</v>
      </c>
    </row>
    <row r="45" spans="4:21" ht="9.75" customHeight="1">
      <c r="D45" s="252">
        <v>42</v>
      </c>
      <c r="E45" s="252">
        <v>2.968</v>
      </c>
      <c r="F45" s="252">
        <v>2.3809999999999998</v>
      </c>
      <c r="H45" s="252">
        <v>43</v>
      </c>
      <c r="I45" s="548">
        <f t="shared" ca="1" si="1"/>
        <v>72</v>
      </c>
      <c r="K45" s="1043"/>
      <c r="L45" s="262">
        <v>43</v>
      </c>
      <c r="M45" s="540">
        <f ca="1">KBA20namcamket!E45-S44</f>
        <v>1127973.6378249393</v>
      </c>
      <c r="N45" s="538">
        <f ca="1">VTL20namcamket!F46</f>
        <v>50</v>
      </c>
      <c r="O45" s="541">
        <f ca="1">IF('Tinh phi QL'!$H$9="Nam",VLOOKUP(KBACOI!$I$6,KBACOI!$D$3:$F$103,2,0)*M45/1000/12,IF('Tinh phi QL'!$H$9="Nữ",VLOOKUP(KBACOI!$I$6,KBACOI!$D$3:$F$103,3,0)*M45/1000/12,0))</f>
        <v>146.63657291724212</v>
      </c>
      <c r="P45" s="962"/>
      <c r="Q45" s="539">
        <f ca="1">IF('Tinh phi QL'!$H$9="Nam",VLOOKUP(KBACOI!$I$6,KBACOI!$D$3:$F$103,2,0)*R45/1000/12,IF('Tinh phi QL'!$H$9="Nữ",VLOOKUP(KBACOI!$I$6,KBACOI!$D$3:$F$103,3,0)*R45/1000/12,0))</f>
        <v>146.53966270017412</v>
      </c>
      <c r="R45" s="541">
        <f ca="1">KBA20namMH!E46-U44</f>
        <v>1127228.174616724</v>
      </c>
      <c r="S45" s="544">
        <f ca="1">(S44-N45-O45)*(1+KBA20namcamket!$S$3)</f>
        <v>21865.779168773915</v>
      </c>
      <c r="T45" s="264"/>
      <c r="U45" s="542">
        <f ca="1">(U44-N45-Q45)*(1+KBA20namMH!$P$3)</f>
        <v>22660.051678392367</v>
      </c>
    </row>
    <row r="46" spans="4:21" ht="9.75" customHeight="1">
      <c r="D46" s="252">
        <v>43</v>
      </c>
      <c r="E46" s="252">
        <v>3.2240000000000002</v>
      </c>
      <c r="F46" s="252">
        <v>2.56</v>
      </c>
      <c r="H46" s="252">
        <v>44</v>
      </c>
      <c r="I46" s="548">
        <f t="shared" ca="1" si="1"/>
        <v>73</v>
      </c>
      <c r="K46" s="1043"/>
      <c r="L46" s="262">
        <v>44</v>
      </c>
      <c r="M46" s="540">
        <f ca="1">KBA20namcamket!E46-S45</f>
        <v>1128134.2208312261</v>
      </c>
      <c r="N46" s="538">
        <f ca="1">VTL20namcamket!F47</f>
        <v>50</v>
      </c>
      <c r="O46" s="541">
        <f ca="1">IF('Tinh phi QL'!$H$9="Nam",VLOOKUP(KBACOI!$I$6,KBACOI!$D$3:$F$103,2,0)*M46/1000/12,IF('Tinh phi QL'!$H$9="Nữ",VLOOKUP(KBACOI!$I$6,KBACOI!$D$3:$F$103,3,0)*M46/1000/12,0))</f>
        <v>146.65744870805941</v>
      </c>
      <c r="P46" s="962"/>
      <c r="Q46" s="539">
        <f ca="1">IF('Tinh phi QL'!$H$9="Nam",VLOOKUP(KBACOI!$I$6,KBACOI!$D$3:$F$103,2,0)*R46/1000/12,IF('Tinh phi QL'!$H$9="Nữ",VLOOKUP(KBACOI!$I$6,KBACOI!$D$3:$F$103,3,0)*R46/1000/12,0))</f>
        <v>146.55419328180901</v>
      </c>
      <c r="R46" s="541">
        <f ca="1">KBA20namMH!E47-U45</f>
        <v>1127339.9483216077</v>
      </c>
      <c r="S46" s="544">
        <f ca="1">(S45-N46-O46)*(1+KBA20namcamket!$S$3)</f>
        <v>21704.91003632775</v>
      </c>
      <c r="T46" s="264"/>
      <c r="U46" s="542">
        <f ca="1">(U45-N46-Q46)*(1+KBA20namMH!$P$3)</f>
        <v>22547.843699098798</v>
      </c>
    </row>
    <row r="47" spans="4:21" ht="9.75" customHeight="1">
      <c r="D47" s="252">
        <v>44</v>
      </c>
      <c r="E47" s="252">
        <v>3.496</v>
      </c>
      <c r="F47" s="252">
        <v>2.7519999999999998</v>
      </c>
      <c r="H47" s="252">
        <v>45</v>
      </c>
      <c r="I47" s="548">
        <f t="shared" ca="1" si="1"/>
        <v>74</v>
      </c>
      <c r="K47" s="1043"/>
      <c r="L47" s="262">
        <v>45</v>
      </c>
      <c r="M47" s="540">
        <f ca="1">KBA20namcamket!E47-S46</f>
        <v>1128295.0899636722</v>
      </c>
      <c r="N47" s="538">
        <f ca="1">VTL20namcamket!F48</f>
        <v>50</v>
      </c>
      <c r="O47" s="541">
        <f ca="1">IF('Tinh phi QL'!$H$9="Nam",VLOOKUP(KBACOI!$I$6,KBACOI!$D$3:$F$103,2,0)*M47/1000/12,IF('Tinh phi QL'!$H$9="Nữ",VLOOKUP(KBACOI!$I$6,KBACOI!$D$3:$F$103,3,0)*M47/1000/12,0))</f>
        <v>146.6783616952774</v>
      </c>
      <c r="P47" s="962"/>
      <c r="Q47" s="539">
        <f ca="1">IF('Tinh phi QL'!$H$9="Nam",VLOOKUP(KBACOI!$I$6,KBACOI!$D$3:$F$103,2,0)*R47/1000/12,IF('Tinh phi QL'!$H$9="Nữ",VLOOKUP(KBACOI!$I$6,KBACOI!$D$3:$F$103,3,0)*R47/1000/12,0))</f>
        <v>146.56878031911717</v>
      </c>
      <c r="R47" s="541">
        <f ca="1">KBA20namMH!E48-U46</f>
        <v>1127452.1563009012</v>
      </c>
      <c r="S47" s="544">
        <f ca="1">(S46-N47-O47)*(1+KBA20namcamket!$S$3)</f>
        <v>21543.754267903663</v>
      </c>
      <c r="T47" s="264"/>
      <c r="U47" s="542">
        <f ca="1">(U46-N47-Q47)*(1+KBA20namMH!$P$3)</f>
        <v>22435.199758108862</v>
      </c>
    </row>
    <row r="48" spans="4:21" ht="9.75" customHeight="1">
      <c r="D48" s="252">
        <v>45</v>
      </c>
      <c r="E48" s="252">
        <v>3.7839999999999998</v>
      </c>
      <c r="F48" s="252">
        <v>2.94</v>
      </c>
      <c r="H48" s="252">
        <v>46</v>
      </c>
      <c r="I48" s="548">
        <f t="shared" ca="1" si="1"/>
        <v>75</v>
      </c>
      <c r="K48" s="1043"/>
      <c r="L48" s="262">
        <v>46</v>
      </c>
      <c r="M48" s="540">
        <f ca="1">KBA20namcamket!E48-S47</f>
        <v>1128456.2457320963</v>
      </c>
      <c r="N48" s="538">
        <f ca="1">VTL20namcamket!F49</f>
        <v>50</v>
      </c>
      <c r="O48" s="541">
        <f ca="1">IF('Tinh phi QL'!$H$9="Nam",VLOOKUP(KBACOI!$I$6,KBACOI!$D$3:$F$103,2,0)*M48/1000/12,IF('Tinh phi QL'!$H$9="Nữ",VLOOKUP(KBACOI!$I$6,KBACOI!$D$3:$F$103,3,0)*M48/1000/12,0))</f>
        <v>146.69931194517252</v>
      </c>
      <c r="P48" s="962"/>
      <c r="Q48" s="539">
        <f ca="1">IF('Tinh phi QL'!$H$9="Nam",VLOOKUP(KBACOI!$I$6,KBACOI!$D$3:$F$103,2,0)*R48/1000/12,IF('Tinh phi QL'!$H$9="Nữ",VLOOKUP(KBACOI!$I$6,KBACOI!$D$3:$F$103,3,0)*R48/1000/12,0))</f>
        <v>146.58342403144584</v>
      </c>
      <c r="R48" s="541">
        <f ca="1">KBA20namMH!E49-U47</f>
        <v>1127564.8002418911</v>
      </c>
      <c r="S48" s="544">
        <f ca="1">(S47-N48-O48)*(1+KBA20namcamket!$S$3)</f>
        <v>21382.311352774814</v>
      </c>
      <c r="T48" s="264"/>
      <c r="U48" s="542">
        <f ca="1">(U47-N48-Q48)*(1+KBA20namMH!$P$3)</f>
        <v>22322.118161580445</v>
      </c>
    </row>
    <row r="49" spans="4:21" ht="9.75" customHeight="1">
      <c r="D49" s="252">
        <v>46</v>
      </c>
      <c r="E49" s="252">
        <v>4.0960000000000001</v>
      </c>
      <c r="F49" s="252">
        <v>3.14</v>
      </c>
      <c r="H49" s="252">
        <v>47</v>
      </c>
      <c r="I49" s="548">
        <f t="shared" ca="1" si="1"/>
        <v>76</v>
      </c>
      <c r="K49" s="1043"/>
      <c r="L49" s="262">
        <v>47</v>
      </c>
      <c r="M49" s="540">
        <f ca="1">KBA20namcamket!E49-S48</f>
        <v>1128617.6886472253</v>
      </c>
      <c r="N49" s="538">
        <f ca="1">VTL20namcamket!F50</f>
        <v>50</v>
      </c>
      <c r="O49" s="541">
        <f ca="1">IF('Tinh phi QL'!$H$9="Nam",VLOOKUP(KBACOI!$I$6,KBACOI!$D$3:$F$103,2,0)*M49/1000/12,IF('Tinh phi QL'!$H$9="Nữ",VLOOKUP(KBACOI!$I$6,KBACOI!$D$3:$F$103,3,0)*M49/1000/12,0))</f>
        <v>146.72029952413928</v>
      </c>
      <c r="P49" s="962"/>
      <c r="Q49" s="539">
        <f ca="1">IF('Tinh phi QL'!$H$9="Nam",VLOOKUP(KBACOI!$I$6,KBACOI!$D$3:$F$103,2,0)*R49/1000/12,IF('Tinh phi QL'!$H$9="Nữ",VLOOKUP(KBACOI!$I$6,KBACOI!$D$3:$F$103,3,0)*R49/1000/12,0))</f>
        <v>146.59812463899453</v>
      </c>
      <c r="R49" s="541">
        <f ca="1">KBA20namMH!E50-U48</f>
        <v>1127677.8818384195</v>
      </c>
      <c r="S49" s="544">
        <f ca="1">(S48-N49-O49)*(1+KBA20namcamket!$S$3)</f>
        <v>21220.580779304353</v>
      </c>
      <c r="T49" s="264"/>
      <c r="U49" s="542">
        <f ca="1">(U48-N49-Q49)*(1+KBA20namMH!$P$3)</f>
        <v>22208.597209090352</v>
      </c>
    </row>
    <row r="50" spans="4:21" ht="9.75" customHeight="1">
      <c r="D50" s="252">
        <v>47</v>
      </c>
      <c r="E50" s="252">
        <v>4.4240000000000004</v>
      </c>
      <c r="F50" s="252">
        <v>3.3519999999999999</v>
      </c>
      <c r="H50" s="252">
        <v>48</v>
      </c>
      <c r="I50" s="548">
        <f t="shared" ca="1" si="1"/>
        <v>77</v>
      </c>
      <c r="K50" s="1043"/>
      <c r="L50" s="262">
        <v>48</v>
      </c>
      <c r="M50" s="540">
        <f ca="1">KBA20namcamket!E50-S49</f>
        <v>1128779.4192206957</v>
      </c>
      <c r="N50" s="538">
        <f ca="1">VTL20namcamket!F51</f>
        <v>50</v>
      </c>
      <c r="O50" s="541">
        <f ca="1">IF('Tinh phi QL'!$H$9="Nam",VLOOKUP(KBACOI!$I$6,KBACOI!$D$3:$F$103,2,0)*M50/1000/12,IF('Tinh phi QL'!$H$9="Nữ",VLOOKUP(KBACOI!$I$6,KBACOI!$D$3:$F$103,3,0)*M50/1000/12,0))</f>
        <v>146.74132449869046</v>
      </c>
      <c r="P50" s="962"/>
      <c r="Q50" s="539">
        <f ca="1">IF('Tinh phi QL'!$H$9="Nam",VLOOKUP(KBACOI!$I$6,KBACOI!$D$3:$F$103,2,0)*R50/1000/12,IF('Tinh phi QL'!$H$9="Nữ",VLOOKUP(KBACOI!$I$6,KBACOI!$D$3:$F$103,3,0)*R50/1000/12,0))</f>
        <v>146.61288236281825</v>
      </c>
      <c r="R50" s="541">
        <f ca="1">KBA20namMH!E51-U49</f>
        <v>1127791.4027909096</v>
      </c>
      <c r="S50" s="545">
        <f ca="1">(S49-N50-O50)*(1+KBA20namcamket!$S$3)</f>
        <v>21058.562034943792</v>
      </c>
      <c r="T50" s="264"/>
      <c r="U50" s="543">
        <f ca="1">(U49-N50-Q50)*(1+KBA20namMH!$P$3)</f>
        <v>22094.63519360873</v>
      </c>
    </row>
    <row r="51" spans="4:21" ht="9.75" customHeight="1">
      <c r="D51" s="252">
        <v>48</v>
      </c>
      <c r="E51" s="252">
        <v>4.7759999999999998</v>
      </c>
      <c r="F51" s="252">
        <v>3.58</v>
      </c>
      <c r="H51" s="252">
        <v>49</v>
      </c>
      <c r="I51" s="548">
        <f t="shared" ca="1" si="1"/>
        <v>78</v>
      </c>
      <c r="K51" s="1045">
        <f>K39+1</f>
        <v>5</v>
      </c>
      <c r="L51" s="252">
        <v>49</v>
      </c>
      <c r="M51" s="538">
        <f ca="1">KBA20namcamket!E52-S50-KBAGTTKcamket!F11</f>
        <v>1170941.4379650562</v>
      </c>
      <c r="N51" s="538">
        <f ca="1">VTL20namcamket!F52</f>
        <v>50</v>
      </c>
      <c r="O51" s="539">
        <f ca="1">IF('Tinh phi QL'!$H$9="Nam",VLOOKUP(KBACOI!$I$7,KBACOI!$D$3:$F$103,2,0)*M51/1000/12,IF('Tinh phi QL'!$H$9="Nữ",VLOOKUP(KBACOI!$I$7,KBACOI!$D$3:$F$103,3,0)*M51/1000/12,0))</f>
        <v>160.02866318855766</v>
      </c>
      <c r="P51" s="1045">
        <f>VTL20namcamket!I52</f>
        <v>300</v>
      </c>
      <c r="Q51" s="539">
        <f ca="1">IF('Tinh phi QL'!$H$9="Nam",VLOOKUP(KBACOI!$I$7,KBACOI!$D$3:$F$103,2,0)*R51/1000/12,IF('Tinh phi QL'!$H$9="Nữ",VLOOKUP(KBACOI!$I$7,KBACOI!$D$3:$F$103,3,0)*R51/1000/12,0))</f>
        <v>159.88706652354014</v>
      </c>
      <c r="R51" s="539">
        <f ca="1">KBA20namMH!E52-U50-KBAGTTKMH!F11</f>
        <v>1169905.3648063913</v>
      </c>
      <c r="S51" s="542">
        <f ca="1">(S50+KBAGTTKcamket!F11-N51-O51)*(1+KBA20namcamket!$T$3)</f>
        <v>28896.179070059847</v>
      </c>
      <c r="T51" s="1044">
        <f>P51</f>
        <v>300</v>
      </c>
      <c r="U51" s="542">
        <f ca="1">(U50+KBAGTTKMH!F11-N51-Q51)*(1+KBA20namMH!$P$3)</f>
        <v>29996.959743383253</v>
      </c>
    </row>
    <row r="52" spans="4:21" ht="9.75" customHeight="1">
      <c r="D52" s="252">
        <v>49</v>
      </c>
      <c r="E52" s="252">
        <v>5.1680000000000001</v>
      </c>
      <c r="F52" s="252">
        <v>3.83</v>
      </c>
      <c r="H52" s="252">
        <v>50</v>
      </c>
      <c r="I52" s="548">
        <f t="shared" ca="1" si="1"/>
        <v>79</v>
      </c>
      <c r="K52" s="1045"/>
      <c r="L52" s="252">
        <v>50</v>
      </c>
      <c r="M52" s="538">
        <f ca="1">KBA20namcamket!E53-S51</f>
        <v>1171103.8209299401</v>
      </c>
      <c r="N52" s="538">
        <f ca="1">VTL20namcamket!F53</f>
        <v>50</v>
      </c>
      <c r="O52" s="539">
        <f ca="1">IF('Tinh phi QL'!$H$9="Nam",VLOOKUP(KBACOI!$I$7,KBACOI!$D$3:$F$103,2,0)*M52/1000/12,IF('Tinh phi QL'!$H$9="Nữ",VLOOKUP(KBACOI!$I$7,KBACOI!$D$3:$F$103,3,0)*M52/1000/12,0))</f>
        <v>160.05085552709181</v>
      </c>
      <c r="P52" s="1045"/>
      <c r="Q52" s="539">
        <f ca="1">IF('Tinh phi QL'!$H$9="Nam",VLOOKUP(KBACOI!$I$7,KBACOI!$D$3:$F$103,2,0)*R52/1000/12,IF('Tinh phi QL'!$H$9="Nữ",VLOOKUP(KBACOI!$I$7,KBACOI!$D$3:$F$103,3,0)*R52/1000/12,0))</f>
        <v>159.9004155017376</v>
      </c>
      <c r="R52" s="539">
        <f ca="1">KBA20namMH!E53-U51</f>
        <v>1170003.0402566167</v>
      </c>
      <c r="S52" s="542">
        <f ca="1">(S51-N52-O52)*(1+KBA20namcamket!$T$3)</f>
        <v>28733.505687516361</v>
      </c>
      <c r="T52" s="1044"/>
      <c r="U52" s="542">
        <f ca="1">(U51-N52-Q52)*(1+KBA20namMH!$P$3)</f>
        <v>29898.904141086368</v>
      </c>
    </row>
    <row r="53" spans="4:21" ht="9.75" customHeight="1">
      <c r="D53" s="252">
        <v>50</v>
      </c>
      <c r="E53" s="252">
        <v>5.6</v>
      </c>
      <c r="F53" s="252">
        <v>4.1020000000000003</v>
      </c>
      <c r="H53" s="252">
        <v>51</v>
      </c>
      <c r="I53" s="548">
        <f t="shared" ca="1" si="1"/>
        <v>80</v>
      </c>
      <c r="K53" s="1045"/>
      <c r="L53" s="252">
        <v>51</v>
      </c>
      <c r="M53" s="538">
        <f ca="1">KBA20namcamket!E54-S52</f>
        <v>1171266.4943124836</v>
      </c>
      <c r="N53" s="538">
        <f ca="1">VTL20namcamket!F54</f>
        <v>50</v>
      </c>
      <c r="O53" s="539">
        <f ca="1">IF('Tinh phi QL'!$H$9="Nam",VLOOKUP(KBACOI!$I$7,KBACOI!$D$3:$F$103,2,0)*M53/1000/12,IF('Tinh phi QL'!$H$9="Nữ",VLOOKUP(KBACOI!$I$7,KBACOI!$D$3:$F$103,3,0)*M53/1000/12,0))</f>
        <v>160.07308755603941</v>
      </c>
      <c r="P53" s="1045"/>
      <c r="Q53" s="539">
        <f ca="1">IF('Tinh phi QL'!$H$9="Nam",VLOOKUP(KBACOI!$I$7,KBACOI!$D$3:$F$103,2,0)*R53/1000/12,IF('Tinh phi QL'!$H$9="Nữ",VLOOKUP(KBACOI!$I$7,KBACOI!$D$3:$F$103,3,0)*R53/1000/12,0))</f>
        <v>159.91381643405151</v>
      </c>
      <c r="R53" s="539">
        <f ca="1">KBA20namMH!E54-U52</f>
        <v>1170101.0958589136</v>
      </c>
      <c r="S53" s="542">
        <f ca="1">(S52-N53-O53)*(1+KBA20namcamket!$T$3)</f>
        <v>28570.541367908998</v>
      </c>
      <c r="T53" s="1044"/>
      <c r="U53" s="542">
        <f ca="1">(U52-N53-Q53)*(1+KBA20namMH!$P$3)</f>
        <v>29800.466907169251</v>
      </c>
    </row>
    <row r="54" spans="4:21" ht="9.75" customHeight="1">
      <c r="D54" s="252">
        <v>51</v>
      </c>
      <c r="E54" s="252">
        <v>6.1040000000000001</v>
      </c>
      <c r="F54" s="252">
        <v>4.4000000000000004</v>
      </c>
      <c r="H54" s="252">
        <v>52</v>
      </c>
      <c r="I54" s="548">
        <f t="shared" ca="1" si="1"/>
        <v>81</v>
      </c>
      <c r="K54" s="1045"/>
      <c r="L54" s="252">
        <v>52</v>
      </c>
      <c r="M54" s="538">
        <f ca="1">KBA20namcamket!E55-S53</f>
        <v>1171429.4586320911</v>
      </c>
      <c r="N54" s="538">
        <f ca="1">VTL20namcamket!F55</f>
        <v>50</v>
      </c>
      <c r="O54" s="539">
        <f ca="1">IF('Tinh phi QL'!$H$9="Nam",VLOOKUP(KBACOI!$I$7,KBACOI!$D$3:$F$103,2,0)*M54/1000/12,IF('Tinh phi QL'!$H$9="Nữ",VLOOKUP(KBACOI!$I$7,KBACOI!$D$3:$F$103,3,0)*M54/1000/12,0))</f>
        <v>160.09535934638578</v>
      </c>
      <c r="P54" s="1045"/>
      <c r="Q54" s="539">
        <f ca="1">IF('Tinh phi QL'!$H$9="Nam",VLOOKUP(KBACOI!$I$7,KBACOI!$D$3:$F$103,2,0)*R54/1000/12,IF('Tinh phi QL'!$H$9="Nữ",VLOOKUP(KBACOI!$I$7,KBACOI!$D$3:$F$103,3,0)*R54/1000/12,0))</f>
        <v>159.92726952268686</v>
      </c>
      <c r="R54" s="539">
        <f ca="1">KBA20namMH!E55-U53</f>
        <v>1170199.5330928308</v>
      </c>
      <c r="S54" s="542">
        <f ca="1">(S53-N54-O54)*(1+KBA20namcamket!$T$3)</f>
        <v>28407.285590904474</v>
      </c>
      <c r="T54" s="1044"/>
      <c r="U54" s="542">
        <f ca="1">(U53-N54-Q54)*(1+KBA20namMH!$P$3)</f>
        <v>29701.646556324689</v>
      </c>
    </row>
    <row r="55" spans="4:21" ht="9.75" customHeight="1">
      <c r="D55" s="252">
        <v>52</v>
      </c>
      <c r="E55" s="252">
        <v>6.6639999999999997</v>
      </c>
      <c r="F55" s="252">
        <v>4.7359999999999998</v>
      </c>
      <c r="H55" s="252">
        <v>53</v>
      </c>
      <c r="I55" s="548">
        <f t="shared" ca="1" si="1"/>
        <v>82</v>
      </c>
      <c r="K55" s="1045"/>
      <c r="L55" s="252">
        <v>53</v>
      </c>
      <c r="M55" s="538">
        <f ca="1">KBA20namcamket!E56-S54</f>
        <v>1171592.7144090955</v>
      </c>
      <c r="N55" s="538">
        <f ca="1">VTL20namcamket!F56</f>
        <v>50</v>
      </c>
      <c r="O55" s="539">
        <f ca="1">IF('Tinh phi QL'!$H$9="Nam",VLOOKUP(KBACOI!$I$7,KBACOI!$D$3:$F$103,2,0)*M55/1000/12,IF('Tinh phi QL'!$H$9="Nữ",VLOOKUP(KBACOI!$I$7,KBACOI!$D$3:$F$103,3,0)*M55/1000/12,0))</f>
        <v>160.11767096924305</v>
      </c>
      <c r="P55" s="1045"/>
      <c r="Q55" s="539">
        <f ca="1">IF('Tinh phi QL'!$H$9="Nam",VLOOKUP(KBACOI!$I$7,KBACOI!$D$3:$F$103,2,0)*R55/1000/12,IF('Tinh phi QL'!$H$9="Nữ",VLOOKUP(KBACOI!$I$7,KBACOI!$D$3:$F$103,3,0)*R55/1000/12,0))</f>
        <v>159.9407749706356</v>
      </c>
      <c r="R55" s="539">
        <f ca="1">KBA20namMH!E56-U54</f>
        <v>1170298.3534436752</v>
      </c>
      <c r="S55" s="542">
        <f ca="1">(S54-N55-O55)*(1+KBA20namcamket!$T$3)</f>
        <v>28243.737835238899</v>
      </c>
      <c r="T55" s="1044"/>
      <c r="U55" s="542">
        <f ca="1">(U54-N55-Q55)*(1+KBA20namMH!$P$3)</f>
        <v>29602.441597464658</v>
      </c>
    </row>
    <row r="56" spans="4:21" ht="9.75" customHeight="1">
      <c r="D56" s="252">
        <v>53</v>
      </c>
      <c r="E56" s="252">
        <v>7.3040000000000003</v>
      </c>
      <c r="F56" s="252">
        <v>5.1040000000000001</v>
      </c>
      <c r="H56" s="252">
        <v>54</v>
      </c>
      <c r="I56" s="548">
        <f t="shared" ca="1" si="1"/>
        <v>83</v>
      </c>
      <c r="K56" s="1045"/>
      <c r="L56" s="252">
        <v>54</v>
      </c>
      <c r="M56" s="538">
        <f ca="1">KBA20namcamket!E57-S55</f>
        <v>1171756.2621647611</v>
      </c>
      <c r="N56" s="538">
        <f ca="1">VTL20namcamket!F57</f>
        <v>50</v>
      </c>
      <c r="O56" s="539">
        <f ca="1">IF('Tinh phi QL'!$H$9="Nam",VLOOKUP(KBACOI!$I$7,KBACOI!$D$3:$F$103,2,0)*M56/1000/12,IF('Tinh phi QL'!$H$9="Nữ",VLOOKUP(KBACOI!$I$7,KBACOI!$D$3:$F$103,3,0)*M56/1000/12,0))</f>
        <v>160.14002249585067</v>
      </c>
      <c r="P56" s="1045"/>
      <c r="Q56" s="539">
        <f ca="1">IF('Tinh phi QL'!$H$9="Nam",VLOOKUP(KBACOI!$I$7,KBACOI!$D$3:$F$103,2,0)*R56/1000/12,IF('Tinh phi QL'!$H$9="Nữ",VLOOKUP(KBACOI!$I$7,KBACOI!$D$3:$F$103,3,0)*R56/1000/12,0))</f>
        <v>159.95433298167981</v>
      </c>
      <c r="R56" s="539">
        <f ca="1">KBA20namMH!E57-U55</f>
        <v>1170397.5584025353</v>
      </c>
      <c r="S56" s="542">
        <f ca="1">(S55-N56-O56)*(1+KBA20namcamket!$T$3)</f>
        <v>28079.897578716125</v>
      </c>
      <c r="T56" s="1044"/>
      <c r="U56" s="542">
        <f ca="1">(U55-N56-Q56)*(1+KBA20namMH!$P$3)</f>
        <v>29502.850533697841</v>
      </c>
    </row>
    <row r="57" spans="4:21" ht="9.75" customHeight="1">
      <c r="D57" s="252">
        <v>54</v>
      </c>
      <c r="E57" s="252">
        <v>8.0079999999999991</v>
      </c>
      <c r="F57" s="252">
        <v>5.48</v>
      </c>
      <c r="H57" s="252">
        <v>55</v>
      </c>
      <c r="I57" s="548">
        <f t="shared" ca="1" si="1"/>
        <v>84</v>
      </c>
      <c r="K57" s="1045"/>
      <c r="L57" s="252">
        <v>55</v>
      </c>
      <c r="M57" s="538">
        <f ca="1">KBA20namcamket!E58-S56</f>
        <v>1171920.102421284</v>
      </c>
      <c r="N57" s="538">
        <f ca="1">VTL20namcamket!F58</f>
        <v>50</v>
      </c>
      <c r="O57" s="539">
        <f ca="1">IF('Tinh phi QL'!$H$9="Nam",VLOOKUP(KBACOI!$I$7,KBACOI!$D$3:$F$103,2,0)*M57/1000/12,IF('Tinh phi QL'!$H$9="Nữ",VLOOKUP(KBACOI!$I$7,KBACOI!$D$3:$F$103,3,0)*M57/1000/12,0))</f>
        <v>160.16241399757547</v>
      </c>
      <c r="P57" s="1045"/>
      <c r="Q57" s="539">
        <f ca="1">IF('Tinh phi QL'!$H$9="Nam",VLOOKUP(KBACOI!$I$7,KBACOI!$D$3:$F$103,2,0)*R57/1000/12,IF('Tinh phi QL'!$H$9="Nữ",VLOOKUP(KBACOI!$I$7,KBACOI!$D$3:$F$103,3,0)*R57/1000/12,0))</f>
        <v>159.96794376039463</v>
      </c>
      <c r="R57" s="539">
        <f ca="1">KBA20namMH!E58-U56</f>
        <v>1170497.1494663022</v>
      </c>
      <c r="S57" s="542">
        <f ca="1">(S56-N57-O57)*(1+KBA20namcamket!$T$3)</f>
        <v>27915.764298206068</v>
      </c>
      <c r="T57" s="1044"/>
      <c r="U57" s="542">
        <f ca="1">(U56-N57-Q57)*(1+KBA20namMH!$P$3)</f>
        <v>29402.871862307027</v>
      </c>
    </row>
    <row r="58" spans="4:21" ht="9.75" customHeight="1">
      <c r="D58" s="252">
        <v>55</v>
      </c>
      <c r="E58" s="252">
        <v>8.7680000000000007</v>
      </c>
      <c r="F58" s="252">
        <v>5.8639999999999999</v>
      </c>
      <c r="H58" s="252">
        <v>56</v>
      </c>
      <c r="I58" s="548">
        <f t="shared" ca="1" si="1"/>
        <v>85</v>
      </c>
      <c r="K58" s="1045"/>
      <c r="L58" s="252">
        <v>56</v>
      </c>
      <c r="M58" s="538">
        <f ca="1">KBA20namcamket!E59-S57</f>
        <v>1172084.235701794</v>
      </c>
      <c r="N58" s="538">
        <f ca="1">VTL20namcamket!F59</f>
        <v>50</v>
      </c>
      <c r="O58" s="539">
        <f ca="1">IF('Tinh phi QL'!$H$9="Nam",VLOOKUP(KBACOI!$I$7,KBACOI!$D$3:$F$103,2,0)*M58/1000/12,IF('Tinh phi QL'!$H$9="Nữ",VLOOKUP(KBACOI!$I$7,KBACOI!$D$3:$F$103,3,0)*M58/1000/12,0))</f>
        <v>160.18484554591186</v>
      </c>
      <c r="P58" s="1045"/>
      <c r="Q58" s="539">
        <f ca="1">IF('Tinh phi QL'!$H$9="Nam",VLOOKUP(KBACOI!$I$7,KBACOI!$D$3:$F$103,2,0)*R58/1000/12,IF('Tinh phi QL'!$H$9="Nữ",VLOOKUP(KBACOI!$I$7,KBACOI!$D$3:$F$103,3,0)*R58/1000/12,0))</f>
        <v>159.98160751215138</v>
      </c>
      <c r="R58" s="539">
        <f ca="1">KBA20namMH!E59-U57</f>
        <v>1170597.128137693</v>
      </c>
      <c r="S58" s="542">
        <f ca="1">(S57-N58-O58)*(1+KBA20namcamket!$T$3)</f>
        <v>27751.337469643036</v>
      </c>
      <c r="T58" s="1044"/>
      <c r="U58" s="542">
        <f ca="1">(U57-N58-Q58)*(1+KBA20namMH!$P$3)</f>
        <v>29302.504074726443</v>
      </c>
    </row>
    <row r="59" spans="4:21" ht="9.75" customHeight="1">
      <c r="D59" s="252">
        <v>56</v>
      </c>
      <c r="E59" s="252">
        <v>9.5760000000000005</v>
      </c>
      <c r="F59" s="252">
        <v>6.24</v>
      </c>
      <c r="H59" s="252">
        <v>57</v>
      </c>
      <c r="I59" s="548">
        <f t="shared" ca="1" si="1"/>
        <v>86</v>
      </c>
      <c r="K59" s="1045"/>
      <c r="L59" s="252">
        <v>57</v>
      </c>
      <c r="M59" s="538">
        <f ca="1">KBA20namcamket!E60-S58</f>
        <v>1172248.662530357</v>
      </c>
      <c r="N59" s="538">
        <f ca="1">VTL20namcamket!F60</f>
        <v>50</v>
      </c>
      <c r="O59" s="539">
        <f ca="1">IF('Tinh phi QL'!$H$9="Nam",VLOOKUP(KBACOI!$I$7,KBACOI!$D$3:$F$103,2,0)*M59/1000/12,IF('Tinh phi QL'!$H$9="Nữ",VLOOKUP(KBACOI!$I$7,KBACOI!$D$3:$F$103,3,0)*M59/1000/12,0))</f>
        <v>160.20731721248211</v>
      </c>
      <c r="P59" s="1045"/>
      <c r="Q59" s="539">
        <f ca="1">IF('Tinh phi QL'!$H$9="Nam",VLOOKUP(KBACOI!$I$7,KBACOI!$D$3:$F$103,2,0)*R59/1000/12,IF('Tinh phi QL'!$H$9="Nữ",VLOOKUP(KBACOI!$I$7,KBACOI!$D$3:$F$103,3,0)*R59/1000/12,0))</f>
        <v>159.99532444312069</v>
      </c>
      <c r="R59" s="539">
        <f ca="1">KBA20namMH!E60-U58</f>
        <v>1170697.4959252735</v>
      </c>
      <c r="S59" s="542">
        <f ca="1">(S58-N59-O59)*(1+KBA20namcamket!$T$3)</f>
        <v>27586.616568024059</v>
      </c>
      <c r="T59" s="1044"/>
      <c r="U59" s="542">
        <f ca="1">(U58-N59-Q59)*(1+KBA20namMH!$P$3)</f>
        <v>29201.74565651899</v>
      </c>
    </row>
    <row r="60" spans="4:21" ht="9.75" customHeight="1">
      <c r="D60" s="252">
        <v>57</v>
      </c>
      <c r="E60" s="252">
        <v>10.432</v>
      </c>
      <c r="F60" s="252">
        <v>6.6</v>
      </c>
      <c r="H60" s="252">
        <v>58</v>
      </c>
      <c r="I60" s="548">
        <f t="shared" ca="1" si="1"/>
        <v>87</v>
      </c>
      <c r="K60" s="1045"/>
      <c r="L60" s="252">
        <v>58</v>
      </c>
      <c r="M60" s="538">
        <f ca="1">KBA20namcamket!E61-S59</f>
        <v>1172413.383431976</v>
      </c>
      <c r="N60" s="538">
        <f ca="1">VTL20namcamket!F61</f>
        <v>50</v>
      </c>
      <c r="O60" s="539">
        <f ca="1">IF('Tinh phi QL'!$H$9="Nam",VLOOKUP(KBACOI!$I$7,KBACOI!$D$3:$F$103,2,0)*M60/1000/12,IF('Tinh phi QL'!$H$9="Nữ",VLOOKUP(KBACOI!$I$7,KBACOI!$D$3:$F$103,3,0)*M60/1000/12,0))</f>
        <v>160.2298290690367</v>
      </c>
      <c r="P60" s="1045"/>
      <c r="Q60" s="539">
        <f ca="1">IF('Tinh phi QL'!$H$9="Nam",VLOOKUP(KBACOI!$I$7,KBACOI!$D$3:$F$103,2,0)*R60/1000/12,IF('Tinh phi QL'!$H$9="Nữ",VLOOKUP(KBACOI!$I$7,KBACOI!$D$3:$F$103,3,0)*R60/1000/12,0))</f>
        <v>160.00909476027573</v>
      </c>
      <c r="R60" s="539">
        <f ca="1">KBA20namMH!E61-U59</f>
        <v>1170798.254343481</v>
      </c>
      <c r="S60" s="542">
        <f ca="1">(S59-N60-O60)*(1+KBA20namcamket!$T$3)</f>
        <v>27421.601067407217</v>
      </c>
      <c r="T60" s="1044"/>
      <c r="U60" s="542">
        <f ca="1">(U59-N60-Q60)*(1+KBA20namMH!$P$3)</f>
        <v>29100.595087353384</v>
      </c>
    </row>
    <row r="61" spans="4:21" ht="9.75" customHeight="1">
      <c r="D61" s="252">
        <v>58</v>
      </c>
      <c r="E61" s="252">
        <v>11.343999999999999</v>
      </c>
      <c r="F61" s="252">
        <v>6.96</v>
      </c>
      <c r="H61" s="252">
        <v>59</v>
      </c>
      <c r="I61" s="548">
        <f t="shared" ca="1" si="1"/>
        <v>88</v>
      </c>
      <c r="K61" s="1045"/>
      <c r="L61" s="252">
        <v>59</v>
      </c>
      <c r="M61" s="538">
        <f ca="1">KBA20namcamket!E62-S60</f>
        <v>1172578.3989325927</v>
      </c>
      <c r="N61" s="538">
        <f ca="1">VTL20namcamket!F62</f>
        <v>50</v>
      </c>
      <c r="O61" s="539">
        <f ca="1">IF('Tinh phi QL'!$H$9="Nam",VLOOKUP(KBACOI!$I$7,KBACOI!$D$3:$F$103,2,0)*M61/1000/12,IF('Tinh phi QL'!$H$9="Nữ",VLOOKUP(KBACOI!$I$7,KBACOI!$D$3:$F$103,3,0)*M61/1000/12,0))</f>
        <v>160.25238118745435</v>
      </c>
      <c r="P61" s="1045"/>
      <c r="Q61" s="539">
        <f ca="1">IF('Tinh phi QL'!$H$9="Nam",VLOOKUP(KBACOI!$I$7,KBACOI!$D$3:$F$103,2,0)*R61/1000/12,IF('Tinh phi QL'!$H$9="Nữ",VLOOKUP(KBACOI!$I$7,KBACOI!$D$3:$F$103,3,0)*R61/1000/12,0))</f>
        <v>160.02291867139505</v>
      </c>
      <c r="R61" s="539">
        <f ca="1">KBA20namMH!E62-U60</f>
        <v>1170899.4049126466</v>
      </c>
      <c r="S61" s="542">
        <f ca="1">(S60-N61-O61)*(1+KBA20namcamket!$T$3)</f>
        <v>27256.290440909957</v>
      </c>
      <c r="T61" s="1044"/>
      <c r="U61" s="542">
        <f ca="1">(U60-N61-Q61)*(1+KBA20namMH!$P$3)</f>
        <v>28999.050840981239</v>
      </c>
    </row>
    <row r="62" spans="4:21" ht="9.75" customHeight="1">
      <c r="D62" s="252">
        <v>59</v>
      </c>
      <c r="E62" s="252">
        <v>12.336</v>
      </c>
      <c r="F62" s="252">
        <v>7.36</v>
      </c>
      <c r="H62" s="252">
        <v>60</v>
      </c>
      <c r="I62" s="548">
        <f t="shared" ca="1" si="1"/>
        <v>89</v>
      </c>
      <c r="K62" s="1045"/>
      <c r="L62" s="252">
        <v>60</v>
      </c>
      <c r="M62" s="538">
        <f ca="1">KBA20namcamket!E63-S61</f>
        <v>1172743.70955909</v>
      </c>
      <c r="N62" s="538">
        <f ca="1">VTL20namcamket!F63</f>
        <v>50</v>
      </c>
      <c r="O62" s="539">
        <f ca="1">IF('Tinh phi QL'!$H$9="Nam",VLOOKUP(KBACOI!$I$7,KBACOI!$D$3:$F$103,2,0)*M62/1000/12,IF('Tinh phi QL'!$H$9="Nữ",VLOOKUP(KBACOI!$I$7,KBACOI!$D$3:$F$103,3,0)*M62/1000/12,0))</f>
        <v>160.27497363974229</v>
      </c>
      <c r="P62" s="1045"/>
      <c r="Q62" s="539">
        <f ca="1">IF('Tinh phi QL'!$H$9="Nam",VLOOKUP(KBACOI!$I$7,KBACOI!$D$3:$F$103,2,0)*R62/1000/12,IF('Tinh phi QL'!$H$9="Nữ",VLOOKUP(KBACOI!$I$7,KBACOI!$D$3:$F$103,3,0)*R62/1000/12,0))</f>
        <v>160.03679638506588</v>
      </c>
      <c r="R62" s="539">
        <f ca="1">KBA20namMH!E63-U61</f>
        <v>1171000.9491590187</v>
      </c>
      <c r="S62" s="543">
        <f ca="1">(S61-N62-O62)*(1+KBA20namcamket!$T$3)+P51</f>
        <v>27390.684160707406</v>
      </c>
      <c r="T62" s="1044"/>
      <c r="U62" s="543">
        <f ca="1">(U61-N62-Q62)*(1+KBA20namMH!$P$3)+T51</f>
        <v>29197.111385214012</v>
      </c>
    </row>
    <row r="63" spans="4:21" ht="9.75" customHeight="1">
      <c r="D63" s="252">
        <v>60</v>
      </c>
      <c r="E63" s="252">
        <v>13.44</v>
      </c>
      <c r="F63" s="252">
        <v>7.84</v>
      </c>
      <c r="H63" s="252">
        <v>61</v>
      </c>
      <c r="I63" s="548">
        <f t="shared" ca="1" si="1"/>
        <v>90</v>
      </c>
      <c r="K63" s="1043">
        <f>K51+1</f>
        <v>6</v>
      </c>
      <c r="L63" s="262">
        <v>61</v>
      </c>
      <c r="M63" s="540">
        <f ca="1">KBA20namcamket!E64-S62-KBAGTTKcamket!F12</f>
        <v>1212809.3158392925</v>
      </c>
      <c r="N63" s="538">
        <f ca="1">VTL20namcamket!F64</f>
        <v>50</v>
      </c>
      <c r="O63" s="541">
        <f ca="1">IF('Tinh phi QL'!$H$9="Nam",VLOOKUP(KBACOI!$I$8,KBACOI!$D$3:$F$103,2,0)*M63/1000/12,IF('Tinh phi QL'!$H$9="Nữ",VLOOKUP(KBACOI!$I$8,KBACOI!$D$3:$F$103,3,0)*M63/1000/12,0))</f>
        <v>175.45308102475099</v>
      </c>
      <c r="P63" s="1043">
        <f>P51</f>
        <v>300</v>
      </c>
      <c r="Q63" s="539">
        <f ca="1">IF('Tinh phi QL'!$H$9="Nam",VLOOKUP(KBACOI!$I$8,KBACOI!$D$3:$F$103,2,0)*R63/1000/12,IF('Tinh phi QL'!$H$9="Nữ",VLOOKUP(KBACOI!$I$8,KBACOI!$D$3:$F$103,3,0)*R63/1000/12,0))</f>
        <v>175.19175121960572</v>
      </c>
      <c r="R63" s="541">
        <f ca="1">KBA20namMH!E64-U62-KBAGTTKMH!F12</f>
        <v>1211002.8886147861</v>
      </c>
      <c r="S63" s="544">
        <f ca="1">(S62+KBAGTTKcamket!F12-KBACOI!N63-KBACOI!O63)*(1+KBA20namcamket!U3)</f>
        <v>37011.122960003784</v>
      </c>
      <c r="T63" s="1044">
        <f>P63</f>
        <v>300</v>
      </c>
      <c r="U63" s="542">
        <f ca="1">(U62+KBAGTTKMH!F12-N63-Q63)*(1+KBA20namMH!$P$3)</f>
        <v>38917.500910122544</v>
      </c>
    </row>
    <row r="64" spans="4:21" ht="9.75" customHeight="1">
      <c r="D64" s="252">
        <v>61</v>
      </c>
      <c r="E64" s="252">
        <v>14.688000000000001</v>
      </c>
      <c r="F64" s="252">
        <v>8.4320000000000004</v>
      </c>
      <c r="H64" s="252">
        <v>62</v>
      </c>
      <c r="I64" s="548">
        <f t="shared" ca="1" si="1"/>
        <v>91</v>
      </c>
      <c r="K64" s="1043"/>
      <c r="L64" s="262">
        <v>62</v>
      </c>
      <c r="M64" s="540">
        <f ca="1">KBA20namcamket!E65-S63</f>
        <v>1212988.8770399962</v>
      </c>
      <c r="N64" s="538">
        <f ca="1">VTL20namcamket!F65</f>
        <v>50</v>
      </c>
      <c r="O64" s="541">
        <f ca="1">IF('Tinh phi QL'!$H$9="Nam",VLOOKUP(KBACOI!$I$8,KBACOI!$D$3:$F$103,2,0)*M64/1000/12,IF('Tinh phi QL'!$H$9="Nữ",VLOOKUP(KBACOI!$I$8,KBACOI!$D$3:$F$103,3,0)*M64/1000/12,0))</f>
        <v>175.47905754511942</v>
      </c>
      <c r="P64" s="1043"/>
      <c r="Q64" s="539">
        <f ca="1">IF('Tinh phi QL'!$H$9="Nam",VLOOKUP(KBACOI!$I$8,KBACOI!$D$3:$F$103,2,0)*R64/1000/12,IF('Tinh phi QL'!$H$9="Nữ",VLOOKUP(KBACOI!$I$8,KBACOI!$D$3:$F$103,3,0)*R64/1000/12,0))</f>
        <v>175.20326820166895</v>
      </c>
      <c r="R64" s="541">
        <f ca="1">KBA20namMH!E65-U63</f>
        <v>1211082.4990898774</v>
      </c>
      <c r="S64" s="544">
        <f ca="1">(S63-N64-O64)*(1+KBA20namcamket!$U$3)</f>
        <v>36831.312827505244</v>
      </c>
      <c r="T64" s="1044"/>
      <c r="U64" s="542">
        <f ca="1">(U63-N64-Q64)*(1+KBA20namMH!$P$3)</f>
        <v>38837.579952423286</v>
      </c>
    </row>
    <row r="65" spans="4:21" ht="9.75" customHeight="1">
      <c r="D65" s="252">
        <v>62</v>
      </c>
      <c r="E65" s="252">
        <v>16.096</v>
      </c>
      <c r="F65" s="252">
        <v>9.1920000000000002</v>
      </c>
      <c r="H65" s="252">
        <v>63</v>
      </c>
      <c r="I65" s="548">
        <f t="shared" ca="1" si="1"/>
        <v>92</v>
      </c>
      <c r="K65" s="1043"/>
      <c r="L65" s="262">
        <v>63</v>
      </c>
      <c r="M65" s="540">
        <f ca="1">KBA20namcamket!E66-S64</f>
        <v>1213168.6871724948</v>
      </c>
      <c r="N65" s="538">
        <f ca="1">VTL20namcamket!F66</f>
        <v>50</v>
      </c>
      <c r="O65" s="541">
        <f ca="1">IF('Tinh phi QL'!$H$9="Nam",VLOOKUP(KBACOI!$I$8,KBACOI!$D$3:$F$103,2,0)*M65/1000/12,IF('Tinh phi QL'!$H$9="Nữ",VLOOKUP(KBACOI!$I$8,KBACOI!$D$3:$F$103,3,0)*M65/1000/12,0))</f>
        <v>175.5050700776209</v>
      </c>
      <c r="P65" s="1043"/>
      <c r="Q65" s="539">
        <f ca="1">IF('Tinh phi QL'!$H$9="Nam",VLOOKUP(KBACOI!$I$8,KBACOI!$D$3:$F$103,2,0)*R65/1000/12,IF('Tinh phi QL'!$H$9="Nữ",VLOOKUP(KBACOI!$I$8,KBACOI!$D$3:$F$103,3,0)*R65/1000/12,0))</f>
        <v>175.21483010021609</v>
      </c>
      <c r="R65" s="541">
        <f ca="1">KBA20namMH!E66-U64</f>
        <v>1211162.4200475768</v>
      </c>
      <c r="S65" s="544">
        <f ca="1">(S64-N65-O65)*(1+KBA20namcamket!$U$3)</f>
        <v>36651.253418109176</v>
      </c>
      <c r="T65" s="1044"/>
      <c r="U65" s="542">
        <f ca="1">(U64-N65-Q65)*(1+KBA20namMH!$P$3)</f>
        <v>38757.34730122723</v>
      </c>
    </row>
    <row r="66" spans="4:21" ht="9.75" customHeight="1">
      <c r="D66" s="252">
        <v>63</v>
      </c>
      <c r="E66" s="252">
        <v>17.672000000000001</v>
      </c>
      <c r="F66" s="252">
        <v>10.103999999999999</v>
      </c>
      <c r="H66" s="252">
        <v>64</v>
      </c>
      <c r="I66" s="548">
        <f t="shared" ca="1" si="1"/>
        <v>93</v>
      </c>
      <c r="K66" s="1043"/>
      <c r="L66" s="262">
        <v>64</v>
      </c>
      <c r="M66" s="540">
        <f ca="1">KBA20namcamket!E67-S65</f>
        <v>1213348.7465818909</v>
      </c>
      <c r="N66" s="538">
        <f ca="1">VTL20namcamket!F67</f>
        <v>50</v>
      </c>
      <c r="O66" s="541">
        <f ca="1">IF('Tinh phi QL'!$H$9="Nam",VLOOKUP(KBACOI!$I$8,KBACOI!$D$3:$F$103,2,0)*M66/1000/12,IF('Tinh phi QL'!$H$9="Nữ",VLOOKUP(KBACOI!$I$8,KBACOI!$D$3:$F$103,3,0)*M66/1000/12,0))</f>
        <v>175.53111867218021</v>
      </c>
      <c r="P66" s="1043"/>
      <c r="Q66" s="539">
        <f ca="1">IF('Tinh phi QL'!$H$9="Nam",VLOOKUP(KBACOI!$I$8,KBACOI!$D$3:$F$103,2,0)*R66/1000/12,IF('Tinh phi QL'!$H$9="Nữ",VLOOKUP(KBACOI!$I$8,KBACOI!$D$3:$F$103,3,0)*R66/1000/12,0))</f>
        <v>175.22643709042245</v>
      </c>
      <c r="R66" s="541">
        <f ca="1">KBA20namMH!E67-U65</f>
        <v>1211242.6526987727</v>
      </c>
      <c r="S66" s="544">
        <f ca="1">(S65-N66-O66)*(1+KBA20namcamket!$U$3)</f>
        <v>36470.944386234536</v>
      </c>
      <c r="T66" s="1044"/>
      <c r="U66" s="542">
        <f ca="1">(U65-N66-Q66)*(1+KBA20namMH!$P$3)</f>
        <v>38676.801740922863</v>
      </c>
    </row>
    <row r="67" spans="4:21" ht="9.75" customHeight="1">
      <c r="D67" s="252">
        <v>64</v>
      </c>
      <c r="E67" s="252">
        <v>19.416</v>
      </c>
      <c r="F67" s="252">
        <v>11.135999999999999</v>
      </c>
      <c r="H67" s="252">
        <v>65</v>
      </c>
      <c r="I67" s="548">
        <f t="shared" ca="1" si="1"/>
        <v>94</v>
      </c>
      <c r="K67" s="1043"/>
      <c r="L67" s="262">
        <v>65</v>
      </c>
      <c r="M67" s="540">
        <f ca="1">KBA20namcamket!E68-S66</f>
        <v>1213529.0556137655</v>
      </c>
      <c r="N67" s="538">
        <f ca="1">VTL20namcamket!F68</f>
        <v>50</v>
      </c>
      <c r="O67" s="541">
        <f ca="1">IF('Tinh phi QL'!$H$9="Nam",VLOOKUP(KBACOI!$I$8,KBACOI!$D$3:$F$103,2,0)*M67/1000/12,IF('Tinh phi QL'!$H$9="Nữ",VLOOKUP(KBACOI!$I$8,KBACOI!$D$3:$F$103,3,0)*M67/1000/12,0))</f>
        <v>175.55720337879143</v>
      </c>
      <c r="P67" s="1043"/>
      <c r="Q67" s="539">
        <f ca="1">IF('Tinh phi QL'!$H$9="Nam",VLOOKUP(KBACOI!$I$8,KBACOI!$D$3:$F$103,2,0)*R67/1000/12,IF('Tinh phi QL'!$H$9="Nữ",VLOOKUP(KBACOI!$I$8,KBACOI!$D$3:$F$103,3,0)*R67/1000/12,0))</f>
        <v>175.23808934814645</v>
      </c>
      <c r="R67" s="541">
        <f ca="1">KBA20namMH!E68-U66</f>
        <v>1211323.198259077</v>
      </c>
      <c r="S67" s="544">
        <f ca="1">(S66-N67-O67)*(1+KBA20namcamket!$U$3)</f>
        <v>36290.38538582121</v>
      </c>
      <c r="T67" s="1044"/>
      <c r="U67" s="542">
        <f ca="1">(U66-N67-Q67)*(1+KBA20namMH!$P$3)</f>
        <v>38595.94205115777</v>
      </c>
    </row>
    <row r="68" spans="4:21" ht="9.75" customHeight="1">
      <c r="D68" s="252">
        <v>65</v>
      </c>
      <c r="E68" s="252">
        <v>21.295999999999999</v>
      </c>
      <c r="F68" s="252">
        <v>12.231999999999999</v>
      </c>
      <c r="H68" s="252">
        <v>66</v>
      </c>
      <c r="I68" s="548">
        <f t="shared" ca="1" si="1"/>
        <v>95</v>
      </c>
      <c r="K68" s="1043"/>
      <c r="L68" s="262">
        <v>66</v>
      </c>
      <c r="M68" s="540">
        <f ca="1">KBA20namcamket!E69-S67</f>
        <v>1213709.6146141789</v>
      </c>
      <c r="N68" s="538">
        <f ca="1">VTL20namcamket!F69</f>
        <v>50</v>
      </c>
      <c r="O68" s="541">
        <f ca="1">IF('Tinh phi QL'!$H$9="Nam",VLOOKUP(KBACOI!$I$8,KBACOI!$D$3:$F$103,2,0)*M68/1000/12,IF('Tinh phi QL'!$H$9="Nữ",VLOOKUP(KBACOI!$I$8,KBACOI!$D$3:$F$103,3,0)*M68/1000/12,0))</f>
        <v>175.58332424751791</v>
      </c>
      <c r="P68" s="1043"/>
      <c r="Q68" s="539">
        <f ca="1">IF('Tinh phi QL'!$H$9="Nam",VLOOKUP(KBACOI!$I$8,KBACOI!$D$3:$F$103,2,0)*R68/1000/12,IF('Tinh phi QL'!$H$9="Nữ",VLOOKUP(KBACOI!$I$8,KBACOI!$D$3:$F$103,3,0)*R68/1000/12,0))</f>
        <v>175.24978704993248</v>
      </c>
      <c r="R68" s="541">
        <f ca="1">KBA20namMH!E69-U67</f>
        <v>1211404.0579488422</v>
      </c>
      <c r="S68" s="544">
        <f ca="1">(S67-N68-O68)*(1+KBA20namcamket!$U$3)</f>
        <v>36109.576070329305</v>
      </c>
      <c r="T68" s="1044"/>
      <c r="U68" s="542">
        <f ca="1">(U67-N68-Q68)*(1+KBA20namMH!$P$3)</f>
        <v>38514.767006820119</v>
      </c>
    </row>
    <row r="69" spans="4:21" ht="9.75" customHeight="1">
      <c r="D69" s="252">
        <v>66</v>
      </c>
      <c r="E69" s="252">
        <v>23.303999999999998</v>
      </c>
      <c r="F69" s="252">
        <v>13.368</v>
      </c>
      <c r="H69" s="252">
        <v>67</v>
      </c>
      <c r="I69" s="548">
        <f t="shared" ref="I69:I103" ca="1" si="3">I68+1</f>
        <v>96</v>
      </c>
      <c r="K69" s="1043"/>
      <c r="L69" s="262">
        <v>67</v>
      </c>
      <c r="M69" s="540">
        <f ca="1">KBA20namcamket!E70-S68</f>
        <v>1213890.4239296706</v>
      </c>
      <c r="N69" s="538">
        <f ca="1">VTL20namcamket!F70</f>
        <v>50</v>
      </c>
      <c r="O69" s="541">
        <f ca="1">IF('Tinh phi QL'!$H$9="Nam",VLOOKUP(KBACOI!$I$8,KBACOI!$D$3:$F$103,2,0)*M69/1000/12,IF('Tinh phi QL'!$H$9="Nữ",VLOOKUP(KBACOI!$I$8,KBACOI!$D$3:$F$103,3,0)*M69/1000/12,0))</f>
        <v>175.60948132849236</v>
      </c>
      <c r="P69" s="1043"/>
      <c r="Q69" s="539">
        <f ca="1">IF('Tinh phi QL'!$H$9="Nam",VLOOKUP(KBACOI!$I$8,KBACOI!$D$3:$F$103,2,0)*R69/1000/12,IF('Tinh phi QL'!$H$9="Nữ",VLOOKUP(KBACOI!$I$8,KBACOI!$D$3:$F$103,3,0)*R69/1000/12,0))</f>
        <v>175.26153037301333</v>
      </c>
      <c r="R69" s="541">
        <f ca="1">KBA20namMH!E70-U68</f>
        <v>1211485.2329931799</v>
      </c>
      <c r="S69" s="544">
        <f ca="1">(S68-N69-O69)*(1+KBA20namcamket!$U$3)</f>
        <v>35928.51609273853</v>
      </c>
      <c r="T69" s="1044"/>
      <c r="U69" s="542">
        <f ca="1">(U68-N69-Q69)*(1+KBA20namMH!$P$3)</f>
        <v>38433.275378020131</v>
      </c>
    </row>
    <row r="70" spans="4:21" ht="9.75" customHeight="1">
      <c r="D70" s="252">
        <v>67</v>
      </c>
      <c r="E70" s="252">
        <v>25.431999999999999</v>
      </c>
      <c r="F70" s="252">
        <v>14.504</v>
      </c>
      <c r="H70" s="252">
        <v>68</v>
      </c>
      <c r="I70" s="548">
        <f t="shared" ca="1" si="3"/>
        <v>97</v>
      </c>
      <c r="K70" s="1043"/>
      <c r="L70" s="262">
        <v>68</v>
      </c>
      <c r="M70" s="540">
        <f ca="1">KBA20namcamket!E71-S69</f>
        <v>1214071.4839072614</v>
      </c>
      <c r="N70" s="538">
        <f ca="1">VTL20namcamket!F71</f>
        <v>50</v>
      </c>
      <c r="O70" s="541">
        <f ca="1">IF('Tinh phi QL'!$H$9="Nam",VLOOKUP(KBACOI!$I$8,KBACOI!$D$3:$F$103,2,0)*M70/1000/12,IF('Tinh phi QL'!$H$9="Nữ",VLOOKUP(KBACOI!$I$8,KBACOI!$D$3:$F$103,3,0)*M70/1000/12,0))</f>
        <v>175.63567467191714</v>
      </c>
      <c r="P70" s="1043"/>
      <c r="Q70" s="539">
        <f ca="1">IF('Tinh phi QL'!$H$9="Nam",VLOOKUP(KBACOI!$I$8,KBACOI!$D$3:$F$103,2,0)*R70/1000/12,IF('Tinh phi QL'!$H$9="Nữ",VLOOKUP(KBACOI!$I$8,KBACOI!$D$3:$F$103,3,0)*R70/1000/12,0))</f>
        <v>175.2733194953131</v>
      </c>
      <c r="R70" s="541">
        <f ca="1">KBA20namMH!E71-U69</f>
        <v>1211566.72462198</v>
      </c>
      <c r="S70" s="544">
        <f ca="1">(S69-N70-O70)*(1+KBA20namcamket!$U$3)</f>
        <v>35747.205105547502</v>
      </c>
      <c r="T70" s="1044"/>
      <c r="U70" s="542">
        <f ca="1">(U69-N70-Q70)*(1+KBA20namMH!$P$3)</f>
        <v>38351.465930071427</v>
      </c>
    </row>
    <row r="71" spans="4:21" ht="9.75" customHeight="1">
      <c r="D71" s="252">
        <v>68</v>
      </c>
      <c r="E71" s="252">
        <v>27.72</v>
      </c>
      <c r="F71" s="252">
        <v>15.672000000000001</v>
      </c>
      <c r="H71" s="252">
        <v>69</v>
      </c>
      <c r="I71" s="548">
        <f t="shared" ca="1" si="3"/>
        <v>98</v>
      </c>
      <c r="K71" s="1043"/>
      <c r="L71" s="262">
        <v>69</v>
      </c>
      <c r="M71" s="540">
        <f ca="1">KBA20namcamket!E72-S70</f>
        <v>1214252.7948944524</v>
      </c>
      <c r="N71" s="538">
        <f ca="1">VTL20namcamket!F72</f>
        <v>50</v>
      </c>
      <c r="O71" s="541">
        <f ca="1">IF('Tinh phi QL'!$H$9="Nam",VLOOKUP(KBACOI!$I$8,KBACOI!$D$3:$F$103,2,0)*M71/1000/12,IF('Tinh phi QL'!$H$9="Nữ",VLOOKUP(KBACOI!$I$8,KBACOI!$D$3:$F$103,3,0)*M71/1000/12,0))</f>
        <v>175.66190432806411</v>
      </c>
      <c r="P71" s="1043"/>
      <c r="Q71" s="539">
        <f ca="1">IF('Tinh phi QL'!$H$9="Nam",VLOOKUP(KBACOI!$I$8,KBACOI!$D$3:$F$103,2,0)*R71/1000/12,IF('Tinh phi QL'!$H$9="Nữ",VLOOKUP(KBACOI!$I$8,KBACOI!$D$3:$F$103,3,0)*R71/1000/12,0))</f>
        <v>175.28515459544971</v>
      </c>
      <c r="R71" s="541">
        <f ca="1">KBA20namMH!E72-U70</f>
        <v>1211648.5340699286</v>
      </c>
      <c r="S71" s="544">
        <f ca="1">(S70-N71-O71)*(1+KBA20namcamket!$U$3)</f>
        <v>35565.642760773073</v>
      </c>
      <c r="T71" s="1044"/>
      <c r="U71" s="542">
        <f ca="1">(U70-N71-Q71)*(1+KBA20namMH!$P$3)</f>
        <v>38269.337423472316</v>
      </c>
    </row>
    <row r="72" spans="4:21" ht="9.75" customHeight="1">
      <c r="D72" s="252">
        <v>69</v>
      </c>
      <c r="E72" s="252">
        <v>30.248000000000001</v>
      </c>
      <c r="F72" s="252">
        <v>16.984000000000002</v>
      </c>
      <c r="H72" s="252">
        <v>70</v>
      </c>
      <c r="I72" s="548">
        <f t="shared" ca="1" si="3"/>
        <v>99</v>
      </c>
      <c r="K72" s="1043"/>
      <c r="L72" s="262">
        <v>70</v>
      </c>
      <c r="M72" s="540">
        <f ca="1">KBA20namcamket!E73-S71</f>
        <v>1214434.3572392268</v>
      </c>
      <c r="N72" s="538">
        <f ca="1">VTL20namcamket!F73</f>
        <v>50</v>
      </c>
      <c r="O72" s="541">
        <f ca="1">IF('Tinh phi QL'!$H$9="Nam",VLOOKUP(KBACOI!$I$8,KBACOI!$D$3:$F$103,2,0)*M72/1000/12,IF('Tinh phi QL'!$H$9="Nữ",VLOOKUP(KBACOI!$I$8,KBACOI!$D$3:$F$103,3,0)*M72/1000/12,0))</f>
        <v>175.68817034727485</v>
      </c>
      <c r="P72" s="1043"/>
      <c r="Q72" s="539">
        <f ca="1">IF('Tinh phi QL'!$H$9="Nam",VLOOKUP(KBACOI!$I$8,KBACOI!$D$3:$F$103,2,0)*R72/1000/12,IF('Tinh phi QL'!$H$9="Nữ",VLOOKUP(KBACOI!$I$8,KBACOI!$D$3:$F$103,3,0)*R72/1000/12,0))</f>
        <v>175.29703585273771</v>
      </c>
      <c r="R72" s="541">
        <f ca="1">KBA20namMH!E73-U71</f>
        <v>1211730.6625765278</v>
      </c>
      <c r="S72" s="544">
        <f ca="1">(S71-N72-O72)*(1+KBA20namcamket!$U$3)</f>
        <v>35383.828709949688</v>
      </c>
      <c r="T72" s="1044"/>
      <c r="U72" s="542">
        <f ca="1">(U71-N72-Q72)*(1+KBA20namMH!$P$3)</f>
        <v>38186.888613887029</v>
      </c>
    </row>
    <row r="73" spans="4:21" ht="9.75" customHeight="1">
      <c r="D73" s="252">
        <v>70</v>
      </c>
      <c r="E73" s="252">
        <v>33.095999999999997</v>
      </c>
      <c r="F73" s="252">
        <v>18.527999999999999</v>
      </c>
      <c r="H73" s="252">
        <v>71</v>
      </c>
      <c r="I73" s="548">
        <f t="shared" ca="1" si="3"/>
        <v>100</v>
      </c>
      <c r="K73" s="1043"/>
      <c r="L73" s="262">
        <v>71</v>
      </c>
      <c r="M73" s="540">
        <f ca="1">KBA20namcamket!E74-S72</f>
        <v>1214616.1712900503</v>
      </c>
      <c r="N73" s="538">
        <f ca="1">VTL20namcamket!F74</f>
        <v>50</v>
      </c>
      <c r="O73" s="541">
        <f ca="1">IF('Tinh phi QL'!$H$9="Nam",VLOOKUP(KBACOI!$I$8,KBACOI!$D$3:$F$103,2,0)*M73/1000/12,IF('Tinh phi QL'!$H$9="Nữ",VLOOKUP(KBACOI!$I$8,KBACOI!$D$3:$F$103,3,0)*M73/1000/12,0))</f>
        <v>175.7144727799606</v>
      </c>
      <c r="P73" s="1043"/>
      <c r="Q73" s="539">
        <f ca="1">IF('Tinh phi QL'!$H$9="Nam",VLOOKUP(KBACOI!$I$8,KBACOI!$D$3:$F$103,2,0)*R73/1000/12,IF('Tinh phi QL'!$H$9="Nữ",VLOOKUP(KBACOI!$I$8,KBACOI!$D$3:$F$103,3,0)*R73/1000/12,0))</f>
        <v>175.30896344719099</v>
      </c>
      <c r="R73" s="541">
        <f ca="1">KBA20namMH!E74-U72</f>
        <v>1211813.1113861129</v>
      </c>
      <c r="S73" s="544">
        <f ca="1">(S72-N73-O73)*(1+KBA20namcamket!$U$3)</f>
        <v>35201.762604128693</v>
      </c>
      <c r="T73" s="1044"/>
      <c r="U73" s="542">
        <f ca="1">(U72-N73-Q73)*(1+KBA20namMH!$P$3)</f>
        <v>38104.118252126857</v>
      </c>
    </row>
    <row r="74" spans="4:21" ht="9.75" customHeight="1">
      <c r="D74" s="252">
        <v>71</v>
      </c>
      <c r="E74" s="252">
        <v>36.344000000000001</v>
      </c>
      <c r="F74" s="252">
        <v>20.423999999999999</v>
      </c>
      <c r="H74" s="252">
        <v>72</v>
      </c>
      <c r="I74" s="548">
        <f t="shared" ca="1" si="3"/>
        <v>101</v>
      </c>
      <c r="K74" s="1043"/>
      <c r="L74" s="262">
        <v>72</v>
      </c>
      <c r="M74" s="540">
        <f ca="1">KBA20namcamket!E75-S73</f>
        <v>1214798.2373958712</v>
      </c>
      <c r="N74" s="538">
        <f ca="1">VTL20namcamket!F75</f>
        <v>50</v>
      </c>
      <c r="O74" s="541">
        <f ca="1">IF('Tinh phi QL'!$H$9="Nam",VLOOKUP(KBACOI!$I$8,KBACOI!$D$3:$F$103,2,0)*M74/1000/12,IF('Tinh phi QL'!$H$9="Nữ",VLOOKUP(KBACOI!$I$8,KBACOI!$D$3:$F$103,3,0)*M74/1000/12,0))</f>
        <v>175.7408116766027</v>
      </c>
      <c r="P74" s="1043"/>
      <c r="Q74" s="539">
        <f ca="1">IF('Tinh phi QL'!$H$9="Nam",VLOOKUP(KBACOI!$I$8,KBACOI!$D$3:$F$103,2,0)*R74/1000/12,IF('Tinh phi QL'!$H$9="Nữ",VLOOKUP(KBACOI!$I$8,KBACOI!$D$3:$F$103,3,0)*R74/1000/12,0))</f>
        <v>175.32093755952565</v>
      </c>
      <c r="R74" s="541">
        <f ca="1">KBA20namMH!E75-U73</f>
        <v>1211895.881747873</v>
      </c>
      <c r="S74" s="545">
        <f ca="1">(S73-N74-O74)*(1+KBA20namcamket!$U$3)+P63</f>
        <v>35319.444093877682</v>
      </c>
      <c r="T74" s="1044"/>
      <c r="U74" s="543">
        <f ca="1">(U73-N74-Q74)*(1+KBA20namMH!$P$3)+T63</f>
        <v>38321.025084131237</v>
      </c>
    </row>
    <row r="75" spans="4:21" ht="9.75" customHeight="1">
      <c r="D75" s="252">
        <v>72</v>
      </c>
      <c r="E75" s="252">
        <v>40.064</v>
      </c>
      <c r="F75" s="252">
        <v>22.776</v>
      </c>
      <c r="H75" s="252">
        <v>73</v>
      </c>
      <c r="I75" s="548">
        <f t="shared" ca="1" si="3"/>
        <v>102</v>
      </c>
      <c r="K75" s="1045">
        <f>K63+1</f>
        <v>7</v>
      </c>
      <c r="L75" s="252">
        <v>73</v>
      </c>
      <c r="M75" s="538">
        <f ca="1">KBA20namcamket!E76-S74-KBAGTTKcamket!F13</f>
        <v>1254880.5559061223</v>
      </c>
      <c r="N75" s="538">
        <f ca="1">VTL20namcamket!F76</f>
        <v>50</v>
      </c>
      <c r="O75" s="539">
        <f ca="1">IF('Tinh phi QL'!$H$9="Nam",VLOOKUP(KBACOI!$I$9,KBACOI!$D$3:$F$103,2,0)*M75/1000/12,IF('Tinh phi QL'!$H$9="Nữ",VLOOKUP(KBACOI!$I$9,KBACOI!$D$3:$F$103,3,0)*M75/1000/12,0))</f>
        <v>194.08819264681358</v>
      </c>
      <c r="P75" s="1043">
        <f t="shared" ref="P75" si="4">P63</f>
        <v>300</v>
      </c>
      <c r="Q75" s="539">
        <f ca="1">IF('Tinh phi QL'!$H$9="Nam",VLOOKUP(KBACOI!$I$9,KBACOI!$D$3:$F$103,2,0)*R75/1000/12,IF('Tinh phi QL'!$H$9="Nữ",VLOOKUP(KBACOI!$I$9,KBACOI!$D$3:$F$103,3,0)*R75/1000/12,0))</f>
        <v>193.62394812032107</v>
      </c>
      <c r="R75" s="539">
        <f ca="1">KBA20namMH!E76-U74-KBAGTTKMH!F13</f>
        <v>1251878.9749158688</v>
      </c>
      <c r="S75" s="542">
        <f ca="1">(S74+KBAGTTKcamket!F13-KBACOI!N75-KBACOI!O75)*(1+KBA20namcamket!U3)</f>
        <v>44931.068104353537</v>
      </c>
      <c r="T75" s="1044">
        <f>P75</f>
        <v>300</v>
      </c>
      <c r="U75" s="542">
        <f ca="1">(U74+KBAGTTKMH!F13-N75-Q75)*(1+KBA20namMH!$P$3)</f>
        <v>48057.171784998027</v>
      </c>
    </row>
    <row r="76" spans="4:21" ht="9.75" customHeight="1">
      <c r="D76" s="252">
        <v>73</v>
      </c>
      <c r="E76" s="252">
        <v>44.271999999999998</v>
      </c>
      <c r="F76" s="252">
        <v>25.591999999999999</v>
      </c>
      <c r="H76" s="252">
        <v>74</v>
      </c>
      <c r="I76" s="548">
        <f t="shared" ca="1" si="3"/>
        <v>103</v>
      </c>
      <c r="K76" s="1045"/>
      <c r="L76" s="252">
        <v>74</v>
      </c>
      <c r="M76" s="538">
        <f ca="1">KBA20namcamket!E77-S75</f>
        <v>1255068.9318956465</v>
      </c>
      <c r="N76" s="538">
        <f ca="1">VTL20namcamket!F77</f>
        <v>50</v>
      </c>
      <c r="O76" s="539">
        <f ca="1">IF('Tinh phi QL'!$H$9="Nam",VLOOKUP(KBACOI!$I$9,KBACOI!$D$3:$F$103,2,0)*M76/1000/12,IF('Tinh phi QL'!$H$9="Nữ",VLOOKUP(KBACOI!$I$9,KBACOI!$D$3:$F$103,3,0)*M76/1000/12,0))</f>
        <v>194.11732813319335</v>
      </c>
      <c r="P76" s="1043"/>
      <c r="Q76" s="539">
        <f ca="1">IF('Tinh phi QL'!$H$9="Nam",VLOOKUP(KBACOI!$I$9,KBACOI!$D$3:$F$103,2,0)*R76/1000/12,IF('Tinh phi QL'!$H$9="Nữ",VLOOKUP(KBACOI!$I$9,KBACOI!$D$3:$F$103,3,0)*R76/1000/12,0))</f>
        <v>193.63382409725364</v>
      </c>
      <c r="R76" s="539">
        <f ca="1">KBA20namMH!E77-U75</f>
        <v>1251942.8282150021</v>
      </c>
      <c r="S76" s="542">
        <f ca="1">(S75-N76-O76)*(1+KBA20namcamket!$U$3)</f>
        <v>44742.429076694592</v>
      </c>
      <c r="T76" s="1044"/>
      <c r="U76" s="542">
        <f ca="1">(U75-N76-Q76)*(1+KBA20namMH!$P$3)</f>
        <v>47993.068815660059</v>
      </c>
    </row>
    <row r="77" spans="4:21" ht="9.75" customHeight="1">
      <c r="D77" s="252">
        <v>74</v>
      </c>
      <c r="E77" s="252">
        <v>48.88</v>
      </c>
      <c r="F77" s="252">
        <v>28.84</v>
      </c>
      <c r="H77" s="252">
        <v>75</v>
      </c>
      <c r="I77" s="548">
        <f t="shared" ca="1" si="3"/>
        <v>104</v>
      </c>
      <c r="K77" s="1045"/>
      <c r="L77" s="252">
        <v>75</v>
      </c>
      <c r="M77" s="538">
        <f ca="1">KBA20namcamket!E78-S76</f>
        <v>1255257.5709233053</v>
      </c>
      <c r="N77" s="538">
        <f ca="1">VTL20namcamket!F78</f>
        <v>50</v>
      </c>
      <c r="O77" s="539">
        <f ca="1">IF('Tinh phi QL'!$H$9="Nam",VLOOKUP(KBACOI!$I$9,KBACOI!$D$3:$F$103,2,0)*M77/1000/12,IF('Tinh phi QL'!$H$9="Nữ",VLOOKUP(KBACOI!$I$9,KBACOI!$D$3:$F$103,3,0)*M77/1000/12,0))</f>
        <v>194.14650430280457</v>
      </c>
      <c r="P77" s="1043"/>
      <c r="Q77" s="539">
        <f ca="1">IF('Tinh phi QL'!$H$9="Nam",VLOOKUP(KBACOI!$I$9,KBACOI!$D$3:$F$103,2,0)*R77/1000/12,IF('Tinh phi QL'!$H$9="Nữ",VLOOKUP(KBACOI!$I$9,KBACOI!$D$3:$F$103,3,0)*R77/1000/12,0))</f>
        <v>193.64373868984464</v>
      </c>
      <c r="R77" s="539">
        <f ca="1">KBA20namMH!E78-U76</f>
        <v>1252006.93118434</v>
      </c>
      <c r="S77" s="542">
        <f ca="1">(S76-N77-O77)*(1+KBA20namcamket!$U$3)</f>
        <v>44553.5266436085</v>
      </c>
      <c r="T77" s="1044"/>
      <c r="U77" s="542">
        <f ca="1">(U76-N77-Q77)*(1+KBA20namMH!$P$3)</f>
        <v>47928.715199891943</v>
      </c>
    </row>
    <row r="78" spans="4:21" ht="9.75" customHeight="1">
      <c r="D78" s="252">
        <v>75</v>
      </c>
      <c r="E78" s="252">
        <v>53.8</v>
      </c>
      <c r="F78" s="252">
        <v>32.448</v>
      </c>
      <c r="H78" s="252">
        <v>76</v>
      </c>
      <c r="I78" s="548">
        <f t="shared" ca="1" si="3"/>
        <v>105</v>
      </c>
      <c r="K78" s="1045"/>
      <c r="L78" s="252">
        <v>76</v>
      </c>
      <c r="M78" s="538">
        <f ca="1">KBA20namcamket!E79-S77</f>
        <v>1255446.4733563915</v>
      </c>
      <c r="N78" s="538">
        <f ca="1">VTL20namcamket!F79</f>
        <v>50</v>
      </c>
      <c r="O78" s="539">
        <f ca="1">IF('Tinh phi QL'!$H$9="Nam",VLOOKUP(KBACOI!$I$9,KBACOI!$D$3:$F$103,2,0)*M78/1000/12,IF('Tinh phi QL'!$H$9="Nữ",VLOOKUP(KBACOI!$I$9,KBACOI!$D$3:$F$103,3,0)*M78/1000/12,0))</f>
        <v>194.17572121245522</v>
      </c>
      <c r="P78" s="1043"/>
      <c r="Q78" s="539">
        <f ca="1">IF('Tinh phi QL'!$H$9="Nam",VLOOKUP(KBACOI!$I$9,KBACOI!$D$3:$F$103,2,0)*R78/1000/12,IF('Tinh phi QL'!$H$9="Nữ",VLOOKUP(KBACOI!$I$9,KBACOI!$D$3:$F$103,3,0)*R78/1000/12,0))</f>
        <v>193.65369204908336</v>
      </c>
      <c r="R78" s="539">
        <f ca="1">KBA20namMH!E79-U77</f>
        <v>1252071.2848001081</v>
      </c>
      <c r="S78" s="542">
        <f ca="1">(S77-N78-O78)*(1+KBA20namcamket!$U$3)</f>
        <v>44364.360437290037</v>
      </c>
      <c r="T78" s="1044"/>
      <c r="U78" s="542">
        <f ca="1">(U77-N78-Q78)*(1+KBA20namMH!$P$3)</f>
        <v>47864.109957651213</v>
      </c>
    </row>
    <row r="79" spans="4:21" ht="9.75" customHeight="1">
      <c r="D79" s="252">
        <v>76</v>
      </c>
      <c r="E79" s="252">
        <v>58.96</v>
      </c>
      <c r="F79" s="252">
        <v>36.36</v>
      </c>
      <c r="H79" s="252">
        <v>77</v>
      </c>
      <c r="I79" s="548">
        <f t="shared" ca="1" si="3"/>
        <v>106</v>
      </c>
      <c r="K79" s="1045"/>
      <c r="L79" s="252">
        <v>77</v>
      </c>
      <c r="M79" s="538">
        <f ca="1">KBA20namcamket!E80-S78</f>
        <v>1255635.63956271</v>
      </c>
      <c r="N79" s="538">
        <f ca="1">VTL20namcamket!F80</f>
        <v>50</v>
      </c>
      <c r="O79" s="539">
        <f ca="1">IF('Tinh phi QL'!$H$9="Nam",VLOOKUP(KBACOI!$I$9,KBACOI!$D$3:$F$103,2,0)*M79/1000/12,IF('Tinh phi QL'!$H$9="Nữ",VLOOKUP(KBACOI!$I$9,KBACOI!$D$3:$F$103,3,0)*M79/1000/12,0))</f>
        <v>194.20497891903247</v>
      </c>
      <c r="P79" s="1043"/>
      <c r="Q79" s="539">
        <f ca="1">IF('Tinh phi QL'!$H$9="Nam",VLOOKUP(KBACOI!$I$9,KBACOI!$D$3:$F$103,2,0)*R79/1000/12,IF('Tinh phi QL'!$H$9="Nữ",VLOOKUP(KBACOI!$I$9,KBACOI!$D$3:$F$103,3,0)*R79/1000/12,0))</f>
        <v>193.66368432654997</v>
      </c>
      <c r="R79" s="539">
        <f ca="1">KBA20namMH!E80-U78</f>
        <v>1252135.8900423488</v>
      </c>
      <c r="S79" s="542">
        <f ca="1">(S78-N79-O79)*(1+KBA20namcamket!$U$3)</f>
        <v>44174.930089420399</v>
      </c>
      <c r="T79" s="1044"/>
      <c r="U79" s="542">
        <f ca="1">(U78-N79-Q79)*(1+KBA20namMH!$P$3)</f>
        <v>47799.252105063359</v>
      </c>
    </row>
    <row r="80" spans="4:21" ht="9.75" customHeight="1">
      <c r="D80" s="252">
        <v>77</v>
      </c>
      <c r="E80" s="252">
        <v>64.296000000000006</v>
      </c>
      <c r="F80" s="252">
        <v>40.543999999999997</v>
      </c>
      <c r="H80" s="252">
        <v>78</v>
      </c>
      <c r="I80" s="548">
        <f t="shared" ca="1" si="3"/>
        <v>107</v>
      </c>
      <c r="K80" s="1045"/>
      <c r="L80" s="252">
        <v>78</v>
      </c>
      <c r="M80" s="538">
        <f ca="1">KBA20namcamket!E81-S79</f>
        <v>1255825.0699105796</v>
      </c>
      <c r="N80" s="538">
        <f ca="1">VTL20namcamket!F81</f>
        <v>50</v>
      </c>
      <c r="O80" s="539">
        <f ca="1">IF('Tinh phi QL'!$H$9="Nam",VLOOKUP(KBACOI!$I$9,KBACOI!$D$3:$F$103,2,0)*M80/1000/12,IF('Tinh phi QL'!$H$9="Nữ",VLOOKUP(KBACOI!$I$9,KBACOI!$D$3:$F$103,3,0)*M80/1000/12,0))</f>
        <v>194.23427747950299</v>
      </c>
      <c r="P80" s="1043"/>
      <c r="Q80" s="539">
        <f ca="1">IF('Tinh phi QL'!$H$9="Nam",VLOOKUP(KBACOI!$I$9,KBACOI!$D$3:$F$103,2,0)*R80/1000/12,IF('Tinh phi QL'!$H$9="Nữ",VLOOKUP(KBACOI!$I$9,KBACOI!$D$3:$F$103,3,0)*R80/1000/12,0))</f>
        <v>193.67371567441691</v>
      </c>
      <c r="R80" s="539">
        <f ca="1">KBA20namMH!E81-U79</f>
        <v>1252200.7478949367</v>
      </c>
      <c r="S80" s="542">
        <f ca="1">(S79-N80-O80)*(1+KBA20namcamket!$U$3)</f>
        <v>43985.235231166487</v>
      </c>
      <c r="T80" s="1044"/>
      <c r="U80" s="542">
        <f ca="1">(U79-N80-Q80)*(1+KBA20namMH!$P$3)</f>
        <v>47734.140654406867</v>
      </c>
    </row>
    <row r="81" spans="4:21" ht="9.75" customHeight="1">
      <c r="D81" s="252">
        <v>78</v>
      </c>
      <c r="E81" s="252">
        <v>69.855999999999995</v>
      </c>
      <c r="F81" s="252">
        <v>45.055999999999997</v>
      </c>
      <c r="H81" s="252">
        <v>79</v>
      </c>
      <c r="I81" s="548">
        <f t="shared" ca="1" si="3"/>
        <v>108</v>
      </c>
      <c r="K81" s="1045"/>
      <c r="L81" s="252">
        <v>79</v>
      </c>
      <c r="M81" s="538">
        <f ca="1">KBA20namcamket!E82-S80</f>
        <v>1256014.7647688335</v>
      </c>
      <c r="N81" s="538">
        <f ca="1">VTL20namcamket!F82</f>
        <v>50</v>
      </c>
      <c r="O81" s="539">
        <f ca="1">IF('Tinh phi QL'!$H$9="Nam",VLOOKUP(KBACOI!$I$9,KBACOI!$D$3:$F$103,2,0)*M81/1000/12,IF('Tinh phi QL'!$H$9="Nữ",VLOOKUP(KBACOI!$I$9,KBACOI!$D$3:$F$103,3,0)*M81/1000/12,0))</f>
        <v>194.26361695091293</v>
      </c>
      <c r="P81" s="1043"/>
      <c r="Q81" s="539">
        <f ca="1">IF('Tinh phi QL'!$H$9="Nam",VLOOKUP(KBACOI!$I$9,KBACOI!$D$3:$F$103,2,0)*R81/1000/12,IF('Tinh phi QL'!$H$9="Nữ",VLOOKUP(KBACOI!$I$9,KBACOI!$D$3:$F$103,3,0)*R81/1000/12,0))</f>
        <v>193.68378624545173</v>
      </c>
      <c r="R81" s="539">
        <f ca="1">KBA20namMH!E82-U80</f>
        <v>1252265.859345593</v>
      </c>
      <c r="S81" s="542">
        <f ca="1">(S80-N81-O81)*(1+KBA20namcamket!$U$3)</f>
        <v>43795.275493180176</v>
      </c>
      <c r="T81" s="1044"/>
      <c r="U81" s="542">
        <f ca="1">(U80-N81-Q81)*(1+KBA20namMH!$P$3)</f>
        <v>47668.774614098184</v>
      </c>
    </row>
    <row r="82" spans="4:21" ht="9.75" customHeight="1">
      <c r="D82" s="252">
        <v>79</v>
      </c>
      <c r="E82" s="252">
        <v>75.808000000000007</v>
      </c>
      <c r="F82" s="252">
        <v>50.055999999999997</v>
      </c>
      <c r="H82" s="252">
        <v>80</v>
      </c>
      <c r="I82" s="548">
        <f t="shared" ca="1" si="3"/>
        <v>109</v>
      </c>
      <c r="K82" s="1045"/>
      <c r="L82" s="252">
        <v>80</v>
      </c>
      <c r="M82" s="538">
        <f ca="1">KBA20namcamket!E83-S81</f>
        <v>1256204.7245068199</v>
      </c>
      <c r="N82" s="538">
        <f ca="1">VTL20namcamket!F83</f>
        <v>50</v>
      </c>
      <c r="O82" s="539">
        <f ca="1">IF('Tinh phi QL'!$H$9="Nam",VLOOKUP(KBACOI!$I$9,KBACOI!$D$3:$F$103,2,0)*M82/1000/12,IF('Tinh phi QL'!$H$9="Nữ",VLOOKUP(KBACOI!$I$9,KBACOI!$D$3:$F$103,3,0)*M82/1000/12,0))</f>
        <v>194.29299739038814</v>
      </c>
      <c r="P82" s="1043"/>
      <c r="Q82" s="539">
        <f ca="1">IF('Tinh phi QL'!$H$9="Nam",VLOOKUP(KBACOI!$I$9,KBACOI!$D$3:$F$103,2,0)*R82/1000/12,IF('Tinh phi QL'!$H$9="Nữ",VLOOKUP(KBACOI!$I$9,KBACOI!$D$3:$F$103,3,0)*R82/1000/12,0))</f>
        <v>193.69389619301947</v>
      </c>
      <c r="R82" s="539">
        <f ca="1">KBA20namMH!E83-U81</f>
        <v>1252331.2253859018</v>
      </c>
      <c r="S82" s="542">
        <f ca="1">(S81-N82-O82)*(1+KBA20namcamket!$U$3)</f>
        <v>43605.05050559761</v>
      </c>
      <c r="T82" s="1044"/>
      <c r="U82" s="542">
        <f ca="1">(U81-N82-Q82)*(1+KBA20namMH!$P$3)</f>
        <v>47603.152988676593</v>
      </c>
    </row>
    <row r="83" spans="4:21" ht="9.75" customHeight="1">
      <c r="D83" s="252">
        <v>80</v>
      </c>
      <c r="E83" s="252">
        <v>82.352000000000004</v>
      </c>
      <c r="F83" s="252">
        <v>55.735999999999997</v>
      </c>
      <c r="H83" s="252">
        <v>81</v>
      </c>
      <c r="I83" s="548">
        <f t="shared" ca="1" si="3"/>
        <v>110</v>
      </c>
      <c r="K83" s="1045"/>
      <c r="L83" s="252">
        <v>81</v>
      </c>
      <c r="M83" s="538">
        <f ca="1">KBA20namcamket!E84-S82</f>
        <v>1256394.9494944024</v>
      </c>
      <c r="N83" s="538">
        <f ca="1">VTL20namcamket!F84</f>
        <v>50</v>
      </c>
      <c r="O83" s="539">
        <f ca="1">IF('Tinh phi QL'!$H$9="Nam",VLOOKUP(KBACOI!$I$9,KBACOI!$D$3:$F$103,2,0)*M83/1000/12,IF('Tinh phi QL'!$H$9="Nữ",VLOOKUP(KBACOI!$I$9,KBACOI!$D$3:$F$103,3,0)*M83/1000/12,0))</f>
        <v>194.32241885513426</v>
      </c>
      <c r="P83" s="1043"/>
      <c r="Q83" s="539">
        <f ca="1">IF('Tinh phi QL'!$H$9="Nam",VLOOKUP(KBACOI!$I$9,KBACOI!$D$3:$F$103,2,0)*R83/1000/12,IF('Tinh phi QL'!$H$9="Nữ",VLOOKUP(KBACOI!$I$9,KBACOI!$D$3:$F$103,3,0)*R83/1000/12,0))</f>
        <v>193.70404567108471</v>
      </c>
      <c r="R83" s="539">
        <f ca="1">KBA20namMH!E84-U82</f>
        <v>1252396.8470113233</v>
      </c>
      <c r="S83" s="542">
        <f ca="1">(S82-N83-O83)*(1+KBA20namcamket!$U$3)</f>
        <v>43414.559898038468</v>
      </c>
      <c r="T83" s="1044"/>
      <c r="U83" s="542">
        <f ca="1">(U82-N83-Q83)*(1+KBA20namMH!$P$3)</f>
        <v>47537.274778789077</v>
      </c>
    </row>
    <row r="84" spans="4:21" ht="9.75" customHeight="1">
      <c r="D84" s="252">
        <v>81</v>
      </c>
      <c r="E84" s="252">
        <v>89.671999999999997</v>
      </c>
      <c r="F84" s="252">
        <v>62.264000000000003</v>
      </c>
      <c r="H84" s="252">
        <v>82</v>
      </c>
      <c r="I84" s="548">
        <f t="shared" ca="1" si="3"/>
        <v>111</v>
      </c>
      <c r="K84" s="1045"/>
      <c r="L84" s="252">
        <v>82</v>
      </c>
      <c r="M84" s="538">
        <f ca="1">KBA20namcamket!E85-S83</f>
        <v>1256585.4401019616</v>
      </c>
      <c r="N84" s="538">
        <f ca="1">VTL20namcamket!F85</f>
        <v>50</v>
      </c>
      <c r="O84" s="539">
        <f ca="1">IF('Tinh phi QL'!$H$9="Nam",VLOOKUP(KBACOI!$I$9,KBACOI!$D$3:$F$103,2,0)*M84/1000/12,IF('Tinh phi QL'!$H$9="Nữ",VLOOKUP(KBACOI!$I$9,KBACOI!$D$3:$F$103,3,0)*M84/1000/12,0))</f>
        <v>194.3518814024367</v>
      </c>
      <c r="P84" s="1043"/>
      <c r="Q84" s="539">
        <f ca="1">IF('Tinh phi QL'!$H$9="Nam",VLOOKUP(KBACOI!$I$9,KBACOI!$D$3:$F$103,2,0)*R84/1000/12,IF('Tinh phi QL'!$H$9="Nữ",VLOOKUP(KBACOI!$I$9,KBACOI!$D$3:$F$103,3,0)*R84/1000/12,0))</f>
        <v>193.71423483421395</v>
      </c>
      <c r="R84" s="539">
        <f ca="1">KBA20namMH!E85-U83</f>
        <v>1252462.7252212109</v>
      </c>
      <c r="S84" s="542">
        <f ca="1">(S83-N84-O84)*(1+KBA20namcamket!$U$3)</f>
        <v>43223.803299605243</v>
      </c>
      <c r="T84" s="1044"/>
      <c r="U84" s="542">
        <f ca="1">(U83-N84-Q84)*(1+KBA20namMH!$P$3)</f>
        <v>47471.138981175078</v>
      </c>
    </row>
    <row r="85" spans="4:21" ht="9.75" customHeight="1">
      <c r="D85" s="252">
        <v>82</v>
      </c>
      <c r="E85" s="252">
        <v>97.927999999999997</v>
      </c>
      <c r="F85" s="252">
        <v>69.8</v>
      </c>
      <c r="H85" s="252">
        <v>83</v>
      </c>
      <c r="I85" s="548">
        <f t="shared" ca="1" si="3"/>
        <v>112</v>
      </c>
      <c r="K85" s="1045"/>
      <c r="L85" s="252">
        <v>83</v>
      </c>
      <c r="M85" s="538">
        <f ca="1">KBA20namcamket!E86-S84</f>
        <v>1256776.1967003949</v>
      </c>
      <c r="N85" s="538">
        <f ca="1">VTL20namcamket!F86</f>
        <v>50</v>
      </c>
      <c r="O85" s="539">
        <f ca="1">IF('Tinh phi QL'!$H$9="Nam",VLOOKUP(KBACOI!$I$9,KBACOI!$D$3:$F$103,2,0)*M85/1000/12,IF('Tinh phi QL'!$H$9="Nữ",VLOOKUP(KBACOI!$I$9,KBACOI!$D$3:$F$103,3,0)*M85/1000/12,0))</f>
        <v>194.38138508966108</v>
      </c>
      <c r="P85" s="1043"/>
      <c r="Q85" s="539">
        <f ca="1">IF('Tinh phi QL'!$H$9="Nam",VLOOKUP(KBACOI!$I$9,KBACOI!$D$3:$F$103,2,0)*R85/1000/12,IF('Tinh phi QL'!$H$9="Nữ",VLOOKUP(KBACOI!$I$9,KBACOI!$D$3:$F$103,3,0)*R85/1000/12,0))</f>
        <v>193.72446383757827</v>
      </c>
      <c r="R85" s="539">
        <f ca="1">KBA20namMH!E86-U84</f>
        <v>1252528.8610188249</v>
      </c>
      <c r="S85" s="542">
        <f ca="1">(S84-N85-O85)*(1+KBA20namcamket!$U$3)</f>
        <v>43032.780338882541</v>
      </c>
      <c r="T85" s="1044"/>
      <c r="U85" s="542">
        <f ca="1">(U84-N85-Q85)*(1+KBA20namMH!$P$3)</f>
        <v>47404.744588651236</v>
      </c>
    </row>
    <row r="86" spans="4:21" ht="9.75" customHeight="1">
      <c r="D86" s="252">
        <v>83</v>
      </c>
      <c r="E86" s="252">
        <v>107.072</v>
      </c>
      <c r="F86" s="252">
        <v>78.319999999999993</v>
      </c>
      <c r="H86" s="252">
        <v>84</v>
      </c>
      <c r="I86" s="548">
        <f t="shared" ca="1" si="3"/>
        <v>113</v>
      </c>
      <c r="K86" s="1045"/>
      <c r="L86" s="252">
        <v>84</v>
      </c>
      <c r="M86" s="538">
        <f ca="1">KBA20namcamket!E87-S85</f>
        <v>1256967.2196611175</v>
      </c>
      <c r="N86" s="538">
        <f ca="1">VTL20namcamket!F87</f>
        <v>50</v>
      </c>
      <c r="O86" s="539">
        <f ca="1">IF('Tinh phi QL'!$H$9="Nam",VLOOKUP(KBACOI!$I$9,KBACOI!$D$3:$F$103,2,0)*M86/1000/12,IF('Tinh phi QL'!$H$9="Nữ",VLOOKUP(KBACOI!$I$9,KBACOI!$D$3:$F$103,3,0)*M86/1000/12,0))</f>
        <v>194.41092997425287</v>
      </c>
      <c r="P86" s="1043"/>
      <c r="Q86" s="539">
        <f ca="1">IF('Tinh phi QL'!$H$9="Nam",VLOOKUP(KBACOI!$I$9,KBACOI!$D$3:$F$103,2,0)*R86/1000/12,IF('Tinh phi QL'!$H$9="Nữ",VLOOKUP(KBACOI!$I$9,KBACOI!$D$3:$F$103,3,0)*R86/1000/12,0))</f>
        <v>193.73473283695532</v>
      </c>
      <c r="R86" s="539">
        <f ca="1">KBA20namMH!E87-U85</f>
        <v>1252595.2554113488</v>
      </c>
      <c r="S86" s="543">
        <f ca="1">(S85-N86-O86)*(1+KBA20namcamket!$U$3)+P75</f>
        <v>43141.49064393634</v>
      </c>
      <c r="T86" s="1044"/>
      <c r="U86" s="543">
        <f ca="1">(U85-N86-Q86)*(1+KBA20namMH!$P$3)+T75</f>
        <v>47638.090590096042</v>
      </c>
    </row>
    <row r="87" spans="4:21" ht="9.75" customHeight="1">
      <c r="D87" s="252">
        <v>84</v>
      </c>
      <c r="E87" s="252">
        <v>116.896</v>
      </c>
      <c r="F87" s="252">
        <v>87.695999999999998</v>
      </c>
      <c r="H87" s="252">
        <v>85</v>
      </c>
      <c r="I87" s="548">
        <f t="shared" ca="1" si="3"/>
        <v>114</v>
      </c>
      <c r="K87" s="1043">
        <f>K75+1</f>
        <v>8</v>
      </c>
      <c r="L87" s="262">
        <v>85</v>
      </c>
      <c r="M87" s="540">
        <f ca="1">KBA20namcamket!E88-S86-KBAGTTKcamket!F14</f>
        <v>1297058.5093560636</v>
      </c>
      <c r="N87" s="538">
        <f ca="1">VTL20namcamket!F88</f>
        <v>50</v>
      </c>
      <c r="O87" s="541">
        <f ca="1">IF('Tinh phi QL'!$H$9="Nam",VLOOKUP(KBACOI!$I$10,KBACOI!$D$3:$F$103,2,0)*M87/1000/12,IF('Tinh phi QL'!$H$9="Nữ",VLOOKUP(KBACOI!$I$10,KBACOI!$D$3:$F$103,3,0)*M87/1000/12,0))</f>
        <v>215.31171255310656</v>
      </c>
      <c r="P87" s="1043">
        <f t="shared" ref="P87" si="5">P75</f>
        <v>300</v>
      </c>
      <c r="Q87" s="539">
        <f ca="1">IF('Tinh phi QL'!$H$9="Nam",VLOOKUP(KBACOI!$I$10,KBACOI!$D$3:$F$103,2,0)*R87/1000/12,IF('Tinh phi QL'!$H$9="Nữ",VLOOKUP(KBACOI!$I$10,KBACOI!$D$3:$F$103,3,0)*R87/1000/12,0))</f>
        <v>214.56527696204407</v>
      </c>
      <c r="R87" s="541">
        <f ca="1">KBA20namMH!E88-U86-KBAGTTKMH!F14</f>
        <v>1292561.9094099039</v>
      </c>
      <c r="S87" s="544">
        <f ca="1">(S86+KBAGTTKcamket!F14-N87-O87)*(1+KBA20namcamket!$U$3)</f>
        <v>52741.575760476029</v>
      </c>
      <c r="T87" s="1044">
        <f>P87</f>
        <v>300</v>
      </c>
      <c r="U87" s="542">
        <f ca="1">(U86+KBAGTTKMH!F14-N87-Q87)*(1+KBA20namMH!$P$3)</f>
        <v>57388.201162418824</v>
      </c>
    </row>
    <row r="88" spans="4:21" ht="9.75" customHeight="1">
      <c r="D88" s="252">
        <v>85</v>
      </c>
      <c r="E88" s="252">
        <v>127.184</v>
      </c>
      <c r="F88" s="252">
        <v>97.831999999999994</v>
      </c>
      <c r="H88" s="252">
        <v>86</v>
      </c>
      <c r="I88" s="548">
        <f t="shared" ca="1" si="3"/>
        <v>115</v>
      </c>
      <c r="K88" s="1043"/>
      <c r="L88" s="262">
        <v>86</v>
      </c>
      <c r="M88" s="540">
        <f ca="1">KBA20namcamket!E89-S87</f>
        <v>1297258.4242395239</v>
      </c>
      <c r="N88" s="538">
        <f ca="1">VTL20namcamket!F89</f>
        <v>50</v>
      </c>
      <c r="O88" s="541">
        <f ca="1">IF('Tinh phi QL'!$H$9="Nam",VLOOKUP(KBACOI!$I$10,KBACOI!$D$3:$F$103,2,0)*M88/1000/12,IF('Tinh phi QL'!$H$9="Nữ",VLOOKUP(KBACOI!$I$10,KBACOI!$D$3:$F$103,3,0)*M88/1000/12,0))</f>
        <v>215.34489842376095</v>
      </c>
      <c r="P88" s="1043"/>
      <c r="Q88" s="539">
        <f ca="1">IF('Tinh phi QL'!$H$9="Nam",VLOOKUP(KBACOI!$I$10,KBACOI!$D$3:$F$103,2,0)*R88/1000/12,IF('Tinh phi QL'!$H$9="Nữ",VLOOKUP(KBACOI!$I$10,KBACOI!$D$3:$F$103,3,0)*R88/1000/12,0))</f>
        <v>214.57355860703845</v>
      </c>
      <c r="R88" s="541">
        <f ca="1">KBA20namMH!E89-U87</f>
        <v>1292611.7988375812</v>
      </c>
      <c r="S88" s="544">
        <f ca="1">(S87-N88-O88)*(1+KBA20namcamket!$U$3)</f>
        <v>52541.379458073061</v>
      </c>
      <c r="T88" s="1044"/>
      <c r="U88" s="542">
        <f ca="1">(U87-N88-Q88)*(1+KBA20namMH!$P$3)</f>
        <v>57338.116096569836</v>
      </c>
    </row>
    <row r="89" spans="4:21" ht="9.75" customHeight="1">
      <c r="D89" s="252">
        <v>86</v>
      </c>
      <c r="E89" s="252">
        <v>137.768</v>
      </c>
      <c r="F89" s="252">
        <v>108.65600000000001</v>
      </c>
      <c r="H89" s="252">
        <v>87</v>
      </c>
      <c r="I89" s="548">
        <f t="shared" ca="1" si="3"/>
        <v>116</v>
      </c>
      <c r="K89" s="1043"/>
      <c r="L89" s="262">
        <v>87</v>
      </c>
      <c r="M89" s="540">
        <f ca="1">KBA20namcamket!E90-S88</f>
        <v>1297458.6205419269</v>
      </c>
      <c r="N89" s="538">
        <f ca="1">VTL20namcamket!F90</f>
        <v>50</v>
      </c>
      <c r="O89" s="541">
        <f ca="1">IF('Tinh phi QL'!$H$9="Nam",VLOOKUP(KBACOI!$I$10,KBACOI!$D$3:$F$103,2,0)*M89/1000/12,IF('Tinh phi QL'!$H$9="Nữ",VLOOKUP(KBACOI!$I$10,KBACOI!$D$3:$F$103,3,0)*M89/1000/12,0))</f>
        <v>215.3781310099599</v>
      </c>
      <c r="P89" s="1043"/>
      <c r="Q89" s="539">
        <f ca="1">IF('Tinh phi QL'!$H$9="Nam",VLOOKUP(KBACOI!$I$10,KBACOI!$D$3:$F$103,2,0)*R89/1000/12,IF('Tinh phi QL'!$H$9="Nữ",VLOOKUP(KBACOI!$I$10,KBACOI!$D$3:$F$103,3,0)*R89/1000/12,0))</f>
        <v>214.5818727279694</v>
      </c>
      <c r="R89" s="541">
        <f ca="1">KBA20namMH!E90-U88</f>
        <v>1292661.8839034301</v>
      </c>
      <c r="S89" s="544">
        <f ca="1">(S88-N89-O89)*(1+KBA20namcamket!$U$3)</f>
        <v>52340.901340575736</v>
      </c>
      <c r="T89" s="1044"/>
      <c r="U89" s="542">
        <f ca="1">(U88-N89-Q89)*(1+KBA20namMH!$P$3)</f>
        <v>57287.83462536661</v>
      </c>
    </row>
    <row r="90" spans="4:21" ht="9.75" customHeight="1">
      <c r="D90" s="252">
        <v>87</v>
      </c>
      <c r="E90" s="252">
        <v>148.584</v>
      </c>
      <c r="F90" s="252">
        <v>120.14400000000001</v>
      </c>
      <c r="H90" s="252">
        <v>88</v>
      </c>
      <c r="I90" s="548">
        <f t="shared" ca="1" si="3"/>
        <v>117</v>
      </c>
      <c r="K90" s="1043"/>
      <c r="L90" s="262">
        <v>88</v>
      </c>
      <c r="M90" s="540">
        <f ca="1">KBA20namcamket!E91-S89</f>
        <v>1297659.0986594243</v>
      </c>
      <c r="N90" s="538">
        <f ca="1">VTL20namcamket!F91</f>
        <v>50</v>
      </c>
      <c r="O90" s="541">
        <f ca="1">IF('Tinh phi QL'!$H$9="Nam",VLOOKUP(KBACOI!$I$10,KBACOI!$D$3:$F$103,2,0)*M90/1000/12,IF('Tinh phi QL'!$H$9="Nữ",VLOOKUP(KBACOI!$I$10,KBACOI!$D$3:$F$103,3,0)*M90/1000/12,0))</f>
        <v>215.41141037746445</v>
      </c>
      <c r="P90" s="1043"/>
      <c r="Q90" s="539">
        <f ca="1">IF('Tinh phi QL'!$H$9="Nam",VLOOKUP(KBACOI!$I$10,KBACOI!$D$3:$F$103,2,0)*R90/1000/12,IF('Tinh phi QL'!$H$9="Nữ",VLOOKUP(KBACOI!$I$10,KBACOI!$D$3:$F$103,3,0)*R90/1000/12,0))</f>
        <v>214.59021945218913</v>
      </c>
      <c r="R90" s="541">
        <f ca="1">KBA20namMH!E91-U89</f>
        <v>1292712.1653746334</v>
      </c>
      <c r="S90" s="544">
        <f ca="1">(S89-N90-O90)*(1+KBA20namcamket!$U$3)</f>
        <v>52140.141011274689</v>
      </c>
      <c r="T90" s="1044"/>
      <c r="U90" s="542">
        <f ca="1">(U89-N90-Q90)*(1+KBA20namMH!$P$3)</f>
        <v>57237.355978618223</v>
      </c>
    </row>
    <row r="91" spans="4:21" ht="9.75" customHeight="1">
      <c r="D91" s="252">
        <v>88</v>
      </c>
      <c r="E91" s="252">
        <v>159.624</v>
      </c>
      <c r="F91" s="252">
        <v>132.304</v>
      </c>
      <c r="H91" s="252">
        <v>89</v>
      </c>
      <c r="I91" s="548">
        <f t="shared" ca="1" si="3"/>
        <v>118</v>
      </c>
      <c r="K91" s="1043"/>
      <c r="L91" s="262">
        <v>89</v>
      </c>
      <c r="M91" s="540">
        <f ca="1">KBA20namcamket!E92-S90</f>
        <v>1297859.8589887253</v>
      </c>
      <c r="N91" s="538">
        <f ca="1">VTL20namcamket!F92</f>
        <v>50</v>
      </c>
      <c r="O91" s="541">
        <f ca="1">IF('Tinh phi QL'!$H$9="Nam",VLOOKUP(KBACOI!$I$10,KBACOI!$D$3:$F$103,2,0)*M91/1000/12,IF('Tinh phi QL'!$H$9="Nữ",VLOOKUP(KBACOI!$I$10,KBACOI!$D$3:$F$103,3,0)*M91/1000/12,0))</f>
        <v>215.44473659212841</v>
      </c>
      <c r="P91" s="1043"/>
      <c r="Q91" s="539">
        <f ca="1">IF('Tinh phi QL'!$H$9="Nam",VLOOKUP(KBACOI!$I$10,KBACOI!$D$3:$F$103,2,0)*R91/1000/12,IF('Tinh phi QL'!$H$9="Nữ",VLOOKUP(KBACOI!$I$10,KBACOI!$D$3:$F$103,3,0)*R91/1000/12,0))</f>
        <v>214.59859890754942</v>
      </c>
      <c r="R91" s="541">
        <f ca="1">KBA20namMH!E92-U90</f>
        <v>1292762.6440213819</v>
      </c>
      <c r="S91" s="544">
        <f ca="1">(S90-N91-O91)*(1+KBA20namcamket!$U$3)</f>
        <v>51939.098072902118</v>
      </c>
      <c r="T91" s="1044"/>
      <c r="U91" s="542">
        <f ca="1">(U90-N91-Q91)*(1+KBA20namMH!$P$3)</f>
        <v>57186.679383113493</v>
      </c>
    </row>
    <row r="92" spans="4:21" ht="9.75" customHeight="1">
      <c r="D92" s="252">
        <v>89</v>
      </c>
      <c r="E92" s="252">
        <v>170.952</v>
      </c>
      <c r="F92" s="252">
        <v>145.232</v>
      </c>
      <c r="H92" s="252">
        <v>90</v>
      </c>
      <c r="I92" s="548">
        <f t="shared" ca="1" si="3"/>
        <v>119</v>
      </c>
      <c r="K92" s="1043"/>
      <c r="L92" s="262">
        <v>90</v>
      </c>
      <c r="M92" s="540">
        <f ca="1">KBA20namcamket!E93-S91</f>
        <v>1298060.9019270979</v>
      </c>
      <c r="N92" s="538">
        <f ca="1">VTL20namcamket!F93</f>
        <v>50</v>
      </c>
      <c r="O92" s="541">
        <f ca="1">IF('Tinh phi QL'!$H$9="Nam",VLOOKUP(KBACOI!$I$10,KBACOI!$D$3:$F$103,2,0)*M92/1000/12,IF('Tinh phi QL'!$H$9="Nữ",VLOOKUP(KBACOI!$I$10,KBACOI!$D$3:$F$103,3,0)*M92/1000/12,0))</f>
        <v>215.47810971989824</v>
      </c>
      <c r="P92" s="1043"/>
      <c r="Q92" s="539">
        <f ca="1">IF('Tinh phi QL'!$H$9="Nam",VLOOKUP(KBACOI!$I$10,KBACOI!$D$3:$F$103,2,0)*R92/1000/12,IF('Tinh phi QL'!$H$9="Nữ",VLOOKUP(KBACOI!$I$10,KBACOI!$D$3:$F$103,3,0)*R92/1000/12,0))</f>
        <v>214.60701122240314</v>
      </c>
      <c r="R92" s="541">
        <f ca="1">KBA20namMH!E93-U91</f>
        <v>1292813.3206168865</v>
      </c>
      <c r="S92" s="544">
        <f ca="1">(S91-N92-O92)*(1+KBA20namcamket!$U$3)</f>
        <v>51737.772127630975</v>
      </c>
      <c r="T92" s="1044"/>
      <c r="U92" s="542">
        <f ca="1">(U91-N92-Q92)*(1+KBA20namMH!$P$3)</f>
        <v>57135.804062609146</v>
      </c>
    </row>
    <row r="93" spans="4:21" ht="9.75" customHeight="1">
      <c r="D93" s="252">
        <v>90</v>
      </c>
      <c r="E93" s="252">
        <v>182.744</v>
      </c>
      <c r="F93" s="252">
        <v>159.08000000000001</v>
      </c>
      <c r="H93" s="252">
        <v>91</v>
      </c>
      <c r="I93" s="548">
        <f t="shared" ca="1" si="3"/>
        <v>120</v>
      </c>
      <c r="K93" s="1043"/>
      <c r="L93" s="262">
        <v>91</v>
      </c>
      <c r="M93" s="540">
        <f ca="1">KBA20namcamket!E94-S92</f>
        <v>1298262.2278723691</v>
      </c>
      <c r="N93" s="538">
        <f ca="1">VTL20namcamket!F94</f>
        <v>50</v>
      </c>
      <c r="O93" s="541">
        <f ca="1">IF('Tinh phi QL'!$H$9="Nam",VLOOKUP(KBACOI!$I$10,KBACOI!$D$3:$F$103,2,0)*M93/1000/12,IF('Tinh phi QL'!$H$9="Nữ",VLOOKUP(KBACOI!$I$10,KBACOI!$D$3:$F$103,3,0)*M93/1000/12,0))</f>
        <v>215.51152982681324</v>
      </c>
      <c r="P93" s="1043"/>
      <c r="Q93" s="539">
        <f ca="1">IF('Tinh phi QL'!$H$9="Nam",VLOOKUP(KBACOI!$I$10,KBACOI!$D$3:$F$103,2,0)*R93/1000/12,IF('Tinh phi QL'!$H$9="Nữ",VLOOKUP(KBACOI!$I$10,KBACOI!$D$3:$F$103,3,0)*R93/1000/12,0))</f>
        <v>214.61545652560687</v>
      </c>
      <c r="R93" s="541">
        <f ca="1">KBA20namMH!E94-U92</f>
        <v>1292864.1959373909</v>
      </c>
      <c r="S93" s="544">
        <f ca="1">(S92-N93-O93)*(1+KBA20namcamket!$U$3)</f>
        <v>51536.162777074212</v>
      </c>
      <c r="T93" s="1044"/>
      <c r="U93" s="542">
        <f ca="1">(U92-N93-Q93)*(1+KBA20namMH!$P$3)</f>
        <v>57084.729237817919</v>
      </c>
    </row>
    <row r="94" spans="4:21" ht="9.75" customHeight="1">
      <c r="D94" s="252">
        <v>91</v>
      </c>
      <c r="E94" s="252">
        <v>195.28800000000001</v>
      </c>
      <c r="F94" s="252">
        <v>174.14400000000001</v>
      </c>
      <c r="H94" s="252">
        <v>92</v>
      </c>
      <c r="I94" s="548">
        <f t="shared" ca="1" si="3"/>
        <v>121</v>
      </c>
      <c r="K94" s="1043"/>
      <c r="L94" s="262">
        <v>92</v>
      </c>
      <c r="M94" s="540">
        <f ca="1">KBA20namcamket!E95-S93</f>
        <v>1298463.8372229259</v>
      </c>
      <c r="N94" s="538">
        <f ca="1">VTL20namcamket!F95</f>
        <v>50</v>
      </c>
      <c r="O94" s="541">
        <f ca="1">IF('Tinh phi QL'!$H$9="Nam",VLOOKUP(KBACOI!$I$10,KBACOI!$D$3:$F$103,2,0)*M94/1000/12,IF('Tinh phi QL'!$H$9="Nữ",VLOOKUP(KBACOI!$I$10,KBACOI!$D$3:$F$103,3,0)*M94/1000/12,0))</f>
        <v>215.54499697900567</v>
      </c>
      <c r="P94" s="1043"/>
      <c r="Q94" s="539">
        <f ca="1">IF('Tinh phi QL'!$H$9="Nam",VLOOKUP(KBACOI!$I$10,KBACOI!$D$3:$F$103,2,0)*R94/1000/12,IF('Tinh phi QL'!$H$9="Nữ",VLOOKUP(KBACOI!$I$10,KBACOI!$D$3:$F$103,3,0)*R94/1000/12,0))</f>
        <v>214.62393494652224</v>
      </c>
      <c r="R94" s="541">
        <f ca="1">KBA20namMH!E95-U93</f>
        <v>1292915.2707621821</v>
      </c>
      <c r="S94" s="544">
        <f ca="1">(S93-N94-O94)*(1+KBA20namcamket!$U$3)</f>
        <v>51334.269622283959</v>
      </c>
      <c r="T94" s="1044"/>
      <c r="U94" s="542">
        <f ca="1">(U93-N94-Q94)*(1+KBA20namMH!$P$3)</f>
        <v>57033.454126396624</v>
      </c>
    </row>
    <row r="95" spans="4:21" ht="9.75" customHeight="1">
      <c r="D95" s="252">
        <v>92</v>
      </c>
      <c r="E95" s="252">
        <v>209.14400000000001</v>
      </c>
      <c r="F95" s="252">
        <v>190.952</v>
      </c>
      <c r="H95" s="252">
        <v>93</v>
      </c>
      <c r="I95" s="548">
        <f t="shared" ca="1" si="3"/>
        <v>122</v>
      </c>
      <c r="K95" s="1043"/>
      <c r="L95" s="262">
        <v>93</v>
      </c>
      <c r="M95" s="540">
        <f ca="1">KBA20namcamket!E96-S94</f>
        <v>1298665.730377716</v>
      </c>
      <c r="N95" s="538">
        <f ca="1">VTL20namcamket!F96</f>
        <v>50</v>
      </c>
      <c r="O95" s="541">
        <f ca="1">IF('Tinh phi QL'!$H$9="Nam",VLOOKUP(KBACOI!$I$10,KBACOI!$D$3:$F$103,2,0)*M95/1000/12,IF('Tinh phi QL'!$H$9="Nữ",VLOOKUP(KBACOI!$I$10,KBACOI!$D$3:$F$103,3,0)*M95/1000/12,0))</f>
        <v>215.57851124270087</v>
      </c>
      <c r="P95" s="1043"/>
      <c r="Q95" s="539">
        <f ca="1">IF('Tinh phi QL'!$H$9="Nam",VLOOKUP(KBACOI!$I$10,KBACOI!$D$3:$F$103,2,0)*R95/1000/12,IF('Tinh phi QL'!$H$9="Nữ",VLOOKUP(KBACOI!$I$10,KBACOI!$D$3:$F$103,3,0)*R95/1000/12,0))</f>
        <v>214.63244661501815</v>
      </c>
      <c r="R95" s="541">
        <f ca="1">KBA20namMH!E96-U94</f>
        <v>1292966.5458736033</v>
      </c>
      <c r="S95" s="544">
        <f ca="1">(S94-N95-O95)*(1+KBA20namcamket!$U$3)</f>
        <v>51132.092263750754</v>
      </c>
      <c r="T95" s="1044"/>
      <c r="U95" s="542">
        <f ca="1">(U94-N95-Q95)*(1+KBA20namMH!$P$3)</f>
        <v>56981.977942934165</v>
      </c>
    </row>
    <row r="96" spans="4:21" ht="9.75" customHeight="1">
      <c r="D96" s="252">
        <v>93</v>
      </c>
      <c r="E96" s="252">
        <v>225.70400000000001</v>
      </c>
      <c r="F96" s="252">
        <v>210.72800000000001</v>
      </c>
      <c r="H96" s="252">
        <v>94</v>
      </c>
      <c r="I96" s="548">
        <f t="shared" ca="1" si="3"/>
        <v>123</v>
      </c>
      <c r="K96" s="1043"/>
      <c r="L96" s="262">
        <v>94</v>
      </c>
      <c r="M96" s="540">
        <f ca="1">KBA20namcamket!E97-S95</f>
        <v>1298867.9077362493</v>
      </c>
      <c r="N96" s="538">
        <f ca="1">VTL20namcamket!F97</f>
        <v>50</v>
      </c>
      <c r="O96" s="541">
        <f ca="1">IF('Tinh phi QL'!$H$9="Nam",VLOOKUP(KBACOI!$I$10,KBACOI!$D$3:$F$103,2,0)*M96/1000/12,IF('Tinh phi QL'!$H$9="Nữ",VLOOKUP(KBACOI!$I$10,KBACOI!$D$3:$F$103,3,0)*M96/1000/12,0))</f>
        <v>215.61207268421734</v>
      </c>
      <c r="P96" s="1043"/>
      <c r="Q96" s="539">
        <f ca="1">IF('Tinh phi QL'!$H$9="Nam",VLOOKUP(KBACOI!$I$10,KBACOI!$D$3:$F$103,2,0)*R96/1000/12,IF('Tinh phi QL'!$H$9="Nữ",VLOOKUP(KBACOI!$I$10,KBACOI!$D$3:$F$103,3,0)*R96/1000/12,0))</f>
        <v>214.6409916614729</v>
      </c>
      <c r="R96" s="541">
        <f ca="1">KBA20namMH!E97-U95</f>
        <v>1293018.0220570657</v>
      </c>
      <c r="S96" s="544">
        <f ca="1">(S95-N96-O96)*(1+KBA20namcamket!$U$3)</f>
        <v>50929.630301402751</v>
      </c>
      <c r="T96" s="1044"/>
      <c r="U96" s="542">
        <f ca="1">(U95-N96-Q96)*(1+KBA20namMH!$P$3)</f>
        <v>56930.299898939506</v>
      </c>
    </row>
    <row r="97" spans="4:21" ht="9.75" customHeight="1">
      <c r="D97" s="252">
        <v>94</v>
      </c>
      <c r="E97" s="252">
        <v>247.976</v>
      </c>
      <c r="F97" s="252">
        <v>236.184</v>
      </c>
      <c r="H97" s="252">
        <v>95</v>
      </c>
      <c r="I97" s="548">
        <f t="shared" ca="1" si="3"/>
        <v>124</v>
      </c>
      <c r="K97" s="1043"/>
      <c r="L97" s="262">
        <v>95</v>
      </c>
      <c r="M97" s="540">
        <f ca="1">KBA20namcamket!E98-S96</f>
        <v>1299070.3696985974</v>
      </c>
      <c r="N97" s="538">
        <f ca="1">VTL20namcamket!F98</f>
        <v>50</v>
      </c>
      <c r="O97" s="541">
        <f ca="1">IF('Tinh phi QL'!$H$9="Nam",VLOOKUP(KBACOI!$I$10,KBACOI!$D$3:$F$103,2,0)*M97/1000/12,IF('Tinh phi QL'!$H$9="Nữ",VLOOKUP(KBACOI!$I$10,KBACOI!$D$3:$F$103,3,0)*M97/1000/12,0))</f>
        <v>215.64568136996718</v>
      </c>
      <c r="P97" s="1043"/>
      <c r="Q97" s="539">
        <f ca="1">IF('Tinh phi QL'!$H$9="Nam",VLOOKUP(KBACOI!$I$10,KBACOI!$D$3:$F$103,2,0)*R97/1000/12,IF('Tinh phi QL'!$H$9="Nữ",VLOOKUP(KBACOI!$I$10,KBACOI!$D$3:$F$103,3,0)*R97/1000/12,0))</f>
        <v>214.64957021677606</v>
      </c>
      <c r="R97" s="541">
        <f ca="1">KBA20namMH!E98-U96</f>
        <v>1293069.7001010606</v>
      </c>
      <c r="S97" s="544">
        <f ca="1">(S96-N97-O97)*(1+KBA20namcamket!$U$3)</f>
        <v>50726.883334604929</v>
      </c>
      <c r="T97" s="1044"/>
      <c r="U97" s="542">
        <f ca="1">(U96-N97-Q97)*(1+KBA20namMH!$P$3)</f>
        <v>56878.419202829587</v>
      </c>
    </row>
    <row r="98" spans="4:21" ht="9.75" customHeight="1">
      <c r="D98" s="252">
        <v>95</v>
      </c>
      <c r="E98" s="252">
        <v>281.488</v>
      </c>
      <c r="F98" s="252">
        <v>272.81599999999997</v>
      </c>
      <c r="H98" s="252">
        <v>96</v>
      </c>
      <c r="I98" s="548">
        <f t="shared" ca="1" si="3"/>
        <v>125</v>
      </c>
      <c r="K98" s="1043"/>
      <c r="L98" s="262">
        <v>96</v>
      </c>
      <c r="M98" s="540">
        <f ca="1">KBA20namcamket!E99-S97</f>
        <v>1299273.116665395</v>
      </c>
      <c r="N98" s="538">
        <f ca="1">VTL20namcamket!F99</f>
        <v>50</v>
      </c>
      <c r="O98" s="541">
        <f ca="1">IF('Tinh phi QL'!$H$9="Nam",VLOOKUP(KBACOI!$I$10,KBACOI!$D$3:$F$103,2,0)*M98/1000/12,IF('Tinh phi QL'!$H$9="Nữ",VLOOKUP(KBACOI!$I$10,KBACOI!$D$3:$F$103,3,0)*M98/1000/12,0))</f>
        <v>215.67933736645557</v>
      </c>
      <c r="P98" s="1043"/>
      <c r="Q98" s="539">
        <f ca="1">IF('Tinh phi QL'!$H$9="Nam",VLOOKUP(KBACOI!$I$10,KBACOI!$D$3:$F$103,2,0)*R98/1000/12,IF('Tinh phi QL'!$H$9="Nữ",VLOOKUP(KBACOI!$I$10,KBACOI!$D$3:$F$103,3,0)*R98/1000/12,0))</f>
        <v>214.65818241233032</v>
      </c>
      <c r="R98" s="541">
        <f ca="1">KBA20namMH!E99-U97</f>
        <v>1293121.5807971705</v>
      </c>
      <c r="S98" s="545">
        <f ca="1">(S97-N98-O98)*(1+KBA20namcamket!$U$3)+P87</f>
        <v>50823.850962158285</v>
      </c>
      <c r="T98" s="1044"/>
      <c r="U98" s="543">
        <f ca="1">(U97-N98-Q98)*(1+KBA20namMH!$P$3)+T87</f>
        <v>57126.335059917219</v>
      </c>
    </row>
    <row r="99" spans="4:21" ht="9.75" customHeight="1">
      <c r="D99" s="252">
        <v>96</v>
      </c>
      <c r="E99" s="252">
        <v>336.79199999999997</v>
      </c>
      <c r="F99" s="252">
        <v>331.10399999999998</v>
      </c>
      <c r="H99" s="252">
        <v>97</v>
      </c>
      <c r="I99" s="548">
        <f t="shared" ca="1" si="3"/>
        <v>126</v>
      </c>
      <c r="K99" s="1045">
        <f>K87+1</f>
        <v>9</v>
      </c>
      <c r="L99" s="252">
        <v>97</v>
      </c>
      <c r="M99" s="538">
        <f ca="1">KBA20namcamket!E100-S98-KBAGTTKcamket!F15</f>
        <v>1339376.1490378417</v>
      </c>
      <c r="N99" s="538">
        <f ca="1">VTL20namcamket!F100</f>
        <v>50</v>
      </c>
      <c r="O99" s="539">
        <f ca="1">IF('Tinh phi QL'!$H$9="Nam",VLOOKUP(KBACOI!$I$11,KBACOI!$D$3:$F$103,2,0)*M99/1000/12,IF('Tinh phi QL'!$H$9="Nữ",VLOOKUP(KBACOI!$I$11,KBACOI!$D$3:$F$103,3,0)*M99/1000/12,0))</f>
        <v>239.30187196142774</v>
      </c>
      <c r="P99" s="1043">
        <f t="shared" ref="P99" si="6">P87</f>
        <v>300</v>
      </c>
      <c r="Q99" s="539">
        <f ca="1">IF('Tinh phi QL'!$H$9="Nam",VLOOKUP(KBACOI!$I$11,KBACOI!$D$3:$F$103,2,0)*R99/1000/12,IF('Tinh phi QL'!$H$9="Nữ",VLOOKUP(KBACOI!$I$11,KBACOI!$D$3:$F$103,3,0)*R99/1000/12,0))</f>
        <v>238.1758281359615</v>
      </c>
      <c r="R99" s="539">
        <f ca="1">KBA20namMH!E100-U98-KBAGTTKMH!F15</f>
        <v>1333073.6649400827</v>
      </c>
      <c r="S99" s="542">
        <f ca="1">(S98+KBAGTTKcamket!F14-N99-O99)*(1+KBA20namcamket!$U$3)</f>
        <v>60409.453691769842</v>
      </c>
      <c r="T99" s="1044">
        <f>P99</f>
        <v>300</v>
      </c>
      <c r="U99" s="542">
        <f ca="1">(U98+KBAGTTKMH!F15-N99-Q99)*(1+KBA20namMH!$P$3)</f>
        <v>66888.373003793895</v>
      </c>
    </row>
    <row r="100" spans="4:21" ht="9.75" customHeight="1">
      <c r="D100" s="252">
        <v>97</v>
      </c>
      <c r="E100" s="252">
        <v>432.8</v>
      </c>
      <c r="F100" s="252">
        <v>429.79199999999997</v>
      </c>
      <c r="H100" s="252">
        <v>98</v>
      </c>
      <c r="I100" s="548">
        <f t="shared" ca="1" si="3"/>
        <v>127</v>
      </c>
      <c r="K100" s="1045"/>
      <c r="L100" s="252">
        <v>98</v>
      </c>
      <c r="M100" s="538">
        <f ca="1">KBA20namcamket!E101-S99</f>
        <v>1339590.5463082301</v>
      </c>
      <c r="N100" s="538">
        <f ca="1">VTL20namcamket!F101</f>
        <v>50</v>
      </c>
      <c r="O100" s="539">
        <f ca="1">IF('Tinh phi QL'!$H$9="Nam",VLOOKUP(KBACOI!$I$11,KBACOI!$D$3:$F$103,2,0)*M100/1000/12,IF('Tinh phi QL'!$H$9="Nữ",VLOOKUP(KBACOI!$I$11,KBACOI!$D$3:$F$103,3,0)*M100/1000/12,0))</f>
        <v>239.34017760707047</v>
      </c>
      <c r="P100" s="1043"/>
      <c r="Q100" s="539">
        <f ca="1">IF('Tinh phi QL'!$H$9="Nam",VLOOKUP(KBACOI!$I$11,KBACOI!$D$3:$F$103,2,0)*R100/1000/12,IF('Tinh phi QL'!$H$9="Nữ",VLOOKUP(KBACOI!$I$11,KBACOI!$D$3:$F$103,3,0)*R100/1000/12,0))</f>
        <v>238.18261068998882</v>
      </c>
      <c r="R100" s="539">
        <f ca="1">KBA20namMH!E101-U99</f>
        <v>1333111.6269962061</v>
      </c>
      <c r="S100" s="542">
        <f ca="1">(S99-N100-O100)*(1+KBA20namcamket!$U$3)</f>
        <v>60194.751896602145</v>
      </c>
      <c r="T100" s="1044"/>
      <c r="U100" s="542">
        <f ca="1">(U99-N100-Q100)*(1+KBA20namMH!$P$3)</f>
        <v>66850.261599258592</v>
      </c>
    </row>
    <row r="101" spans="4:21" ht="9.75" customHeight="1">
      <c r="D101" s="252">
        <v>98</v>
      </c>
      <c r="E101" s="252">
        <v>596.12</v>
      </c>
      <c r="F101" s="252">
        <v>595.16800000000001</v>
      </c>
      <c r="H101" s="252">
        <v>99</v>
      </c>
      <c r="I101" s="548">
        <f t="shared" ca="1" si="3"/>
        <v>128</v>
      </c>
      <c r="K101" s="1045"/>
      <c r="L101" s="252">
        <v>99</v>
      </c>
      <c r="M101" s="538">
        <f ca="1">KBA20namcamket!E102-S100</f>
        <v>1339805.2481033979</v>
      </c>
      <c r="N101" s="538">
        <f ca="1">VTL20namcamket!F102</f>
        <v>50</v>
      </c>
      <c r="O101" s="539">
        <f ca="1">IF('Tinh phi QL'!$H$9="Nam",VLOOKUP(KBACOI!$I$11,KBACOI!$D$3:$F$103,2,0)*M101/1000/12,IF('Tinh phi QL'!$H$9="Nữ",VLOOKUP(KBACOI!$I$11,KBACOI!$D$3:$F$103,3,0)*M101/1000/12,0))</f>
        <v>239.37853766114043</v>
      </c>
      <c r="P101" s="1043"/>
      <c r="Q101" s="539">
        <f ca="1">IF('Tinh phi QL'!$H$9="Nam",VLOOKUP(KBACOI!$I$11,KBACOI!$D$3:$F$103,2,0)*R101/1000/12,IF('Tinh phi QL'!$H$9="Nữ",VLOOKUP(KBACOI!$I$11,KBACOI!$D$3:$F$103,3,0)*R101/1000/12,0))</f>
        <v>238.18941992759915</v>
      </c>
      <c r="R101" s="539">
        <f ca="1">KBA20namMH!E102-U100</f>
        <v>1333149.7384007415</v>
      </c>
      <c r="S101" s="542">
        <f ca="1">(S100-N101-O101)*(1+KBA20namcamket!$U$3)</f>
        <v>59979.745144115434</v>
      </c>
      <c r="T101" s="1044"/>
      <c r="U101" s="542">
        <f ca="1">(U100-N101-Q101)*(1+KBA20namMH!$P$3)</f>
        <v>66812.000258752276</v>
      </c>
    </row>
    <row r="102" spans="4:21" ht="9.75" customHeight="1">
      <c r="D102" s="252">
        <v>99</v>
      </c>
      <c r="E102" s="252">
        <v>800</v>
      </c>
      <c r="F102" s="252">
        <v>800</v>
      </c>
      <c r="H102" s="252">
        <v>100</v>
      </c>
      <c r="I102" s="548">
        <f t="shared" ca="1" si="3"/>
        <v>129</v>
      </c>
      <c r="K102" s="1045"/>
      <c r="L102" s="252">
        <v>100</v>
      </c>
      <c r="M102" s="538">
        <f ca="1">KBA20namcamket!E103-S101</f>
        <v>1340020.2548558845</v>
      </c>
      <c r="N102" s="538">
        <f ca="1">VTL20namcamket!F103</f>
        <v>50</v>
      </c>
      <c r="O102" s="539">
        <f ca="1">IF('Tinh phi QL'!$H$9="Nam",VLOOKUP(KBACOI!$I$11,KBACOI!$D$3:$F$103,2,0)*M102/1000/12,IF('Tinh phi QL'!$H$9="Nữ",VLOOKUP(KBACOI!$I$11,KBACOI!$D$3:$F$103,3,0)*M102/1000/12,0))</f>
        <v>239.41695220091802</v>
      </c>
      <c r="P102" s="1043"/>
      <c r="Q102" s="539">
        <f ca="1">IF('Tinh phi QL'!$H$9="Nam",VLOOKUP(KBACOI!$I$11,KBACOI!$D$3:$F$103,2,0)*R102/1000/12,IF('Tinh phi QL'!$H$9="Nữ",VLOOKUP(KBACOI!$I$11,KBACOI!$D$3:$F$103,3,0)*R102/1000/12,0))</f>
        <v>238.19625595376957</v>
      </c>
      <c r="R102" s="539">
        <f ca="1">KBA20namMH!E103-U101</f>
        <v>1333187.9997412476</v>
      </c>
      <c r="S102" s="542">
        <f ca="1">(S101-N102-O102)*(1+KBA20namcamket!$U$3)</f>
        <v>59764.433001155601</v>
      </c>
      <c r="T102" s="1044"/>
      <c r="U102" s="542">
        <f ca="1">(U101-N102-Q102)*(1+KBA20namMH!$P$3)</f>
        <v>66773.588392404403</v>
      </c>
    </row>
    <row r="103" spans="4:21" ht="9.75" customHeight="1">
      <c r="D103" s="252">
        <v>100</v>
      </c>
      <c r="E103" s="252">
        <v>800</v>
      </c>
      <c r="F103" s="252">
        <v>800</v>
      </c>
      <c r="H103" s="252">
        <v>101</v>
      </c>
      <c r="I103" s="548">
        <f t="shared" ca="1" si="3"/>
        <v>130</v>
      </c>
      <c r="K103" s="1045"/>
      <c r="L103" s="252">
        <v>101</v>
      </c>
      <c r="M103" s="538">
        <f ca="1">KBA20namcamket!E104-S102</f>
        <v>1340235.5669988445</v>
      </c>
      <c r="N103" s="538">
        <f ca="1">VTL20namcamket!F104</f>
        <v>50</v>
      </c>
      <c r="O103" s="539">
        <f ca="1">IF('Tinh phi QL'!$H$9="Nam",VLOOKUP(KBACOI!$I$11,KBACOI!$D$3:$F$103,2,0)*M103/1000/12,IF('Tinh phi QL'!$H$9="Nữ",VLOOKUP(KBACOI!$I$11,KBACOI!$D$3:$F$103,3,0)*M103/1000/12,0))</f>
        <v>239.45542130379354</v>
      </c>
      <c r="P103" s="1043"/>
      <c r="Q103" s="539">
        <f ca="1">IF('Tinh phi QL'!$H$9="Nam",VLOOKUP(KBACOI!$I$11,KBACOI!$D$3:$F$103,2,0)*R103/1000/12,IF('Tinh phi QL'!$H$9="Nữ",VLOOKUP(KBACOI!$I$11,KBACOI!$D$3:$F$103,3,0)*R103/1000/12,0))</f>
        <v>238.20311887389047</v>
      </c>
      <c r="R103" s="539">
        <f ca="1">KBA20namMH!E104-U102</f>
        <v>1333226.4116075956</v>
      </c>
      <c r="S103" s="542">
        <f ca="1">(S102-N103-O103)*(1+KBA20namcamket!$U$3)</f>
        <v>59548.815033953295</v>
      </c>
      <c r="T103" s="1044"/>
      <c r="U103" s="542">
        <f ca="1">(U102-N103-Q103)*(1+KBA20namMH!$P$3)</f>
        <v>66735.025408023765</v>
      </c>
    </row>
    <row r="104" spans="4:21" ht="9.75" customHeight="1">
      <c r="K104" s="1045"/>
      <c r="L104" s="252">
        <v>102</v>
      </c>
      <c r="M104" s="538">
        <f ca="1">KBA20namcamket!E105-S103</f>
        <v>1340451.1849660466</v>
      </c>
      <c r="N104" s="538">
        <f ca="1">VTL20namcamket!F105</f>
        <v>50</v>
      </c>
      <c r="O104" s="539">
        <f ca="1">IF('Tinh phi QL'!$H$9="Nam",VLOOKUP(KBACOI!$I$11,KBACOI!$D$3:$F$103,2,0)*M104/1000/12,IF('Tinh phi QL'!$H$9="Nữ",VLOOKUP(KBACOI!$I$11,KBACOI!$D$3:$F$103,3,0)*M104/1000/12,0))</f>
        <v>239.49394504726703</v>
      </c>
      <c r="P104" s="1043"/>
      <c r="Q104" s="539">
        <f ca="1">IF('Tinh phi QL'!$H$9="Nam",VLOOKUP(KBACOI!$I$11,KBACOI!$D$3:$F$103,2,0)*R104/1000/12,IF('Tinh phi QL'!$H$9="Nữ",VLOOKUP(KBACOI!$I$11,KBACOI!$D$3:$F$103,3,0)*R104/1000/12,0))</f>
        <v>238.21000879376643</v>
      </c>
      <c r="R104" s="539">
        <f ca="1">KBA20namMH!E105-U103</f>
        <v>1333264.9745919763</v>
      </c>
      <c r="S104" s="542">
        <f ca="1">(S103-N104-O104)*(1+KBA20namcamket!$U$3)</f>
        <v>59332.890808123026</v>
      </c>
      <c r="T104" s="1044"/>
      <c r="U104" s="542">
        <f ca="1">(U103-N104-Q104)*(1+KBA20namMH!$P$3)</f>
        <v>66696.310711089391</v>
      </c>
    </row>
    <row r="105" spans="4:21" ht="9.75" customHeight="1">
      <c r="K105" s="1045"/>
      <c r="L105" s="252">
        <v>103</v>
      </c>
      <c r="M105" s="538">
        <f ca="1">KBA20namcamket!E106-S104</f>
        <v>1340667.1091918771</v>
      </c>
      <c r="N105" s="538">
        <f ca="1">VTL20namcamket!F106</f>
        <v>60</v>
      </c>
      <c r="O105" s="539">
        <f ca="1">IF('Tinh phi QL'!$H$9="Nam",VLOOKUP(KBACOI!$I$11,KBACOI!$D$3:$F$103,2,0)*M105/1000/12,IF('Tinh phi QL'!$H$9="Nữ",VLOOKUP(KBACOI!$I$11,KBACOI!$D$3:$F$103,3,0)*M105/1000/12,0))</f>
        <v>239.53252350894869</v>
      </c>
      <c r="P105" s="1043"/>
      <c r="Q105" s="539">
        <f ca="1">IF('Tinh phi QL'!$H$9="Nam",VLOOKUP(KBACOI!$I$11,KBACOI!$D$3:$F$103,2,0)*R105/1000/12,IF('Tinh phi QL'!$H$9="Nữ",VLOOKUP(KBACOI!$I$11,KBACOI!$D$3:$F$103,3,0)*R105/1000/12,0))</f>
        <v>238.21692581961875</v>
      </c>
      <c r="R105" s="539">
        <f ca="1">KBA20namMH!E106-U104</f>
        <v>1333303.6892889107</v>
      </c>
      <c r="S105" s="542">
        <f ca="1">(S104-N105-O105)*(1+KBA20namcamket!$U$3)</f>
        <v>59106.647473785175</v>
      </c>
      <c r="T105" s="1044"/>
      <c r="U105" s="542">
        <f ca="1">(U104-N105-Q105)*(1+KBA20namMH!$P$3)</f>
        <v>66647.406156619589</v>
      </c>
    </row>
    <row r="106" spans="4:21" ht="9.75" customHeight="1">
      <c r="K106" s="1045"/>
      <c r="L106" s="252">
        <v>104</v>
      </c>
      <c r="M106" s="538">
        <f ca="1">KBA20namcamket!E107-S105</f>
        <v>1340893.3525262149</v>
      </c>
      <c r="N106" s="538">
        <f ca="1">VTL20namcamket!F107</f>
        <v>60</v>
      </c>
      <c r="O106" s="539">
        <f ca="1">IF('Tinh phi QL'!$H$9="Nam",VLOOKUP(KBACOI!$I$11,KBACOI!$D$3:$F$103,2,0)*M106/1000/12,IF('Tinh phi QL'!$H$9="Nữ",VLOOKUP(KBACOI!$I$11,KBACOI!$D$3:$F$103,3,0)*M106/1000/12,0))</f>
        <v>239.57294565135044</v>
      </c>
      <c r="P106" s="1043"/>
      <c r="Q106" s="539">
        <f ca="1">IF('Tinh phi QL'!$H$9="Nam",VLOOKUP(KBACOI!$I$11,KBACOI!$D$3:$F$103,2,0)*R106/1000/12,IF('Tinh phi QL'!$H$9="Nữ",VLOOKUP(KBACOI!$I$11,KBACOI!$D$3:$F$103,3,0)*R106/1000/12,0))</f>
        <v>238.22566343335066</v>
      </c>
      <c r="R106" s="539">
        <f ca="1">KBA20namMH!E107-U105</f>
        <v>1333352.5938433805</v>
      </c>
      <c r="S106" s="542">
        <f ca="1">(S105-N106-O106)*(1+KBA20namcamket!$U$3)</f>
        <v>58880.082788800821</v>
      </c>
      <c r="T106" s="1044"/>
      <c r="U106" s="542">
        <f ca="1">(U105-N106-Q106)*(1+KBA20namMH!$P$3)</f>
        <v>66598.309204311125</v>
      </c>
    </row>
    <row r="107" spans="4:21" ht="9.75" customHeight="1">
      <c r="K107" s="1045"/>
      <c r="L107" s="252">
        <v>105</v>
      </c>
      <c r="M107" s="538">
        <f ca="1">KBA20namcamket!E108-S106</f>
        <v>1341119.9172111992</v>
      </c>
      <c r="N107" s="538">
        <f ca="1">VTL20namcamket!F108</f>
        <v>60</v>
      </c>
      <c r="O107" s="539">
        <f ca="1">IF('Tinh phi QL'!$H$9="Nam",VLOOKUP(KBACOI!$I$11,KBACOI!$D$3:$F$103,2,0)*M107/1000/12,IF('Tinh phi QL'!$H$9="Nữ",VLOOKUP(KBACOI!$I$11,KBACOI!$D$3:$F$103,3,0)*M107/1000/12,0))</f>
        <v>239.61342520840094</v>
      </c>
      <c r="P107" s="1043"/>
      <c r="Q107" s="539">
        <f ca="1">IF('Tinh phi QL'!$H$9="Nam",VLOOKUP(KBACOI!$I$11,KBACOI!$D$3:$F$103,2,0)*R107/1000/12,IF('Tinh phi QL'!$H$9="Nữ",VLOOKUP(KBACOI!$I$11,KBACOI!$D$3:$F$103,3,0)*R107/1000/12,0))</f>
        <v>238.2344354221631</v>
      </c>
      <c r="R107" s="539">
        <f ca="1">KBA20namMH!E108-U106</f>
        <v>1333401.6907956889</v>
      </c>
      <c r="S107" s="542">
        <f ca="1">(S106-N107-O107)*(1+KBA20namcamket!$U$3)</f>
        <v>58653.196296731156</v>
      </c>
      <c r="T107" s="1044"/>
      <c r="U107" s="542">
        <f ca="1">(U106-N107-Q107)*(1+KBA20namMH!$P$3)</f>
        <v>66549.019097242097</v>
      </c>
    </row>
    <row r="108" spans="4:21" ht="9.75" customHeight="1">
      <c r="K108" s="1045"/>
      <c r="L108" s="252">
        <v>106</v>
      </c>
      <c r="M108" s="538">
        <f ca="1">KBA20namcamket!E109-S107</f>
        <v>1341346.8037032688</v>
      </c>
      <c r="N108" s="538">
        <f ca="1">VTL20namcamket!F109</f>
        <v>60</v>
      </c>
      <c r="O108" s="539">
        <f ca="1">IF('Tinh phi QL'!$H$9="Nam",VLOOKUP(KBACOI!$I$11,KBACOI!$D$3:$F$103,2,0)*M108/1000/12,IF('Tinh phi QL'!$H$9="Nữ",VLOOKUP(KBACOI!$I$11,KBACOI!$D$3:$F$103,3,0)*M108/1000/12,0))</f>
        <v>239.65396226165072</v>
      </c>
      <c r="P108" s="1043"/>
      <c r="Q108" s="539">
        <f ca="1">IF('Tinh phi QL'!$H$9="Nam",VLOOKUP(KBACOI!$I$11,KBACOI!$D$3:$F$103,2,0)*R108/1000/12,IF('Tinh phi QL'!$H$9="Nữ",VLOOKUP(KBACOI!$I$11,KBACOI!$D$3:$F$103,3,0)*R108/1000/12,0))</f>
        <v>238.24324192129276</v>
      </c>
      <c r="R108" s="539">
        <f ca="1">KBA20namMH!E109-U107</f>
        <v>1333450.980902758</v>
      </c>
      <c r="S108" s="542">
        <f ca="1">(S107-N108-O108)*(1+KBA20namcamket!$U$3)</f>
        <v>58425.987540489055</v>
      </c>
      <c r="T108" s="1044"/>
      <c r="U108" s="542">
        <f ca="1">(U107-N108-Q108)*(1+KBA20namMH!$P$3)</f>
        <v>66499.535075512758</v>
      </c>
    </row>
    <row r="109" spans="4:21" ht="9.75" customHeight="1">
      <c r="K109" s="1045"/>
      <c r="L109" s="252">
        <v>107</v>
      </c>
      <c r="M109" s="538">
        <f ca="1">KBA20namcamket!E110-S108</f>
        <v>1341574.0124595109</v>
      </c>
      <c r="N109" s="538">
        <f ca="1">VTL20namcamket!F110</f>
        <v>60</v>
      </c>
      <c r="O109" s="539">
        <f ca="1">IF('Tinh phi QL'!$H$9="Nam",VLOOKUP(KBACOI!$I$11,KBACOI!$D$3:$F$103,2,0)*M109/1000/12,IF('Tinh phi QL'!$H$9="Nữ",VLOOKUP(KBACOI!$I$11,KBACOI!$D$3:$F$103,3,0)*M109/1000/12,0))</f>
        <v>239.69455689276595</v>
      </c>
      <c r="P109" s="1043"/>
      <c r="Q109" s="539">
        <f ca="1">IF('Tinh phi QL'!$H$9="Nam",VLOOKUP(KBACOI!$I$11,KBACOI!$D$3:$F$103,2,0)*R109/1000/12,IF('Tinh phi QL'!$H$9="Nữ",VLOOKUP(KBACOI!$I$11,KBACOI!$D$3:$F$103,3,0)*R109/1000/12,0))</f>
        <v>238.25208306650839</v>
      </c>
      <c r="R109" s="539">
        <f ca="1">KBA20namMH!E110-U108</f>
        <v>1333500.4649244873</v>
      </c>
      <c r="S109" s="542">
        <f ca="1">(S108-N109-O109)*(1+KBA20namcamket!$U$3)</f>
        <v>58198.456062338155</v>
      </c>
      <c r="T109" s="1044"/>
      <c r="U109" s="542">
        <f ca="1">(U108-N109-Q109)*(1+KBA20namMH!$P$3)</f>
        <v>66449.856376233802</v>
      </c>
    </row>
    <row r="110" spans="4:21" ht="9.75" customHeight="1">
      <c r="K110" s="1045"/>
      <c r="L110" s="252">
        <v>108</v>
      </c>
      <c r="M110" s="538">
        <f ca="1">KBA20namcamket!E111-S109</f>
        <v>1341801.5439376619</v>
      </c>
      <c r="N110" s="538">
        <f ca="1">VTL20namcamket!F111</f>
        <v>60</v>
      </c>
      <c r="O110" s="539">
        <f ca="1">IF('Tinh phi QL'!$H$9="Nam",VLOOKUP(KBACOI!$I$11,KBACOI!$D$3:$F$103,2,0)*M110/1000/12,IF('Tinh phi QL'!$H$9="Nữ",VLOOKUP(KBACOI!$I$11,KBACOI!$D$3:$F$103,3,0)*M110/1000/12,0))</f>
        <v>239.73520918352892</v>
      </c>
      <c r="P110" s="1043"/>
      <c r="Q110" s="539">
        <f ca="1">IF('Tinh phi QL'!$H$9="Nam",VLOOKUP(KBACOI!$I$11,KBACOI!$D$3:$F$103,2,0)*R110/1000/12,IF('Tinh phi QL'!$H$9="Nữ",VLOOKUP(KBACOI!$I$11,KBACOI!$D$3:$F$103,3,0)*R110/1000/12,0))</f>
        <v>238.26095899411291</v>
      </c>
      <c r="R110" s="539">
        <f ca="1">KBA20namMH!E111-U109</f>
        <v>1333550.1436237663</v>
      </c>
      <c r="S110" s="543">
        <f ca="1">(S109-N110-O110)*(1+KBA20namcamket!$U$3)+P99</f>
        <v>58270.601403891946</v>
      </c>
      <c r="T110" s="1044"/>
      <c r="U110" s="543">
        <f ca="1">(U109-N110-Q110)*(1+KBA20namMH!$P$3)+T99</f>
        <v>66699.982233514587</v>
      </c>
    </row>
    <row r="111" spans="4:21" ht="9.75" customHeight="1">
      <c r="K111" s="1043">
        <f>K99+1</f>
        <v>10</v>
      </c>
      <c r="L111" s="262">
        <v>109</v>
      </c>
      <c r="M111" s="540">
        <f ca="1">KBA20namcamket!E112-S110-KBAGTTKcamket!F16</f>
        <v>1381929.398596108</v>
      </c>
      <c r="N111" s="538">
        <f ca="1">VTL20namcamket!F112</f>
        <v>60</v>
      </c>
      <c r="O111" s="541">
        <f ca="1">IF('Tinh phi QL'!$H$9="Nam",VLOOKUP(KBACOI!$I$12,KBACOI!$D$3:$F$103,2,0)*M111/1000/12,IF('Tinh phi QL'!$H$9="Nữ",VLOOKUP(KBACOI!$I$12,KBACOI!$D$3:$F$103,3,0)*M111/1000/12,0))</f>
        <v>267.17301706191421</v>
      </c>
      <c r="P111" s="1043">
        <f t="shared" ref="P111" si="7">P99</f>
        <v>300</v>
      </c>
      <c r="Q111" s="539">
        <f ca="1">IF('Tinh phi QL'!$H$9="Nam",VLOOKUP(KBACOI!$I$12,KBACOI!$D$3:$F$103,2,0)*R111/1000/12,IF('Tinh phi QL'!$H$9="Nữ",VLOOKUP(KBACOI!$I$12,KBACOI!$D$3:$F$103,3,0)*R111/1000/12,0))</f>
        <v>265.54333676818715</v>
      </c>
      <c r="R111" s="541">
        <f ca="1">KBA20namMH!E112-U110-KBAGTTKMH!F16</f>
        <v>1373500.0177664855</v>
      </c>
      <c r="S111" s="544">
        <f ca="1">(S110+KBAGTTKcamket!F16-N111-O111)*(1+KBA20namcamket!$U$3)</f>
        <v>67827.53102104245</v>
      </c>
      <c r="T111" s="1044">
        <f>P111</f>
        <v>300</v>
      </c>
      <c r="U111" s="542">
        <f ca="1">(U110+KBAGTTKMH!F16-N111-Q111)*(1+KBA20namMH!$P$3)</f>
        <v>76460.459607807876</v>
      </c>
    </row>
    <row r="112" spans="4:21" ht="9.75" customHeight="1">
      <c r="K112" s="1043"/>
      <c r="L112" s="262">
        <v>110</v>
      </c>
      <c r="M112" s="540">
        <f ca="1">KBA20namcamket!E113-S111</f>
        <v>1382172.4689789575</v>
      </c>
      <c r="N112" s="538">
        <f ca="1">VTL20namcamket!F113</f>
        <v>60</v>
      </c>
      <c r="O112" s="541">
        <f ca="1">IF('Tinh phi QL'!$H$9="Nam",VLOOKUP(KBACOI!$I$12,KBACOI!$D$3:$F$103,2,0)*M112/1000/12,IF('Tinh phi QL'!$H$9="Nữ",VLOOKUP(KBACOI!$I$12,KBACOI!$D$3:$F$103,3,0)*M112/1000/12,0))</f>
        <v>267.22001066926509</v>
      </c>
      <c r="P112" s="1043"/>
      <c r="Q112" s="539">
        <f ca="1">IF('Tinh phi QL'!$H$9="Nam",VLOOKUP(KBACOI!$I$12,KBACOI!$D$3:$F$103,2,0)*R112/1000/12,IF('Tinh phi QL'!$H$9="Nữ",VLOOKUP(KBACOI!$I$12,KBACOI!$D$3:$F$103,3,0)*R112/1000/12,0))</f>
        <v>265.55097780915713</v>
      </c>
      <c r="R112" s="541">
        <f ca="1">KBA20namMH!E113-U111</f>
        <v>1373539.5403921921</v>
      </c>
      <c r="S112" s="544">
        <f ca="1">(S111-N112-O112)*(1+KBA20namcamket!$U$3)</f>
        <v>67584.111817349069</v>
      </c>
      <c r="T112" s="1044"/>
      <c r="U112" s="542">
        <f ca="1">(U111-N112-Q112)*(1+KBA20namMH!$P$3)</f>
        <v>76420.780912333095</v>
      </c>
    </row>
    <row r="113" spans="11:21" ht="9.75" customHeight="1">
      <c r="K113" s="1043"/>
      <c r="L113" s="262">
        <v>111</v>
      </c>
      <c r="M113" s="540">
        <f ca="1">KBA20namcamket!E114-S112</f>
        <v>1382415.888182651</v>
      </c>
      <c r="N113" s="538">
        <f ca="1">VTL20namcamket!F114</f>
        <v>60</v>
      </c>
      <c r="O113" s="541">
        <f ca="1">IF('Tinh phi QL'!$H$9="Nam",VLOOKUP(KBACOI!$I$12,KBACOI!$D$3:$F$103,2,0)*M113/1000/12,IF('Tinh phi QL'!$H$9="Nữ",VLOOKUP(KBACOI!$I$12,KBACOI!$D$3:$F$103,3,0)*M113/1000/12,0))</f>
        <v>267.26707171531251</v>
      </c>
      <c r="P113" s="1043"/>
      <c r="Q113" s="539">
        <f ca="1">IF('Tinh phi QL'!$H$9="Nam",VLOOKUP(KBACOI!$I$12,KBACOI!$D$3:$F$103,2,0)*R113/1000/12,IF('Tinh phi QL'!$H$9="Nữ",VLOOKUP(KBACOI!$I$12,KBACOI!$D$3:$F$103,3,0)*R113/1000/12,0))</f>
        <v>265.55864902361554</v>
      </c>
      <c r="R113" s="541">
        <f ca="1">KBA20namMH!E114-U112</f>
        <v>1373579.2190876668</v>
      </c>
      <c r="S113" s="544">
        <f ca="1">(S112-N113-O113)*(1+KBA20namcamket!$U$3)</f>
        <v>67340.343292232603</v>
      </c>
      <c r="T113" s="1044"/>
      <c r="U113" s="542">
        <f ca="1">(U112-N113-Q113)*(1+KBA20namMH!$P$3)</f>
        <v>76380.945530790777</v>
      </c>
    </row>
    <row r="114" spans="11:21" ht="9.75" customHeight="1">
      <c r="K114" s="1043"/>
      <c r="L114" s="262">
        <v>112</v>
      </c>
      <c r="M114" s="540">
        <f ca="1">KBA20namcamket!E115-S113</f>
        <v>1382659.6567077674</v>
      </c>
      <c r="N114" s="538">
        <f ca="1">VTL20namcamket!F115</f>
        <v>60</v>
      </c>
      <c r="O114" s="541">
        <f ca="1">IF('Tinh phi QL'!$H$9="Nam",VLOOKUP(KBACOI!$I$12,KBACOI!$D$3:$F$103,2,0)*M114/1000/12,IF('Tinh phi QL'!$H$9="Nữ",VLOOKUP(KBACOI!$I$12,KBACOI!$D$3:$F$103,3,0)*M114/1000/12,0))</f>
        <v>267.314200296835</v>
      </c>
      <c r="P114" s="1043"/>
      <c r="Q114" s="539">
        <f ca="1">IF('Tinh phi QL'!$H$9="Nam",VLOOKUP(KBACOI!$I$12,KBACOI!$D$3:$F$103,2,0)*R114/1000/12,IF('Tinh phi QL'!$H$9="Nữ",VLOOKUP(KBACOI!$I$12,KBACOI!$D$3:$F$103,3,0)*R114/1000/12,0))</f>
        <v>265.56635053071375</v>
      </c>
      <c r="R114" s="541">
        <f ca="1">KBA20namMH!E115-U113</f>
        <v>1373619.0544692092</v>
      </c>
      <c r="S114" s="544">
        <f ca="1">(S113-N114-O114)*(1+KBA20namcamket!$U$3)</f>
        <v>67096.224944395464</v>
      </c>
      <c r="T114" s="1044"/>
      <c r="U114" s="542">
        <f ca="1">(U113-N114-Q114)*(1+KBA20namMH!$P$3)</f>
        <v>76340.952844447791</v>
      </c>
    </row>
    <row r="115" spans="11:21" ht="9.75" customHeight="1">
      <c r="K115" s="1043"/>
      <c r="L115" s="262">
        <v>113</v>
      </c>
      <c r="M115" s="540">
        <f ca="1">KBA20namcamket!E116-S114</f>
        <v>1382903.7750556045</v>
      </c>
      <c r="N115" s="538">
        <f ca="1">VTL20namcamket!F116</f>
        <v>60</v>
      </c>
      <c r="O115" s="541">
        <f ca="1">IF('Tinh phi QL'!$H$9="Nam",VLOOKUP(KBACOI!$I$12,KBACOI!$D$3:$F$103,2,0)*M115/1000/12,IF('Tinh phi QL'!$H$9="Nữ",VLOOKUP(KBACOI!$I$12,KBACOI!$D$3:$F$103,3,0)*M115/1000/12,0))</f>
        <v>267.36139651075018</v>
      </c>
      <c r="P115" s="1043"/>
      <c r="Q115" s="539">
        <f ca="1">IF('Tinh phi QL'!$H$9="Nam",VLOOKUP(KBACOI!$I$12,KBACOI!$D$3:$F$103,2,0)*R115/1000/12,IF('Tinh phi QL'!$H$9="Nữ",VLOOKUP(KBACOI!$I$12,KBACOI!$D$3:$F$103,3,0)*R115/1000/12,0))</f>
        <v>265.57408245007343</v>
      </c>
      <c r="R115" s="541">
        <f ca="1">KBA20namMH!E116-U114</f>
        <v>1373659.0471555523</v>
      </c>
      <c r="S115" s="544">
        <f ca="1">(S114-N115-O115)*(1+KBA20namcamket!$U$3)</f>
        <v>66851.75627182069</v>
      </c>
      <c r="T115" s="1044"/>
      <c r="U115" s="542">
        <f ca="1">(U114-N115-Q115)*(1+KBA20namMH!$P$3)</f>
        <v>76300.802232127709</v>
      </c>
    </row>
    <row r="116" spans="11:21" ht="9.75" customHeight="1">
      <c r="K116" s="1043"/>
      <c r="L116" s="262">
        <v>114</v>
      </c>
      <c r="M116" s="540">
        <f ca="1">KBA20namcamket!E117-S115</f>
        <v>1383148.2437281793</v>
      </c>
      <c r="N116" s="538">
        <f ca="1">VTL20namcamket!F117</f>
        <v>60</v>
      </c>
      <c r="O116" s="541">
        <f ca="1">IF('Tinh phi QL'!$H$9="Nam",VLOOKUP(KBACOI!$I$12,KBACOI!$D$3:$F$103,2,0)*M116/1000/12,IF('Tinh phi QL'!$H$9="Nữ",VLOOKUP(KBACOI!$I$12,KBACOI!$D$3:$F$103,3,0)*M116/1000/12,0))</f>
        <v>267.40866045411462</v>
      </c>
      <c r="P116" s="1043"/>
      <c r="Q116" s="539">
        <f ca="1">IF('Tinh phi QL'!$H$9="Nam",VLOOKUP(KBACOI!$I$12,KBACOI!$D$3:$F$103,2,0)*R116/1000/12,IF('Tinh phi QL'!$H$9="Nữ",VLOOKUP(KBACOI!$I$12,KBACOI!$D$3:$F$103,3,0)*R116/1000/12,0))</f>
        <v>265.58184490178866</v>
      </c>
      <c r="R116" s="541">
        <f ca="1">KBA20namMH!E117-U115</f>
        <v>1373699.1977678724</v>
      </c>
      <c r="S116" s="544">
        <f ca="1">(S115-N116-O116)*(1+KBA20namcamket!$U$3)</f>
        <v>66606.936771770896</v>
      </c>
      <c r="T116" s="1044"/>
      <c r="U116" s="542">
        <f ca="1">(U115-N116-Q116)*(1+KBA20namMH!$P$3)</f>
        <v>76260.493070201148</v>
      </c>
    </row>
    <row r="117" spans="11:21" ht="9.75" customHeight="1">
      <c r="K117" s="1043"/>
      <c r="L117" s="262">
        <v>115</v>
      </c>
      <c r="M117" s="540">
        <f ca="1">KBA20namcamket!E118-S116</f>
        <v>1383393.0632282291</v>
      </c>
      <c r="N117" s="538">
        <f ca="1">VTL20namcamket!F118</f>
        <v>60</v>
      </c>
      <c r="O117" s="541">
        <f ca="1">IF('Tinh phi QL'!$H$9="Nam",VLOOKUP(KBACOI!$I$12,KBACOI!$D$3:$F$103,2,0)*M117/1000/12,IF('Tinh phi QL'!$H$9="Nữ",VLOOKUP(KBACOI!$I$12,KBACOI!$D$3:$F$103,3,0)*M117/1000/12,0))</f>
        <v>267.45599222412426</v>
      </c>
      <c r="P117" s="1043"/>
      <c r="Q117" s="539">
        <f ca="1">IF('Tinh phi QL'!$H$9="Nam",VLOOKUP(KBACOI!$I$12,KBACOI!$D$3:$F$103,2,0)*R117/1000/12,IF('Tinh phi QL'!$H$9="Nữ",VLOOKUP(KBACOI!$I$12,KBACOI!$D$3:$F$103,3,0)*R117/1000/12,0))</f>
        <v>265.58963800642772</v>
      </c>
      <c r="R117" s="541">
        <f ca="1">KBA20namMH!E118-U116</f>
        <v>1373739.5069297988</v>
      </c>
      <c r="S117" s="544">
        <f ca="1">(S116-N117-O117)*(1+KBA20namcamket!$U$3)</f>
        <v>66361.765940787212</v>
      </c>
      <c r="T117" s="1044"/>
      <c r="U117" s="542">
        <f ca="1">(U116-N117-Q117)*(1+KBA20namMH!$P$3)</f>
        <v>76220.024732576087</v>
      </c>
    </row>
    <row r="118" spans="11:21" ht="9.75" customHeight="1">
      <c r="K118" s="1043"/>
      <c r="L118" s="262">
        <v>116</v>
      </c>
      <c r="M118" s="540">
        <f ca="1">KBA20namcamket!E119-S117</f>
        <v>1383638.2340592127</v>
      </c>
      <c r="N118" s="538">
        <f ca="1">VTL20namcamket!F119</f>
        <v>60</v>
      </c>
      <c r="O118" s="541">
        <f ca="1">IF('Tinh phi QL'!$H$9="Nam",VLOOKUP(KBACOI!$I$12,KBACOI!$D$3:$F$103,2,0)*M118/1000/12,IF('Tinh phi QL'!$H$9="Nữ",VLOOKUP(KBACOI!$I$12,KBACOI!$D$3:$F$103,3,0)*M118/1000/12,0))</f>
        <v>267.50339191811446</v>
      </c>
      <c r="P118" s="1043"/>
      <c r="Q118" s="539">
        <f ca="1">IF('Tinh phi QL'!$H$9="Nam",VLOOKUP(KBACOI!$I$12,KBACOI!$D$3:$F$103,2,0)*R118/1000/12,IF('Tinh phi QL'!$H$9="Nữ",VLOOKUP(KBACOI!$I$12,KBACOI!$D$3:$F$103,3,0)*R118/1000/12,0))</f>
        <v>265.59746188503533</v>
      </c>
      <c r="R118" s="541">
        <f ca="1">KBA20namMH!E119-U117</f>
        <v>1373779.975267424</v>
      </c>
      <c r="S118" s="544">
        <f ca="1">(S117-N118-O118)*(1+KBA20namcamket!$U$3)</f>
        <v>66116.243274688299</v>
      </c>
      <c r="T118" s="1044"/>
      <c r="U118" s="542">
        <f ca="1">(U117-N118-Q118)*(1+KBA20namMH!$P$3)</f>
        <v>76179.396590688164</v>
      </c>
    </row>
    <row r="119" spans="11:21" ht="9.75" customHeight="1">
      <c r="K119" s="1043"/>
      <c r="L119" s="262">
        <v>117</v>
      </c>
      <c r="M119" s="540">
        <f ca="1">KBA20namcamket!E120-S118</f>
        <v>1383883.7567253117</v>
      </c>
      <c r="N119" s="538">
        <f ca="1">VTL20namcamket!F120</f>
        <v>60</v>
      </c>
      <c r="O119" s="541">
        <f ca="1">IF('Tinh phi QL'!$H$9="Nam",VLOOKUP(KBACOI!$I$12,KBACOI!$D$3:$F$103,2,0)*M119/1000/12,IF('Tinh phi QL'!$H$9="Nữ",VLOOKUP(KBACOI!$I$12,KBACOI!$D$3:$F$103,3,0)*M119/1000/12,0))</f>
        <v>267.55085963356026</v>
      </c>
      <c r="P119" s="1043"/>
      <c r="Q119" s="539">
        <f ca="1">IF('Tinh phi QL'!$H$9="Nam",VLOOKUP(KBACOI!$I$12,KBACOI!$D$3:$F$103,2,0)*R119/1000/12,IF('Tinh phi QL'!$H$9="Nữ",VLOOKUP(KBACOI!$I$12,KBACOI!$D$3:$F$103,3,0)*R119/1000/12,0))</f>
        <v>265.60531665913356</v>
      </c>
      <c r="R119" s="541">
        <f ca="1">KBA20namMH!E120-U118</f>
        <v>1373820.6034093117</v>
      </c>
      <c r="S119" s="544">
        <f ca="1">(S118-N119-O119)*(1+KBA20namcamket!$U$3)</f>
        <v>65870.368268569291</v>
      </c>
      <c r="T119" s="1044"/>
      <c r="U119" s="542">
        <f ca="1">(U118-N119-Q119)*(1+KBA20namMH!$P$3)</f>
        <v>76138.60801349087</v>
      </c>
    </row>
    <row r="120" spans="11:21" ht="9.75" customHeight="1">
      <c r="K120" s="1043"/>
      <c r="L120" s="262">
        <v>118</v>
      </c>
      <c r="M120" s="540">
        <f ca="1">KBA20namcamket!E121-S119</f>
        <v>1384129.6317314308</v>
      </c>
      <c r="N120" s="538">
        <f ca="1">VTL20namcamket!F121</f>
        <v>60</v>
      </c>
      <c r="O120" s="541">
        <f ca="1">IF('Tinh phi QL'!$H$9="Nam",VLOOKUP(KBACOI!$I$12,KBACOI!$D$3:$F$103,2,0)*M120/1000/12,IF('Tinh phi QL'!$H$9="Nữ",VLOOKUP(KBACOI!$I$12,KBACOI!$D$3:$F$103,3,0)*M120/1000/12,0))</f>
        <v>267.5983954680766</v>
      </c>
      <c r="P120" s="1043"/>
      <c r="Q120" s="539">
        <f ca="1">IF('Tinh phi QL'!$H$9="Nam",VLOOKUP(KBACOI!$I$12,KBACOI!$D$3:$F$103,2,0)*R120/1000/12,IF('Tinh phi QL'!$H$9="Nữ",VLOOKUP(KBACOI!$I$12,KBACOI!$D$3:$F$103,3,0)*R120/1000/12,0))</f>
        <v>265.61320245072505</v>
      </c>
      <c r="R120" s="541">
        <f ca="1">KBA20namMH!E121-U119</f>
        <v>1373861.3919865091</v>
      </c>
      <c r="S120" s="544">
        <f ca="1">(S119-N120-O120)*(1+KBA20namcamket!$U$3)</f>
        <v>65624.140416800743</v>
      </c>
      <c r="T120" s="1044"/>
      <c r="U120" s="542">
        <f ca="1">(U119-N120-Q120)*(1+KBA20namMH!$P$3)</f>
        <v>76097.658367445809</v>
      </c>
    </row>
    <row r="121" spans="11:21" ht="9.75" customHeight="1">
      <c r="K121" s="1043"/>
      <c r="L121" s="262">
        <v>119</v>
      </c>
      <c r="M121" s="540">
        <f ca="1">KBA20namcamket!E122-S120</f>
        <v>1384375.8595831993</v>
      </c>
      <c r="N121" s="538">
        <f ca="1">VTL20namcamket!F122</f>
        <v>60</v>
      </c>
      <c r="O121" s="541">
        <f ca="1">IF('Tinh phi QL'!$H$9="Nam",VLOOKUP(KBACOI!$I$12,KBACOI!$D$3:$F$103,2,0)*M121/1000/12,IF('Tinh phi QL'!$H$9="Nữ",VLOOKUP(KBACOI!$I$12,KBACOI!$D$3:$F$103,3,0)*M121/1000/12,0))</f>
        <v>267.64599951941847</v>
      </c>
      <c r="P121" s="1043"/>
      <c r="Q121" s="539">
        <f ca="1">IF('Tinh phi QL'!$H$9="Nam",VLOOKUP(KBACOI!$I$12,KBACOI!$D$3:$F$103,2,0)*R121/1000/12,IF('Tinh phi QL'!$H$9="Nữ",VLOOKUP(KBACOI!$I$12,KBACOI!$D$3:$F$103,3,0)*R121/1000/12,0))</f>
        <v>265.62111938229378</v>
      </c>
      <c r="R121" s="541">
        <f ca="1">KBA20namMH!E122-U120</f>
        <v>1373902.3416325543</v>
      </c>
      <c r="S121" s="544">
        <f ca="1">(S120-N121-O121)*(1+KBA20namcamket!$U$3)</f>
        <v>65377.559213027584</v>
      </c>
      <c r="T121" s="1044"/>
      <c r="U121" s="542">
        <f ca="1">(U120-N121-Q121)*(1+KBA20namMH!$P$3)</f>
        <v>76056.547016512806</v>
      </c>
    </row>
    <row r="122" spans="11:21" ht="9.75" customHeight="1">
      <c r="K122" s="1043"/>
      <c r="L122" s="262">
        <v>120</v>
      </c>
      <c r="M122" s="540">
        <f ca="1">KBA20namcamket!E123-S121</f>
        <v>1384622.4407869724</v>
      </c>
      <c r="N122" s="538">
        <f ca="1">VTL20namcamket!F123</f>
        <v>60</v>
      </c>
      <c r="O122" s="541">
        <f ca="1">IF('Tinh phi QL'!$H$9="Nam",VLOOKUP(KBACOI!$I$12,KBACOI!$D$3:$F$103,2,0)*M122/1000/12,IF('Tinh phi QL'!$H$9="Nữ",VLOOKUP(KBACOI!$I$12,KBACOI!$D$3:$F$103,3,0)*M122/1000/12,0))</f>
        <v>267.69367188548131</v>
      </c>
      <c r="P122" s="1043"/>
      <c r="Q122" s="539">
        <f ca="1">IF('Tinh phi QL'!$H$9="Nam",VLOOKUP(KBACOI!$I$12,KBACOI!$D$3:$F$103,2,0)*R122/1000/12,IF('Tinh phi QL'!$H$9="Nữ",VLOOKUP(KBACOI!$I$12,KBACOI!$D$3:$F$103,3,0)*R122/1000/12,0))</f>
        <v>265.62906757680747</v>
      </c>
      <c r="R122" s="541">
        <f ca="1">KBA20namMH!E123-U121</f>
        <v>1373943.4529834872</v>
      </c>
      <c r="S122" s="545">
        <f ca="1">(S121-N122-O122)*(1+KBA20namcamket!$U$3)+P111</f>
        <v>65430.624150168114</v>
      </c>
      <c r="T122" s="1044"/>
      <c r="U122" s="543">
        <f ca="1">(U121-N122-Q122)*(1+KBA20namMH!$P$3)+T111</f>
        <v>76315.273322140041</v>
      </c>
    </row>
    <row r="123" spans="11:21" ht="9.75" customHeight="1">
      <c r="K123" s="1045">
        <f>K111+1</f>
        <v>11</v>
      </c>
      <c r="L123" s="252">
        <v>121</v>
      </c>
      <c r="M123" s="538">
        <f ca="1">KBA20namcamket!E124-S122-KBAGTTKcamket!F17</f>
        <v>1424569.3758498318</v>
      </c>
      <c r="N123" s="538">
        <f ca="1">VTL20namcamket!F124</f>
        <v>60</v>
      </c>
      <c r="O123" s="539">
        <f ca="1">IF('Tinh phi QL'!$H$9="Nam",VLOOKUP(KBACOI!$I$13,KBACOI!$D$3:$F$103,2,0)*M123/1000/12,IF('Tinh phi QL'!$H$9="Nữ",VLOOKUP(KBACOI!$I$13,KBACOI!$D$3:$F$103,3,0)*M123/1000/12,0))</f>
        <v>299.15956892846469</v>
      </c>
      <c r="P123" s="1043">
        <f t="shared" ref="P123" si="8">P111</f>
        <v>300</v>
      </c>
      <c r="Q123" s="539">
        <f ca="1">IF('Tinh phi QL'!$H$9="Nam",VLOOKUP(KBACOI!$I$13,KBACOI!$D$3:$F$103,2,0)*R123/1000/12,IF('Tinh phi QL'!$H$9="Nữ",VLOOKUP(KBACOI!$I$13,KBACOI!$D$3:$F$103,3,0)*R123/1000/12,0))</f>
        <v>296.87379260235059</v>
      </c>
      <c r="R123" s="539">
        <f ca="1">KBA20namMH!E124-U122-KBAGTTKMH!F17</f>
        <v>1413684.7266778599</v>
      </c>
      <c r="S123" s="542">
        <f ca="1">(S122+KBAGTTKcamket!F17-N123-O123)*(1+KBA20namcamket!$V$3)</f>
        <v>75133.739222409582</v>
      </c>
      <c r="T123" s="1044">
        <f>P123</f>
        <v>300</v>
      </c>
      <c r="U123" s="542">
        <f ca="1">(U122+KBAGTTKMH!F17-N123-Q123)*(1+KBA20namMH!$P$3)</f>
        <v>86281.157175163025</v>
      </c>
    </row>
    <row r="124" spans="11:21" ht="9.75" customHeight="1">
      <c r="K124" s="1045"/>
      <c r="L124" s="252">
        <v>122</v>
      </c>
      <c r="M124" s="538">
        <f ca="1">KBA20namcamket!E125-S123</f>
        <v>1424866.2607775903</v>
      </c>
      <c r="N124" s="538">
        <f ca="1">VTL20namcamket!F125</f>
        <v>60</v>
      </c>
      <c r="O124" s="539">
        <f ca="1">IF('Tinh phi QL'!$H$9="Nam",VLOOKUP(KBACOI!$I$13,KBACOI!$D$3:$F$103,2,0)*M124/1000/12,IF('Tinh phi QL'!$H$9="Nữ",VLOOKUP(KBACOI!$I$13,KBACOI!$D$3:$F$103,3,0)*M124/1000/12,0))</f>
        <v>299.22191476329397</v>
      </c>
      <c r="P124" s="1043"/>
      <c r="Q124" s="539">
        <f ca="1">IF('Tinh phi QL'!$H$9="Nam",VLOOKUP(KBACOI!$I$13,KBACOI!$D$3:$F$103,2,0)*R124/1000/12,IF('Tinh phi QL'!$H$9="Nữ",VLOOKUP(KBACOI!$I$13,KBACOI!$D$3:$F$103,3,0)*R124/1000/12,0))</f>
        <v>296.88095699321576</v>
      </c>
      <c r="R124" s="539">
        <f ca="1">KBA20namMH!E125-U123</f>
        <v>1413718.842824837</v>
      </c>
      <c r="S124" s="542">
        <f ca="1">(S123-N124-O124)*(1+KBA20namcamket!$V$3)</f>
        <v>74836.54561973481</v>
      </c>
      <c r="T124" s="1044"/>
      <c r="U124" s="542">
        <f ca="1">(U123-N124-Q124)*(1+KBA20namMH!$P$3)</f>
        <v>86246.90573716996</v>
      </c>
    </row>
    <row r="125" spans="11:21" ht="9.75" customHeight="1">
      <c r="K125" s="1045"/>
      <c r="L125" s="252">
        <v>123</v>
      </c>
      <c r="M125" s="538">
        <f ca="1">KBA20namcamket!E126-S124</f>
        <v>1425163.4543802652</v>
      </c>
      <c r="N125" s="538">
        <f ca="1">VTL20namcamket!F126</f>
        <v>60</v>
      </c>
      <c r="O125" s="539">
        <f ca="1">IF('Tinh phi QL'!$H$9="Nam",VLOOKUP(KBACOI!$I$13,KBACOI!$D$3:$F$103,2,0)*M125/1000/12,IF('Tinh phi QL'!$H$9="Nữ",VLOOKUP(KBACOI!$I$13,KBACOI!$D$3:$F$103,3,0)*M125/1000/12,0))</f>
        <v>299.28432541985569</v>
      </c>
      <c r="P125" s="1043"/>
      <c r="Q125" s="539">
        <f ca="1">IF('Tinh phi QL'!$H$9="Nam",VLOOKUP(KBACOI!$I$13,KBACOI!$D$3:$F$103,2,0)*R125/1000/12,IF('Tinh phi QL'!$H$9="Nữ",VLOOKUP(KBACOI!$I$13,KBACOI!$D$3:$F$103,3,0)*R125/1000/12,0))</f>
        <v>296.88814979519429</v>
      </c>
      <c r="R125" s="539">
        <f ca="1">KBA20namMH!E126-U124</f>
        <v>1413753.09426283</v>
      </c>
      <c r="S125" s="542">
        <f ca="1">(S124-N125-O125)*(1+KBA20namcamket!$V$3)</f>
        <v>74539.043021210717</v>
      </c>
      <c r="T125" s="1044"/>
      <c r="U125" s="542">
        <f ca="1">(U124-N125-Q125)*(1+KBA20namMH!$P$3)</f>
        <v>86212.518471650692</v>
      </c>
    </row>
    <row r="126" spans="11:21" ht="9.75" customHeight="1">
      <c r="K126" s="1045"/>
      <c r="L126" s="252">
        <v>124</v>
      </c>
      <c r="M126" s="538">
        <f ca="1">KBA20namcamket!E127-S125</f>
        <v>1425460.9569787893</v>
      </c>
      <c r="N126" s="538">
        <f ca="1">VTL20namcamket!F127</f>
        <v>60</v>
      </c>
      <c r="O126" s="539">
        <f ca="1">IF('Tinh phi QL'!$H$9="Nam",VLOOKUP(KBACOI!$I$13,KBACOI!$D$3:$F$103,2,0)*M126/1000/12,IF('Tinh phi QL'!$H$9="Nữ",VLOOKUP(KBACOI!$I$13,KBACOI!$D$3:$F$103,3,0)*M126/1000/12,0))</f>
        <v>299.34680096554575</v>
      </c>
      <c r="P126" s="1043"/>
      <c r="Q126" s="539">
        <f ca="1">IF('Tinh phi QL'!$H$9="Nam",VLOOKUP(KBACOI!$I$13,KBACOI!$D$3:$F$103,2,0)*R126/1000/12,IF('Tinh phi QL'!$H$9="Nữ",VLOOKUP(KBACOI!$I$13,KBACOI!$D$3:$F$103,3,0)*R126/1000/12,0))</f>
        <v>296.89537112095337</v>
      </c>
      <c r="R126" s="539">
        <f ca="1">KBA20namMH!E127-U125</f>
        <v>1413787.4815283492</v>
      </c>
      <c r="S126" s="542">
        <f ca="1">(S125-N126-O126)*(1+KBA20namcamket!$V$3)</f>
        <v>74241.231105570478</v>
      </c>
      <c r="T126" s="1044"/>
      <c r="U126" s="542">
        <f ca="1">(U125-N126-Q126)*(1+KBA20namMH!$P$3)</f>
        <v>86177.994839967505</v>
      </c>
    </row>
    <row r="127" spans="11:21" ht="9.75" customHeight="1">
      <c r="K127" s="1045"/>
      <c r="L127" s="252">
        <v>125</v>
      </c>
      <c r="M127" s="538">
        <f ca="1">KBA20namcamket!E128-S126</f>
        <v>1425758.7688944296</v>
      </c>
      <c r="N127" s="538">
        <f ca="1">VTL20namcamket!F128</f>
        <v>60</v>
      </c>
      <c r="O127" s="539">
        <f ca="1">IF('Tinh phi QL'!$H$9="Nam",VLOOKUP(KBACOI!$I$13,KBACOI!$D$3:$F$103,2,0)*M127/1000/12,IF('Tinh phi QL'!$H$9="Nữ",VLOOKUP(KBACOI!$I$13,KBACOI!$D$3:$F$103,3,0)*M127/1000/12,0))</f>
        <v>299.40934146783019</v>
      </c>
      <c r="P127" s="1043"/>
      <c r="Q127" s="539">
        <f ca="1">IF('Tinh phi QL'!$H$9="Nam",VLOOKUP(KBACOI!$I$13,KBACOI!$D$3:$F$103,2,0)*R127/1000/12,IF('Tinh phi QL'!$H$9="Nữ",VLOOKUP(KBACOI!$I$13,KBACOI!$D$3:$F$103,3,0)*R127/1000/12,0))</f>
        <v>296.90262108360685</v>
      </c>
      <c r="R127" s="539">
        <f ca="1">KBA20namMH!E128-U126</f>
        <v>1413822.0051600325</v>
      </c>
      <c r="S127" s="542">
        <f ca="1">(S126-N127-O127)*(1+KBA20namcamket!$V$3)</f>
        <v>73943.109551213289</v>
      </c>
      <c r="T127" s="1044"/>
      <c r="U127" s="542">
        <f ca="1">(U126-N127-Q127)*(1+KBA20namMH!$P$3)</f>
        <v>86143.334301346636</v>
      </c>
    </row>
    <row r="128" spans="11:21" ht="9.75" customHeight="1">
      <c r="K128" s="1045"/>
      <c r="L128" s="252">
        <v>126</v>
      </c>
      <c r="M128" s="538">
        <f ca="1">KBA20namcamket!E129-S127</f>
        <v>1426056.8904487868</v>
      </c>
      <c r="N128" s="538">
        <f ca="1">VTL20namcamket!F129</f>
        <v>60</v>
      </c>
      <c r="O128" s="539">
        <f ca="1">IF('Tinh phi QL'!$H$9="Nam",VLOOKUP(KBACOI!$I$13,KBACOI!$D$3:$F$103,2,0)*M128/1000/12,IF('Tinh phi QL'!$H$9="Nữ",VLOOKUP(KBACOI!$I$13,KBACOI!$D$3:$F$103,3,0)*M128/1000/12,0))</f>
        <v>299.47194699424523</v>
      </c>
      <c r="P128" s="1043"/>
      <c r="Q128" s="539">
        <f ca="1">IF('Tinh phi QL'!$H$9="Nam",VLOOKUP(KBACOI!$I$13,KBACOI!$D$3:$F$103,2,0)*R128/1000/12,IF('Tinh phi QL'!$H$9="Nữ",VLOOKUP(KBACOI!$I$13,KBACOI!$D$3:$F$103,3,0)*R128/1000/12,0))</f>
        <v>296.90989979671718</v>
      </c>
      <c r="R128" s="539">
        <f ca="1">KBA20namMH!E129-U127</f>
        <v>1413856.6656986533</v>
      </c>
      <c r="S128" s="542">
        <f ca="1">(S127-N128-O128)*(1+KBA20namcamket!$V$3)</f>
        <v>73644.678036203972</v>
      </c>
      <c r="T128" s="1044"/>
      <c r="U128" s="542">
        <f ca="1">(U127-N128-Q128)*(1+KBA20namMH!$P$3)</f>
        <v>86108.536312869823</v>
      </c>
    </row>
    <row r="129" spans="11:21" ht="9.75" customHeight="1">
      <c r="K129" s="1045"/>
      <c r="L129" s="252">
        <v>127</v>
      </c>
      <c r="M129" s="538">
        <f ca="1">KBA20namcamket!E130-S128</f>
        <v>1426355.3219637959</v>
      </c>
      <c r="N129" s="538">
        <f ca="1">VTL20namcamket!F130</f>
        <v>60</v>
      </c>
      <c r="O129" s="539">
        <f ca="1">IF('Tinh phi QL'!$H$9="Nam",VLOOKUP(KBACOI!$I$13,KBACOI!$D$3:$F$103,2,0)*M129/1000/12,IF('Tinh phi QL'!$H$9="Nữ",VLOOKUP(KBACOI!$I$13,KBACOI!$D$3:$F$103,3,0)*M129/1000/12,0))</f>
        <v>299.53461761239714</v>
      </c>
      <c r="P129" s="1043"/>
      <c r="Q129" s="539">
        <f ca="1">IF('Tinh phi QL'!$H$9="Nam",VLOOKUP(KBACOI!$I$13,KBACOI!$D$3:$F$103,2,0)*R129/1000/12,IF('Tinh phi QL'!$H$9="Nữ",VLOOKUP(KBACOI!$I$13,KBACOI!$D$3:$F$103,3,0)*R129/1000/12,0))</f>
        <v>296.91720737429733</v>
      </c>
      <c r="R129" s="539">
        <f ca="1">KBA20namMH!E130-U128</f>
        <v>1413891.4636871303</v>
      </c>
      <c r="S129" s="542">
        <f ca="1">(S128-N129-O129)*(1+KBA20namcamket!$V$3)</f>
        <v>73345.936238272625</v>
      </c>
      <c r="T129" s="1044"/>
      <c r="U129" s="542">
        <f ca="1">(U128-N129-Q129)*(1+KBA20namMH!$P$3)</f>
        <v>86073.600329465844</v>
      </c>
    </row>
    <row r="130" spans="11:21" ht="9.75" customHeight="1">
      <c r="K130" s="1045"/>
      <c r="L130" s="252">
        <v>128</v>
      </c>
      <c r="M130" s="538">
        <f ca="1">KBA20namcamket!E131-S129</f>
        <v>1426654.0637617274</v>
      </c>
      <c r="N130" s="538">
        <f ca="1">VTL20namcamket!F131</f>
        <v>60</v>
      </c>
      <c r="O130" s="539">
        <f ca="1">IF('Tinh phi QL'!$H$9="Nam",VLOOKUP(KBACOI!$I$13,KBACOI!$D$3:$F$103,2,0)*M130/1000/12,IF('Tinh phi QL'!$H$9="Nữ",VLOOKUP(KBACOI!$I$13,KBACOI!$D$3:$F$103,3,0)*M130/1000/12,0))</f>
        <v>299.59735338996273</v>
      </c>
      <c r="P130" s="1043"/>
      <c r="Q130" s="539">
        <f ca="1">IF('Tinh phi QL'!$H$9="Nam",VLOOKUP(KBACOI!$I$13,KBACOI!$D$3:$F$103,2,0)*R130/1000/12,IF('Tinh phi QL'!$H$9="Nữ",VLOOKUP(KBACOI!$I$13,KBACOI!$D$3:$F$103,3,0)*R130/1000/12,0))</f>
        <v>296.92454393081215</v>
      </c>
      <c r="R130" s="539">
        <f ca="1">KBA20namMH!E131-U129</f>
        <v>1413926.3996705341</v>
      </c>
      <c r="S130" s="542">
        <f ca="1">(S129-N130-O130)*(1+KBA20namcamket!$V$3)</f>
        <v>73046.88383481426</v>
      </c>
      <c r="T130" s="1044"/>
      <c r="U130" s="542">
        <f ca="1">(U129-N130-Q130)*(1+KBA20namMH!$P$3)</f>
        <v>86038.52580390191</v>
      </c>
    </row>
    <row r="131" spans="11:21" ht="9.75" customHeight="1">
      <c r="K131" s="1045"/>
      <c r="L131" s="252">
        <v>129</v>
      </c>
      <c r="M131" s="538">
        <f ca="1">KBA20namcamket!E132-S130</f>
        <v>1426953.1161651858</v>
      </c>
      <c r="N131" s="538">
        <f ca="1">VTL20namcamket!F132</f>
        <v>60</v>
      </c>
      <c r="O131" s="539">
        <f ca="1">IF('Tinh phi QL'!$H$9="Nam",VLOOKUP(KBACOI!$I$13,KBACOI!$D$3:$F$103,2,0)*M131/1000/12,IF('Tinh phi QL'!$H$9="Nữ",VLOOKUP(KBACOI!$I$13,KBACOI!$D$3:$F$103,3,0)*M131/1000/12,0))</f>
        <v>299.66015439468902</v>
      </c>
      <c r="P131" s="1043"/>
      <c r="Q131" s="539">
        <f ca="1">IF('Tinh phi QL'!$H$9="Nam",VLOOKUP(KBACOI!$I$13,KBACOI!$D$3:$F$103,2,0)*R131/1000/12,IF('Tinh phi QL'!$H$9="Nữ",VLOOKUP(KBACOI!$I$13,KBACOI!$D$3:$F$103,3,0)*R131/1000/12,0))</f>
        <v>296.93190958118061</v>
      </c>
      <c r="R131" s="539">
        <f ca="1">KBA20namMH!E132-U130</f>
        <v>1413961.474196098</v>
      </c>
      <c r="S131" s="542">
        <f ca="1">(S130-N131-O131)*(1+KBA20namcamket!$V$3)</f>
        <v>72747.520502888481</v>
      </c>
      <c r="T131" s="1044"/>
      <c r="U131" s="542">
        <f ca="1">(U130-N131-Q131)*(1+KBA20namMH!$P$3)</f>
        <v>86003.312186775147</v>
      </c>
    </row>
    <row r="132" spans="11:21" ht="9.75" customHeight="1">
      <c r="K132" s="1045"/>
      <c r="L132" s="252">
        <v>130</v>
      </c>
      <c r="M132" s="538">
        <f ca="1">KBA20namcamket!E133-S131</f>
        <v>1427252.4794971114</v>
      </c>
      <c r="N132" s="538">
        <f ca="1">VTL20namcamket!F133</f>
        <v>60</v>
      </c>
      <c r="O132" s="539">
        <f ca="1">IF('Tinh phi QL'!$H$9="Nam",VLOOKUP(KBACOI!$I$13,KBACOI!$D$3:$F$103,2,0)*M132/1000/12,IF('Tinh phi QL'!$H$9="Nữ",VLOOKUP(KBACOI!$I$13,KBACOI!$D$3:$F$103,3,0)*M132/1000/12,0))</f>
        <v>299.72302069439337</v>
      </c>
      <c r="P132" s="1043"/>
      <c r="Q132" s="539">
        <f ca="1">IF('Tinh phi QL'!$H$9="Nam",VLOOKUP(KBACOI!$I$13,KBACOI!$D$3:$F$103,2,0)*R132/1000/12,IF('Tinh phi QL'!$H$9="Nữ",VLOOKUP(KBACOI!$I$13,KBACOI!$D$3:$F$103,3,0)*R132/1000/12,0))</f>
        <v>296.93930444077722</v>
      </c>
      <c r="R132" s="539">
        <f ca="1">KBA20namMH!E133-U131</f>
        <v>1413996.6878132247</v>
      </c>
      <c r="S132" s="542">
        <f ca="1">(S131-N132-O132)*(1+KBA20namcamket!$V$3)</f>
        <v>72447.845919219137</v>
      </c>
      <c r="T132" s="1044"/>
      <c r="U132" s="542">
        <f ca="1">(U131-N132-Q132)*(1+KBA20namMH!$P$3)</f>
        <v>85967.958926503939</v>
      </c>
    </row>
    <row r="133" spans="11:21" ht="9.75" customHeight="1">
      <c r="K133" s="1045"/>
      <c r="L133" s="252">
        <v>131</v>
      </c>
      <c r="M133" s="538">
        <f ca="1">KBA20namcamket!E134-S132</f>
        <v>1427552.1540807809</v>
      </c>
      <c r="N133" s="538">
        <f ca="1">VTL20namcamket!F134</f>
        <v>60</v>
      </c>
      <c r="O133" s="539">
        <f ca="1">IF('Tinh phi QL'!$H$9="Nam",VLOOKUP(KBACOI!$I$13,KBACOI!$D$3:$F$103,2,0)*M133/1000/12,IF('Tinh phi QL'!$H$9="Nữ",VLOOKUP(KBACOI!$I$13,KBACOI!$D$3:$F$103,3,0)*M133/1000/12,0))</f>
        <v>299.785952356964</v>
      </c>
      <c r="P133" s="1043"/>
      <c r="Q133" s="539">
        <f ca="1">IF('Tinh phi QL'!$H$9="Nam",VLOOKUP(KBACOI!$I$13,KBACOI!$D$3:$F$103,2,0)*R133/1000/12,IF('Tinh phi QL'!$H$9="Nữ",VLOOKUP(KBACOI!$I$13,KBACOI!$D$3:$F$103,3,0)*R133/1000/12,0))</f>
        <v>296.9467286254341</v>
      </c>
      <c r="R133" s="539">
        <f ca="1">KBA20namMH!E134-U132</f>
        <v>1414032.041073496</v>
      </c>
      <c r="S133" s="542">
        <f ca="1">(S132-N133-O133)*(1+KBA20namcamket!$V$3)</f>
        <v>72147.859760193955</v>
      </c>
      <c r="T133" s="1044"/>
      <c r="U133" s="542">
        <f ca="1">(U132-N133-Q133)*(1+KBA20namMH!$P$3)</f>
        <v>85932.465469319344</v>
      </c>
    </row>
    <row r="134" spans="11:21" ht="9.75" customHeight="1">
      <c r="K134" s="1045"/>
      <c r="L134" s="252">
        <v>132</v>
      </c>
      <c r="M134" s="538">
        <f ca="1">KBA20namcamket!E135-S133</f>
        <v>1427852.1402398061</v>
      </c>
      <c r="N134" s="538">
        <f ca="1">VTL20namcamket!F135</f>
        <v>60</v>
      </c>
      <c r="O134" s="539">
        <f ca="1">IF('Tinh phi QL'!$H$9="Nam",VLOOKUP(KBACOI!$I$13,KBACOI!$D$3:$F$103,2,0)*M134/1000/12,IF('Tinh phi QL'!$H$9="Nữ",VLOOKUP(KBACOI!$I$13,KBACOI!$D$3:$F$103,3,0)*M134/1000/12,0))</f>
        <v>299.84894945035927</v>
      </c>
      <c r="P134" s="1043"/>
      <c r="Q134" s="539">
        <f ca="1">IF('Tinh phi QL'!$H$9="Nam",VLOOKUP(KBACOI!$I$13,KBACOI!$D$3:$F$103,2,0)*R134/1000/12,IF('Tinh phi QL'!$H$9="Nữ",VLOOKUP(KBACOI!$I$13,KBACOI!$D$3:$F$103,3,0)*R134/1000/12,0))</f>
        <v>296.95418225144289</v>
      </c>
      <c r="R134" s="539">
        <f ca="1">KBA20namMH!E135-U133</f>
        <v>1414067.5345306806</v>
      </c>
      <c r="S134" s="543">
        <f ca="1">(S133-N134-O134)*(1+KBA20namcamket!$V$3)+P123</f>
        <v>72147.561701864208</v>
      </c>
      <c r="T134" s="1044"/>
      <c r="U134" s="543">
        <f ca="1">(U133-N134-Q134)*(1+KBA20namMH!$P$3)+T123</f>
        <v>86196.831259256389</v>
      </c>
    </row>
    <row r="135" spans="11:21" ht="9.75" customHeight="1">
      <c r="K135" s="1043">
        <f>K123+1</f>
        <v>12</v>
      </c>
      <c r="L135" s="262">
        <v>133</v>
      </c>
      <c r="M135" s="540">
        <f ca="1">KBA20namcamket!E136-S134-KBAGTTKcamket!F18</f>
        <v>1417852.4382981358</v>
      </c>
      <c r="N135" s="538">
        <f ca="1">VTL20namcamket!F136</f>
        <v>60</v>
      </c>
      <c r="O135" s="541">
        <f ca="1">IF('Tinh phi QL'!$H$9="Nam",VLOOKUP(KBACOI!$I$14,KBACOI!$D$3:$F$103,2,0)*M135/1000/12,IF('Tinh phi QL'!$H$9="Nữ",VLOOKUP(KBACOI!$I$14,KBACOI!$D$3:$F$103,3,0)*M135/1000/12,0))</f>
        <v>323.27035593197496</v>
      </c>
      <c r="P135" s="1043">
        <f t="shared" ref="P135" si="9">P123</f>
        <v>300</v>
      </c>
      <c r="Q135" s="539">
        <f ca="1">IF('Tinh phi QL'!$H$9="Nam",VLOOKUP(KBACOI!$I$14,KBACOI!$D$3:$F$103,2,0)*R135/1000/12,IF('Tinh phi QL'!$H$9="Nữ",VLOOKUP(KBACOI!$I$14,KBACOI!$D$3:$F$103,3,0)*R135/1000/12,0))</f>
        <v>320.06712247288959</v>
      </c>
      <c r="R135" s="541">
        <f ca="1">KBA20namMH!E136-U134-KBAGTTKMH!F18</f>
        <v>1403803.1687407435</v>
      </c>
      <c r="S135" s="544">
        <f ca="1">(S134+KBAGTTKcamket!F18-N135-O135)*(1+KBA20namcamket!$V$3)</f>
        <v>81832.117941996185</v>
      </c>
      <c r="T135" s="1044">
        <f>P135</f>
        <v>300</v>
      </c>
      <c r="U135" s="542">
        <f ca="1">(U134+KBAGTTKMH!F18-N135-Q135)*(1+KBA20namMH!$P$3)</f>
        <v>96176.538089922309</v>
      </c>
    </row>
    <row r="136" spans="11:21" ht="9.75" customHeight="1">
      <c r="K136" s="1043"/>
      <c r="L136" s="262">
        <v>134</v>
      </c>
      <c r="M136" s="540">
        <f ca="1">KBA20namcamket!E137-S135</f>
        <v>1418167.8820580039</v>
      </c>
      <c r="N136" s="538">
        <f ca="1">VTL20namcamket!F137</f>
        <v>60</v>
      </c>
      <c r="O136" s="541">
        <f ca="1">IF('Tinh phi QL'!$H$9="Nam",VLOOKUP(KBACOI!$I$14,KBACOI!$D$3:$F$103,2,0)*M136/1000/12,IF('Tinh phi QL'!$H$9="Nữ",VLOOKUP(KBACOI!$I$14,KBACOI!$D$3:$F$103,3,0)*M136/1000/12,0))</f>
        <v>323.34227710922494</v>
      </c>
      <c r="P136" s="1043"/>
      <c r="Q136" s="539">
        <f ca="1">IF('Tinh phi QL'!$H$9="Nam",VLOOKUP(KBACOI!$I$14,KBACOI!$D$3:$F$103,2,0)*R136/1000/12,IF('Tinh phi QL'!$H$9="Nữ",VLOOKUP(KBACOI!$I$14,KBACOI!$D$3:$F$103,3,0)*R136/1000/12,0))</f>
        <v>320.07174931549775</v>
      </c>
      <c r="R136" s="541">
        <f ca="1">KBA20namMH!E137-U135</f>
        <v>1403823.4619100776</v>
      </c>
      <c r="S136" s="544">
        <f ca="1">(S135-N136-O136)*(1+KBA20namcamket!$V$3)</f>
        <v>81516.340528667803</v>
      </c>
      <c r="T136" s="1044"/>
      <c r="U136" s="542">
        <f ca="1">(U135-N136-Q136)*(1+KBA20namMH!$P$3)</f>
        <v>96156.164079333277</v>
      </c>
    </row>
    <row r="137" spans="11:21" ht="9.75" customHeight="1">
      <c r="K137" s="1043"/>
      <c r="L137" s="262">
        <v>135</v>
      </c>
      <c r="M137" s="540">
        <f ca="1">KBA20namcamket!E138-S136</f>
        <v>1418483.6594713321</v>
      </c>
      <c r="N137" s="538">
        <f ca="1">VTL20namcamket!F138</f>
        <v>60</v>
      </c>
      <c r="O137" s="541">
        <f ca="1">IF('Tinh phi QL'!$H$9="Nam",VLOOKUP(KBACOI!$I$14,KBACOI!$D$3:$F$103,2,0)*M137/1000/12,IF('Tinh phi QL'!$H$9="Nữ",VLOOKUP(KBACOI!$I$14,KBACOI!$D$3:$F$103,3,0)*M137/1000/12,0))</f>
        <v>323.41427435946372</v>
      </c>
      <c r="P137" s="1043"/>
      <c r="Q137" s="539">
        <f ca="1">IF('Tinh phi QL'!$H$9="Nam",VLOOKUP(KBACOI!$I$14,KBACOI!$D$3:$F$103,2,0)*R137/1000/12,IF('Tinh phi QL'!$H$9="Nữ",VLOOKUP(KBACOI!$I$14,KBACOI!$D$3:$F$103,3,0)*R137/1000/12,0))</f>
        <v>320.07639458991207</v>
      </c>
      <c r="R137" s="541">
        <f ca="1">KBA20namMH!E138-U136</f>
        <v>1403843.8359206668</v>
      </c>
      <c r="S137" s="544">
        <f ca="1">(S136-N137-O137)*(1+KBA20namcamket!$V$3)</f>
        <v>81200.229108964733</v>
      </c>
      <c r="T137" s="1044"/>
      <c r="U137" s="542">
        <f ca="1">(U136-N137-Q137)*(1+KBA20namMH!$P$3)</f>
        <v>96135.708905444568</v>
      </c>
    </row>
    <row r="138" spans="11:21" ht="9.75" customHeight="1">
      <c r="K138" s="1043"/>
      <c r="L138" s="262">
        <v>136</v>
      </c>
      <c r="M138" s="540">
        <f ca="1">KBA20namcamket!E139-S137</f>
        <v>1418799.7708910352</v>
      </c>
      <c r="N138" s="538">
        <f ca="1">VTL20namcamket!F139</f>
        <v>60</v>
      </c>
      <c r="O138" s="541">
        <f ca="1">IF('Tinh phi QL'!$H$9="Nam",VLOOKUP(KBACOI!$I$14,KBACOI!$D$3:$F$103,2,0)*M138/1000/12,IF('Tinh phi QL'!$H$9="Nữ",VLOOKUP(KBACOI!$I$14,KBACOI!$D$3:$F$103,3,0)*M138/1000/12,0))</f>
        <v>323.48634776315606</v>
      </c>
      <c r="P138" s="1043"/>
      <c r="Q138" s="539">
        <f ca="1">IF('Tinh phi QL'!$H$9="Nam",VLOOKUP(KBACOI!$I$14,KBACOI!$D$3:$F$103,2,0)*R138/1000/12,IF('Tinh phi QL'!$H$9="Nữ",VLOOKUP(KBACOI!$I$14,KBACOI!$D$3:$F$103,3,0)*R138/1000/12,0))</f>
        <v>320.08105836955866</v>
      </c>
      <c r="R138" s="541">
        <f ca="1">KBA20namMH!E139-U137</f>
        <v>1403864.2910945555</v>
      </c>
      <c r="S138" s="544">
        <f ca="1">(S137-N138-O138)*(1+KBA20namcamket!$V$3)</f>
        <v>80883.783329599304</v>
      </c>
      <c r="T138" s="1044"/>
      <c r="U138" s="542">
        <f ca="1">(U137-N138-Q138)*(1+KBA20namMH!$P$3)</f>
        <v>96115.172244928501</v>
      </c>
    </row>
    <row r="139" spans="11:21" ht="9.75" customHeight="1">
      <c r="K139" s="1043"/>
      <c r="L139" s="262">
        <v>137</v>
      </c>
      <c r="M139" s="540">
        <f ca="1">KBA20namcamket!E140-S138</f>
        <v>1419116.2166704007</v>
      </c>
      <c r="N139" s="538">
        <f ca="1">VTL20namcamket!F140</f>
        <v>60</v>
      </c>
      <c r="O139" s="541">
        <f ca="1">IF('Tinh phi QL'!$H$9="Nam",VLOOKUP(KBACOI!$I$14,KBACOI!$D$3:$F$103,2,0)*M139/1000/12,IF('Tinh phi QL'!$H$9="Nữ",VLOOKUP(KBACOI!$I$14,KBACOI!$D$3:$F$103,3,0)*M139/1000/12,0))</f>
        <v>323.55849740085137</v>
      </c>
      <c r="P139" s="1043"/>
      <c r="Q139" s="539">
        <f ca="1">IF('Tinh phi QL'!$H$9="Nam",VLOOKUP(KBACOI!$I$14,KBACOI!$D$3:$F$103,2,0)*R139/1000/12,IF('Tinh phi QL'!$H$9="Nữ",VLOOKUP(KBACOI!$I$14,KBACOI!$D$3:$F$103,3,0)*R139/1000/12,0))</f>
        <v>320.08574072815634</v>
      </c>
      <c r="R139" s="541">
        <f ca="1">KBA20namMH!E140-U138</f>
        <v>1403884.8277550715</v>
      </c>
      <c r="S139" s="544">
        <f ca="1">(S138-N139-O139)*(1+KBA20namcamket!$V$3)</f>
        <v>80567.002836910193</v>
      </c>
      <c r="T139" s="1044"/>
      <c r="U139" s="542">
        <f ca="1">(U138-N139-Q139)*(1+KBA20namMH!$P$3)</f>
        <v>96094.553773169391</v>
      </c>
    </row>
    <row r="140" spans="11:21" ht="9.75" customHeight="1">
      <c r="K140" s="1043"/>
      <c r="L140" s="262">
        <v>138</v>
      </c>
      <c r="M140" s="540">
        <f ca="1">KBA20namcamket!E141-S139</f>
        <v>1419432.9971630899</v>
      </c>
      <c r="N140" s="538">
        <f ca="1">VTL20namcamket!F141</f>
        <v>60</v>
      </c>
      <c r="O140" s="541">
        <f ca="1">IF('Tinh phi QL'!$H$9="Nam",VLOOKUP(KBACOI!$I$14,KBACOI!$D$3:$F$103,2,0)*M140/1000/12,IF('Tinh phi QL'!$H$9="Nữ",VLOOKUP(KBACOI!$I$14,KBACOI!$D$3:$F$103,3,0)*M140/1000/12,0))</f>
        <v>323.63072335318452</v>
      </c>
      <c r="P140" s="1043"/>
      <c r="Q140" s="539">
        <f ca="1">IF('Tinh phi QL'!$H$9="Nam",VLOOKUP(KBACOI!$I$14,KBACOI!$D$3:$F$103,2,0)*R140/1000/12,IF('Tinh phi QL'!$H$9="Nữ",VLOOKUP(KBACOI!$I$14,KBACOI!$D$3:$F$103,3,0)*R140/1000/12,0))</f>
        <v>320.09044173971739</v>
      </c>
      <c r="R140" s="541">
        <f ca="1">KBA20namMH!E141-U139</f>
        <v>1403905.4462268306</v>
      </c>
      <c r="S140" s="544">
        <f ca="1">(S139-N140-O140)*(1+KBA20namcamket!$V$3)</f>
        <v>80249.887276862006</v>
      </c>
      <c r="T140" s="1044"/>
      <c r="U140" s="542">
        <f ca="1">(U139-N140-Q140)*(1+KBA20namMH!$P$3)</f>
        <v>96073.853164258398</v>
      </c>
    </row>
    <row r="141" spans="11:21" ht="9.75" customHeight="1">
      <c r="K141" s="1043"/>
      <c r="L141" s="262">
        <v>139</v>
      </c>
      <c r="M141" s="540">
        <f ca="1">KBA20namcamket!E142-S140</f>
        <v>1419750.112723138</v>
      </c>
      <c r="N141" s="538">
        <f ca="1">VTL20namcamket!F142</f>
        <v>60</v>
      </c>
      <c r="O141" s="541">
        <f ca="1">IF('Tinh phi QL'!$H$9="Nam",VLOOKUP(KBACOI!$I$14,KBACOI!$D$3:$F$103,2,0)*M141/1000/12,IF('Tinh phi QL'!$H$9="Nữ",VLOOKUP(KBACOI!$I$14,KBACOI!$D$3:$F$103,3,0)*M141/1000/12,0))</f>
        <v>323.70302570087546</v>
      </c>
      <c r="P141" s="1043"/>
      <c r="Q141" s="539">
        <f ca="1">IF('Tinh phi QL'!$H$9="Nam",VLOOKUP(KBACOI!$I$14,KBACOI!$D$3:$F$103,2,0)*R141/1000/12,IF('Tinh phi QL'!$H$9="Nữ",VLOOKUP(KBACOI!$I$14,KBACOI!$D$3:$F$103,3,0)*R141/1000/12,0))</f>
        <v>320.09516147854913</v>
      </c>
      <c r="R141" s="541">
        <f ca="1">KBA20namMH!E142-U140</f>
        <v>1403926.1468357416</v>
      </c>
      <c r="S141" s="544">
        <f ca="1">(S140-N141-O141)*(1+KBA20namcamket!$V$3)</f>
        <v>79932.43629504487</v>
      </c>
      <c r="T141" s="1044"/>
      <c r="U141" s="542">
        <f ca="1">(U140-N141-Q141)*(1+KBA20namMH!$P$3)</f>
        <v>96053.070090988345</v>
      </c>
    </row>
    <row r="142" spans="11:21" ht="9.75" customHeight="1">
      <c r="K142" s="1043"/>
      <c r="L142" s="262">
        <v>140</v>
      </c>
      <c r="M142" s="540">
        <f ca="1">KBA20namcamket!E143-S141</f>
        <v>1420067.5637049552</v>
      </c>
      <c r="N142" s="538">
        <f ca="1">VTL20namcamket!F143</f>
        <v>60</v>
      </c>
      <c r="O142" s="541">
        <f ca="1">IF('Tinh phi QL'!$H$9="Nam",VLOOKUP(KBACOI!$I$14,KBACOI!$D$3:$F$103,2,0)*M142/1000/12,IF('Tinh phi QL'!$H$9="Nữ",VLOOKUP(KBACOI!$I$14,KBACOI!$D$3:$F$103,3,0)*M142/1000/12,0))</f>
        <v>323.77540452472982</v>
      </c>
      <c r="P142" s="1043"/>
      <c r="Q142" s="539">
        <f ca="1">IF('Tinh phi QL'!$H$9="Nam",VLOOKUP(KBACOI!$I$14,KBACOI!$D$3:$F$103,2,0)*R142/1000/12,IF('Tinh phi QL'!$H$9="Nữ",VLOOKUP(KBACOI!$I$14,KBACOI!$D$3:$F$103,3,0)*R142/1000/12,0))</f>
        <v>320.09990001925468</v>
      </c>
      <c r="R142" s="541">
        <f ca="1">KBA20namMH!E143-U141</f>
        <v>1403946.9299090116</v>
      </c>
      <c r="S142" s="544">
        <f ca="1">(S141-N142-O142)*(1+KBA20namcamket!$V$3)</f>
        <v>79614.649536674027</v>
      </c>
      <c r="T142" s="1044"/>
      <c r="U142" s="542">
        <f ca="1">(U141-N142-Q142)*(1+KBA20namMH!$P$3)</f>
        <v>96032.204224848581</v>
      </c>
    </row>
    <row r="143" spans="11:21" ht="9.75" customHeight="1">
      <c r="K143" s="1043"/>
      <c r="L143" s="262">
        <v>141</v>
      </c>
      <c r="M143" s="540">
        <f ca="1">KBA20namcamket!E144-S142</f>
        <v>1420385.3504633261</v>
      </c>
      <c r="N143" s="538">
        <f ca="1">VTL20namcamket!F144</f>
        <v>60</v>
      </c>
      <c r="O143" s="541">
        <f ca="1">IF('Tinh phi QL'!$H$9="Nam",VLOOKUP(KBACOI!$I$14,KBACOI!$D$3:$F$103,2,0)*M143/1000/12,IF('Tinh phi QL'!$H$9="Nữ",VLOOKUP(KBACOI!$I$14,KBACOI!$D$3:$F$103,3,0)*M143/1000/12,0))</f>
        <v>323.84785990563836</v>
      </c>
      <c r="P143" s="1043"/>
      <c r="Q143" s="539">
        <f ca="1">IF('Tinh phi QL'!$H$9="Nam",VLOOKUP(KBACOI!$I$14,KBACOI!$D$3:$F$103,2,0)*R143/1000/12,IF('Tinh phi QL'!$H$9="Nữ",VLOOKUP(KBACOI!$I$14,KBACOI!$D$3:$F$103,3,0)*R143/1000/12,0))</f>
        <v>320.1046574367345</v>
      </c>
      <c r="R143" s="541">
        <f ca="1">KBA20namMH!E144-U142</f>
        <v>1403967.7957751513</v>
      </c>
      <c r="S143" s="544">
        <f ca="1">(S142-N143-O143)*(1+KBA20namcamket!$V$3)</f>
        <v>79296.526646589467</v>
      </c>
      <c r="T143" s="1044"/>
      <c r="U143" s="542">
        <f ca="1">(U142-N143-Q143)*(1+KBA20namMH!$P$3)</f>
        <v>96011.255236019773</v>
      </c>
    </row>
    <row r="144" spans="11:21" ht="9.75" customHeight="1">
      <c r="K144" s="1043"/>
      <c r="L144" s="262">
        <v>142</v>
      </c>
      <c r="M144" s="540">
        <f ca="1">KBA20namcamket!E145-S143</f>
        <v>1420703.4733534106</v>
      </c>
      <c r="N144" s="538">
        <f ca="1">VTL20namcamket!F145</f>
        <v>60</v>
      </c>
      <c r="O144" s="541">
        <f ca="1">IF('Tinh phi QL'!$H$9="Nam",VLOOKUP(KBACOI!$I$14,KBACOI!$D$3:$F$103,2,0)*M144/1000/12,IF('Tinh phi QL'!$H$9="Nữ",VLOOKUP(KBACOI!$I$14,KBACOI!$D$3:$F$103,3,0)*M144/1000/12,0))</f>
        <v>323.92039192457764</v>
      </c>
      <c r="P144" s="1043"/>
      <c r="Q144" s="539">
        <f ca="1">IF('Tinh phi QL'!$H$9="Nam",VLOOKUP(KBACOI!$I$14,KBACOI!$D$3:$F$103,2,0)*R144/1000/12,IF('Tinh phi QL'!$H$9="Nữ",VLOOKUP(KBACOI!$I$14,KBACOI!$D$3:$F$103,3,0)*R144/1000/12,0))</f>
        <v>320.1094338061875</v>
      </c>
      <c r="R144" s="541">
        <f ca="1">KBA20namMH!E145-U143</f>
        <v>1403988.7447639802</v>
      </c>
      <c r="S144" s="544">
        <f ca="1">(S143-N144-O144)*(1+KBA20namcamket!$V$3)</f>
        <v>78978.067269255524</v>
      </c>
      <c r="T144" s="1044"/>
      <c r="U144" s="542">
        <f ca="1">(U143-N144-Q144)*(1+KBA20namMH!$P$3)</f>
        <v>95990.22279336871</v>
      </c>
    </row>
    <row r="145" spans="11:21" ht="9.75" customHeight="1">
      <c r="K145" s="1043"/>
      <c r="L145" s="262">
        <v>143</v>
      </c>
      <c r="M145" s="540">
        <f ca="1">KBA20namcamket!E146-S144</f>
        <v>1421021.9327307446</v>
      </c>
      <c r="N145" s="538">
        <f ca="1">VTL20namcamket!F146</f>
        <v>60</v>
      </c>
      <c r="O145" s="541">
        <f ca="1">IF('Tinh phi QL'!$H$9="Nam",VLOOKUP(KBACOI!$I$14,KBACOI!$D$3:$F$103,2,0)*M145/1000/12,IF('Tinh phi QL'!$H$9="Nữ",VLOOKUP(KBACOI!$I$14,KBACOI!$D$3:$F$103,3,0)*M145/1000/12,0))</f>
        <v>323.99300066260975</v>
      </c>
      <c r="P145" s="1043"/>
      <c r="Q145" s="539">
        <f ca="1">IF('Tinh phi QL'!$H$9="Nam",VLOOKUP(KBACOI!$I$14,KBACOI!$D$3:$F$103,2,0)*R145/1000/12,IF('Tinh phi QL'!$H$9="Nữ",VLOOKUP(KBACOI!$I$14,KBACOI!$D$3:$F$103,3,0)*R145/1000/12,0))</f>
        <v>320.11422920311196</v>
      </c>
      <c r="R145" s="541">
        <f ca="1">KBA20namMH!E146-U144</f>
        <v>1404009.7772066314</v>
      </c>
      <c r="S145" s="544">
        <f ca="1">(S144-N145-O145)*(1+KBA20namcamket!$V$3)</f>
        <v>78659.271048760464</v>
      </c>
      <c r="T145" s="1044"/>
      <c r="U145" s="542">
        <f ca="1">(U144-N145-Q145)*(1+KBA20namMH!$P$3)</f>
        <v>95969.106564443035</v>
      </c>
    </row>
    <row r="146" spans="11:21" ht="9.75" customHeight="1">
      <c r="K146" s="1043"/>
      <c r="L146" s="262">
        <v>144</v>
      </c>
      <c r="M146" s="540">
        <f ca="1">KBA20namcamket!E147-S145</f>
        <v>1421340.7289512395</v>
      </c>
      <c r="N146" s="538">
        <f ca="1">VTL20namcamket!F147</f>
        <v>60</v>
      </c>
      <c r="O146" s="541">
        <f ca="1">IF('Tinh phi QL'!$H$9="Nam",VLOOKUP(KBACOI!$I$14,KBACOI!$D$3:$F$103,2,0)*M146/1000/12,IF('Tinh phi QL'!$H$9="Nữ",VLOOKUP(KBACOI!$I$14,KBACOI!$D$3:$F$103,3,0)*M146/1000/12,0))</f>
        <v>324.06568620088262</v>
      </c>
      <c r="P146" s="1043"/>
      <c r="Q146" s="539">
        <f ca="1">IF('Tinh phi QL'!$H$9="Nam",VLOOKUP(KBACOI!$I$14,KBACOI!$D$3:$F$103,2,0)*R146/1000/12,IF('Tinh phi QL'!$H$9="Nữ",VLOOKUP(KBACOI!$I$14,KBACOI!$D$3:$F$103,3,0)*R146/1000/12,0))</f>
        <v>320.119043703307</v>
      </c>
      <c r="R146" s="541">
        <f ca="1">KBA20namMH!E147-U145</f>
        <v>1404030.8934355569</v>
      </c>
      <c r="S146" s="545">
        <f ca="1">(S145-N146-O146)*(1+KBA20namcamket!$V$3)+P135</f>
        <v>78640.137628816097</v>
      </c>
      <c r="T146" s="1044"/>
      <c r="U146" s="543">
        <f ca="1">(U145-N146-Q146)*(1+KBA20namMH!$P$3)+T135</f>
        <v>96247.906215466035</v>
      </c>
    </row>
    <row r="147" spans="11:21" ht="9.75" customHeight="1">
      <c r="K147" s="1045">
        <f>K135+1</f>
        <v>13</v>
      </c>
      <c r="L147" s="252">
        <v>145</v>
      </c>
      <c r="M147" s="538">
        <f ca="1">KBA20namcamket!E148-S146-KBAGTTKcamket!F19</f>
        <v>1411359.8623711839</v>
      </c>
      <c r="N147" s="538">
        <f ca="1">VTL20namcamket!F148</f>
        <v>60</v>
      </c>
      <c r="O147" s="539">
        <f ca="1">IF('Tinh phi QL'!$H$9="Nam",VLOOKUP(KBACOI!$I$15,KBACOI!$D$3:$F$103,2,0)*M147/1000/12,IF('Tinh phi QL'!$H$9="Nữ",VLOOKUP(KBACOI!$I$15,KBACOI!$D$3:$F$103,3,0)*M147/1000/12,0))</f>
        <v>349.07633929313948</v>
      </c>
      <c r="P147" s="1043">
        <f t="shared" ref="P147" si="10">P135</f>
        <v>300</v>
      </c>
      <c r="Q147" s="539">
        <f ca="1">IF('Tinh phi QL'!$H$9="Nam",VLOOKUP(KBACOI!$I$15,KBACOI!$D$3:$F$103,2,0)*R147/1000/12,IF('Tinh phi QL'!$H$9="Nữ",VLOOKUP(KBACOI!$I$15,KBACOI!$D$3:$F$103,3,0)*R147/1000/12,0))</f>
        <v>344.72135119604133</v>
      </c>
      <c r="R147" s="539">
        <f ca="1">KBA20namMH!E148-U146-KBAGTTKMH!F19</f>
        <v>1393752.0937845339</v>
      </c>
      <c r="S147" s="542">
        <f ca="1">(S146+KBAGTTKcamket!F19-N147-O147)*(1+KBA20namcamket!$V$3)</f>
        <v>88304.252317731822</v>
      </c>
      <c r="T147" s="1044">
        <f>P147</f>
        <v>300</v>
      </c>
      <c r="U147" s="542">
        <f ca="1">(U146+KBAGTTKMH!F19-N147-Q147)*(1+KBA20namMH!$P$3)</f>
        <v>106240.60614408966</v>
      </c>
    </row>
    <row r="148" spans="11:21" ht="9.75" customHeight="1">
      <c r="K148" s="1045"/>
      <c r="L148" s="252">
        <v>146</v>
      </c>
      <c r="M148" s="538">
        <f ca="1">KBA20namcamket!E149-S147</f>
        <v>1411695.7476822683</v>
      </c>
      <c r="N148" s="538">
        <f ca="1">VTL20namcamket!F149</f>
        <v>60</v>
      </c>
      <c r="O148" s="539">
        <f ca="1">IF('Tinh phi QL'!$H$9="Nam",VLOOKUP(KBACOI!$I$15,KBACOI!$D$3:$F$103,2,0)*M148/1000/12,IF('Tinh phi QL'!$H$9="Nữ",VLOOKUP(KBACOI!$I$15,KBACOI!$D$3:$F$103,3,0)*M148/1000/12,0))</f>
        <v>349.15941492674773</v>
      </c>
      <c r="P148" s="1043"/>
      <c r="Q148" s="539">
        <f ca="1">IF('Tinh phi QL'!$H$9="Nam",VLOOKUP(KBACOI!$I$15,KBACOI!$D$3:$F$103,2,0)*R148/1000/12,IF('Tinh phi QL'!$H$9="Nữ",VLOOKUP(KBACOI!$I$15,KBACOI!$D$3:$F$103,3,0)*R148/1000/12,0))</f>
        <v>344.7231567470285</v>
      </c>
      <c r="R148" s="539">
        <f ca="1">KBA20namMH!E149-U147</f>
        <v>1393759.3938559103</v>
      </c>
      <c r="S148" s="542">
        <f ca="1">(S147-N148-O148)*(1+KBA20namcamket!$V$3)</f>
        <v>87968.005232431955</v>
      </c>
      <c r="T148" s="1044"/>
      <c r="U148" s="542">
        <f ca="1">(U147-N148-Q148)*(1+KBA20namMH!$P$3)</f>
        <v>106233.27684998586</v>
      </c>
    </row>
    <row r="149" spans="11:21" ht="9.75" customHeight="1">
      <c r="K149" s="1045"/>
      <c r="L149" s="252">
        <v>147</v>
      </c>
      <c r="M149" s="538">
        <f ca="1">KBA20namcamket!E150-S148</f>
        <v>1412031.9947675681</v>
      </c>
      <c r="N149" s="538">
        <f ca="1">VTL20namcamket!F150</f>
        <v>60</v>
      </c>
      <c r="O149" s="539">
        <f ca="1">IF('Tinh phi QL'!$H$9="Nam",VLOOKUP(KBACOI!$I$15,KBACOI!$D$3:$F$103,2,0)*M149/1000/12,IF('Tinh phi QL'!$H$9="Nữ",VLOOKUP(KBACOI!$I$15,KBACOI!$D$3:$F$103,3,0)*M149/1000/12,0))</f>
        <v>349.24258003917845</v>
      </c>
      <c r="P149" s="1043"/>
      <c r="Q149" s="539">
        <f ca="1">IF('Tinh phi QL'!$H$9="Nam",VLOOKUP(KBACOI!$I$15,KBACOI!$D$3:$F$103,2,0)*R149/1000/12,IF('Tinh phi QL'!$H$9="Nữ",VLOOKUP(KBACOI!$I$15,KBACOI!$D$3:$F$103,3,0)*R149/1000/12,0))</f>
        <v>344.72496952577018</v>
      </c>
      <c r="R149" s="539">
        <f ca="1">KBA20namMH!E150-U148</f>
        <v>1393766.7231500142</v>
      </c>
      <c r="S149" s="542">
        <f ca="1">(S148-N149-O149)*(1+KBA20namcamket!$V$3)</f>
        <v>87631.395983257928</v>
      </c>
      <c r="T149" s="1044"/>
      <c r="U149" s="542">
        <f ca="1">(U148-N149-Q149)*(1+KBA20namMH!$P$3)</f>
        <v>106225.91821617392</v>
      </c>
    </row>
    <row r="150" spans="11:21" ht="9.75" customHeight="1">
      <c r="K150" s="1045"/>
      <c r="L150" s="252">
        <v>148</v>
      </c>
      <c r="M150" s="538">
        <f ca="1">KBA20namcamket!E151-S149</f>
        <v>1412368.604016742</v>
      </c>
      <c r="N150" s="538">
        <f ca="1">VTL20namcamket!F151</f>
        <v>60</v>
      </c>
      <c r="O150" s="539">
        <f ca="1">IF('Tinh phi QL'!$H$9="Nam",VLOOKUP(KBACOI!$I$15,KBACOI!$D$3:$F$103,2,0)*M150/1000/12,IF('Tinh phi QL'!$H$9="Nữ",VLOOKUP(KBACOI!$I$15,KBACOI!$D$3:$F$103,3,0)*M150/1000/12,0))</f>
        <v>349.3258347268075</v>
      </c>
      <c r="P150" s="1043"/>
      <c r="Q150" s="539">
        <f ca="1">IF('Tinh phi QL'!$H$9="Nam",VLOOKUP(KBACOI!$I$15,KBACOI!$D$3:$F$103,2,0)*R150/1000/12,IF('Tinh phi QL'!$H$9="Nữ",VLOOKUP(KBACOI!$I$15,KBACOI!$D$3:$F$103,3,0)*R150/1000/12,0))</f>
        <v>344.72678956119967</v>
      </c>
      <c r="R150" s="539">
        <f ca="1">KBA20namMH!E151-U149</f>
        <v>1393774.081783826</v>
      </c>
      <c r="S150" s="542">
        <f ca="1">(S149-N150-O150)*(1+KBA20namcamket!$V$3)</f>
        <v>87294.424180131493</v>
      </c>
      <c r="T150" s="1044"/>
      <c r="U150" s="542">
        <f ca="1">(U149-N150-Q150)*(1+KBA20namMH!$P$3)</f>
        <v>106218.53012520475</v>
      </c>
    </row>
    <row r="151" spans="11:21" ht="9.75" customHeight="1">
      <c r="K151" s="1045"/>
      <c r="L151" s="252">
        <v>149</v>
      </c>
      <c r="M151" s="538">
        <f ca="1">KBA20namcamket!E152-S150</f>
        <v>1412705.5758198686</v>
      </c>
      <c r="N151" s="538">
        <f ca="1">VTL20namcamket!F152</f>
        <v>60</v>
      </c>
      <c r="O151" s="539">
        <f ca="1">IF('Tinh phi QL'!$H$9="Nam",VLOOKUP(KBACOI!$I$15,KBACOI!$D$3:$F$103,2,0)*M151/1000/12,IF('Tinh phi QL'!$H$9="Nữ",VLOOKUP(KBACOI!$I$15,KBACOI!$D$3:$F$103,3,0)*M151/1000/12,0))</f>
        <v>349.40917908611414</v>
      </c>
      <c r="P151" s="1043"/>
      <c r="Q151" s="539">
        <f ca="1">IF('Tinh phi QL'!$H$9="Nam",VLOOKUP(KBACOI!$I$15,KBACOI!$D$3:$F$103,2,0)*R151/1000/12,IF('Tinh phi QL'!$H$9="Nữ",VLOOKUP(KBACOI!$I$15,KBACOI!$D$3:$F$103,3,0)*R151/1000/12,0))</f>
        <v>344.728616882366</v>
      </c>
      <c r="R151" s="539">
        <f ca="1">KBA20namMH!E152-U150</f>
        <v>1393781.4698747953</v>
      </c>
      <c r="S151" s="542">
        <f ca="1">(S150-N151-O151)*(1+KBA20namcamket!$V$3)</f>
        <v>86957.08943255429</v>
      </c>
      <c r="T151" s="1044"/>
      <c r="U151" s="542">
        <f ca="1">(U150-N151-Q151)*(1+KBA20namMH!$P$3)</f>
        <v>106211.11245915922</v>
      </c>
    </row>
    <row r="152" spans="11:21" ht="9.75" customHeight="1">
      <c r="K152" s="1045"/>
      <c r="L152" s="252">
        <v>150</v>
      </c>
      <c r="M152" s="538">
        <f ca="1">KBA20namcamket!E153-S151</f>
        <v>1413042.9105674457</v>
      </c>
      <c r="N152" s="538">
        <f ca="1">VTL20namcamket!F153</f>
        <v>60</v>
      </c>
      <c r="O152" s="539">
        <f ca="1">IF('Tinh phi QL'!$H$9="Nam",VLOOKUP(KBACOI!$I$15,KBACOI!$D$3:$F$103,2,0)*M152/1000/12,IF('Tinh phi QL'!$H$9="Nữ",VLOOKUP(KBACOI!$I$15,KBACOI!$D$3:$F$103,3,0)*M152/1000/12,0))</f>
        <v>349.49261321368158</v>
      </c>
      <c r="P152" s="1043"/>
      <c r="Q152" s="539">
        <f ca="1">IF('Tinh phi QL'!$H$9="Nam",VLOOKUP(KBACOI!$I$15,KBACOI!$D$3:$F$103,2,0)*R152/1000/12,IF('Tinh phi QL'!$H$9="Nữ",VLOOKUP(KBACOI!$I$15,KBACOI!$D$3:$F$103,3,0)*R152/1000/12,0))</f>
        <v>344.73045151843462</v>
      </c>
      <c r="R152" s="539">
        <f ca="1">KBA20namMH!E153-U151</f>
        <v>1393788.8875408408</v>
      </c>
      <c r="S152" s="542">
        <f ca="1">(S151-N152-O152)*(1+KBA20namcamket!$V$3)</f>
        <v>86619.391349607322</v>
      </c>
      <c r="T152" s="1044"/>
      <c r="U152" s="542">
        <f ca="1">(U151-N152-Q152)*(1+KBA20namMH!$P$3)</f>
        <v>106203.66509964608</v>
      </c>
    </row>
    <row r="153" spans="11:21" ht="9.75" customHeight="1">
      <c r="K153" s="1045"/>
      <c r="L153" s="252">
        <v>151</v>
      </c>
      <c r="M153" s="538">
        <f ca="1">KBA20namcamket!E154-S152</f>
        <v>1413380.6086503926</v>
      </c>
      <c r="N153" s="538">
        <f ca="1">VTL20namcamket!F154</f>
        <v>60</v>
      </c>
      <c r="O153" s="539">
        <f ca="1">IF('Tinh phi QL'!$H$9="Nam",VLOOKUP(KBACOI!$I$15,KBACOI!$D$3:$F$103,2,0)*M153/1000/12,IF('Tinh phi QL'!$H$9="Nữ",VLOOKUP(KBACOI!$I$15,KBACOI!$D$3:$F$103,3,0)*M153/1000/12,0))</f>
        <v>349.57613720619707</v>
      </c>
      <c r="P153" s="1043"/>
      <c r="Q153" s="539">
        <f ca="1">IF('Tinh phi QL'!$H$9="Nam",VLOOKUP(KBACOI!$I$15,KBACOI!$D$3:$F$103,2,0)*R153/1000/12,IF('Tinh phi QL'!$H$9="Nữ",VLOOKUP(KBACOI!$I$15,KBACOI!$D$3:$F$103,3,0)*R153/1000/12,0))</f>
        <v>344.73229349868757</v>
      </c>
      <c r="R153" s="539">
        <f ca="1">KBA20namMH!E154-U152</f>
        <v>1393796.334900354</v>
      </c>
      <c r="S153" s="542">
        <f ca="1">(S152-N153-O153)*(1+KBA20namcamket!$V$3)</f>
        <v>86281.329539950544</v>
      </c>
      <c r="T153" s="1044"/>
      <c r="U153" s="542">
        <f ca="1">(U152-N153-Q153)*(1+KBA20namMH!$P$3)</f>
        <v>106196.18792780017</v>
      </c>
    </row>
    <row r="154" spans="11:21" ht="9.75" customHeight="1">
      <c r="K154" s="1045"/>
      <c r="L154" s="252">
        <v>152</v>
      </c>
      <c r="M154" s="538">
        <f ca="1">KBA20namcamket!E155-S153</f>
        <v>1413718.6704600495</v>
      </c>
      <c r="N154" s="538">
        <f ca="1">VTL20namcamket!F155</f>
        <v>60</v>
      </c>
      <c r="O154" s="539">
        <f ca="1">IF('Tinh phi QL'!$H$9="Nam",VLOOKUP(KBACOI!$I$15,KBACOI!$D$3:$F$103,2,0)*M154/1000/12,IF('Tinh phi QL'!$H$9="Nữ",VLOOKUP(KBACOI!$I$15,KBACOI!$D$3:$F$103,3,0)*M154/1000/12,0))</f>
        <v>349.65975116045223</v>
      </c>
      <c r="P154" s="1043"/>
      <c r="Q154" s="539">
        <f ca="1">IF('Tinh phi QL'!$H$9="Nam",VLOOKUP(KBACOI!$I$15,KBACOI!$D$3:$F$103,2,0)*R154/1000/12,IF('Tinh phi QL'!$H$9="Nữ",VLOOKUP(KBACOI!$I$15,KBACOI!$D$3:$F$103,3,0)*R154/1000/12,0))</f>
        <v>344.73414285252403</v>
      </c>
      <c r="R154" s="539">
        <f ca="1">KBA20namMH!E155-U153</f>
        <v>1393803.8120721998</v>
      </c>
      <c r="S154" s="542">
        <f ca="1">(S153-N154-O154)*(1+KBA20namcamket!$V$3)</f>
        <v>85942.903611822447</v>
      </c>
      <c r="T154" s="1044"/>
      <c r="U154" s="542">
        <f ca="1">(U153-N154-Q154)*(1+KBA20namMH!$P$3)</f>
        <v>106188.68082428053</v>
      </c>
    </row>
    <row r="155" spans="11:21" ht="9.75" customHeight="1">
      <c r="K155" s="1045"/>
      <c r="L155" s="252">
        <v>153</v>
      </c>
      <c r="M155" s="538">
        <f ca="1">KBA20namcamket!E156-S154</f>
        <v>1414057.0963881775</v>
      </c>
      <c r="N155" s="538">
        <f ca="1">VTL20namcamket!F156</f>
        <v>60</v>
      </c>
      <c r="O155" s="539">
        <f ca="1">IF('Tinh phi QL'!$H$9="Nam",VLOOKUP(KBACOI!$I$15,KBACOI!$D$3:$F$103,2,0)*M155/1000/12,IF('Tinh phi QL'!$H$9="Nữ",VLOOKUP(KBACOI!$I$15,KBACOI!$D$3:$F$103,3,0)*M155/1000/12,0))</f>
        <v>349.74345517334251</v>
      </c>
      <c r="P155" s="1043"/>
      <c r="Q155" s="539">
        <f ca="1">IF('Tinh phi QL'!$H$9="Nam",VLOOKUP(KBACOI!$I$15,KBACOI!$D$3:$F$103,2,0)*R155/1000/12,IF('Tinh phi QL'!$H$9="Nữ",VLOOKUP(KBACOI!$I$15,KBACOI!$D$3:$F$103,3,0)*R155/1000/12,0))</f>
        <v>344.73599960946126</v>
      </c>
      <c r="R155" s="539">
        <f ca="1">KBA20namMH!E156-U154</f>
        <v>1393811.3191757195</v>
      </c>
      <c r="S155" s="542">
        <f ca="1">(S154-N155-O155)*(1+KBA20namcamket!$V$3)</f>
        <v>85604.113173039514</v>
      </c>
      <c r="T155" s="1044"/>
      <c r="U155" s="542">
        <f ca="1">(U154-N155-Q155)*(1+KBA20namMH!$P$3)</f>
        <v>106181.14366926844</v>
      </c>
    </row>
    <row r="156" spans="11:21" ht="9.75" customHeight="1">
      <c r="K156" s="1045"/>
      <c r="L156" s="252">
        <v>154</v>
      </c>
      <c r="M156" s="538">
        <f ca="1">KBA20namcamket!E157-S155</f>
        <v>1414395.8868269604</v>
      </c>
      <c r="N156" s="538">
        <f ca="1">VTL20namcamket!F157</f>
        <v>60</v>
      </c>
      <c r="O156" s="539">
        <f ca="1">IF('Tinh phi QL'!$H$9="Nam",VLOOKUP(KBACOI!$I$15,KBACOI!$D$3:$F$103,2,0)*M156/1000/12,IF('Tinh phi QL'!$H$9="Nữ",VLOOKUP(KBACOI!$I$15,KBACOI!$D$3:$F$103,3,0)*M156/1000/12,0))</f>
        <v>349.82724934186814</v>
      </c>
      <c r="P156" s="1043"/>
      <c r="Q156" s="539">
        <f ca="1">IF('Tinh phi QL'!$H$9="Nam",VLOOKUP(KBACOI!$I$15,KBACOI!$D$3:$F$103,2,0)*R156/1000/12,IF('Tinh phi QL'!$H$9="Nữ",VLOOKUP(KBACOI!$I$15,KBACOI!$D$3:$F$103,3,0)*R156/1000/12,0))</f>
        <v>344.73786379913435</v>
      </c>
      <c r="R156" s="539">
        <f ca="1">KBA20namMH!E157-U155</f>
        <v>1393818.8563307317</v>
      </c>
      <c r="S156" s="542">
        <f ca="1">(S155-N156-O156)*(1+KBA20namcamket!$V$3)</f>
        <v>85264.95783099586</v>
      </c>
      <c r="T156" s="1044"/>
      <c r="U156" s="542">
        <f ca="1">(U155-N156-Q156)*(1+KBA20namMH!$P$3)</f>
        <v>106173.57634246553</v>
      </c>
    </row>
    <row r="157" spans="11:21" ht="9.75" customHeight="1">
      <c r="K157" s="1045"/>
      <c r="L157" s="252">
        <v>155</v>
      </c>
      <c r="M157" s="538">
        <f ca="1">KBA20namcamket!E158-S156</f>
        <v>1414735.0421690042</v>
      </c>
      <c r="N157" s="538">
        <f ca="1">VTL20namcamket!F158</f>
        <v>60</v>
      </c>
      <c r="O157" s="539">
        <f ca="1">IF('Tinh phi QL'!$H$9="Nam",VLOOKUP(KBACOI!$I$15,KBACOI!$D$3:$F$103,2,0)*M157/1000/12,IF('Tinh phi QL'!$H$9="Nữ",VLOOKUP(KBACOI!$I$15,KBACOI!$D$3:$F$103,3,0)*M157/1000/12,0))</f>
        <v>349.91113376313371</v>
      </c>
      <c r="P157" s="1043"/>
      <c r="Q157" s="539">
        <f ca="1">IF('Tinh phi QL'!$H$9="Nam",VLOOKUP(KBACOI!$I$15,KBACOI!$D$3:$F$103,2,0)*R157/1000/12,IF('Tinh phi QL'!$H$9="Nữ",VLOOKUP(KBACOI!$I$15,KBACOI!$D$3:$F$103,3,0)*R157/1000/12,0))</f>
        <v>344.73973545129684</v>
      </c>
      <c r="R157" s="539">
        <f ca="1">KBA20namMH!E158-U156</f>
        <v>1393826.4236575344</v>
      </c>
      <c r="S157" s="542">
        <f ca="1">(S156-N157-O157)*(1+KBA20namcamket!$V$3)</f>
        <v>84925.437192662706</v>
      </c>
      <c r="T157" s="1044"/>
      <c r="U157" s="542">
        <f ca="1">(U156-N157-Q157)*(1+KBA20namMH!$P$3)</f>
        <v>106165.97872309192</v>
      </c>
    </row>
    <row r="158" spans="11:21" ht="9.75" customHeight="1">
      <c r="K158" s="1045"/>
      <c r="L158" s="252">
        <v>156</v>
      </c>
      <c r="M158" s="538">
        <f ca="1">KBA20namcamket!E159-S157</f>
        <v>1415074.5628073374</v>
      </c>
      <c r="N158" s="538">
        <f ca="1">VTL20namcamket!F159</f>
        <v>60</v>
      </c>
      <c r="O158" s="539">
        <f ca="1">IF('Tinh phi QL'!$H$9="Nam",VLOOKUP(KBACOI!$I$15,KBACOI!$D$3:$F$103,2,0)*M158/1000/12,IF('Tinh phi QL'!$H$9="Nữ",VLOOKUP(KBACOI!$I$15,KBACOI!$D$3:$F$103,3,0)*M158/1000/12,0))</f>
        <v>349.99510853434816</v>
      </c>
      <c r="P158" s="1043"/>
      <c r="Q158" s="539">
        <f ca="1">IF('Tinh phi QL'!$H$9="Nam",VLOOKUP(KBACOI!$I$15,KBACOI!$D$3:$F$103,2,0)*R158/1000/12,IF('Tinh phi QL'!$H$9="Nữ",VLOOKUP(KBACOI!$I$15,KBACOI!$D$3:$F$103,3,0)*R158/1000/12,0))</f>
        <v>344.74161459582189</v>
      </c>
      <c r="R158" s="539">
        <f ca="1">KBA20namMH!E159-U157</f>
        <v>1393834.021276908</v>
      </c>
      <c r="S158" s="543">
        <f ca="1">(S157-N158-O158)*(1+KBA20namcamket!$V$3)+P147</f>
        <v>84885.55086458796</v>
      </c>
      <c r="T158" s="1044"/>
      <c r="U158" s="543">
        <f ca="1">(U157-N158-Q158)*(1+KBA20namMH!$P$3)+T147</f>
        <v>106458.35068988416</v>
      </c>
    </row>
    <row r="159" spans="11:21" ht="9.75" customHeight="1">
      <c r="K159" s="1043">
        <f>K147+1</f>
        <v>14</v>
      </c>
      <c r="L159" s="262">
        <v>157</v>
      </c>
      <c r="M159" s="540">
        <f ca="1">KBA20namcamket!E160-S158-KBAGTTKcamket!F20</f>
        <v>1405114.449135412</v>
      </c>
      <c r="N159" s="538">
        <f ca="1">VTL20namcamket!F160</f>
        <v>60</v>
      </c>
      <c r="O159" s="541">
        <f ca="1">IF('Tinh phi QL'!$H$9="Nam",VLOOKUP(KBACOI!$I$16,KBACOI!$D$3:$F$103,2,0)*M159/1000/12,IF('Tinh phi QL'!$H$9="Nữ",VLOOKUP(KBACOI!$I$16,KBACOI!$D$3:$F$103,3,0)*M159/1000/12,0))</f>
        <v>377.50741533438071</v>
      </c>
      <c r="P159" s="1043">
        <f t="shared" ref="P159" si="11">P147</f>
        <v>300</v>
      </c>
      <c r="Q159" s="539">
        <f ca="1">IF('Tinh phi QL'!$H$9="Nam",VLOOKUP(KBACOI!$I$16,KBACOI!$D$3:$F$103,2,0)*R159/1000/12,IF('Tinh phi QL'!$H$9="Nữ",VLOOKUP(KBACOI!$I$16,KBACOI!$D$3:$F$103,3,0)*R159/1000/12,0))</f>
        <v>371.71152311465113</v>
      </c>
      <c r="R159" s="541">
        <f ca="1">KBA20namMH!E160-U158-KBAGTTKMH!F20</f>
        <v>1383541.6493101157</v>
      </c>
      <c r="S159" s="544">
        <f ca="1">(S158+KBAGTTKcamket!F20-N159-O159)*(1+KBA20namcamket!$V$3)</f>
        <v>94526.39170112017</v>
      </c>
      <c r="T159" s="1044">
        <f>P159</f>
        <v>300</v>
      </c>
      <c r="U159" s="542">
        <f ca="1">(U158+KBAGTTKMH!F20-N159-Q159)*(1+KBA20namMH!$P$3)</f>
        <v>116462.29740485035</v>
      </c>
    </row>
    <row r="160" spans="11:21" ht="9.75" customHeight="1">
      <c r="K160" s="1043"/>
      <c r="L160" s="262">
        <v>158</v>
      </c>
      <c r="M160" s="540">
        <f ca="1">KBA20namcamket!E161-S159</f>
        <v>1405473.6082988798</v>
      </c>
      <c r="N160" s="538">
        <f ca="1">VTL20namcamket!F161</f>
        <v>60</v>
      </c>
      <c r="O160" s="541">
        <f ca="1">IF('Tinh phi QL'!$H$9="Nam",VLOOKUP(KBACOI!$I$16,KBACOI!$D$3:$F$103,2,0)*M160/1000/12,IF('Tinh phi QL'!$H$9="Nữ",VLOOKUP(KBACOI!$I$16,KBACOI!$D$3:$F$103,3,0)*M160/1000/12,0))</f>
        <v>377.60390942963244</v>
      </c>
      <c r="P160" s="1043"/>
      <c r="Q160" s="539">
        <f ca="1">IF('Tinh phi QL'!$H$9="Nam",VLOOKUP(KBACOI!$I$16,KBACOI!$D$3:$F$103,2,0)*R160/1000/12,IF('Tinh phi QL'!$H$9="Nữ",VLOOKUP(KBACOI!$I$16,KBACOI!$D$3:$F$103,3,0)*R160/1000/12,0))</f>
        <v>371.71046276389689</v>
      </c>
      <c r="R160" s="541">
        <f ca="1">KBA20namMH!E161-U159</f>
        <v>1383537.7025951496</v>
      </c>
      <c r="S160" s="544">
        <f ca="1">(S159-N160-O160)*(1+KBA20namcamket!$V$3)</f>
        <v>94166.838027296384</v>
      </c>
      <c r="T160" s="1044"/>
      <c r="U160" s="542">
        <f ca="1">(U159-N160-Q160)*(1+KBA20namMH!$P$3)</f>
        <v>116466.26000332214</v>
      </c>
    </row>
    <row r="161" spans="11:21" ht="9.75" customHeight="1">
      <c r="K161" s="1043"/>
      <c r="L161" s="262">
        <v>159</v>
      </c>
      <c r="M161" s="540">
        <f ca="1">KBA20namcamket!E162-S160</f>
        <v>1405833.1619727036</v>
      </c>
      <c r="N161" s="538">
        <f ca="1">VTL20namcamket!F162</f>
        <v>60</v>
      </c>
      <c r="O161" s="541">
        <f ca="1">IF('Tinh phi QL'!$H$9="Nam",VLOOKUP(KBACOI!$I$16,KBACOI!$D$3:$F$103,2,0)*M161/1000/12,IF('Tinh phi QL'!$H$9="Nữ",VLOOKUP(KBACOI!$I$16,KBACOI!$D$3:$F$103,3,0)*M161/1000/12,0))</f>
        <v>377.70050951666644</v>
      </c>
      <c r="P161" s="1043"/>
      <c r="Q161" s="539">
        <f ca="1">IF('Tinh phi QL'!$H$9="Nam",VLOOKUP(KBACOI!$I$16,KBACOI!$D$3:$F$103,2,0)*R161/1000/12,IF('Tinh phi QL'!$H$9="Nữ",VLOOKUP(KBACOI!$I$16,KBACOI!$D$3:$F$103,3,0)*R161/1000/12,0))</f>
        <v>371.70939814577417</v>
      </c>
      <c r="R161" s="541">
        <f ca="1">KBA20namMH!E162-U160</f>
        <v>1383533.739996678</v>
      </c>
      <c r="S161" s="544">
        <f ca="1">(S160-N161-O161)*(1+KBA20namcamket!$V$3)</f>
        <v>93806.889409775511</v>
      </c>
      <c r="T161" s="1044"/>
      <c r="U161" s="542">
        <f ca="1">(U160-N161-Q161)*(1+KBA20namMH!$P$3)</f>
        <v>116470.2385492225</v>
      </c>
    </row>
    <row r="162" spans="11:21" ht="9.75" customHeight="1">
      <c r="K162" s="1043"/>
      <c r="L162" s="262">
        <v>160</v>
      </c>
      <c r="M162" s="540">
        <f ca="1">KBA20namcamket!E163-S161</f>
        <v>1406193.1105902244</v>
      </c>
      <c r="N162" s="538">
        <f ca="1">VTL20namcamket!F163</f>
        <v>60</v>
      </c>
      <c r="O162" s="541">
        <f ca="1">IF('Tinh phi QL'!$H$9="Nam",VLOOKUP(KBACOI!$I$16,KBACOI!$D$3:$F$103,2,0)*M162/1000/12,IF('Tinh phi QL'!$H$9="Nữ",VLOOKUP(KBACOI!$I$16,KBACOI!$D$3:$F$103,3,0)*M162/1000/12,0))</f>
        <v>377.79721571190697</v>
      </c>
      <c r="P162" s="1043"/>
      <c r="Q162" s="539">
        <f ca="1">IF('Tinh phi QL'!$H$9="Nam",VLOOKUP(KBACOI!$I$16,KBACOI!$D$3:$F$103,2,0)*R162/1000/12,IF('Tinh phi QL'!$H$9="Nữ",VLOOKUP(KBACOI!$I$16,KBACOI!$D$3:$F$103,3,0)*R162/1000/12,0))</f>
        <v>371.70832924310895</v>
      </c>
      <c r="R162" s="541">
        <f ca="1">KBA20namMH!E163-U161</f>
        <v>1383529.7614507775</v>
      </c>
      <c r="S162" s="544">
        <f ca="1">(S161-N162-O162)*(1+KBA20namcamket!$V$3)</f>
        <v>93446.545414740482</v>
      </c>
      <c r="T162" s="1044"/>
      <c r="U162" s="542">
        <f ca="1">(U161-N162-Q162)*(1+KBA20namMH!$P$3)</f>
        <v>116474.23310673167</v>
      </c>
    </row>
    <row r="163" spans="11:21" ht="9.75" customHeight="1">
      <c r="K163" s="1043"/>
      <c r="L163" s="262">
        <v>161</v>
      </c>
      <c r="M163" s="540">
        <f ca="1">KBA20namcamket!E164-S162</f>
        <v>1406553.4545852595</v>
      </c>
      <c r="N163" s="538">
        <f ca="1">VTL20namcamket!F164</f>
        <v>60</v>
      </c>
      <c r="O163" s="541">
        <f ca="1">IF('Tinh phi QL'!$H$9="Nam",VLOOKUP(KBACOI!$I$16,KBACOI!$D$3:$F$103,2,0)*M163/1000/12,IF('Tinh phi QL'!$H$9="Nữ",VLOOKUP(KBACOI!$I$16,KBACOI!$D$3:$F$103,3,0)*M163/1000/12,0))</f>
        <v>377.8940281319064</v>
      </c>
      <c r="P163" s="1043"/>
      <c r="Q163" s="539">
        <f ca="1">IF('Tinh phi QL'!$H$9="Nam",VLOOKUP(KBACOI!$I$16,KBACOI!$D$3:$F$103,2,0)*R163/1000/12,IF('Tinh phi QL'!$H$9="Nữ",VLOOKUP(KBACOI!$I$16,KBACOI!$D$3:$F$103,3,0)*R163/1000/12,0))</f>
        <v>371.70725603865804</v>
      </c>
      <c r="R163" s="541">
        <f ca="1">KBA20namMH!E164-U162</f>
        <v>1383525.7668932683</v>
      </c>
      <c r="S163" s="544">
        <f ca="1">(S162-N163-O163)*(1+KBA20namcamket!$V$3)</f>
        <v>93085.805607897695</v>
      </c>
      <c r="T163" s="1044"/>
      <c r="U163" s="542">
        <f ca="1">(U162-N163-Q163)*(1+KBA20namMH!$P$3)</f>
        <v>116478.24374028816</v>
      </c>
    </row>
    <row r="164" spans="11:21" ht="9.75" customHeight="1">
      <c r="K164" s="1043"/>
      <c r="L164" s="262">
        <v>162</v>
      </c>
      <c r="M164" s="540">
        <f ca="1">KBA20namcamket!E165-S163</f>
        <v>1406914.1943921023</v>
      </c>
      <c r="N164" s="538">
        <f ca="1">VTL20namcamket!F165</f>
        <v>60</v>
      </c>
      <c r="O164" s="541">
        <f ca="1">IF('Tinh phi QL'!$H$9="Nam",VLOOKUP(KBACOI!$I$16,KBACOI!$D$3:$F$103,2,0)*M164/1000/12,IF('Tinh phi QL'!$H$9="Nữ",VLOOKUP(KBACOI!$I$16,KBACOI!$D$3:$F$103,3,0)*M164/1000/12,0))</f>
        <v>377.99094689334487</v>
      </c>
      <c r="P164" s="1043"/>
      <c r="Q164" s="539">
        <f ca="1">IF('Tinh phi QL'!$H$9="Nam",VLOOKUP(KBACOI!$I$16,KBACOI!$D$3:$F$103,2,0)*R164/1000/12,IF('Tinh phi QL'!$H$9="Nữ",VLOOKUP(KBACOI!$I$16,KBACOI!$D$3:$F$103,3,0)*R164/1000/12,0))</f>
        <v>371.70617851510929</v>
      </c>
      <c r="R164" s="541">
        <f ca="1">KBA20namMH!E165-U163</f>
        <v>1383521.7562597119</v>
      </c>
      <c r="S164" s="544">
        <f ca="1">(S163-N164-O164)*(1+KBA20namcamket!$V$3)</f>
        <v>92724.669554476524</v>
      </c>
      <c r="T164" s="1044"/>
      <c r="U164" s="542">
        <f ca="1">(U163-N164-Q164)*(1+KBA20namMH!$P$3)</f>
        <v>116482.27051458982</v>
      </c>
    </row>
    <row r="165" spans="11:21" ht="9.75" customHeight="1">
      <c r="K165" s="1043"/>
      <c r="L165" s="262">
        <v>163</v>
      </c>
      <c r="M165" s="540">
        <f ca="1">KBA20namcamket!E166-S164</f>
        <v>1407275.3304455234</v>
      </c>
      <c r="N165" s="538">
        <f ca="1">VTL20namcamket!F166</f>
        <v>60</v>
      </c>
      <c r="O165" s="541">
        <f ca="1">IF('Tinh phi QL'!$H$9="Nam",VLOOKUP(KBACOI!$I$16,KBACOI!$D$3:$F$103,2,0)*M165/1000/12,IF('Tinh phi QL'!$H$9="Nữ",VLOOKUP(KBACOI!$I$16,KBACOI!$D$3:$F$103,3,0)*M165/1000/12,0))</f>
        <v>378.08797211303067</v>
      </c>
      <c r="P165" s="1043"/>
      <c r="Q165" s="539">
        <f ca="1">IF('Tinh phi QL'!$H$9="Nam",VLOOKUP(KBACOI!$I$16,KBACOI!$D$3:$F$103,2,0)*R165/1000/12,IF('Tinh phi QL'!$H$9="Nữ",VLOOKUP(KBACOI!$I$16,KBACOI!$D$3:$F$103,3,0)*R165/1000/12,0))</f>
        <v>371.70509665508024</v>
      </c>
      <c r="R165" s="541">
        <f ca="1">KBA20namMH!E166-U164</f>
        <v>1383517.7294854103</v>
      </c>
      <c r="S165" s="544">
        <f ca="1">(S164-N165-O165)*(1+KBA20namcamket!$V$3)</f>
        <v>92363.136819228777</v>
      </c>
      <c r="T165" s="1044"/>
      <c r="U165" s="542">
        <f ca="1">(U164-N165-Q165)*(1+KBA20namMH!$P$3)</f>
        <v>116486.31349459491</v>
      </c>
    </row>
    <row r="166" spans="11:21" ht="9.75" customHeight="1">
      <c r="K166" s="1043"/>
      <c r="L166" s="262">
        <v>164</v>
      </c>
      <c r="M166" s="540">
        <f ca="1">KBA20namcamket!E167-S165</f>
        <v>1407636.8631807712</v>
      </c>
      <c r="N166" s="538">
        <f ca="1">VTL20namcamket!F167</f>
        <v>60</v>
      </c>
      <c r="O166" s="541">
        <f ca="1">IF('Tinh phi QL'!$H$9="Nam",VLOOKUP(KBACOI!$I$16,KBACOI!$D$3:$F$103,2,0)*M166/1000/12,IF('Tinh phi QL'!$H$9="Nữ",VLOOKUP(KBACOI!$I$16,KBACOI!$D$3:$F$103,3,0)*M166/1000/12,0))</f>
        <v>378.18510390790055</v>
      </c>
      <c r="P166" s="1043"/>
      <c r="Q166" s="539">
        <f ca="1">IF('Tinh phi QL'!$H$9="Nam",VLOOKUP(KBACOI!$I$16,KBACOI!$D$3:$F$103,2,0)*R166/1000/12,IF('Tinh phi QL'!$H$9="Nữ",VLOOKUP(KBACOI!$I$16,KBACOI!$D$3:$F$103,3,0)*R166/1000/12,0))</f>
        <v>371.7040104411189</v>
      </c>
      <c r="R166" s="541">
        <f ca="1">KBA20namMH!E167-U165</f>
        <v>1383513.686505405</v>
      </c>
      <c r="S166" s="544">
        <f ca="1">(S165-N166-O166)*(1+KBA20namcamket!$V$3)</f>
        <v>92001.206966428159</v>
      </c>
      <c r="T166" s="1044"/>
      <c r="U166" s="542">
        <f ca="1">(U165-N166-Q166)*(1+KBA20namMH!$P$3)</f>
        <v>116490.37274552305</v>
      </c>
    </row>
    <row r="167" spans="11:21" ht="9.75" customHeight="1">
      <c r="K167" s="1043"/>
      <c r="L167" s="262">
        <v>165</v>
      </c>
      <c r="M167" s="540">
        <f ca="1">KBA20namcamket!E168-S166</f>
        <v>1407998.7930335719</v>
      </c>
      <c r="N167" s="538">
        <f ca="1">VTL20namcamket!F168</f>
        <v>60</v>
      </c>
      <c r="O167" s="541">
        <f ca="1">IF('Tinh phi QL'!$H$9="Nam",VLOOKUP(KBACOI!$I$16,KBACOI!$D$3:$F$103,2,0)*M167/1000/12,IF('Tinh phi QL'!$H$9="Nữ",VLOOKUP(KBACOI!$I$16,KBACOI!$D$3:$F$103,3,0)*M167/1000/12,0))</f>
        <v>378.28234239501967</v>
      </c>
      <c r="P167" s="1043"/>
      <c r="Q167" s="539">
        <f ca="1">IF('Tinh phi QL'!$H$9="Nam",VLOOKUP(KBACOI!$I$16,KBACOI!$D$3:$F$103,2,0)*R167/1000/12,IF('Tinh phi QL'!$H$9="Nữ",VLOOKUP(KBACOI!$I$16,KBACOI!$D$3:$F$103,3,0)*R167/1000/12,0))</f>
        <v>371.70291985570287</v>
      </c>
      <c r="R167" s="541">
        <f ca="1">KBA20namMH!E168-U166</f>
        <v>1383509.627254477</v>
      </c>
      <c r="S167" s="544">
        <f ca="1">(S166-N167-O167)*(1+KBA20namcamket!$V$3)</f>
        <v>91638.879559869776</v>
      </c>
      <c r="T167" s="1044"/>
      <c r="U167" s="542">
        <f ca="1">(U166-N167-Q167)*(1+KBA20namMH!$P$3)</f>
        <v>116494.44833285639</v>
      </c>
    </row>
    <row r="168" spans="11:21" ht="9.75" customHeight="1">
      <c r="K168" s="1043"/>
      <c r="L168" s="262">
        <v>166</v>
      </c>
      <c r="M168" s="540">
        <f ca="1">KBA20namcamket!E169-S167</f>
        <v>1408361.1204401301</v>
      </c>
      <c r="N168" s="538">
        <f ca="1">VTL20namcamket!F169</f>
        <v>60</v>
      </c>
      <c r="O168" s="541">
        <f ca="1">IF('Tinh phi QL'!$H$9="Nam",VLOOKUP(KBACOI!$I$16,KBACOI!$D$3:$F$103,2,0)*M168/1000/12,IF('Tinh phi QL'!$H$9="Nữ",VLOOKUP(KBACOI!$I$16,KBACOI!$D$3:$F$103,3,0)*M168/1000/12,0))</f>
        <v>378.37968769158169</v>
      </c>
      <c r="P168" s="1043"/>
      <c r="Q168" s="539">
        <f ca="1">IF('Tinh phi QL'!$H$9="Nam",VLOOKUP(KBACOI!$I$16,KBACOI!$D$3:$F$103,2,0)*R168/1000/12,IF('Tinh phi QL'!$H$9="Nữ",VLOOKUP(KBACOI!$I$16,KBACOI!$D$3:$F$103,3,0)*R168/1000/12,0))</f>
        <v>371.70182488123925</v>
      </c>
      <c r="R168" s="541">
        <f ca="1">KBA20namMH!E169-U167</f>
        <v>1383505.5516671436</v>
      </c>
      <c r="S168" s="544">
        <f ca="1">(S167-N168-O168)*(1+KBA20namcamket!$V$3)</f>
        <v>91276.154162869585</v>
      </c>
      <c r="T168" s="1044"/>
      <c r="U168" s="542">
        <f ca="1">(U167-N168-Q168)*(1+KBA20namMH!$P$3)</f>
        <v>116498.54032234057</v>
      </c>
    </row>
    <row r="169" spans="11:21" ht="9.75" customHeight="1">
      <c r="K169" s="1043"/>
      <c r="L169" s="262">
        <v>167</v>
      </c>
      <c r="M169" s="540">
        <f ca="1">KBA20namcamket!E170-S168</f>
        <v>1408723.8458371304</v>
      </c>
      <c r="N169" s="538">
        <f ca="1">VTL20namcamket!F170</f>
        <v>60</v>
      </c>
      <c r="O169" s="541">
        <f ca="1">IF('Tinh phi QL'!$H$9="Nam",VLOOKUP(KBACOI!$I$16,KBACOI!$D$3:$F$103,2,0)*M169/1000/12,IF('Tinh phi QL'!$H$9="Nữ",VLOOKUP(KBACOI!$I$16,KBACOI!$D$3:$F$103,3,0)*M169/1000/12,0))</f>
        <v>378.47713991490906</v>
      </c>
      <c r="P169" s="1043"/>
      <c r="Q169" s="539">
        <f ca="1">IF('Tinh phi QL'!$H$9="Nam",VLOOKUP(KBACOI!$I$16,KBACOI!$D$3:$F$103,2,0)*R169/1000/12,IF('Tinh phi QL'!$H$9="Nữ",VLOOKUP(KBACOI!$I$16,KBACOI!$D$3:$F$103,3,0)*R169/1000/12,0))</f>
        <v>371.70072550006449</v>
      </c>
      <c r="R169" s="541">
        <f ca="1">KBA20namMH!E170-U168</f>
        <v>1383501.4596776594</v>
      </c>
      <c r="S169" s="544">
        <f ca="1">(S168-N169-O169)*(1+KBA20namcamket!$V$3)</f>
        <v>90913.030338263896</v>
      </c>
      <c r="T169" s="1044"/>
      <c r="U169" s="542">
        <f ca="1">(U168-N169-Q169)*(1+KBA20namMH!$P$3)</f>
        <v>116502.64877998586</v>
      </c>
    </row>
    <row r="170" spans="11:21" ht="9.75" customHeight="1">
      <c r="K170" s="1043"/>
      <c r="L170" s="262">
        <v>168</v>
      </c>
      <c r="M170" s="540">
        <f ca="1">KBA20namcamket!E171-S169</f>
        <v>1409086.9696617362</v>
      </c>
      <c r="N170" s="538">
        <f ca="1">VTL20namcamket!F171</f>
        <v>60</v>
      </c>
      <c r="O170" s="541">
        <f ca="1">IF('Tinh phi QL'!$H$9="Nam",VLOOKUP(KBACOI!$I$16,KBACOI!$D$3:$F$103,2,0)*M170/1000/12,IF('Tinh phi QL'!$H$9="Nữ",VLOOKUP(KBACOI!$I$16,KBACOI!$D$3:$F$103,3,0)*M170/1000/12,0))</f>
        <v>378.57469918245323</v>
      </c>
      <c r="P170" s="1043"/>
      <c r="Q170" s="539">
        <f ca="1">IF('Tinh phi QL'!$H$9="Nam",VLOOKUP(KBACOI!$I$16,KBACOI!$D$3:$F$103,2,0)*R170/1000/12,IF('Tinh phi QL'!$H$9="Nữ",VLOOKUP(KBACOI!$I$16,KBACOI!$D$3:$F$103,3,0)*R170/1000/12,0))</f>
        <v>371.69962169444381</v>
      </c>
      <c r="R170" s="541">
        <f ca="1">KBA20namMH!E171-U169</f>
        <v>1383497.351220014</v>
      </c>
      <c r="S170" s="545">
        <f ca="1">(S169-N170-O170)*(1+KBA20namcamket!$V$3)+P159</f>
        <v>90849.507648408777</v>
      </c>
      <c r="T170" s="1044"/>
      <c r="U170" s="543">
        <f ca="1">(U169-N170-Q170)*(1+KBA20namMH!$P$3)+T159</f>
        <v>116806.77377206816</v>
      </c>
    </row>
    <row r="171" spans="11:21" ht="9.75" customHeight="1">
      <c r="K171" s="1045">
        <f>K159+1</f>
        <v>15</v>
      </c>
      <c r="L171" s="252">
        <v>169</v>
      </c>
      <c r="M171" s="538">
        <f ca="1">KBA20namcamket!E172-S170-KBAGTTKcamket!F21</f>
        <v>1399150.4923515911</v>
      </c>
      <c r="N171" s="538">
        <f ca="1">VTL20namcamket!F172</f>
        <v>60</v>
      </c>
      <c r="O171" s="539">
        <f ca="1">IF('Tinh phi QL'!$H$9="Nam",VLOOKUP(KBACOI!$I$17,KBACOI!$D$3:$F$103,2,0)*M171/1000/12,IF('Tinh phi QL'!$H$9="Nữ",VLOOKUP(KBACOI!$I$17,KBACOI!$D$3:$F$103,3,0)*M171/1000/12,0))</f>
        <v>407.61917677176353</v>
      </c>
      <c r="P171" s="1043">
        <f t="shared" ref="P171" si="12">P159</f>
        <v>300</v>
      </c>
      <c r="Q171" s="539">
        <f ca="1">IF('Tinh phi QL'!$H$9="Nam",VLOOKUP(KBACOI!$I$17,KBACOI!$D$3:$F$103,2,0)*R171/1000/12,IF('Tinh phi QL'!$H$9="Nữ",VLOOKUP(KBACOI!$I$17,KBACOI!$D$3:$F$103,3,0)*R171/1000/12,0))</f>
        <v>400.05695990773751</v>
      </c>
      <c r="R171" s="539">
        <f ca="1">KBA20namMH!E172-U170-KBAGTTKMH!F21</f>
        <v>1373193.2262279319</v>
      </c>
      <c r="S171" s="542">
        <f ca="1">(S170+KBAGTTKcamket!F21-N171-O171)*(1+KBA20namcamket!$V$3)</f>
        <v>100465.15907411427</v>
      </c>
      <c r="T171" s="1044">
        <f>P171</f>
        <v>300</v>
      </c>
      <c r="U171" s="542">
        <f ca="1">(U170+KBAGTTKMH!F21-N171-Q171)*(1+KBA20namMH!$P$3)</f>
        <v>126821.12500349454</v>
      </c>
    </row>
    <row r="172" spans="11:21" ht="9.75" customHeight="1">
      <c r="K172" s="1045"/>
      <c r="L172" s="252">
        <v>170</v>
      </c>
      <c r="M172" s="538">
        <f ca="1">KBA20namcamket!E173-S171</f>
        <v>1399534.8409258858</v>
      </c>
      <c r="N172" s="538">
        <f ca="1">VTL20namcamket!F173</f>
        <v>60</v>
      </c>
      <c r="O172" s="539">
        <f ca="1">IF('Tinh phi QL'!$H$9="Nam",VLOOKUP(KBACOI!$I$17,KBACOI!$D$3:$F$103,2,0)*M172/1000/12,IF('Tinh phi QL'!$H$9="Nữ",VLOOKUP(KBACOI!$I$17,KBACOI!$D$3:$F$103,3,0)*M172/1000/12,0))</f>
        <v>407.73115032307481</v>
      </c>
      <c r="P172" s="1043"/>
      <c r="Q172" s="539">
        <f ca="1">IF('Tinh phi QL'!$H$9="Nam",VLOOKUP(KBACOI!$I$17,KBACOI!$D$3:$F$103,2,0)*R172/1000/12,IF('Tinh phi QL'!$H$9="Nữ",VLOOKUP(KBACOI!$I$17,KBACOI!$D$3:$F$103,3,0)*R172/1000/12,0))</f>
        <v>400.05277891564856</v>
      </c>
      <c r="R172" s="539">
        <f ca="1">KBA20namMH!E173-U171</f>
        <v>1373178.8749965054</v>
      </c>
      <c r="S172" s="542">
        <f ca="1">(S171-N172-O172)*(1+KBA20namcamket!$V$3)</f>
        <v>100080.37960159057</v>
      </c>
      <c r="T172" s="1044"/>
      <c r="U172" s="542">
        <f ca="1">(U171-N172-Q172)*(1+KBA20namMH!$P$3)</f>
        <v>126835.53431779043</v>
      </c>
    </row>
    <row r="173" spans="11:21" ht="9.75" customHeight="1">
      <c r="K173" s="1045"/>
      <c r="L173" s="252">
        <v>171</v>
      </c>
      <c r="M173" s="538">
        <f ca="1">KBA20namcamket!E174-S172</f>
        <v>1399919.6203984094</v>
      </c>
      <c r="N173" s="538">
        <f ca="1">VTL20namcamket!F174</f>
        <v>60</v>
      </c>
      <c r="O173" s="539">
        <f ca="1">IF('Tinh phi QL'!$H$9="Nam",VLOOKUP(KBACOI!$I$17,KBACOI!$D$3:$F$103,2,0)*M173/1000/12,IF('Tinh phi QL'!$H$9="Nữ",VLOOKUP(KBACOI!$I$17,KBACOI!$D$3:$F$103,3,0)*M173/1000/12,0))</f>
        <v>407.84324940940331</v>
      </c>
      <c r="P173" s="1043"/>
      <c r="Q173" s="539">
        <f ca="1">IF('Tinh phi QL'!$H$9="Nam",VLOOKUP(KBACOI!$I$17,KBACOI!$D$3:$F$103,2,0)*R173/1000/12,IF('Tinh phi QL'!$H$9="Nữ",VLOOKUP(KBACOI!$I$17,KBACOI!$D$3:$F$103,3,0)*R173/1000/12,0))</f>
        <v>400.04858100208367</v>
      </c>
      <c r="R173" s="539">
        <f ca="1">KBA20namMH!E174-U172</f>
        <v>1373164.4656822095</v>
      </c>
      <c r="S173" s="542">
        <f ca="1">(S172-N173-O173)*(1+KBA20namcamket!$V$3)</f>
        <v>99695.168747751988</v>
      </c>
      <c r="T173" s="1044"/>
      <c r="U173" s="542">
        <f ca="1">(U172-N173-Q173)*(1+KBA20namMH!$P$3)</f>
        <v>126850.00195003109</v>
      </c>
    </row>
    <row r="174" spans="11:21" ht="9.75" customHeight="1">
      <c r="K174" s="1045"/>
      <c r="L174" s="252">
        <v>172</v>
      </c>
      <c r="M174" s="538">
        <f ca="1">KBA20namcamket!E175-S173</f>
        <v>1400304.831252248</v>
      </c>
      <c r="N174" s="538">
        <f ca="1">VTL20namcamket!F175</f>
        <v>60</v>
      </c>
      <c r="O174" s="539">
        <f ca="1">IF('Tinh phi QL'!$H$9="Nam",VLOOKUP(KBACOI!$I$17,KBACOI!$D$3:$F$103,2,0)*M174/1000/12,IF('Tinh phi QL'!$H$9="Nữ",VLOOKUP(KBACOI!$I$17,KBACOI!$D$3:$F$103,3,0)*M174/1000/12,0))</f>
        <v>407.95547417148822</v>
      </c>
      <c r="P174" s="1043"/>
      <c r="Q174" s="539">
        <f ca="1">IF('Tinh phi QL'!$H$9="Nam",VLOOKUP(KBACOI!$I$17,KBACOI!$D$3:$F$103,2,0)*R174/1000/12,IF('Tinh phi QL'!$H$9="Nữ",VLOOKUP(KBACOI!$I$17,KBACOI!$D$3:$F$103,3,0)*R174/1000/12,0))</f>
        <v>400.04436609855765</v>
      </c>
      <c r="R174" s="539">
        <f ca="1">KBA20namMH!E175-U173</f>
        <v>1373149.9980499689</v>
      </c>
      <c r="S174" s="542">
        <f ca="1">(S173-N174-O174)*(1+KBA20namcamket!$V$3)</f>
        <v>99309.52602897129</v>
      </c>
      <c r="T174" s="1044"/>
      <c r="U174" s="542">
        <f ca="1">(U173-N174-Q174)*(1+KBA20namMH!$P$3)</f>
        <v>126864.52813624321</v>
      </c>
    </row>
    <row r="175" spans="11:21" ht="9.75" customHeight="1">
      <c r="K175" s="1045"/>
      <c r="L175" s="252">
        <v>173</v>
      </c>
      <c r="M175" s="538">
        <f ca="1">KBA20namcamket!E176-S174</f>
        <v>1400690.4739710288</v>
      </c>
      <c r="N175" s="538">
        <f ca="1">VTL20namcamket!F176</f>
        <v>60</v>
      </c>
      <c r="O175" s="539">
        <f ca="1">IF('Tinh phi QL'!$H$9="Nam",VLOOKUP(KBACOI!$I$17,KBACOI!$D$3:$F$103,2,0)*M175/1000/12,IF('Tinh phi QL'!$H$9="Nữ",VLOOKUP(KBACOI!$I$17,KBACOI!$D$3:$F$103,3,0)*M175/1000/12,0))</f>
        <v>408.06782475022641</v>
      </c>
      <c r="P175" s="1043"/>
      <c r="Q175" s="539">
        <f ca="1">IF('Tinh phi QL'!$H$9="Nam",VLOOKUP(KBACOI!$I$17,KBACOI!$D$3:$F$103,2,0)*R175/1000/12,IF('Tinh phi QL'!$H$9="Nữ",VLOOKUP(KBACOI!$I$17,KBACOI!$D$3:$F$103,3,0)*R175/1000/12,0))</f>
        <v>400.04013413630781</v>
      </c>
      <c r="R175" s="539">
        <f ca="1">KBA20namMH!E176-U174</f>
        <v>1373135.4718637569</v>
      </c>
      <c r="S175" s="542">
        <f ca="1">(S174-N175-O175)*(1+KBA20namcamket!$V$3)</f>
        <v>98923.450961079026</v>
      </c>
      <c r="T175" s="1044"/>
      <c r="U175" s="542">
        <f ca="1">(U174-N175-Q175)*(1+KBA20namMH!$P$3)</f>
        <v>126879.11311340876</v>
      </c>
    </row>
    <row r="176" spans="11:21" ht="9.75" customHeight="1">
      <c r="K176" s="1045"/>
      <c r="L176" s="252">
        <v>174</v>
      </c>
      <c r="M176" s="538">
        <f ca="1">KBA20namcamket!E177-S175</f>
        <v>1401076.549038921</v>
      </c>
      <c r="N176" s="538">
        <f ca="1">VTL20namcamket!F177</f>
        <v>60</v>
      </c>
      <c r="O176" s="539">
        <f ca="1">IF('Tinh phi QL'!$H$9="Nam",VLOOKUP(KBACOI!$I$17,KBACOI!$D$3:$F$103,2,0)*M176/1000/12,IF('Tinh phi QL'!$H$9="Nữ",VLOOKUP(KBACOI!$I$17,KBACOI!$D$3:$F$103,3,0)*M176/1000/12,0))</f>
        <v>408.18030128667232</v>
      </c>
      <c r="P176" s="1043"/>
      <c r="Q176" s="539">
        <f ca="1">IF('Tinh phi QL'!$H$9="Nam",VLOOKUP(KBACOI!$I$17,KBACOI!$D$3:$F$103,2,0)*R176/1000/12,IF('Tinh phi QL'!$H$9="Nữ",VLOOKUP(KBACOI!$I$17,KBACOI!$D$3:$F$103,3,0)*R176/1000/12,0))</f>
        <v>400.03588504629357</v>
      </c>
      <c r="R176" s="539">
        <f ca="1">KBA20namMH!E177-U175</f>
        <v>1373120.8868865913</v>
      </c>
      <c r="S176" s="542">
        <f ca="1">(S175-N176-O176)*(1+KBA20namcamket!$V$3)</f>
        <v>98536.943059362922</v>
      </c>
      <c r="T176" s="1044"/>
      <c r="U176" s="542">
        <f ca="1">(U175-N176-Q176)*(1+KBA20namMH!$P$3)</f>
        <v>126893.75711946878</v>
      </c>
    </row>
    <row r="177" spans="11:21" ht="9.75" customHeight="1">
      <c r="K177" s="1045"/>
      <c r="L177" s="252">
        <v>175</v>
      </c>
      <c r="M177" s="538">
        <f ca="1">KBA20namcamket!E178-S176</f>
        <v>1401463.0569406371</v>
      </c>
      <c r="N177" s="538">
        <f ca="1">VTL20namcamket!F178</f>
        <v>60</v>
      </c>
      <c r="O177" s="539">
        <f ca="1">IF('Tinh phi QL'!$H$9="Nam",VLOOKUP(KBACOI!$I$17,KBACOI!$D$3:$F$103,2,0)*M177/1000/12,IF('Tinh phi QL'!$H$9="Nữ",VLOOKUP(KBACOI!$I$17,KBACOI!$D$3:$F$103,3,0)*M177/1000/12,0))</f>
        <v>408.29290392203893</v>
      </c>
      <c r="P177" s="1043"/>
      <c r="Q177" s="539">
        <f ca="1">IF('Tinh phi QL'!$H$9="Nam",VLOOKUP(KBACOI!$I$17,KBACOI!$D$3:$F$103,2,0)*R177/1000/12,IF('Tinh phi QL'!$H$9="Nữ",VLOOKUP(KBACOI!$I$17,KBACOI!$D$3:$F$103,3,0)*R177/1000/12,0))</f>
        <v>400.03161875919471</v>
      </c>
      <c r="R177" s="539">
        <f ca="1">KBA20namMH!E178-U176</f>
        <v>1373106.2428805311</v>
      </c>
      <c r="S177" s="542">
        <f ca="1">(S176-N177-O177)*(1+KBA20namcamket!$V$3)</f>
        <v>98150.001838567303</v>
      </c>
      <c r="T177" s="1044"/>
      <c r="U177" s="542">
        <f ca="1">(U176-N177-Q177)*(1+KBA20namMH!$P$3)</f>
        <v>126908.46039332733</v>
      </c>
    </row>
    <row r="178" spans="11:21" ht="9.75" customHeight="1">
      <c r="K178" s="1045"/>
      <c r="L178" s="252">
        <v>176</v>
      </c>
      <c r="M178" s="538">
        <f ca="1">KBA20namcamket!E179-S177</f>
        <v>1401849.9981614328</v>
      </c>
      <c r="N178" s="538">
        <f ca="1">VTL20namcamket!F179</f>
        <v>60</v>
      </c>
      <c r="O178" s="539">
        <f ca="1">IF('Tinh phi QL'!$H$9="Nam",VLOOKUP(KBACOI!$I$17,KBACOI!$D$3:$F$103,2,0)*M178/1000/12,IF('Tinh phi QL'!$H$9="Nữ",VLOOKUP(KBACOI!$I$17,KBACOI!$D$3:$F$103,3,0)*M178/1000/12,0))</f>
        <v>408.40563279769736</v>
      </c>
      <c r="P178" s="1043"/>
      <c r="Q178" s="539">
        <f ca="1">IF('Tinh phi QL'!$H$9="Nam",VLOOKUP(KBACOI!$I$17,KBACOI!$D$3:$F$103,2,0)*R178/1000/12,IF('Tinh phi QL'!$H$9="Nữ",VLOOKUP(KBACOI!$I$17,KBACOI!$D$3:$F$103,3,0)*R178/1000/12,0))</f>
        <v>400.02733520541068</v>
      </c>
      <c r="R178" s="539">
        <f ca="1">KBA20namMH!E179-U177</f>
        <v>1373091.5396066727</v>
      </c>
      <c r="S178" s="542">
        <f ca="1">(S177-N178-O178)*(1+KBA20namcamket!$V$3)</f>
        <v>97762.626812892457</v>
      </c>
      <c r="T178" s="1044"/>
      <c r="U178" s="542">
        <f ca="1">(U177-N178-Q178)*(1+KBA20namMH!$P$3)</f>
        <v>126923.2231748554</v>
      </c>
    </row>
    <row r="179" spans="11:21" ht="9.75" customHeight="1">
      <c r="K179" s="1045"/>
      <c r="L179" s="252">
        <v>177</v>
      </c>
      <c r="M179" s="538">
        <f ca="1">KBA20namcamket!E180-S178</f>
        <v>1402237.3731871075</v>
      </c>
      <c r="N179" s="538">
        <f ca="1">VTL20namcamket!F180</f>
        <v>60</v>
      </c>
      <c r="O179" s="539">
        <f ca="1">IF('Tinh phi QL'!$H$9="Nam",VLOOKUP(KBACOI!$I$17,KBACOI!$D$3:$F$103,2,0)*M179/1000/12,IF('Tinh phi QL'!$H$9="Nữ",VLOOKUP(KBACOI!$I$17,KBACOI!$D$3:$F$103,3,0)*M179/1000/12,0))</f>
        <v>408.51848805517733</v>
      </c>
      <c r="P179" s="1043"/>
      <c r="Q179" s="539">
        <f ca="1">IF('Tinh phi QL'!$H$9="Nam",VLOOKUP(KBACOI!$I$17,KBACOI!$D$3:$F$103,2,0)*R179/1000/12,IF('Tinh phi QL'!$H$9="Nữ",VLOOKUP(KBACOI!$I$17,KBACOI!$D$3:$F$103,3,0)*R179/1000/12,0))</f>
        <v>400.02303431505879</v>
      </c>
      <c r="R179" s="539">
        <f ca="1">KBA20namMH!E180-U178</f>
        <v>1373076.7768251447</v>
      </c>
      <c r="S179" s="542">
        <f ca="1">(S178-N179-O179)*(1+KBA20namcamket!$V$3)</f>
        <v>97374.817495994052</v>
      </c>
      <c r="T179" s="1044"/>
      <c r="U179" s="542">
        <f ca="1">(U178-N179-Q179)*(1+KBA20namMH!$P$3)</f>
        <v>126938.04570489477</v>
      </c>
    </row>
    <row r="180" spans="11:21" ht="9.75" customHeight="1">
      <c r="K180" s="1045"/>
      <c r="L180" s="252">
        <v>178</v>
      </c>
      <c r="M180" s="538">
        <f ca="1">KBA20namcamket!E181-S179</f>
        <v>1402625.182504006</v>
      </c>
      <c r="N180" s="538">
        <f ca="1">VTL20namcamket!F181</f>
        <v>60</v>
      </c>
      <c r="O180" s="539">
        <f ca="1">IF('Tinh phi QL'!$H$9="Nam",VLOOKUP(KBACOI!$I$17,KBACOI!$D$3:$F$103,2,0)*M180/1000/12,IF('Tinh phi QL'!$H$9="Nữ",VLOOKUP(KBACOI!$I$17,KBACOI!$D$3:$F$103,3,0)*M180/1000/12,0))</f>
        <v>408.63146983616707</v>
      </c>
      <c r="P180" s="1043"/>
      <c r="Q180" s="539">
        <f ca="1">IF('Tinh phi QL'!$H$9="Nam",VLOOKUP(KBACOI!$I$17,KBACOI!$D$3:$F$103,2,0)*R180/1000/12,IF('Tinh phi QL'!$H$9="Nữ",VLOOKUP(KBACOI!$I$17,KBACOI!$D$3:$F$103,3,0)*R180/1000/12,0))</f>
        <v>400.01871601797399</v>
      </c>
      <c r="R180" s="539">
        <f ca="1">KBA20namMH!E181-U179</f>
        <v>1373061.9542951053</v>
      </c>
      <c r="S180" s="542">
        <f ca="1">(S179-N180-O180)*(1+KBA20namcamket!$V$3)</f>
        <v>96986.573400982496</v>
      </c>
      <c r="T180" s="1044"/>
      <c r="U180" s="542">
        <f ca="1">(U179-N180-Q180)*(1+KBA20namMH!$P$3)</f>
        <v>126952.92822526196</v>
      </c>
    </row>
    <row r="181" spans="11:21" ht="9.75" customHeight="1">
      <c r="K181" s="1045"/>
      <c r="L181" s="252">
        <v>179</v>
      </c>
      <c r="M181" s="538">
        <f ca="1">KBA20namcamket!E182-S180</f>
        <v>1403013.4265990176</v>
      </c>
      <c r="N181" s="538">
        <f ca="1">VTL20namcamket!F182</f>
        <v>60</v>
      </c>
      <c r="O181" s="539">
        <f ca="1">IF('Tinh phi QL'!$H$9="Nam",VLOOKUP(KBACOI!$I$17,KBACOI!$D$3:$F$103,2,0)*M181/1000/12,IF('Tinh phi QL'!$H$9="Nữ",VLOOKUP(KBACOI!$I$17,KBACOI!$D$3:$F$103,3,0)*M181/1000/12,0))</f>
        <v>408.74457828251383</v>
      </c>
      <c r="P181" s="1043"/>
      <c r="Q181" s="539">
        <f ca="1">IF('Tinh phi QL'!$H$9="Nam",VLOOKUP(KBACOI!$I$17,KBACOI!$D$3:$F$103,2,0)*R181/1000/12,IF('Tinh phi QL'!$H$9="Nữ",VLOOKUP(KBACOI!$I$17,KBACOI!$D$3:$F$103,3,0)*R181/1000/12,0))</f>
        <v>400.01438024370708</v>
      </c>
      <c r="R181" s="539">
        <f ca="1">KBA20namMH!E182-U180</f>
        <v>1373047.0717747381</v>
      </c>
      <c r="S181" s="542">
        <f ca="1">(S180-N181-O181)*(1+KBA20namcamket!$V$3)</f>
        <v>96597.894040422354</v>
      </c>
      <c r="T181" s="1044"/>
      <c r="U181" s="542">
        <f ca="1">(U180-N181-Q181)*(1+KBA20namMH!$P$3)</f>
        <v>126967.87097875219</v>
      </c>
    </row>
    <row r="182" spans="11:21" ht="9.75" customHeight="1">
      <c r="K182" s="1045"/>
      <c r="L182" s="252">
        <v>180</v>
      </c>
      <c r="M182" s="538">
        <f ca="1">KBA20namcamket!E183-S181</f>
        <v>1403402.1059595777</v>
      </c>
      <c r="N182" s="538">
        <f ca="1">VTL20namcamket!F183</f>
        <v>60</v>
      </c>
      <c r="O182" s="539">
        <f ca="1">IF('Tinh phi QL'!$H$9="Nam",VLOOKUP(KBACOI!$I$17,KBACOI!$D$3:$F$103,2,0)*M182/1000/12,IF('Tinh phi QL'!$H$9="Nữ",VLOOKUP(KBACOI!$I$17,KBACOI!$D$3:$F$103,3,0)*M182/1000/12,0))</f>
        <v>408.85781353622366</v>
      </c>
      <c r="P182" s="1043"/>
      <c r="Q182" s="539">
        <f ca="1">IF('Tinh phi QL'!$H$9="Nam",VLOOKUP(KBACOI!$I$17,KBACOI!$D$3:$F$103,2,0)*R182/1000/12,IF('Tinh phi QL'!$H$9="Nữ",VLOOKUP(KBACOI!$I$17,KBACOI!$D$3:$F$103,3,0)*R182/1000/12,0))</f>
        <v>400.01002692152355</v>
      </c>
      <c r="R182" s="539">
        <f ca="1">KBA20namMH!E183-U181</f>
        <v>1373032.1290212478</v>
      </c>
      <c r="S182" s="543">
        <f ca="1">(S181-N182-O182)*(1+KBA20namcamket!$V$3)+P171</f>
        <v>96508.778926331695</v>
      </c>
      <c r="T182" s="1044"/>
      <c r="U182" s="543">
        <f ca="1">(U181-N182-Q182)*(1+KBA20namMH!$P$3)+T171</f>
        <v>127282.87420914335</v>
      </c>
    </row>
    <row r="183" spans="11:21" ht="9.75" customHeight="1">
      <c r="K183" s="1043">
        <f>K171+1</f>
        <v>16</v>
      </c>
      <c r="L183" s="262">
        <v>181</v>
      </c>
      <c r="M183" s="540">
        <f ca="1">KBA20namcamket!E184-S182-KBAGTTKcamket!F22</f>
        <v>1393491.2210736682</v>
      </c>
      <c r="N183" s="538">
        <f ca="1">VTL20namcamket!F184</f>
        <v>60</v>
      </c>
      <c r="O183" s="541">
        <f ca="1">IF('Tinh phi QL'!$H$9="Nam",VLOOKUP(KBACOI!$I$18,KBACOI!$D$3:$F$103,2,0)*M183/1000/12,IF('Tinh phi QL'!$H$9="Nữ",VLOOKUP(KBACOI!$I$18,KBACOI!$D$3:$F$103,3,0)*M183/1000/12,0))</f>
        <v>439.41423171189666</v>
      </c>
      <c r="P183" s="1043">
        <f t="shared" ref="P183" si="13">P171</f>
        <v>300</v>
      </c>
      <c r="Q183" s="539">
        <f ca="1">IF('Tinh phi QL'!$H$9="Nam",VLOOKUP(KBACOI!$I$18,KBACOI!$D$3:$F$103,2,0)*R183/1000/12,IF('Tinh phi QL'!$H$9="Nữ",VLOOKUP(KBACOI!$I$18,KBACOI!$D$3:$F$103,3,0)*R183/1000/12,0))</f>
        <v>429.71013366605007</v>
      </c>
      <c r="R183" s="541">
        <f ca="1">KBA20namMH!E184-U182-KBAGTTKMH!F22</f>
        <v>1362717.1257908565</v>
      </c>
      <c r="S183" s="544">
        <f ca="1">(S182+KBAGTTKcamket!F22-N183-O183)*(1+KBA20namcamket!$W$3)</f>
        <v>106053.43436120365</v>
      </c>
      <c r="T183" s="1044">
        <f>P183</f>
        <v>300</v>
      </c>
      <c r="U183" s="542">
        <f ca="1">(U182+KBAGTTKMH!F22-N183-Q183)*(1+KBA20namMH!$P$3)</f>
        <v>137306.7967142454</v>
      </c>
    </row>
    <row r="184" spans="11:21" ht="9.75" customHeight="1">
      <c r="K184" s="1043"/>
      <c r="L184" s="262">
        <v>182</v>
      </c>
      <c r="M184" s="540">
        <f ca="1">KBA20namcamket!E185-S183</f>
        <v>1393946.5656387964</v>
      </c>
      <c r="N184" s="538">
        <f ca="1">VTL20namcamket!F185</f>
        <v>60</v>
      </c>
      <c r="O184" s="541">
        <f ca="1">IF('Tinh phi QL'!$H$9="Nam",VLOOKUP(KBACOI!$I$18,KBACOI!$D$3:$F$103,2,0)*M184/1000/12,IF('Tinh phi QL'!$H$9="Nữ",VLOOKUP(KBACOI!$I$18,KBACOI!$D$3:$F$103,3,0)*M184/1000/12,0))</f>
        <v>439.55781703143384</v>
      </c>
      <c r="P184" s="1043"/>
      <c r="Q184" s="539">
        <f ca="1">IF('Tinh phi QL'!$H$9="Nam",VLOOKUP(KBACOI!$I$18,KBACOI!$D$3:$F$103,2,0)*R184/1000/12,IF('Tinh phi QL'!$H$9="Nữ",VLOOKUP(KBACOI!$I$18,KBACOI!$D$3:$F$103,3,0)*R184/1000/12,0))</f>
        <v>429.70259010277465</v>
      </c>
      <c r="R184" s="541">
        <f ca="1">KBA20namMH!E185-U183</f>
        <v>1362693.2032857547</v>
      </c>
      <c r="S184" s="544">
        <f ca="1">(S183-N184-O184)*(1+KBA20namcamket!$W$3)</f>
        <v>105597.75685757032</v>
      </c>
      <c r="T184" s="1044"/>
      <c r="U184" s="542">
        <f ca="1">(U183-N184-Q184)*(1+KBA20namMH!$P$3)</f>
        <v>137330.81661574898</v>
      </c>
    </row>
    <row r="185" spans="11:21" ht="9.75" customHeight="1">
      <c r="K185" s="1043"/>
      <c r="L185" s="262">
        <v>183</v>
      </c>
      <c r="M185" s="540">
        <f ca="1">KBA20namcamket!E186-S184</f>
        <v>1394402.2431424297</v>
      </c>
      <c r="N185" s="538">
        <f ca="1">VTL20namcamket!F186</f>
        <v>60</v>
      </c>
      <c r="O185" s="541">
        <f ca="1">IF('Tinh phi QL'!$H$9="Nam",VLOOKUP(KBACOI!$I$18,KBACOI!$D$3:$F$103,2,0)*M185/1000/12,IF('Tinh phi QL'!$H$9="Nữ",VLOOKUP(KBACOI!$I$18,KBACOI!$D$3:$F$103,3,0)*M185/1000/12,0))</f>
        <v>439.70150733757947</v>
      </c>
      <c r="P185" s="1043"/>
      <c r="Q185" s="539">
        <f ca="1">IF('Tinh phi QL'!$H$9="Nam",VLOOKUP(KBACOI!$I$18,KBACOI!$D$3:$F$103,2,0)*R185/1000/12,IF('Tinh phi QL'!$H$9="Nữ",VLOOKUP(KBACOI!$I$18,KBACOI!$D$3:$F$103,3,0)*R185/1000/12,0))</f>
        <v>429.6950158271672</v>
      </c>
      <c r="R185" s="541">
        <f ca="1">KBA20namMH!E186-U184</f>
        <v>1362669.1833842511</v>
      </c>
      <c r="S185" s="544">
        <f ca="1">(S184-N185-O185)*(1+KBA20namcamket!$W$3)</f>
        <v>105141.74617199399</v>
      </c>
      <c r="T185" s="1044"/>
      <c r="U185" s="542">
        <f ca="1">(U184-N185-Q185)*(1+KBA20namMH!$P$3)</f>
        <v>137354.93431018689</v>
      </c>
    </row>
    <row r="186" spans="11:21" ht="9.75" customHeight="1">
      <c r="K186" s="1043"/>
      <c r="L186" s="262">
        <v>184</v>
      </c>
      <c r="M186" s="540">
        <f ca="1">KBA20namcamket!E187-S185</f>
        <v>1394858.2538280061</v>
      </c>
      <c r="N186" s="538">
        <f ca="1">VTL20namcamket!F187</f>
        <v>60</v>
      </c>
      <c r="O186" s="541">
        <f ca="1">IF('Tinh phi QL'!$H$9="Nam",VLOOKUP(KBACOI!$I$18,KBACOI!$D$3:$F$103,2,0)*M186/1000/12,IF('Tinh phi QL'!$H$9="Nữ",VLOOKUP(KBACOI!$I$18,KBACOI!$D$3:$F$103,3,0)*M186/1000/12,0))</f>
        <v>439.84530270709791</v>
      </c>
      <c r="P186" s="1043"/>
      <c r="Q186" s="539">
        <f ca="1">IF('Tinh phi QL'!$H$9="Nam",VLOOKUP(KBACOI!$I$18,KBACOI!$D$3:$F$103,2,0)*R186/1000/12,IF('Tinh phi QL'!$H$9="Nữ",VLOOKUP(KBACOI!$I$18,KBACOI!$D$3:$F$103,3,0)*R186/1000/12,0))</f>
        <v>429.68741071418776</v>
      </c>
      <c r="R186" s="541">
        <f ca="1">KBA20namMH!E187-U185</f>
        <v>1362645.0656898131</v>
      </c>
      <c r="S186" s="544">
        <f ca="1">(S185-N186-O186)*(1+KBA20namcamket!$W$3)</f>
        <v>104685.40206085892</v>
      </c>
      <c r="T186" s="1044"/>
      <c r="U186" s="542">
        <f ca="1">(U185-N186-Q186)*(1+KBA20namMH!$P$3)</f>
        <v>137379.1501957064</v>
      </c>
    </row>
    <row r="187" spans="11:21" ht="9.75" customHeight="1">
      <c r="K187" s="1043"/>
      <c r="L187" s="262">
        <v>185</v>
      </c>
      <c r="M187" s="540">
        <f ca="1">KBA20namcamket!E188-S186</f>
        <v>1395314.5979391411</v>
      </c>
      <c r="N187" s="538">
        <f ca="1">VTL20namcamket!F188</f>
        <v>60</v>
      </c>
      <c r="O187" s="541">
        <f ca="1">IF('Tinh phi QL'!$H$9="Nam",VLOOKUP(KBACOI!$I$18,KBACOI!$D$3:$F$103,2,0)*M187/1000/12,IF('Tinh phi QL'!$H$9="Nữ",VLOOKUP(KBACOI!$I$18,KBACOI!$D$3:$F$103,3,0)*M187/1000/12,0))</f>
        <v>439.98920321680913</v>
      </c>
      <c r="P187" s="1043"/>
      <c r="Q187" s="539">
        <f ca="1">IF('Tinh phi QL'!$H$9="Nam",VLOOKUP(KBACOI!$I$18,KBACOI!$D$3:$F$103,2,0)*R187/1000/12,IF('Tinh phi QL'!$H$9="Nữ",VLOOKUP(KBACOI!$I$18,KBACOI!$D$3:$F$103,3,0)*R187/1000/12,0))</f>
        <v>429.67977463828726</v>
      </c>
      <c r="R187" s="541">
        <f ca="1">KBA20namMH!E188-U186</f>
        <v>1362620.8498042936</v>
      </c>
      <c r="S187" s="544">
        <f ca="1">(S186-N187-O187)*(1+KBA20namcamket!$W$3)</f>
        <v>104228.72428037124</v>
      </c>
      <c r="T187" s="1044"/>
      <c r="U187" s="542">
        <f ca="1">(U186-N187-Q187)*(1+KBA20namMH!$P$3)</f>
        <v>137403.46467207579</v>
      </c>
    </row>
    <row r="188" spans="11:21" ht="9.75" customHeight="1">
      <c r="K188" s="1043"/>
      <c r="L188" s="262">
        <v>186</v>
      </c>
      <c r="M188" s="540">
        <f ca="1">KBA20namcamket!E189-S187</f>
        <v>1395771.2757196287</v>
      </c>
      <c r="N188" s="538">
        <f ca="1">VTL20namcamket!F189</f>
        <v>60</v>
      </c>
      <c r="O188" s="541">
        <f ca="1">IF('Tinh phi QL'!$H$9="Nam",VLOOKUP(KBACOI!$I$18,KBACOI!$D$3:$F$103,2,0)*M188/1000/12,IF('Tinh phi QL'!$H$9="Nữ",VLOOKUP(KBACOI!$I$18,KBACOI!$D$3:$F$103,3,0)*M188/1000/12,0))</f>
        <v>440.13320894358952</v>
      </c>
      <c r="P188" s="1043"/>
      <c r="Q188" s="539">
        <f ca="1">IF('Tinh phi QL'!$H$9="Nam",VLOOKUP(KBACOI!$I$18,KBACOI!$D$3:$F$103,2,0)*R188/1000/12,IF('Tinh phi QL'!$H$9="Nữ",VLOOKUP(KBACOI!$I$18,KBACOI!$D$3:$F$103,3,0)*R188/1000/12,0))</f>
        <v>429.67210747340533</v>
      </c>
      <c r="R188" s="541">
        <f ca="1">KBA20namMH!E189-U187</f>
        <v>1362596.5353279242</v>
      </c>
      <c r="S188" s="544">
        <f ca="1">(S187-N188-O188)*(1+KBA20namcamket!$W$3)</f>
        <v>103771.71258655888</v>
      </c>
      <c r="T188" s="1044"/>
      <c r="U188" s="542">
        <f ca="1">(U187-N188-Q188)*(1+KBA20namMH!$P$3)</f>
        <v>137427.87814069088</v>
      </c>
    </row>
    <row r="189" spans="11:21" ht="9.75" customHeight="1">
      <c r="K189" s="1043"/>
      <c r="L189" s="262">
        <v>187</v>
      </c>
      <c r="M189" s="540">
        <f ca="1">KBA20namcamket!E190-S188</f>
        <v>1396228.2874134411</v>
      </c>
      <c r="N189" s="538">
        <f ca="1">VTL20namcamket!F190</f>
        <v>60</v>
      </c>
      <c r="O189" s="541">
        <f ca="1">IF('Tinh phi QL'!$H$9="Nam",VLOOKUP(KBACOI!$I$18,KBACOI!$D$3:$F$103,2,0)*M189/1000/12,IF('Tinh phi QL'!$H$9="Nữ",VLOOKUP(KBACOI!$I$18,KBACOI!$D$3:$F$103,3,0)*M189/1000/12,0))</f>
        <v>440.27731996437177</v>
      </c>
      <c r="P189" s="1043"/>
      <c r="Q189" s="539">
        <f ca="1">IF('Tinh phi QL'!$H$9="Nam",VLOOKUP(KBACOI!$I$18,KBACOI!$D$3:$F$103,2,0)*R189/1000/12,IF('Tinh phi QL'!$H$9="Nữ",VLOOKUP(KBACOI!$I$18,KBACOI!$D$3:$F$103,3,0)*R189/1000/12,0))</f>
        <v>429.66440909296881</v>
      </c>
      <c r="R189" s="541">
        <f ca="1">KBA20namMH!E190-U188</f>
        <v>1362572.121859309</v>
      </c>
      <c r="S189" s="544">
        <f ca="1">(S188-N189-O189)*(1+KBA20namcamket!$W$3)</f>
        <v>103314.36673527129</v>
      </c>
      <c r="T189" s="1044"/>
      <c r="U189" s="542">
        <f ca="1">(U188-N189-Q189)*(1+KBA20namMH!$P$3)</f>
        <v>137452.3910045817</v>
      </c>
    </row>
    <row r="190" spans="11:21" ht="9.75" customHeight="1">
      <c r="K190" s="1043"/>
      <c r="L190" s="262">
        <v>188</v>
      </c>
      <c r="M190" s="540">
        <f ca="1">KBA20namcamket!E191-S189</f>
        <v>1396685.6332647288</v>
      </c>
      <c r="N190" s="538">
        <f ca="1">VTL20namcamket!F191</f>
        <v>60</v>
      </c>
      <c r="O190" s="541">
        <f ca="1">IF('Tinh phi QL'!$H$9="Nam",VLOOKUP(KBACOI!$I$18,KBACOI!$D$3:$F$103,2,0)*M190/1000/12,IF('Tinh phi QL'!$H$9="Nữ",VLOOKUP(KBACOI!$I$18,KBACOI!$D$3:$F$103,3,0)*M190/1000/12,0))</f>
        <v>440.42153635614449</v>
      </c>
      <c r="P190" s="1043"/>
      <c r="Q190" s="539">
        <f ca="1">IF('Tinh phi QL'!$H$9="Nam",VLOOKUP(KBACOI!$I$18,KBACOI!$D$3:$F$103,2,0)*R190/1000/12,IF('Tinh phi QL'!$H$9="Nữ",VLOOKUP(KBACOI!$I$18,KBACOI!$D$3:$F$103,3,0)*R190/1000/12,0))</f>
        <v>429.65667936988854</v>
      </c>
      <c r="R190" s="541">
        <f ca="1">KBA20namMH!E191-U189</f>
        <v>1362547.6089954183</v>
      </c>
      <c r="S190" s="544">
        <f ca="1">(S189-N190-O190)*(1+KBA20namcamket!$W$3)</f>
        <v>102856.6864821795</v>
      </c>
      <c r="T190" s="1044"/>
      <c r="U190" s="542">
        <f ca="1">(U189-N190-Q190)*(1+KBA20namMH!$P$3)</f>
        <v>137477.0036684192</v>
      </c>
    </row>
    <row r="191" spans="11:21" ht="9.75" customHeight="1">
      <c r="K191" s="1043"/>
      <c r="L191" s="262">
        <v>189</v>
      </c>
      <c r="M191" s="540">
        <f ca="1">KBA20namcamket!E192-S190</f>
        <v>1397143.3135178206</v>
      </c>
      <c r="N191" s="538">
        <f ca="1">VTL20namcamket!F192</f>
        <v>60</v>
      </c>
      <c r="O191" s="541">
        <f ca="1">IF('Tinh phi QL'!$H$9="Nam",VLOOKUP(KBACOI!$I$18,KBACOI!$D$3:$F$103,2,0)*M191/1000/12,IF('Tinh phi QL'!$H$9="Nữ",VLOOKUP(KBACOI!$I$18,KBACOI!$D$3:$F$103,3,0)*M191/1000/12,0))</f>
        <v>440.56585819595279</v>
      </c>
      <c r="P191" s="1043"/>
      <c r="Q191" s="539">
        <f ca="1">IF('Tinh phi QL'!$H$9="Nam",VLOOKUP(KBACOI!$I$18,KBACOI!$D$3:$F$103,2,0)*R191/1000/12,IF('Tinh phi QL'!$H$9="Nữ",VLOOKUP(KBACOI!$I$18,KBACOI!$D$3:$F$103,3,0)*R191/1000/12,0))</f>
        <v>429.64891817655848</v>
      </c>
      <c r="R191" s="541">
        <f ca="1">KBA20namMH!E192-U190</f>
        <v>1362522.9963315809</v>
      </c>
      <c r="S191" s="544">
        <f ca="1">(S190-N191-O191)*(1+KBA20namcamket!$W$3)</f>
        <v>102398.6715827758</v>
      </c>
      <c r="T191" s="1044"/>
      <c r="U191" s="542">
        <f ca="1">(U190-N191-Q191)*(1+KBA20namMH!$P$3)</f>
        <v>137501.71653852184</v>
      </c>
    </row>
    <row r="192" spans="11:21" ht="9.75" customHeight="1">
      <c r="K192" s="1043"/>
      <c r="L192" s="262">
        <v>190</v>
      </c>
      <c r="M192" s="540">
        <f ca="1">KBA20namcamket!E193-S191</f>
        <v>1397601.3284172241</v>
      </c>
      <c r="N192" s="538">
        <f ca="1">VTL20namcamket!F193</f>
        <v>60</v>
      </c>
      <c r="O192" s="541">
        <f ca="1">IF('Tinh phi QL'!$H$9="Nam",VLOOKUP(KBACOI!$I$18,KBACOI!$D$3:$F$103,2,0)*M192/1000/12,IF('Tinh phi QL'!$H$9="Nữ",VLOOKUP(KBACOI!$I$18,KBACOI!$D$3:$F$103,3,0)*M192/1000/12,0))</f>
        <v>440.710285560898</v>
      </c>
      <c r="P192" s="1043"/>
      <c r="Q192" s="539">
        <f ca="1">IF('Tinh phi QL'!$H$9="Nam",VLOOKUP(KBACOI!$I$18,KBACOI!$D$3:$F$103,2,0)*R192/1000/12,IF('Tinh phi QL'!$H$9="Nữ",VLOOKUP(KBACOI!$I$18,KBACOI!$D$3:$F$103,3,0)*R192/1000/12,0))</f>
        <v>429.64112538485278</v>
      </c>
      <c r="R192" s="541">
        <f ca="1">KBA20namMH!E193-U191</f>
        <v>1362498.2834614781</v>
      </c>
      <c r="S192" s="544">
        <f ca="1">(S191-N192-O192)*(1+KBA20namcamket!$W$3)</f>
        <v>101940.32179237378</v>
      </c>
      <c r="T192" s="1044"/>
      <c r="U192" s="542">
        <f ca="1">(U191-N192-Q192)*(1+KBA20namMH!$P$3)</f>
        <v>137526.53002286234</v>
      </c>
    </row>
    <row r="193" spans="11:21" ht="9.75" customHeight="1">
      <c r="K193" s="1043"/>
      <c r="L193" s="262">
        <v>191</v>
      </c>
      <c r="M193" s="540">
        <f ca="1">KBA20namcamket!E194-S192</f>
        <v>1398059.6782076261</v>
      </c>
      <c r="N193" s="538">
        <f ca="1">VTL20namcamket!F194</f>
        <v>60</v>
      </c>
      <c r="O193" s="541">
        <f ca="1">IF('Tinh phi QL'!$H$9="Nam",VLOOKUP(KBACOI!$I$18,KBACOI!$D$3:$F$103,2,0)*M193/1000/12,IF('Tinh phi QL'!$H$9="Nữ",VLOOKUP(KBACOI!$I$18,KBACOI!$D$3:$F$103,3,0)*M193/1000/12,0))</f>
        <v>440.85481852813808</v>
      </c>
      <c r="P193" s="1043"/>
      <c r="Q193" s="539">
        <f ca="1">IF('Tinh phi QL'!$H$9="Nam",VLOOKUP(KBACOI!$I$18,KBACOI!$D$3:$F$103,2,0)*R193/1000/12,IF('Tinh phi QL'!$H$9="Nữ",VLOOKUP(KBACOI!$I$18,KBACOI!$D$3:$F$103,3,0)*R193/1000/12,0))</f>
        <v>429.63330086612405</v>
      </c>
      <c r="R193" s="541">
        <f ca="1">KBA20namMH!E194-U192</f>
        <v>1362473.4699771376</v>
      </c>
      <c r="S193" s="544">
        <f ca="1">(S192-N193-O193)*(1+KBA20namcamket!$W$3)</f>
        <v>101481.63686610806</v>
      </c>
      <c r="T193" s="1044"/>
      <c r="U193" s="542">
        <f ca="1">(U192-N193-Q193)*(1+KBA20namMH!$P$3)</f>
        <v>137551.44453107443</v>
      </c>
    </row>
    <row r="194" spans="11:21" ht="9.75" customHeight="1">
      <c r="K194" s="1043"/>
      <c r="L194" s="262">
        <v>192</v>
      </c>
      <c r="M194" s="540">
        <f ca="1">KBA20namcamket!E195-S193</f>
        <v>1398518.363133892</v>
      </c>
      <c r="N194" s="538">
        <f ca="1">VTL20namcamket!F195</f>
        <v>60</v>
      </c>
      <c r="O194" s="541">
        <f ca="1">IF('Tinh phi QL'!$H$9="Nam",VLOOKUP(KBACOI!$I$18,KBACOI!$D$3:$F$103,2,0)*M194/1000/12,IF('Tinh phi QL'!$H$9="Nữ",VLOOKUP(KBACOI!$I$18,KBACOI!$D$3:$F$103,3,0)*M194/1000/12,0))</f>
        <v>440.99945717488725</v>
      </c>
      <c r="P194" s="1043"/>
      <c r="Q194" s="539">
        <f ca="1">IF('Tinh phi QL'!$H$9="Nam",VLOOKUP(KBACOI!$I$18,KBACOI!$D$3:$F$103,2,0)*R194/1000/12,IF('Tinh phi QL'!$H$9="Nữ",VLOOKUP(KBACOI!$I$18,KBACOI!$D$3:$F$103,3,0)*R194/1000/12,0))</f>
        <v>429.62544449120111</v>
      </c>
      <c r="R194" s="541">
        <f ca="1">KBA20namMH!E195-U193</f>
        <v>1362448.5554689255</v>
      </c>
      <c r="S194" s="545">
        <f ca="1">(S193-N194-O194)*(1+KBA20namcamket!$W$3)+P183</f>
        <v>101322.61655893427</v>
      </c>
      <c r="T194" s="1044"/>
      <c r="U194" s="543">
        <f ca="1">(U193-N194-Q194)*(1+KBA20namMH!$P$3)+T183</f>
        <v>137876.4604744596</v>
      </c>
    </row>
    <row r="195" spans="11:21" ht="9.75" customHeight="1">
      <c r="K195" s="1046">
        <f>K183+1</f>
        <v>17</v>
      </c>
      <c r="L195" s="265">
        <v>193</v>
      </c>
      <c r="M195" s="550">
        <f ca="1">KBA20namcamket!E196-S194-KBAGTTKcamket!F23</f>
        <v>1388677.3834410657</v>
      </c>
      <c r="N195" s="538">
        <f ca="1">VTL20namcamket!F196</f>
        <v>60</v>
      </c>
      <c r="O195" s="551">
        <f ca="1">IF('Tinh phi QL'!$H$9="Nam",VLOOKUP(KBACOI!$I$19,KBACOI!$D$3:$F$103,2,0)*M195/1000/12,IF('Tinh phi QL'!$H$9="Nữ",VLOOKUP(KBACOI!$I$19,KBACOI!$D$3:$F$103,3,0)*M195/1000/12,0))</f>
        <v>474.00188021455045</v>
      </c>
      <c r="P195" s="1043">
        <f t="shared" ref="P195" si="14">P183</f>
        <v>300</v>
      </c>
      <c r="Q195" s="539">
        <f ca="1">IF('Tinh phi QL'!$H$9="Nam",VLOOKUP(KBACOI!$I$19,KBACOI!$D$3:$F$103,2,0)*R195/1000/12,IF('Tinh phi QL'!$H$9="Nữ",VLOOKUP(KBACOI!$I$19,KBACOI!$D$3:$F$103,3,0)*R195/1000/12,0))</f>
        <v>461.52483482471774</v>
      </c>
      <c r="R195" s="551">
        <f ca="1">KBA20namMH!E196-U194-KBAGTTKMH!F23</f>
        <v>1352123.5395255403</v>
      </c>
      <c r="S195" s="552">
        <f ca="1">(S194+KBAGTTKcamket!F23-N195-O195)*(1+KBA20namcamket!$W$3)</f>
        <v>110834.67115046862</v>
      </c>
      <c r="T195" s="1044">
        <f>P195</f>
        <v>300</v>
      </c>
      <c r="U195" s="542">
        <f ca="1">(U194+KBAGTTKMH!F23-N195-Q195)*(1+KBA20namMH!$P$3)</f>
        <v>147908.22574692659</v>
      </c>
    </row>
    <row r="196" spans="11:21" ht="9.75" customHeight="1">
      <c r="K196" s="1046"/>
      <c r="L196" s="265">
        <v>194</v>
      </c>
      <c r="M196" s="550">
        <f ca="1">KBA20namcamket!E197-S195</f>
        <v>1389165.3288495315</v>
      </c>
      <c r="N196" s="538">
        <f ca="1">VTL20namcamket!F197</f>
        <v>60</v>
      </c>
      <c r="O196" s="551">
        <f ca="1">IF('Tinh phi QL'!$H$9="Nam",VLOOKUP(KBACOI!$I$19,KBACOI!$D$3:$F$103,2,0)*M196/1000/12,IF('Tinh phi QL'!$H$9="Nữ",VLOOKUP(KBACOI!$I$19,KBACOI!$D$3:$F$103,3,0)*M196/1000/12,0))</f>
        <v>474.16843224730678</v>
      </c>
      <c r="P196" s="1043"/>
      <c r="Q196" s="539">
        <f ca="1">IF('Tinh phi QL'!$H$9="Nam",VLOOKUP(KBACOI!$I$19,KBACOI!$D$3:$F$103,2,0)*R196/1000/12,IF('Tinh phi QL'!$H$9="Nữ",VLOOKUP(KBACOI!$I$19,KBACOI!$D$3:$F$103,3,0)*R196/1000/12,0))</f>
        <v>461.51399227838243</v>
      </c>
      <c r="R196" s="551">
        <f ca="1">KBA20namMH!E197-U195</f>
        <v>1352091.7742530734</v>
      </c>
      <c r="S196" s="552">
        <f ca="1">(S195-N196-O196)*(1+KBA20namcamket!$W$3)</f>
        <v>110346.35627458236</v>
      </c>
      <c r="T196" s="1044"/>
      <c r="U196" s="542">
        <f ca="1">(U195-N196-Q196)*(1+KBA20namMH!$P$3)</f>
        <v>147940.12117528365</v>
      </c>
    </row>
    <row r="197" spans="11:21" ht="9.75" customHeight="1">
      <c r="K197" s="1046"/>
      <c r="L197" s="265">
        <v>195</v>
      </c>
      <c r="M197" s="550">
        <f ca="1">KBA20namcamket!E198-S196</f>
        <v>1389653.6437254176</v>
      </c>
      <c r="N197" s="538">
        <f ca="1">VTL20namcamket!F198</f>
        <v>60</v>
      </c>
      <c r="O197" s="551">
        <f ca="1">IF('Tinh phi QL'!$H$9="Nam",VLOOKUP(KBACOI!$I$19,KBACOI!$D$3:$F$103,2,0)*M197/1000/12,IF('Tinh phi QL'!$H$9="Nữ",VLOOKUP(KBACOI!$I$19,KBACOI!$D$3:$F$103,3,0)*M197/1000/12,0))</f>
        <v>474.33511039160925</v>
      </c>
      <c r="P197" s="1043"/>
      <c r="Q197" s="539">
        <f ca="1">IF('Tinh phi QL'!$H$9="Nam",VLOOKUP(KBACOI!$I$19,KBACOI!$D$3:$F$103,2,0)*R197/1000/12,IF('Tinh phi QL'!$H$9="Nữ",VLOOKUP(KBACOI!$I$19,KBACOI!$D$3:$F$103,3,0)*R197/1000/12,0))</f>
        <v>461.5031053055032</v>
      </c>
      <c r="R197" s="551">
        <f ca="1">KBA20namMH!E198-U196</f>
        <v>1352059.8788247164</v>
      </c>
      <c r="S197" s="552">
        <f ca="1">(S196-N197-O197)*(1+KBA20namcamket!$W$3)</f>
        <v>109857.67165151841</v>
      </c>
      <c r="T197" s="1044"/>
      <c r="U197" s="542">
        <f ca="1">(U196-N197-Q197)*(1+KBA20namMH!$P$3)</f>
        <v>147972.14729283503</v>
      </c>
    </row>
    <row r="198" spans="11:21" ht="9.75" customHeight="1">
      <c r="K198" s="1046"/>
      <c r="L198" s="265">
        <v>196</v>
      </c>
      <c r="M198" s="550">
        <f ca="1">KBA20namcamket!E199-S197</f>
        <v>1390142.3283484816</v>
      </c>
      <c r="N198" s="538">
        <f ca="1">VTL20namcamket!F199</f>
        <v>60</v>
      </c>
      <c r="O198" s="551">
        <f ca="1">IF('Tinh phi QL'!$H$9="Nam",VLOOKUP(KBACOI!$I$19,KBACOI!$D$3:$F$103,2,0)*M198/1000/12,IF('Tinh phi QL'!$H$9="Nữ",VLOOKUP(KBACOI!$I$19,KBACOI!$D$3:$F$103,3,0)*M198/1000/12,0))</f>
        <v>474.50191474294843</v>
      </c>
      <c r="P198" s="1043"/>
      <c r="Q198" s="539">
        <f ca="1">IF('Tinh phi QL'!$H$9="Nam",VLOOKUP(KBACOI!$I$19,KBACOI!$D$3:$F$103,2,0)*R198/1000/12,IF('Tinh phi QL'!$H$9="Nữ",VLOOKUP(KBACOI!$I$19,KBACOI!$D$3:$F$103,3,0)*R198/1000/12,0))</f>
        <v>461.49217372404564</v>
      </c>
      <c r="R198" s="551">
        <f ca="1">KBA20namMH!E199-U197</f>
        <v>1352027.8527071651</v>
      </c>
      <c r="S198" s="552">
        <f ca="1">(S197-N198-O198)*(1+KBA20namcamket!$W$3)</f>
        <v>109368.61700130787</v>
      </c>
      <c r="T198" s="1044"/>
      <c r="U198" s="542">
        <f ca="1">(U197-N198-Q198)*(1+KBA20namMH!$P$3)</f>
        <v>148004.30463507021</v>
      </c>
    </row>
    <row r="199" spans="11:21" ht="9.75" customHeight="1">
      <c r="K199" s="1046"/>
      <c r="L199" s="265">
        <v>197</v>
      </c>
      <c r="M199" s="550">
        <f ca="1">KBA20namcamket!E200-S198</f>
        <v>1390631.3829986921</v>
      </c>
      <c r="N199" s="538">
        <f ca="1">VTL20namcamket!F200</f>
        <v>60</v>
      </c>
      <c r="O199" s="551">
        <f ca="1">IF('Tinh phi QL'!$H$9="Nam",VLOOKUP(KBACOI!$I$19,KBACOI!$D$3:$F$103,2,0)*M199/1000/12,IF('Tinh phi QL'!$H$9="Nữ",VLOOKUP(KBACOI!$I$19,KBACOI!$D$3:$F$103,3,0)*M199/1000/12,0))</f>
        <v>474.66884539688687</v>
      </c>
      <c r="P199" s="1043"/>
      <c r="Q199" s="539">
        <f ca="1">IF('Tinh phi QL'!$H$9="Nam",VLOOKUP(KBACOI!$I$19,KBACOI!$D$3:$F$103,2,0)*R199/1000/12,IF('Tinh phi QL'!$H$9="Nữ",VLOOKUP(KBACOI!$I$19,KBACOI!$D$3:$F$103,3,0)*R199/1000/12,0))</f>
        <v>461.48119735122941</v>
      </c>
      <c r="R199" s="551">
        <f ca="1">KBA20namMH!E200-U198</f>
        <v>1351995.6953649297</v>
      </c>
      <c r="S199" s="552">
        <f ca="1">(S198-N199-O199)*(1+KBA20namcamket!$W$3)</f>
        <v>108879.19204376987</v>
      </c>
      <c r="T199" s="1044"/>
      <c r="U199" s="542">
        <f ca="1">(U198-N199-Q199)*(1+KBA20namMH!$P$3)</f>
        <v>148036.59373967274</v>
      </c>
    </row>
    <row r="200" spans="11:21" ht="9.75" customHeight="1">
      <c r="K200" s="1046"/>
      <c r="L200" s="265">
        <v>198</v>
      </c>
      <c r="M200" s="550">
        <f ca="1">KBA20namcamket!E201-S199</f>
        <v>1391120.8079562301</v>
      </c>
      <c r="N200" s="538">
        <f ca="1">VTL20namcamket!F201</f>
        <v>60</v>
      </c>
      <c r="O200" s="551">
        <f ca="1">IF('Tinh phi QL'!$H$9="Nam",VLOOKUP(KBACOI!$I$19,KBACOI!$D$3:$F$103,2,0)*M200/1000/12,IF('Tinh phi QL'!$H$9="Nữ",VLOOKUP(KBACOI!$I$19,KBACOI!$D$3:$F$103,3,0)*M200/1000/12,0))</f>
        <v>474.83590244905992</v>
      </c>
      <c r="P200" s="1043"/>
      <c r="Q200" s="539">
        <f ca="1">IF('Tinh phi QL'!$H$9="Nam",VLOOKUP(KBACOI!$I$19,KBACOI!$D$3:$F$103,2,0)*R200/1000/12,IF('Tinh phi QL'!$H$9="Nữ",VLOOKUP(KBACOI!$I$19,KBACOI!$D$3:$F$103,3,0)*R200/1000/12,0))</f>
        <v>461.47017600352501</v>
      </c>
      <c r="R200" s="551">
        <f ca="1">KBA20namMH!E201-U199</f>
        <v>1351963.4062603272</v>
      </c>
      <c r="S200" s="552">
        <f ca="1">(S199-N200-O200)*(1+KBA20namcamket!$W$3)</f>
        <v>108389.39649851136</v>
      </c>
      <c r="T200" s="1044"/>
      <c r="U200" s="542">
        <f ca="1">(U199-N200-Q200)*(1+KBA20namMH!$P$3)</f>
        <v>148069.01514652936</v>
      </c>
    </row>
    <row r="201" spans="11:21" ht="9.75" customHeight="1">
      <c r="K201" s="1046"/>
      <c r="L201" s="265">
        <v>199</v>
      </c>
      <c r="M201" s="550">
        <f ca="1">KBA20namcamket!E202-S200</f>
        <v>1391610.6035014887</v>
      </c>
      <c r="N201" s="538">
        <f ca="1">VTL20namcamket!F202</f>
        <v>60</v>
      </c>
      <c r="O201" s="551">
        <f ca="1">IF('Tinh phi QL'!$H$9="Nam",VLOOKUP(KBACOI!$I$19,KBACOI!$D$3:$F$103,2,0)*M201/1000/12,IF('Tinh phi QL'!$H$9="Nữ",VLOOKUP(KBACOI!$I$19,KBACOI!$D$3:$F$103,3,0)*M201/1000/12,0))</f>
        <v>475.00308599517479</v>
      </c>
      <c r="P201" s="1043"/>
      <c r="Q201" s="539">
        <f ca="1">IF('Tinh phi QL'!$H$9="Nam",VLOOKUP(KBACOI!$I$19,KBACOI!$D$3:$F$103,2,0)*R201/1000/12,IF('Tinh phi QL'!$H$9="Nữ",VLOOKUP(KBACOI!$I$19,KBACOI!$D$3:$F$103,3,0)*R201/1000/12,0))</f>
        <v>461.45910949665137</v>
      </c>
      <c r="R201" s="551">
        <f ca="1">KBA20namMH!E202-U200</f>
        <v>1351930.9848534707</v>
      </c>
      <c r="S201" s="552">
        <f ca="1">(S200-N201-O201)*(1+KBA20namcamket!$W$3)</f>
        <v>107899.230084927</v>
      </c>
      <c r="T201" s="1044"/>
      <c r="U201" s="542">
        <f ca="1">(U200-N201-Q201)*(1+KBA20namMH!$P$3)</f>
        <v>148101.5693977389</v>
      </c>
    </row>
    <row r="202" spans="11:21" ht="9.75" customHeight="1">
      <c r="K202" s="1046"/>
      <c r="L202" s="265">
        <v>200</v>
      </c>
      <c r="M202" s="550">
        <f ca="1">KBA20namcamket!E203-S201</f>
        <v>1392100.7699150729</v>
      </c>
      <c r="N202" s="538">
        <f ca="1">VTL20namcamket!F203</f>
        <v>60</v>
      </c>
      <c r="O202" s="551">
        <f ca="1">IF('Tinh phi QL'!$H$9="Nam",VLOOKUP(KBACOI!$I$19,KBACOI!$D$3:$F$103,2,0)*M202/1000/12,IF('Tinh phi QL'!$H$9="Nữ",VLOOKUP(KBACOI!$I$19,KBACOI!$D$3:$F$103,3,0)*M202/1000/12,0))</f>
        <v>475.17039613101156</v>
      </c>
      <c r="P202" s="1043"/>
      <c r="Q202" s="539">
        <f ca="1">IF('Tinh phi QL'!$H$9="Nam",VLOOKUP(KBACOI!$I$19,KBACOI!$D$3:$F$103,2,0)*R202/1000/12,IF('Tinh phi QL'!$H$9="Nữ",VLOOKUP(KBACOI!$I$19,KBACOI!$D$3:$F$103,3,0)*R202/1000/12,0))</f>
        <v>461.44799764557183</v>
      </c>
      <c r="R202" s="551">
        <f ca="1">KBA20namMH!E203-U201</f>
        <v>1351898.4306022611</v>
      </c>
      <c r="S202" s="552">
        <f ca="1">(S201-N202-O202)*(1+KBA20namcamket!$W$3)</f>
        <v>107408.69252219899</v>
      </c>
      <c r="T202" s="1044"/>
      <c r="U202" s="542">
        <f ca="1">(U201-N202-Q202)*(1+KBA20namMH!$P$3)</f>
        <v>148134.25703762143</v>
      </c>
    </row>
    <row r="203" spans="11:21" ht="9.75" customHeight="1">
      <c r="K203" s="1046"/>
      <c r="L203" s="265">
        <v>201</v>
      </c>
      <c r="M203" s="550">
        <f ca="1">KBA20namcamket!E204-S202</f>
        <v>1392591.3074778011</v>
      </c>
      <c r="N203" s="538">
        <f ca="1">VTL20namcamket!F204</f>
        <v>60</v>
      </c>
      <c r="O203" s="551">
        <f ca="1">IF('Tinh phi QL'!$H$9="Nam",VLOOKUP(KBACOI!$I$19,KBACOI!$D$3:$F$103,2,0)*M203/1000/12,IF('Tinh phi QL'!$H$9="Nữ",VLOOKUP(KBACOI!$I$19,KBACOI!$D$3:$F$103,3,0)*M203/1000/12,0))</f>
        <v>475.33783295242279</v>
      </c>
      <c r="P203" s="1043"/>
      <c r="Q203" s="539">
        <f ca="1">IF('Tinh phi QL'!$H$9="Nam",VLOOKUP(KBACOI!$I$19,KBACOI!$D$3:$F$103,2,0)*R203/1000/12,IF('Tinh phi QL'!$H$9="Nữ",VLOOKUP(KBACOI!$I$19,KBACOI!$D$3:$F$103,3,0)*R203/1000/12,0))</f>
        <v>461.43684026449188</v>
      </c>
      <c r="R203" s="551">
        <f ca="1">KBA20namMH!E204-U202</f>
        <v>1351865.7429623785</v>
      </c>
      <c r="S203" s="552">
        <f ca="1">(S202-N203-O203)*(1+KBA20namcamket!$W$3)</f>
        <v>106917.78352929688</v>
      </c>
      <c r="T203" s="1044"/>
      <c r="U203" s="542">
        <f ca="1">(U202-N203-Q203)*(1+KBA20namMH!$P$3)</f>
        <v>148167.07861272729</v>
      </c>
    </row>
    <row r="204" spans="11:21" ht="9.75" customHeight="1">
      <c r="K204" s="1046"/>
      <c r="L204" s="265">
        <v>202</v>
      </c>
      <c r="M204" s="550">
        <f ca="1">KBA20namcamket!E205-S203</f>
        <v>1393082.216470703</v>
      </c>
      <c r="N204" s="538">
        <f ca="1">VTL20namcamket!F205</f>
        <v>60</v>
      </c>
      <c r="O204" s="551">
        <f ca="1">IF('Tinh phi QL'!$H$9="Nam",VLOOKUP(KBACOI!$I$19,KBACOI!$D$3:$F$103,2,0)*M204/1000/12,IF('Tinh phi QL'!$H$9="Nữ",VLOOKUP(KBACOI!$I$19,KBACOI!$D$3:$F$103,3,0)*M204/1000/12,0))</f>
        <v>475.50539655533333</v>
      </c>
      <c r="P204" s="1043"/>
      <c r="Q204" s="539">
        <f ca="1">IF('Tinh phi QL'!$H$9="Nam",VLOOKUP(KBACOI!$I$19,KBACOI!$D$3:$F$103,2,0)*R204/1000/12,IF('Tinh phi QL'!$H$9="Nữ",VLOOKUP(KBACOI!$I$19,KBACOI!$D$3:$F$103,3,0)*R204/1000/12,0))</f>
        <v>461.42563716685578</v>
      </c>
      <c r="R204" s="551">
        <f ca="1">KBA20namMH!E205-U203</f>
        <v>1351832.9213872727</v>
      </c>
      <c r="S204" s="552">
        <f ca="1">(S203-N204-O204)*(1+KBA20namcamket!$W$3)</f>
        <v>106426.50282497742</v>
      </c>
      <c r="T204" s="1044"/>
      <c r="U204" s="542">
        <f ca="1">(U203-N204-Q204)*(1+KBA20namMH!$P$3)</f>
        <v>148200.03467184634</v>
      </c>
    </row>
    <row r="205" spans="11:21" ht="9.75" customHeight="1">
      <c r="K205" s="1046"/>
      <c r="L205" s="265">
        <v>203</v>
      </c>
      <c r="M205" s="550">
        <f ca="1">KBA20namcamket!E206-S204</f>
        <v>1393573.4971750225</v>
      </c>
      <c r="N205" s="538">
        <f ca="1">VTL20namcamket!F206</f>
        <v>60</v>
      </c>
      <c r="O205" s="551">
        <f ca="1">IF('Tinh phi QL'!$H$9="Nam",VLOOKUP(KBACOI!$I$19,KBACOI!$D$3:$F$103,2,0)*M205/1000/12,IF('Tinh phi QL'!$H$9="Nữ",VLOOKUP(KBACOI!$I$19,KBACOI!$D$3:$F$103,3,0)*M205/1000/12,0))</f>
        <v>475.67308703574105</v>
      </c>
      <c r="P205" s="1043"/>
      <c r="Q205" s="539">
        <f ca="1">IF('Tinh phi QL'!$H$9="Nam",VLOOKUP(KBACOI!$I$19,KBACOI!$D$3:$F$103,2,0)*R205/1000/12,IF('Tinh phi QL'!$H$9="Nữ",VLOOKUP(KBACOI!$I$19,KBACOI!$D$3:$F$103,3,0)*R205/1000/12,0))</f>
        <v>461.41438816534315</v>
      </c>
      <c r="R205" s="551">
        <f ca="1">KBA20namMH!E206-U204</f>
        <v>1351799.9653281537</v>
      </c>
      <c r="S205" s="552">
        <f ca="1">(S204-N205-O205)*(1+KBA20namcamket!$W$3)</f>
        <v>105934.85012778442</v>
      </c>
      <c r="T205" s="1044"/>
      <c r="U205" s="542">
        <f ca="1">(U204-N205-Q205)*(1+KBA20namMH!$P$3)</f>
        <v>148233.12576601701</v>
      </c>
    </row>
    <row r="206" spans="11:21" ht="9.75" customHeight="1">
      <c r="K206" s="1046"/>
      <c r="L206" s="265">
        <v>204</v>
      </c>
      <c r="M206" s="550">
        <f ca="1">KBA20namcamket!E207-S205</f>
        <v>1394065.1498722155</v>
      </c>
      <c r="N206" s="538">
        <f ca="1">VTL20namcamket!F207</f>
        <v>60</v>
      </c>
      <c r="O206" s="551">
        <f ca="1">IF('Tinh phi QL'!$H$9="Nam",VLOOKUP(KBACOI!$I$19,KBACOI!$D$3:$F$103,2,0)*M206/1000/12,IF('Tinh phi QL'!$H$9="Nữ",VLOOKUP(KBACOI!$I$19,KBACOI!$D$3:$F$103,3,0)*M206/1000/12,0))</f>
        <v>475.84090448971619</v>
      </c>
      <c r="P206" s="1043"/>
      <c r="Q206" s="539">
        <f ca="1">IF('Tinh phi QL'!$H$9="Nam",VLOOKUP(KBACOI!$I$19,KBACOI!$D$3:$F$103,2,0)*R206/1000/12,IF('Tinh phi QL'!$H$9="Nữ",VLOOKUP(KBACOI!$I$19,KBACOI!$D$3:$F$103,3,0)*R206/1000/12,0))</f>
        <v>461.40309307186618</v>
      </c>
      <c r="R206" s="551">
        <f ca="1">KBA20namMH!E207-U205</f>
        <v>1351766.874233983</v>
      </c>
      <c r="S206" s="553">
        <f ca="1">(S205-N206-O206)*(1+KBA20namcamket!$W$3)+P195</f>
        <v>105742.82515604857</v>
      </c>
      <c r="T206" s="1044"/>
      <c r="U206" s="543">
        <f ca="1">(U205-N206-Q206)*(1+KBA20namMH!$P$3)+T195</f>
        <v>148566.35244853562</v>
      </c>
    </row>
    <row r="207" spans="11:21" ht="9.75" customHeight="1">
      <c r="K207" s="1043">
        <f>K195+1</f>
        <v>18</v>
      </c>
      <c r="L207" s="262">
        <v>205</v>
      </c>
      <c r="M207" s="540">
        <f ca="1">KBA20namcamket!E208-S206-KBAGTTKcamket!F24</f>
        <v>1384257.1748439514</v>
      </c>
      <c r="N207" s="538">
        <f ca="1">VTL20namcamket!F208</f>
        <v>60</v>
      </c>
      <c r="O207" s="541">
        <f ca="1">IF('Tinh phi QL'!$H$9="Nam",VLOOKUP(KBACOI!$I$20,KBACOI!$D$3:$F$103,2,0)*M207/1000/12,IF('Tinh phi QL'!$H$9="Nữ",VLOOKUP(KBACOI!$I$20,KBACOI!$D$3:$F$103,3,0)*M207/1000/12,0))</f>
        <v>510.32947845913674</v>
      </c>
      <c r="P207" s="1043">
        <f t="shared" ref="P207" si="15">P195</f>
        <v>300</v>
      </c>
      <c r="Q207" s="539">
        <f ca="1">IF('Tinh phi QL'!$H$9="Nam",VLOOKUP(KBACOI!$I$20,KBACOI!$D$3:$F$103,2,0)*R207/1000/12,IF('Tinh phi QL'!$H$9="Nữ",VLOOKUP(KBACOI!$I$20,KBACOI!$D$3:$F$103,3,0)*R207/1000/12,0))</f>
        <v>494.54187139730658</v>
      </c>
      <c r="R207" s="541">
        <f ca="1">KBA20namMH!E208-U206-KBAGTTKMH!F24</f>
        <v>1341433.6475514644</v>
      </c>
      <c r="S207" s="552">
        <f ca="1">(S206+KBAGTTKcamket!F24-N207-O207)*(1+KBA20namcamket!$W$3)</f>
        <v>115220.37459374708</v>
      </c>
      <c r="T207" s="1044">
        <f>P207</f>
        <v>300</v>
      </c>
      <c r="U207" s="542">
        <f ca="1">(U206+KBAGTTKMH!F24-N207-Q207)*(1+KBA20namMH!$P$3)</f>
        <v>158605.11524825828</v>
      </c>
    </row>
    <row r="208" spans="11:21" ht="9.75" customHeight="1">
      <c r="K208" s="1043"/>
      <c r="L208" s="262">
        <v>206</v>
      </c>
      <c r="M208" s="540">
        <f ca="1">KBA20namcamket!E209-S207</f>
        <v>1384779.6254062529</v>
      </c>
      <c r="N208" s="538">
        <f ca="1">VTL20namcamket!F209</f>
        <v>60</v>
      </c>
      <c r="O208" s="541">
        <f ca="1">IF('Tinh phi QL'!$H$9="Nam",VLOOKUP(KBACOI!$I$20,KBACOI!$D$3:$F$103,2,0)*M208/1000/12,IF('Tinh phi QL'!$H$9="Nữ",VLOOKUP(KBACOI!$I$20,KBACOI!$D$3:$F$103,3,0)*M208/1000/12,0))</f>
        <v>510.52208856643864</v>
      </c>
      <c r="P208" s="1043"/>
      <c r="Q208" s="539">
        <f ca="1">IF('Tinh phi QL'!$H$9="Nam",VLOOKUP(KBACOI!$I$20,KBACOI!$D$3:$F$103,2,0)*R208/1000/12,IF('Tinh phi QL'!$H$9="Nữ",VLOOKUP(KBACOI!$I$20,KBACOI!$D$3:$F$103,3,0)*R208/1000/12,0))</f>
        <v>494.52758084514215</v>
      </c>
      <c r="R208" s="541">
        <f ca="1">KBA20namMH!E209-U207</f>
        <v>1341394.8847517418</v>
      </c>
      <c r="S208" s="552">
        <f ca="1">(S207-N208-O208)*(1+KBA20namcamket!$W$3)</f>
        <v>114697.51415081303</v>
      </c>
      <c r="T208" s="1044"/>
      <c r="U208" s="542">
        <f ca="1">(U207-N208-Q208)*(1+KBA20namMH!$P$3)</f>
        <v>158644.03793922404</v>
      </c>
    </row>
    <row r="209" spans="11:21" ht="9.75" customHeight="1">
      <c r="K209" s="1043"/>
      <c r="L209" s="262">
        <v>207</v>
      </c>
      <c r="M209" s="540">
        <f ca="1">KBA20namcamket!E210-S208</f>
        <v>1385302.485849187</v>
      </c>
      <c r="N209" s="538">
        <f ca="1">VTL20namcamket!F210</f>
        <v>60</v>
      </c>
      <c r="O209" s="541">
        <f ca="1">IF('Tinh phi QL'!$H$9="Nam",VLOOKUP(KBACOI!$I$20,KBACOI!$D$3:$F$103,2,0)*M209/1000/12,IF('Tinh phi QL'!$H$9="Nữ",VLOOKUP(KBACOI!$I$20,KBACOI!$D$3:$F$103,3,0)*M209/1000/12,0))</f>
        <v>510.71484978306694</v>
      </c>
      <c r="P209" s="1043"/>
      <c r="Q209" s="539">
        <f ca="1">IF('Tinh phi QL'!$H$9="Nam",VLOOKUP(KBACOI!$I$20,KBACOI!$D$3:$F$103,2,0)*R209/1000/12,IF('Tinh phi QL'!$H$9="Nữ",VLOOKUP(KBACOI!$I$20,KBACOI!$D$3:$F$103,3,0)*R209/1000/12,0))</f>
        <v>494.51323134640614</v>
      </c>
      <c r="R209" s="541">
        <f ca="1">KBA20namMH!E210-U208</f>
        <v>1341355.9620607761</v>
      </c>
      <c r="S209" s="552">
        <f ca="1">(S208-N209-O209)*(1+KBA20namcamket!$W$3)</f>
        <v>114174.24350568082</v>
      </c>
      <c r="T209" s="1044"/>
      <c r="U209" s="542">
        <f ca="1">(U208-N209-Q209)*(1+KBA20namMH!$P$3)</f>
        <v>158683.12118096236</v>
      </c>
    </row>
    <row r="210" spans="11:21" ht="9.75" customHeight="1">
      <c r="K210" s="1043"/>
      <c r="L210" s="262">
        <v>208</v>
      </c>
      <c r="M210" s="540">
        <f ca="1">KBA20namcamket!E211-S209</f>
        <v>1385825.7564943191</v>
      </c>
      <c r="N210" s="538">
        <f ca="1">VTL20namcamket!F211</f>
        <v>60</v>
      </c>
      <c r="O210" s="541">
        <f ca="1">IF('Tinh phi QL'!$H$9="Nam",VLOOKUP(KBACOI!$I$20,KBACOI!$D$3:$F$103,2,0)*M210/1000/12,IF('Tinh phi QL'!$H$9="Nữ",VLOOKUP(KBACOI!$I$20,KBACOI!$D$3:$F$103,3,0)*M210/1000/12,0))</f>
        <v>510.90776222757239</v>
      </c>
      <c r="P210" s="1043"/>
      <c r="Q210" s="539">
        <f ca="1">IF('Tinh phi QL'!$H$9="Nam",VLOOKUP(KBACOI!$I$20,KBACOI!$D$3:$F$103,2,0)*R210/1000/12,IF('Tinh phi QL'!$H$9="Nữ",VLOOKUP(KBACOI!$I$20,KBACOI!$D$3:$F$103,3,0)*R210/1000/12,0))</f>
        <v>494.49882265795191</v>
      </c>
      <c r="R210" s="541">
        <f ca="1">KBA20namMH!E211-U209</f>
        <v>1341316.8788190377</v>
      </c>
      <c r="S210" s="552">
        <f ca="1">(S209-N210-O210)*(1+KBA20namcamket!$W$3)</f>
        <v>113650.56233653254</v>
      </c>
      <c r="T210" s="1044"/>
      <c r="U210" s="542">
        <f ca="1">(U209-N210-Q210)*(1+KBA20namMH!$P$3)</f>
        <v>158722.36563572325</v>
      </c>
    </row>
    <row r="211" spans="11:21" ht="9.75" customHeight="1">
      <c r="K211" s="1043"/>
      <c r="L211" s="262">
        <v>209</v>
      </c>
      <c r="M211" s="540">
        <f ca="1">KBA20namcamket!E212-S210</f>
        <v>1386349.4376634674</v>
      </c>
      <c r="N211" s="538">
        <f ca="1">VTL20namcamket!F212</f>
        <v>60</v>
      </c>
      <c r="O211" s="541">
        <f ca="1">IF('Tinh phi QL'!$H$9="Nam",VLOOKUP(KBACOI!$I$20,KBACOI!$D$3:$F$103,2,0)*M211/1000/12,IF('Tinh phi QL'!$H$9="Nữ",VLOOKUP(KBACOI!$I$20,KBACOI!$D$3:$F$103,3,0)*M211/1000/12,0))</f>
        <v>511.10082601859835</v>
      </c>
      <c r="P211" s="1043"/>
      <c r="Q211" s="539">
        <f ca="1">IF('Tinh phi QL'!$H$9="Nam",VLOOKUP(KBACOI!$I$20,KBACOI!$D$3:$F$103,2,0)*R211/1000/12,IF('Tinh phi QL'!$H$9="Nữ",VLOOKUP(KBACOI!$I$20,KBACOI!$D$3:$F$103,3,0)*R211/1000/12,0))</f>
        <v>494.48435453563002</v>
      </c>
      <c r="R211" s="541">
        <f ca="1">KBA20namMH!E212-U210</f>
        <v>1341277.6343642767</v>
      </c>
      <c r="S211" s="552">
        <f ca="1">(S210-N211-O211)*(1+KBA20namcamket!$W$3)</f>
        <v>113126.47032129783</v>
      </c>
      <c r="T211" s="1044"/>
      <c r="U211" s="542">
        <f ca="1">(U210-N211-Q211)*(1+KBA20namMH!$P$3)</f>
        <v>158761.77196848829</v>
      </c>
    </row>
    <row r="212" spans="11:21" ht="9.75" customHeight="1">
      <c r="K212" s="1043"/>
      <c r="L212" s="262">
        <v>210</v>
      </c>
      <c r="M212" s="540">
        <f ca="1">KBA20namcamket!E213-S211</f>
        <v>1386873.5296787021</v>
      </c>
      <c r="N212" s="538">
        <f ca="1">VTL20namcamket!F213</f>
        <v>60</v>
      </c>
      <c r="O212" s="541">
        <f ca="1">IF('Tinh phi QL'!$H$9="Nam",VLOOKUP(KBACOI!$I$20,KBACOI!$D$3:$F$103,2,0)*M212/1000/12,IF('Tinh phi QL'!$H$9="Nữ",VLOOKUP(KBACOI!$I$20,KBACOI!$D$3:$F$103,3,0)*M212/1000/12,0))</f>
        <v>511.29404127488152</v>
      </c>
      <c r="P212" s="1043"/>
      <c r="Q212" s="539">
        <f ca="1">IF('Tinh phi QL'!$H$9="Nam",VLOOKUP(KBACOI!$I$20,KBACOI!$D$3:$F$103,2,0)*R212/1000/12,IF('Tinh phi QL'!$H$9="Nữ",VLOOKUP(KBACOI!$I$20,KBACOI!$D$3:$F$103,3,0)*R212/1000/12,0))</f>
        <v>494.46982673428403</v>
      </c>
      <c r="R212" s="541">
        <f ca="1">KBA20namMH!E213-U211</f>
        <v>1341238.2280315117</v>
      </c>
      <c r="S212" s="552">
        <f ca="1">(S211-N212-O212)*(1+KBA20namcamket!$W$3)</f>
        <v>112601.96713765364</v>
      </c>
      <c r="T212" s="1044"/>
      <c r="U212" s="542">
        <f ca="1">(U211-N212-Q212)*(1+KBA20namMH!$P$3)</f>
        <v>158801.34084698214</v>
      </c>
    </row>
    <row r="213" spans="11:21" ht="9.75" customHeight="1">
      <c r="K213" s="1043"/>
      <c r="L213" s="262">
        <v>211</v>
      </c>
      <c r="M213" s="540">
        <f ca="1">KBA20namcamket!E214-S212</f>
        <v>1387398.0328623464</v>
      </c>
      <c r="N213" s="538">
        <f ca="1">VTL20namcamket!F214</f>
        <v>60</v>
      </c>
      <c r="O213" s="541">
        <f ca="1">IF('Tinh phi QL'!$H$9="Nam",VLOOKUP(KBACOI!$I$20,KBACOI!$D$3:$F$103,2,0)*M213/1000/12,IF('Tinh phi QL'!$H$9="Nữ",VLOOKUP(KBACOI!$I$20,KBACOI!$D$3:$F$103,3,0)*M213/1000/12,0))</f>
        <v>511.48740811525175</v>
      </c>
      <c r="P213" s="1043"/>
      <c r="Q213" s="539">
        <f ca="1">IF('Tinh phi QL'!$H$9="Nam",VLOOKUP(KBACOI!$I$20,KBACOI!$D$3:$F$103,2,0)*R213/1000/12,IF('Tinh phi QL'!$H$9="Nữ",VLOOKUP(KBACOI!$I$20,KBACOI!$D$3:$F$103,3,0)*R213/1000/12,0))</f>
        <v>494.455239007746</v>
      </c>
      <c r="R213" s="541">
        <f ca="1">KBA20namMH!E214-U212</f>
        <v>1341198.6591530179</v>
      </c>
      <c r="S213" s="552">
        <f ca="1">(S212-N213-O213)*(1+KBA20namcamket!$W$3)</f>
        <v>112077.05246302407</v>
      </c>
      <c r="T213" s="1044"/>
      <c r="U213" s="542">
        <f ca="1">(U212-N213-Q213)*(1+KBA20namMH!$P$3)</f>
        <v>158841.07294168367</v>
      </c>
    </row>
    <row r="214" spans="11:21" ht="9.75" customHeight="1">
      <c r="K214" s="1043"/>
      <c r="L214" s="262">
        <v>212</v>
      </c>
      <c r="M214" s="540">
        <f ca="1">KBA20namcamket!E215-S213</f>
        <v>1387922.9475369758</v>
      </c>
      <c r="N214" s="538">
        <f ca="1">VTL20namcamket!F215</f>
        <v>60</v>
      </c>
      <c r="O214" s="541">
        <f ca="1">IF('Tinh phi QL'!$H$9="Nam",VLOOKUP(KBACOI!$I$20,KBACOI!$D$3:$F$103,2,0)*M214/1000/12,IF('Tinh phi QL'!$H$9="Nữ",VLOOKUP(KBACOI!$I$20,KBACOI!$D$3:$F$103,3,0)*M214/1000/12,0))</f>
        <v>511.68092665863173</v>
      </c>
      <c r="P214" s="1043"/>
      <c r="Q214" s="539">
        <f ca="1">IF('Tinh phi QL'!$H$9="Nam",VLOOKUP(KBACOI!$I$20,KBACOI!$D$3:$F$103,2,0)*R214/1000/12,IF('Tinh phi QL'!$H$9="Nữ",VLOOKUP(KBACOI!$I$20,KBACOI!$D$3:$F$103,3,0)*R214/1000/12,0))</f>
        <v>494.44059110883268</v>
      </c>
      <c r="R214" s="541">
        <f ca="1">KBA20namMH!E215-U213</f>
        <v>1341158.9270583163</v>
      </c>
      <c r="S214" s="552">
        <f ca="1">(S213-N214-O214)*(1+KBA20namcamket!$W$3)</f>
        <v>111551.72597458013</v>
      </c>
      <c r="T214" s="1044"/>
      <c r="U214" s="542">
        <f ca="1">(U213-N214-Q214)*(1+KBA20namMH!$P$3)</f>
        <v>158880.96892583737</v>
      </c>
    </row>
    <row r="215" spans="11:21" ht="9.75" customHeight="1">
      <c r="K215" s="1043"/>
      <c r="L215" s="262">
        <v>213</v>
      </c>
      <c r="M215" s="540">
        <f ca="1">KBA20namcamket!E216-S214</f>
        <v>1388448.27402542</v>
      </c>
      <c r="N215" s="538">
        <f ca="1">VTL20namcamket!F216</f>
        <v>60</v>
      </c>
      <c r="O215" s="541">
        <f ca="1">IF('Tinh phi QL'!$H$9="Nam",VLOOKUP(KBACOI!$I$20,KBACOI!$D$3:$F$103,2,0)*M215/1000/12,IF('Tinh phi QL'!$H$9="Nữ",VLOOKUP(KBACOI!$I$20,KBACOI!$D$3:$F$103,3,0)*M215/1000/12,0))</f>
        <v>511.87459702403817</v>
      </c>
      <c r="P215" s="1043"/>
      <c r="Q215" s="539">
        <f ca="1">IF('Tinh phi QL'!$H$9="Nam",VLOOKUP(KBACOI!$I$20,KBACOI!$D$3:$F$103,2,0)*R215/1000/12,IF('Tinh phi QL'!$H$9="Nữ",VLOOKUP(KBACOI!$I$20,KBACOI!$D$3:$F$103,3,0)*R215/1000/12,0))</f>
        <v>494.42588278934136</v>
      </c>
      <c r="R215" s="541">
        <f ca="1">KBA20namMH!E216-U214</f>
        <v>1341119.0310741626</v>
      </c>
      <c r="S215" s="552">
        <f ca="1">(S214-N215-O215)*(1+KBA20namcamket!$W$3)</f>
        <v>111025.98734923956</v>
      </c>
      <c r="T215" s="1044"/>
      <c r="U215" s="542">
        <f ca="1">(U214-N215-Q215)*(1+KBA20namMH!$P$3)</f>
        <v>158921.02947546483</v>
      </c>
    </row>
    <row r="216" spans="11:21" ht="9.75" customHeight="1">
      <c r="K216" s="1043"/>
      <c r="L216" s="262">
        <v>214</v>
      </c>
      <c r="M216" s="540">
        <f ca="1">KBA20namcamket!E217-S215</f>
        <v>1388974.0126507604</v>
      </c>
      <c r="N216" s="538">
        <f ca="1">VTL20namcamket!F217</f>
        <v>60</v>
      </c>
      <c r="O216" s="541">
        <f ca="1">IF('Tinh phi QL'!$H$9="Nam",VLOOKUP(KBACOI!$I$20,KBACOI!$D$3:$F$103,2,0)*M216/1000/12,IF('Tinh phi QL'!$H$9="Nữ",VLOOKUP(KBACOI!$I$20,KBACOI!$D$3:$F$103,3,0)*M216/1000/12,0))</f>
        <v>512.06841933058047</v>
      </c>
      <c r="P216" s="1043"/>
      <c r="Q216" s="539">
        <f ca="1">IF('Tinh phi QL'!$H$9="Nam",VLOOKUP(KBACOI!$I$20,KBACOI!$D$3:$F$103,2,0)*R216/1000/12,IF('Tinh phi QL'!$H$9="Nữ",VLOOKUP(KBACOI!$I$20,KBACOI!$D$3:$F$103,3,0)*R216/1000/12,0))</f>
        <v>494.41111380004526</v>
      </c>
      <c r="R216" s="541">
        <f ca="1">KBA20namMH!E217-U215</f>
        <v>1341078.970524535</v>
      </c>
      <c r="S216" s="552">
        <f ca="1">(S215-N216-O216)*(1+KBA20namcamket!$W$3)</f>
        <v>110499.83626366664</v>
      </c>
      <c r="T216" s="1044"/>
      <c r="U216" s="542">
        <f ca="1">(U215-N216-Q216)*(1+KBA20namMH!$P$3)</f>
        <v>158961.2552693761</v>
      </c>
    </row>
    <row r="217" spans="11:21" ht="9.75" customHeight="1">
      <c r="K217" s="1043"/>
      <c r="L217" s="262">
        <v>215</v>
      </c>
      <c r="M217" s="540">
        <f ca="1">KBA20namcamket!E218-S216</f>
        <v>1389500.1637363334</v>
      </c>
      <c r="N217" s="538">
        <f ca="1">VTL20namcamket!F218</f>
        <v>60</v>
      </c>
      <c r="O217" s="541">
        <f ca="1">IF('Tinh phi QL'!$H$9="Nam",VLOOKUP(KBACOI!$I$20,KBACOI!$D$3:$F$103,2,0)*M217/1000/12,IF('Tinh phi QL'!$H$9="Nữ",VLOOKUP(KBACOI!$I$20,KBACOI!$D$3:$F$103,3,0)*M217/1000/12,0))</f>
        <v>512.26239369746156</v>
      </c>
      <c r="P217" s="1043"/>
      <c r="Q217" s="539">
        <f ca="1">IF('Tinh phi QL'!$H$9="Nam",VLOOKUP(KBACOI!$I$20,KBACOI!$D$3:$F$103,2,0)*R217/1000/12,IF('Tinh phi QL'!$H$9="Nữ",VLOOKUP(KBACOI!$I$20,KBACOI!$D$3:$F$103,3,0)*R217/1000/12,0))</f>
        <v>494.39628389069003</v>
      </c>
      <c r="R217" s="541">
        <f ca="1">KBA20namMH!E218-U216</f>
        <v>1341038.7447306239</v>
      </c>
      <c r="S217" s="552">
        <f ca="1">(S216-N217-O217)*(1+KBA20namcamket!$W$3)</f>
        <v>109973.27239427197</v>
      </c>
      <c r="T217" s="1044"/>
      <c r="U217" s="542">
        <f ca="1">(U216-N217-Q217)*(1+KBA20namMH!$P$3)</f>
        <v>159001.6469891812</v>
      </c>
    </row>
    <row r="218" spans="11:21" ht="9.75" customHeight="1">
      <c r="K218" s="1043"/>
      <c r="L218" s="262">
        <v>216</v>
      </c>
      <c r="M218" s="540">
        <f ca="1">KBA20namcamket!E219-S217</f>
        <v>1390026.727605728</v>
      </c>
      <c r="N218" s="538">
        <f ca="1">VTL20namcamket!F219</f>
        <v>60</v>
      </c>
      <c r="O218" s="541">
        <f ca="1">IF('Tinh phi QL'!$H$9="Nam",VLOOKUP(KBACOI!$I$20,KBACOI!$D$3:$F$103,2,0)*M218/1000/12,IF('Tinh phi QL'!$H$9="Nữ",VLOOKUP(KBACOI!$I$20,KBACOI!$D$3:$F$103,3,0)*M218/1000/12,0))</f>
        <v>512.45652024397839</v>
      </c>
      <c r="P218" s="1043"/>
      <c r="Q218" s="539">
        <f ca="1">IF('Tinh phi QL'!$H$9="Nam",VLOOKUP(KBACOI!$I$20,KBACOI!$D$3:$F$103,2,0)*R218/1000/12,IF('Tinh phi QL'!$H$9="Nữ",VLOOKUP(KBACOI!$I$20,KBACOI!$D$3:$F$103,3,0)*R218/1000/12,0))</f>
        <v>494.38139280998865</v>
      </c>
      <c r="R218" s="541">
        <f ca="1">KBA20namMH!E219-U217</f>
        <v>1340998.3530108188</v>
      </c>
      <c r="S218" s="553">
        <f ca="1">(S217-N218-O218)*(1+KBA20namcamket!$W$3)+P207</f>
        <v>109746.29541721228</v>
      </c>
      <c r="T218" s="1044"/>
      <c r="U218" s="543">
        <f ca="1">(U217-N218-Q218)*(1+KBA20namMH!$P$3)+T207</f>
        <v>159342.20531930175</v>
      </c>
    </row>
    <row r="219" spans="11:21" ht="9.75" customHeight="1">
      <c r="K219" s="1045">
        <f>K207+1</f>
        <v>19</v>
      </c>
      <c r="L219" s="252">
        <v>217</v>
      </c>
      <c r="M219" s="538">
        <f ca="1">KBA20namcamket!E220-S218-KBAGTTKcamket!F25</f>
        <v>1380253.7045827878</v>
      </c>
      <c r="N219" s="538">
        <f ca="1">VTL20namcamket!F220</f>
        <v>60</v>
      </c>
      <c r="O219" s="539">
        <f ca="1">IF('Tinh phi QL'!$H$9="Nam",VLOOKUP(KBACOI!$I$21,KBACOI!$D$3:$F$103,2,0)*M219/1000/12,IF('Tinh phi QL'!$H$9="Nữ",VLOOKUP(KBACOI!$I$21,KBACOI!$D$3:$F$103,3,0)*M219/1000/12,0))</f>
        <v>549.34097442394955</v>
      </c>
      <c r="P219" s="1043">
        <f t="shared" ref="P219" si="16">P207</f>
        <v>300</v>
      </c>
      <c r="Q219" s="539">
        <f ca="1">IF('Tinh phi QL'!$H$9="Nam",VLOOKUP(KBACOI!$I$21,KBACOI!$D$3:$F$103,2,0)*R219/1000/12,IF('Tinh phi QL'!$H$9="Nữ",VLOOKUP(KBACOI!$I$21,KBACOI!$D$3:$F$103,3,0)*R219/1000/12,0))</f>
        <v>529.6018022829179</v>
      </c>
      <c r="R219" s="539">
        <f ca="1">KBA20namMH!E220-U218-KBAGTTKMH!F25</f>
        <v>1330657.7946806983</v>
      </c>
      <c r="S219" s="552">
        <f ca="1">(S218+KBAGTTKcamket!F25-N219-O219)*(1+KBA20namcamket!$W$3)</f>
        <v>119186.48144330601</v>
      </c>
      <c r="T219" s="1044">
        <f>P219</f>
        <v>300</v>
      </c>
      <c r="U219" s="542">
        <f ca="1">(U218+KBAGTTKMH!F25-N219-Q219)*(1+KBA20namMH!$P$3)</f>
        <v>169386.23784830468</v>
      </c>
    </row>
    <row r="220" spans="11:21" ht="9.75" customHeight="1">
      <c r="K220" s="1045"/>
      <c r="L220" s="252">
        <v>218</v>
      </c>
      <c r="M220" s="538">
        <f ca="1">KBA20namcamket!E221-S219</f>
        <v>1380813.518556694</v>
      </c>
      <c r="N220" s="538">
        <f ca="1">VTL20namcamket!F221</f>
        <v>60</v>
      </c>
      <c r="O220" s="539">
        <f ca="1">IF('Tinh phi QL'!$H$9="Nam",VLOOKUP(KBACOI!$I$21,KBACOI!$D$3:$F$103,2,0)*M220/1000/12,IF('Tinh phi QL'!$H$9="Nữ",VLOOKUP(KBACOI!$I$21,KBACOI!$D$3:$F$103,3,0)*M220/1000/12,0))</f>
        <v>549.5637803855642</v>
      </c>
      <c r="P220" s="1043"/>
      <c r="Q220" s="539">
        <f ca="1">IF('Tinh phi QL'!$H$9="Nam",VLOOKUP(KBACOI!$I$21,KBACOI!$D$3:$F$103,2,0)*R220/1000/12,IF('Tinh phi QL'!$H$9="Nữ",VLOOKUP(KBACOI!$I$21,KBACOI!$D$3:$F$103,3,0)*R220/1000/12,0))</f>
        <v>529.58427733637473</v>
      </c>
      <c r="R220" s="539">
        <f ca="1">KBA20namMH!E221-U219</f>
        <v>1330613.7621516953</v>
      </c>
      <c r="S220" s="552">
        <f ca="1">(S219-N220-O220)*(1+KBA20namcamket!$W$3)</f>
        <v>118626.21184783513</v>
      </c>
      <c r="T220" s="1044"/>
      <c r="U220" s="542">
        <f ca="1">(U219-N220-Q220)*(1+KBA20namMH!$P$3)</f>
        <v>169430.45330193327</v>
      </c>
    </row>
    <row r="221" spans="11:21" ht="9.75" customHeight="1">
      <c r="K221" s="1045"/>
      <c r="L221" s="252">
        <v>219</v>
      </c>
      <c r="M221" s="538">
        <f ca="1">KBA20namcamket!E222-S220</f>
        <v>1381373.7881521648</v>
      </c>
      <c r="N221" s="538">
        <f ca="1">VTL20namcamket!F222</f>
        <v>60</v>
      </c>
      <c r="O221" s="539">
        <f ca="1">IF('Tinh phi QL'!$H$9="Nam",VLOOKUP(KBACOI!$I$21,KBACOI!$D$3:$F$103,2,0)*M221/1000/12,IF('Tinh phi QL'!$H$9="Nữ",VLOOKUP(KBACOI!$I$21,KBACOI!$D$3:$F$103,3,0)*M221/1000/12,0))</f>
        <v>549.7867676845616</v>
      </c>
      <c r="P221" s="1043"/>
      <c r="Q221" s="539">
        <f ca="1">IF('Tinh phi QL'!$H$9="Nam",VLOOKUP(KBACOI!$I$21,KBACOI!$D$3:$F$103,2,0)*R221/1000/12,IF('Tinh phi QL'!$H$9="Nữ",VLOOKUP(KBACOI!$I$21,KBACOI!$D$3:$F$103,3,0)*R221/1000/12,0))</f>
        <v>529.56667958583046</v>
      </c>
      <c r="R221" s="539">
        <f ca="1">KBA20namMH!E222-U220</f>
        <v>1330569.5466980666</v>
      </c>
      <c r="S221" s="552">
        <f ca="1">(S220-N221-O221)*(1+KBA20namcamket!$W$3)</f>
        <v>118065.48625997824</v>
      </c>
      <c r="T221" s="1044"/>
      <c r="U221" s="542">
        <f ca="1">(U220-N221-Q221)*(1+KBA20namMH!$P$3)</f>
        <v>169474.85244011253</v>
      </c>
    </row>
    <row r="222" spans="11:21" ht="9.75" customHeight="1">
      <c r="K222" s="1045"/>
      <c r="L222" s="252">
        <v>220</v>
      </c>
      <c r="M222" s="538">
        <f ca="1">KBA20namcamket!E223-S221</f>
        <v>1381934.5137400217</v>
      </c>
      <c r="N222" s="538">
        <f ca="1">VTL20namcamket!F223</f>
        <v>60</v>
      </c>
      <c r="O222" s="539">
        <f ca="1">IF('Tinh phi QL'!$H$9="Nam",VLOOKUP(KBACOI!$I$21,KBACOI!$D$3:$F$103,2,0)*M222/1000/12,IF('Tinh phi QL'!$H$9="Nữ",VLOOKUP(KBACOI!$I$21,KBACOI!$D$3:$F$103,3,0)*M222/1000/12,0))</f>
        <v>550.00993646852874</v>
      </c>
      <c r="P222" s="1043"/>
      <c r="Q222" s="539">
        <f ca="1">IF('Tinh phi QL'!$H$9="Nam",VLOOKUP(KBACOI!$I$21,KBACOI!$D$3:$F$103,2,0)*R222/1000/12,IF('Tinh phi QL'!$H$9="Nữ",VLOOKUP(KBACOI!$I$21,KBACOI!$D$3:$F$103,3,0)*R222/1000/12,0))</f>
        <v>529.54900872883525</v>
      </c>
      <c r="R222" s="539">
        <f ca="1">KBA20namMH!E223-U221</f>
        <v>1330525.1475598875</v>
      </c>
      <c r="S222" s="552">
        <f ca="1">(S221-N222-O222)*(1+KBA20namcamket!$W$3)</f>
        <v>117504.3043086121</v>
      </c>
      <c r="T222" s="1044"/>
      <c r="U222" s="542">
        <f ca="1">(U221-N222-Q222)*(1+KBA20namMH!$P$3)</f>
        <v>169519.4360259244</v>
      </c>
    </row>
    <row r="223" spans="11:21" ht="9.75" customHeight="1">
      <c r="K223" s="1045"/>
      <c r="L223" s="252">
        <v>221</v>
      </c>
      <c r="M223" s="538">
        <f ca="1">KBA20namcamket!E224-S222</f>
        <v>1382495.6956913879</v>
      </c>
      <c r="N223" s="538">
        <f ca="1">VTL20namcamket!F224</f>
        <v>60</v>
      </c>
      <c r="O223" s="539">
        <f ca="1">IF('Tinh phi QL'!$H$9="Nam",VLOOKUP(KBACOI!$I$21,KBACOI!$D$3:$F$103,2,0)*M223/1000/12,IF('Tinh phi QL'!$H$9="Nữ",VLOOKUP(KBACOI!$I$21,KBACOI!$D$3:$F$103,3,0)*M223/1000/12,0))</f>
        <v>550.23328688517233</v>
      </c>
      <c r="P223" s="1043"/>
      <c r="Q223" s="539">
        <f ca="1">IF('Tinh phi QL'!$H$9="Nam",VLOOKUP(KBACOI!$I$21,KBACOI!$D$3:$F$103,2,0)*R223/1000/12,IF('Tinh phi QL'!$H$9="Nữ",VLOOKUP(KBACOI!$I$21,KBACOI!$D$3:$F$103,3,0)*R223/1000/12,0))</f>
        <v>529.53126446168199</v>
      </c>
      <c r="R223" s="539">
        <f ca="1">KBA20namMH!E224-U222</f>
        <v>1330480.5639740755</v>
      </c>
      <c r="S223" s="552">
        <f ca="1">(S222-N223-O223)*(1+KBA20namcamket!$W$3)</f>
        <v>116942.66562231148</v>
      </c>
      <c r="T223" s="1044"/>
      <c r="U223" s="542">
        <f ca="1">(U222-N223-Q223)*(1+KBA20namMH!$P$3)</f>
        <v>169564.20482562089</v>
      </c>
    </row>
    <row r="224" spans="11:21" ht="9.75" customHeight="1">
      <c r="K224" s="1045"/>
      <c r="L224" s="252">
        <v>222</v>
      </c>
      <c r="M224" s="538">
        <f ca="1">KBA20namcamket!E225-S223</f>
        <v>1383057.3343776886</v>
      </c>
      <c r="N224" s="538">
        <f ca="1">VTL20namcamket!F225</f>
        <v>60</v>
      </c>
      <c r="O224" s="539">
        <f ca="1">IF('Tinh phi QL'!$H$9="Nam",VLOOKUP(KBACOI!$I$21,KBACOI!$D$3:$F$103,2,0)*M224/1000/12,IF('Tinh phi QL'!$H$9="Nữ",VLOOKUP(KBACOI!$I$21,KBACOI!$D$3:$F$103,3,0)*M224/1000/12,0))</f>
        <v>550.45681908232007</v>
      </c>
      <c r="P224" s="1043"/>
      <c r="Q224" s="539">
        <f ca="1">IF('Tinh phi QL'!$H$9="Nam",VLOOKUP(KBACOI!$I$21,KBACOI!$D$3:$F$103,2,0)*R224/1000/12,IF('Tinh phi QL'!$H$9="Nữ",VLOOKUP(KBACOI!$I$21,KBACOI!$D$3:$F$103,3,0)*R224/1000/12,0))</f>
        <v>529.51344647940289</v>
      </c>
      <c r="R224" s="539">
        <f ca="1">KBA20namMH!E225-U223</f>
        <v>1330435.7951743791</v>
      </c>
      <c r="S224" s="552">
        <f ca="1">(S223-N224-O224)*(1+KBA20namcamket!$W$3)</f>
        <v>116380.56982934878</v>
      </c>
      <c r="T224" s="1044"/>
      <c r="U224" s="542">
        <f ca="1">(U223-N224-Q224)*(1+KBA20namMH!$P$3)</f>
        <v>169609.1596086373</v>
      </c>
    </row>
    <row r="225" spans="11:21" ht="9.75" customHeight="1">
      <c r="K225" s="1045"/>
      <c r="L225" s="252">
        <v>223</v>
      </c>
      <c r="M225" s="538">
        <f ca="1">KBA20namcamket!E226-S224</f>
        <v>1383619.4301706513</v>
      </c>
      <c r="N225" s="538">
        <f ca="1">VTL20namcamket!F226</f>
        <v>60</v>
      </c>
      <c r="O225" s="539">
        <f ca="1">IF('Tinh phi QL'!$H$9="Nam",VLOOKUP(KBACOI!$I$21,KBACOI!$D$3:$F$103,2,0)*M225/1000/12,IF('Tinh phi QL'!$H$9="Nữ",VLOOKUP(KBACOI!$I$21,KBACOI!$D$3:$F$103,3,0)*M225/1000/12,0))</f>
        <v>550.68053320791921</v>
      </c>
      <c r="P225" s="1043"/>
      <c r="Q225" s="539">
        <f ca="1">IF('Tinh phi QL'!$H$9="Nam",VLOOKUP(KBACOI!$I$21,KBACOI!$D$3:$F$103,2,0)*R225/1000/12,IF('Tinh phi QL'!$H$9="Nữ",VLOOKUP(KBACOI!$I$21,KBACOI!$D$3:$F$103,3,0)*R225/1000/12,0))</f>
        <v>529.49555447576233</v>
      </c>
      <c r="R225" s="539">
        <f ca="1">KBA20namMH!E226-U224</f>
        <v>1330390.8403913628</v>
      </c>
      <c r="S225" s="552">
        <f ca="1">(S224-N225-O225)*(1+KBA20namcamket!$W$3)</f>
        <v>115818.0165576939</v>
      </c>
      <c r="T225" s="1044"/>
      <c r="U225" s="542">
        <f ca="1">(U224-N225-Q225)*(1+KBA20namMH!$P$3)</f>
        <v>169654.30114760535</v>
      </c>
    </row>
    <row r="226" spans="11:21" ht="9.75" customHeight="1">
      <c r="K226" s="1045"/>
      <c r="L226" s="252">
        <v>224</v>
      </c>
      <c r="M226" s="538">
        <f ca="1">KBA20namcamket!E227-S225</f>
        <v>1384181.9834423061</v>
      </c>
      <c r="N226" s="538">
        <f ca="1">VTL20namcamket!F227</f>
        <v>60</v>
      </c>
      <c r="O226" s="539">
        <f ca="1">IF('Tinh phi QL'!$H$9="Nam",VLOOKUP(KBACOI!$I$21,KBACOI!$D$3:$F$103,2,0)*M226/1000/12,IF('Tinh phi QL'!$H$9="Nữ",VLOOKUP(KBACOI!$I$21,KBACOI!$D$3:$F$103,3,0)*M226/1000/12,0))</f>
        <v>550.90442941003778</v>
      </c>
      <c r="P226" s="1043"/>
      <c r="Q226" s="539">
        <f ca="1">IF('Tinh phi QL'!$H$9="Nam",VLOOKUP(KBACOI!$I$21,KBACOI!$D$3:$F$103,2,0)*R226/1000/12,IF('Tinh phi QL'!$H$9="Nữ",VLOOKUP(KBACOI!$I$21,KBACOI!$D$3:$F$103,3,0)*R226/1000/12,0))</f>
        <v>529.47758814325312</v>
      </c>
      <c r="R226" s="539">
        <f ca="1">KBA20namMH!E227-U225</f>
        <v>1330345.6988523947</v>
      </c>
      <c r="S226" s="552">
        <f ca="1">(S225-N226-O226)*(1+KBA20namcamket!$W$3)</f>
        <v>115255.00543501395</v>
      </c>
      <c r="T226" s="1044"/>
      <c r="U226" s="542">
        <f ca="1">(U225-N226-Q226)*(1+KBA20namMH!$P$3)</f>
        <v>169699.63021836648</v>
      </c>
    </row>
    <row r="227" spans="11:21" ht="9.75" customHeight="1">
      <c r="K227" s="1045"/>
      <c r="L227" s="252">
        <v>225</v>
      </c>
      <c r="M227" s="538">
        <f ca="1">KBA20namcamket!E228-S226</f>
        <v>1384744.9945649861</v>
      </c>
      <c r="N227" s="538">
        <f ca="1">VTL20namcamket!F228</f>
        <v>60</v>
      </c>
      <c r="O227" s="539">
        <f ca="1">IF('Tinh phi QL'!$H$9="Nam",VLOOKUP(KBACOI!$I$21,KBACOI!$D$3:$F$103,2,0)*M227/1000/12,IF('Tinh phi QL'!$H$9="Nữ",VLOOKUP(KBACOI!$I$21,KBACOI!$D$3:$F$103,3,0)*M227/1000/12,0))</f>
        <v>551.1285078368644</v>
      </c>
      <c r="P227" s="1043"/>
      <c r="Q227" s="539">
        <f ca="1">IF('Tinh phi QL'!$H$9="Nam",VLOOKUP(KBACOI!$I$21,KBACOI!$D$3:$F$103,2,0)*R227/1000/12,IF('Tinh phi QL'!$H$9="Nữ",VLOOKUP(KBACOI!$I$21,KBACOI!$D$3:$F$103,3,0)*R227/1000/12,0))</f>
        <v>529.45954717309007</v>
      </c>
      <c r="R227" s="539">
        <f ca="1">KBA20namMH!E228-U226</f>
        <v>1330300.3697816336</v>
      </c>
      <c r="S227" s="552">
        <f ca="1">(S226-N227-O227)*(1+KBA20namcamket!$W$3)</f>
        <v>114691.536088673</v>
      </c>
      <c r="T227" s="1044"/>
      <c r="U227" s="542">
        <f ca="1">(U226-N227-Q227)*(1+KBA20namMH!$P$3)</f>
        <v>169745.1475999853</v>
      </c>
    </row>
    <row r="228" spans="11:21" ht="9.75" customHeight="1">
      <c r="K228" s="1045"/>
      <c r="L228" s="252">
        <v>226</v>
      </c>
      <c r="M228" s="538">
        <f ca="1">KBA20namcamket!E229-S227</f>
        <v>1385308.4639113271</v>
      </c>
      <c r="N228" s="538">
        <f ca="1">VTL20namcamket!F229</f>
        <v>60</v>
      </c>
      <c r="O228" s="539">
        <f ca="1">IF('Tinh phi QL'!$H$9="Nam",VLOOKUP(KBACOI!$I$21,KBACOI!$D$3:$F$103,2,0)*M228/1000/12,IF('Tinh phi QL'!$H$9="Nữ",VLOOKUP(KBACOI!$I$21,KBACOI!$D$3:$F$103,3,0)*M228/1000/12,0))</f>
        <v>551.35276863670822</v>
      </c>
      <c r="P228" s="1043"/>
      <c r="Q228" s="539">
        <f ca="1">IF('Tinh phi QL'!$H$9="Nam",VLOOKUP(KBACOI!$I$21,KBACOI!$D$3:$F$103,2,0)*R228/1000/12,IF('Tinh phi QL'!$H$9="Nữ",VLOOKUP(KBACOI!$I$21,KBACOI!$D$3:$F$103,3,0)*R228/1000/12,0))</f>
        <v>529.44143125520577</v>
      </c>
      <c r="R228" s="539">
        <f ca="1">KBA20namMH!E229-U227</f>
        <v>1330254.8524000146</v>
      </c>
      <c r="S228" s="552">
        <f ca="1">(S227-N228-O228)*(1+KBA20namcamket!$W$3)</f>
        <v>114127.60814573185</v>
      </c>
      <c r="T228" s="1044"/>
      <c r="U228" s="542">
        <f ca="1">(U227-N228-Q228)*(1+KBA20namMH!$P$3)</f>
        <v>169790.85407476284</v>
      </c>
    </row>
    <row r="229" spans="11:21" ht="9.75" customHeight="1">
      <c r="K229" s="1045"/>
      <c r="L229" s="252">
        <v>227</v>
      </c>
      <c r="M229" s="538">
        <f ca="1">KBA20namcamket!E230-S228</f>
        <v>1385872.391854268</v>
      </c>
      <c r="N229" s="538">
        <f ca="1">VTL20namcamket!F230</f>
        <v>60</v>
      </c>
      <c r="O229" s="539">
        <f ca="1">IF('Tinh phi QL'!$H$9="Nam",VLOOKUP(KBACOI!$I$21,KBACOI!$D$3:$F$103,2,0)*M229/1000/12,IF('Tinh phi QL'!$H$9="Nữ",VLOOKUP(KBACOI!$I$21,KBACOI!$D$3:$F$103,3,0)*M229/1000/12,0))</f>
        <v>551.57721195799866</v>
      </c>
      <c r="P229" s="1043"/>
      <c r="Q229" s="539">
        <f ca="1">IF('Tinh phi QL'!$H$9="Nam",VLOOKUP(KBACOI!$I$21,KBACOI!$D$3:$F$103,2,0)*R229/1000/12,IF('Tinh phi QL'!$H$9="Nữ",VLOOKUP(KBACOI!$I$21,KBACOI!$D$3:$F$103,3,0)*R229/1000/12,0))</f>
        <v>529.42324007824436</v>
      </c>
      <c r="R229" s="539">
        <f ca="1">KBA20namMH!E230-U228</f>
        <v>1330209.1459252371</v>
      </c>
      <c r="S229" s="552">
        <f ca="1">(S228-N229-O229)*(1+KBA20namcamket!$W$3)</f>
        <v>113563.22123294775</v>
      </c>
      <c r="T229" s="1044"/>
      <c r="U229" s="542">
        <f ca="1">(U228-N229-Q229)*(1+KBA20namMH!$P$3)</f>
        <v>169836.75042825003</v>
      </c>
    </row>
    <row r="230" spans="11:21" ht="9.75" customHeight="1">
      <c r="K230" s="1045"/>
      <c r="L230" s="252">
        <v>228</v>
      </c>
      <c r="M230" s="538">
        <f ca="1">KBA20namcamket!E231-S229</f>
        <v>1386436.7787670523</v>
      </c>
      <c r="N230" s="538">
        <f ca="1">VTL20namcamket!F231</f>
        <v>60</v>
      </c>
      <c r="O230" s="539">
        <f ca="1">IF('Tinh phi QL'!$H$9="Nam",VLOOKUP(KBACOI!$I$21,KBACOI!$D$3:$F$103,2,0)*M230/1000/12,IF('Tinh phi QL'!$H$9="Nữ",VLOOKUP(KBACOI!$I$21,KBACOI!$D$3:$F$103,3,0)*M230/1000/12,0))</f>
        <v>551.80183794928678</v>
      </c>
      <c r="P230" s="1043"/>
      <c r="Q230" s="539">
        <f ca="1">IF('Tinh phi QL'!$H$9="Nam",VLOOKUP(KBACOI!$I$21,KBACOI!$D$3:$F$103,2,0)*R230/1000/12,IF('Tinh phi QL'!$H$9="Nữ",VLOOKUP(KBACOI!$I$21,KBACOI!$D$3:$F$103,3,0)*R230/1000/12,0))</f>
        <v>529.40497332955647</v>
      </c>
      <c r="R230" s="539">
        <f ca="1">KBA20namMH!E231-U229</f>
        <v>1330163.2495717499</v>
      </c>
      <c r="S230" s="553">
        <f ca="1">(S229-N230-O230)*(1+KBA20namcamket!$W$3)+P219</f>
        <v>113298.37497677418</v>
      </c>
      <c r="T230" s="1044"/>
      <c r="U230" s="543">
        <f ca="1">(U229-N230-Q230)*(1+KBA20namMH!$P$3)+T219</f>
        <v>170182.83744926125</v>
      </c>
    </row>
    <row r="231" spans="11:21" ht="9.75" customHeight="1">
      <c r="K231" s="1043">
        <f>K219+1</f>
        <v>20</v>
      </c>
      <c r="L231" s="262">
        <v>229</v>
      </c>
      <c r="M231" s="540">
        <f ca="1">KBA20namcamket!E232-S230-KBAGTTKcamket!F26</f>
        <v>1376701.6250232258</v>
      </c>
      <c r="N231" s="538">
        <f ca="1">VTL20namcamket!F232</f>
        <v>60</v>
      </c>
      <c r="O231" s="541">
        <f ca="1">IF('Tinh phi QL'!$H$9="Nam",VLOOKUP(KBACOI!$I$22,KBACOI!$D$3:$F$103,2,0)*M231/1000/12,IF('Tinh phi QL'!$H$9="Nữ",VLOOKUP(KBACOI!$I$22,KBACOI!$D$3:$F$103,3,0)*M231/1000/12,0))</f>
        <v>592.899499843336</v>
      </c>
      <c r="P231" s="1043">
        <f t="shared" ref="P231" si="17">P219</f>
        <v>300</v>
      </c>
      <c r="Q231" s="539">
        <f ca="1">IF('Tinh phi QL'!$H$9="Nam",VLOOKUP(KBACOI!$I$22,KBACOI!$D$3:$F$103,2,0)*R231/1000/12,IF('Tinh phi QL'!$H$9="Nữ",VLOOKUP(KBACOI!$I$22,KBACOI!$D$3:$F$103,3,0)*R231/1000/12,0))</f>
        <v>568.40125800518479</v>
      </c>
      <c r="R231" s="541">
        <f ca="1">KBA20namMH!E232-U230-KBAGTTKMH!F26</f>
        <v>1319817.1625507388</v>
      </c>
      <c r="S231" s="552">
        <f ca="1">(S230+KBAGTTKcamket!F26-N231-O231)*(1+KBA20namcamket!$W$3)</f>
        <v>122696.46102172545</v>
      </c>
      <c r="T231" s="1044">
        <f>P231</f>
        <v>300</v>
      </c>
      <c r="U231" s="542">
        <f ca="1">(U230+KBAGTTKMH!F26-N231-Q231)*(1+KBA20namMH!$P$3)</f>
        <v>180228.62937544583</v>
      </c>
    </row>
    <row r="232" spans="11:21" ht="9.75" customHeight="1">
      <c r="K232" s="1043"/>
      <c r="L232" s="262">
        <v>230</v>
      </c>
      <c r="M232" s="540">
        <f ca="1">KBA20namcamket!E233-S231</f>
        <v>1377303.5389782744</v>
      </c>
      <c r="N232" s="538">
        <f ca="1">VTL20namcamket!F233</f>
        <v>60</v>
      </c>
      <c r="O232" s="541">
        <f ca="1">IF('Tinh phi QL'!$H$9="Nam",VLOOKUP(KBACOI!$I$22,KBACOI!$D$3:$F$103,2,0)*M232/1000/12,IF('Tinh phi QL'!$H$9="Nữ",VLOOKUP(KBACOI!$I$22,KBACOI!$D$3:$F$103,3,0)*M232/1000/12,0))</f>
        <v>593.15872411997691</v>
      </c>
      <c r="P232" s="1043"/>
      <c r="Q232" s="539">
        <f ca="1">IF('Tinh phi QL'!$H$9="Nam",VLOOKUP(KBACOI!$I$22,KBACOI!$D$3:$F$103,2,0)*R232/1000/12,IF('Tinh phi QL'!$H$9="Nữ",VLOOKUP(KBACOI!$I$22,KBACOI!$D$3:$F$103,3,0)*R232/1000/12,0))</f>
        <v>568.3815369489746</v>
      </c>
      <c r="R232" s="541">
        <f ca="1">KBA20namMH!E233-U231</f>
        <v>1319771.3706245541</v>
      </c>
      <c r="S232" s="552">
        <f ca="1">(S231-N232-O232)*(1+KBA20namcamket!$W$3)</f>
        <v>122094.03751007034</v>
      </c>
      <c r="T232" s="1044"/>
      <c r="U232" s="542">
        <f ca="1">(U231-N232-Q232)*(1+KBA20namMH!$P$3)</f>
        <v>180274.61303681773</v>
      </c>
    </row>
    <row r="233" spans="11:21" ht="9.75" customHeight="1">
      <c r="K233" s="1043"/>
      <c r="L233" s="262">
        <v>231</v>
      </c>
      <c r="M233" s="540">
        <f ca="1">KBA20namcamket!E234-S232</f>
        <v>1377905.9624899297</v>
      </c>
      <c r="N233" s="538">
        <f ca="1">VTL20namcamket!F234</f>
        <v>60</v>
      </c>
      <c r="O233" s="541">
        <f ca="1">IF('Tinh phi QL'!$H$9="Nam",VLOOKUP(KBACOI!$I$22,KBACOI!$D$3:$F$103,2,0)*M233/1000/12,IF('Tinh phi QL'!$H$9="Nữ",VLOOKUP(KBACOI!$I$22,KBACOI!$D$3:$F$103,3,0)*M233/1000/12,0))</f>
        <v>593.41816784566311</v>
      </c>
      <c r="P233" s="1043"/>
      <c r="Q233" s="539">
        <f ca="1">IF('Tinh phi QL'!$H$9="Nam",VLOOKUP(KBACOI!$I$22,KBACOI!$D$3:$F$103,2,0)*R233/1000/12,IF('Tinh phi QL'!$H$9="Nữ",VLOOKUP(KBACOI!$I$22,KBACOI!$D$3:$F$103,3,0)*R233/1000/12,0))</f>
        <v>568.36173331881059</v>
      </c>
      <c r="R233" s="541">
        <f ca="1">KBA20namMH!E234-U232</f>
        <v>1319725.3869631824</v>
      </c>
      <c r="S233" s="552">
        <f ca="1">(S232-N233-O233)*(1+KBA20namcamket!$W$3)</f>
        <v>121491.10401043833</v>
      </c>
      <c r="T233" s="1044"/>
      <c r="U233" s="542">
        <f ca="1">(U232-N233-Q233)*(1+KBA20namMH!$P$3)</f>
        <v>180320.78923619055</v>
      </c>
    </row>
    <row r="234" spans="11:21" ht="9.75" customHeight="1">
      <c r="K234" s="1043"/>
      <c r="L234" s="262">
        <v>232</v>
      </c>
      <c r="M234" s="540">
        <f ca="1">KBA20namcamket!E235-S233</f>
        <v>1378508.8959895617</v>
      </c>
      <c r="N234" s="538">
        <f ca="1">VTL20namcamket!F235</f>
        <v>60</v>
      </c>
      <c r="O234" s="541">
        <f ca="1">IF('Tinh phi QL'!$H$9="Nam",VLOOKUP(KBACOI!$I$22,KBACOI!$D$3:$F$103,2,0)*M234/1000/12,IF('Tinh phi QL'!$H$9="Nữ",VLOOKUP(KBACOI!$I$22,KBACOI!$D$3:$F$103,3,0)*M234/1000/12,0))</f>
        <v>593.67783120617116</v>
      </c>
      <c r="P234" s="1043"/>
      <c r="Q234" s="539">
        <f ca="1">IF('Tinh phi QL'!$H$9="Nam",VLOOKUP(KBACOI!$I$22,KBACOI!$D$3:$F$103,2,0)*R234/1000/12,IF('Tinh phi QL'!$H$9="Nữ",VLOOKUP(KBACOI!$I$22,KBACOI!$D$3:$F$103,3,0)*R234/1000/12,0))</f>
        <v>568.34184676894733</v>
      </c>
      <c r="R234" s="541">
        <f ca="1">KBA20namMH!E235-U233</f>
        <v>1319679.2107638095</v>
      </c>
      <c r="S234" s="552">
        <f ca="1">(S233-N234-O234)*(1+KBA20namcamket!$W$3)</f>
        <v>120887.66009109371</v>
      </c>
      <c r="T234" s="1044"/>
      <c r="U234" s="542">
        <f ca="1">(U233-N234-Q234)*(1+KBA20namMH!$P$3)</f>
        <v>180367.15877973937</v>
      </c>
    </row>
    <row r="235" spans="11:21" ht="9.75" customHeight="1">
      <c r="K235" s="1043"/>
      <c r="L235" s="262">
        <v>233</v>
      </c>
      <c r="M235" s="540">
        <f ca="1">KBA20namcamket!E236-S234</f>
        <v>1379112.3399089063</v>
      </c>
      <c r="N235" s="538">
        <f ca="1">VTL20namcamket!F236</f>
        <v>60</v>
      </c>
      <c r="O235" s="541">
        <f ca="1">IF('Tinh phi QL'!$H$9="Nam",VLOOKUP(KBACOI!$I$22,KBACOI!$D$3:$F$103,2,0)*M235/1000/12,IF('Tinh phi QL'!$H$9="Nữ",VLOOKUP(KBACOI!$I$22,KBACOI!$D$3:$F$103,3,0)*M235/1000/12,0))</f>
        <v>593.93771438743568</v>
      </c>
      <c r="P235" s="1043"/>
      <c r="Q235" s="539">
        <f ca="1">IF('Tinh phi QL'!$H$9="Nam",VLOOKUP(KBACOI!$I$22,KBACOI!$D$3:$F$103,2,0)*R235/1000/12,IF('Tinh phi QL'!$H$9="Nữ",VLOOKUP(KBACOI!$I$22,KBACOI!$D$3:$F$103,3,0)*R235/1000/12,0))</f>
        <v>568.32187695219227</v>
      </c>
      <c r="R235" s="541">
        <f ca="1">KBA20namMH!E236-U234</f>
        <v>1319632.8412202606</v>
      </c>
      <c r="S235" s="552">
        <f ca="1">(S234-N235-O235)*(1+KBA20namcamket!$W$3)</f>
        <v>120283.70531993531</v>
      </c>
      <c r="T235" s="1044"/>
      <c r="U235" s="542">
        <f ca="1">(U234-N235-Q235)*(1+KBA20namMH!$P$3)</f>
        <v>180413.72247701482</v>
      </c>
    </row>
    <row r="236" spans="11:21" ht="9.75" customHeight="1">
      <c r="K236" s="1043"/>
      <c r="L236" s="262">
        <v>234</v>
      </c>
      <c r="M236" s="540">
        <f ca="1">KBA20namcamket!E237-S235</f>
        <v>1379716.2946800648</v>
      </c>
      <c r="N236" s="538">
        <f ca="1">VTL20namcamket!F237</f>
        <v>60</v>
      </c>
      <c r="O236" s="541">
        <f ca="1">IF('Tinh phi QL'!$H$9="Nam",VLOOKUP(KBACOI!$I$22,KBACOI!$D$3:$F$103,2,0)*M236/1000/12,IF('Tinh phi QL'!$H$9="Nữ",VLOOKUP(KBACOI!$I$22,KBACOI!$D$3:$F$103,3,0)*M236/1000/12,0))</f>
        <v>594.1978175755479</v>
      </c>
      <c r="P236" s="1043"/>
      <c r="Q236" s="539">
        <f ca="1">IF('Tinh phi QL'!$H$9="Nam",VLOOKUP(KBACOI!$I$22,KBACOI!$D$3:$F$103,2,0)*R236/1000/12,IF('Tinh phi QL'!$H$9="Nữ",VLOOKUP(KBACOI!$I$22,KBACOI!$D$3:$F$103,3,0)*R236/1000/12,0))</f>
        <v>568.3018235198989</v>
      </c>
      <c r="R236" s="541">
        <f ca="1">KBA20namMH!E237-U235</f>
        <v>1319586.2775229851</v>
      </c>
      <c r="S236" s="552">
        <f ca="1">(S235-N236-O236)*(1+KBA20namcamket!$W$3)</f>
        <v>119679.23926449611</v>
      </c>
      <c r="T236" s="1044"/>
      <c r="U236" s="542">
        <f ca="1">(U235-N236-Q236)*(1+KBA20namMH!$P$3)</f>
        <v>180460.48114095716</v>
      </c>
    </row>
    <row r="237" spans="11:21" ht="9.75" customHeight="1">
      <c r="K237" s="1043"/>
      <c r="L237" s="262">
        <v>235</v>
      </c>
      <c r="M237" s="540">
        <f ca="1">KBA20namcamket!E238-S236</f>
        <v>1380320.7607355039</v>
      </c>
      <c r="N237" s="538">
        <f ca="1">VTL20namcamket!F238</f>
        <v>60</v>
      </c>
      <c r="O237" s="541">
        <f ca="1">IF('Tinh phi QL'!$H$9="Nam",VLOOKUP(KBACOI!$I$22,KBACOI!$D$3:$F$103,2,0)*M237/1000/12,IF('Tinh phi QL'!$H$9="Nữ",VLOOKUP(KBACOI!$I$22,KBACOI!$D$3:$F$103,3,0)*M237/1000/12,0))</f>
        <v>594.45814095675712</v>
      </c>
      <c r="P237" s="1043"/>
      <c r="Q237" s="539">
        <f ca="1">IF('Tinh phi QL'!$H$9="Nam",VLOOKUP(KBACOI!$I$22,KBACOI!$D$3:$F$103,2,0)*R237/1000/12,IF('Tinh phi QL'!$H$9="Nữ",VLOOKUP(KBACOI!$I$22,KBACOI!$D$3:$F$103,3,0)*R237/1000/12,0))</f>
        <v>568.28168612196112</v>
      </c>
      <c r="R237" s="541">
        <f ca="1">KBA20namMH!E238-U236</f>
        <v>1319539.5188590428</v>
      </c>
      <c r="S237" s="552">
        <f ca="1">(S236-N237-O237)*(1+KBA20namcamket!$W$3)</f>
        <v>119074.26149194302</v>
      </c>
      <c r="T237" s="1044"/>
      <c r="U237" s="542">
        <f ca="1">(U236-N237-Q237)*(1+KBA20namMH!$P$3)</f>
        <v>180507.43558791053</v>
      </c>
    </row>
    <row r="238" spans="11:21" ht="9.75" customHeight="1">
      <c r="K238" s="1043"/>
      <c r="L238" s="262">
        <v>236</v>
      </c>
      <c r="M238" s="540">
        <f ca="1">KBA20namcamket!E239-S237</f>
        <v>1380925.7385080571</v>
      </c>
      <c r="N238" s="538">
        <f ca="1">VTL20namcamket!F239</f>
        <v>60</v>
      </c>
      <c r="O238" s="541">
        <f ca="1">IF('Tinh phi QL'!$H$9="Nam",VLOOKUP(KBACOI!$I$22,KBACOI!$D$3:$F$103,2,0)*M238/1000/12,IF('Tinh phi QL'!$H$9="Nữ",VLOOKUP(KBACOI!$I$22,KBACOI!$D$3:$F$103,3,0)*M238/1000/12,0))</f>
        <v>594.71868471746996</v>
      </c>
      <c r="P238" s="1043"/>
      <c r="Q238" s="539">
        <f ca="1">IF('Tinh phi QL'!$H$9="Nam",VLOOKUP(KBACOI!$I$22,KBACOI!$D$3:$F$103,2,0)*R238/1000/12,IF('Tinh phi QL'!$H$9="Nữ",VLOOKUP(KBACOI!$I$22,KBACOI!$D$3:$F$103,3,0)*R238/1000/12,0))</f>
        <v>568.26146440680657</v>
      </c>
      <c r="R238" s="541">
        <f ca="1">KBA20namMH!E239-U237</f>
        <v>1319492.5644120895</v>
      </c>
      <c r="S238" s="552">
        <f ca="1">(S237-N238-O238)*(1+KBA20namcamket!$W$3)</f>
        <v>118468.77156907653</v>
      </c>
      <c r="T238" s="1044"/>
      <c r="U238" s="542">
        <f ca="1">(U237-N238-Q238)*(1+KBA20namMH!$P$3)</f>
        <v>180554.58663763717</v>
      </c>
    </row>
    <row r="239" spans="11:21" ht="9.75" customHeight="1">
      <c r="K239" s="1043"/>
      <c r="L239" s="262">
        <v>237</v>
      </c>
      <c r="M239" s="540">
        <f ca="1">KBA20namcamket!E240-S238</f>
        <v>1381531.2284309235</v>
      </c>
      <c r="N239" s="538">
        <f ca="1">VTL20namcamket!F240</f>
        <v>60</v>
      </c>
      <c r="O239" s="541">
        <f ca="1">IF('Tinh phi QL'!$H$9="Nam",VLOOKUP(KBACOI!$I$22,KBACOI!$D$3:$F$103,2,0)*M239/1000/12,IF('Tinh phi QL'!$H$9="Nữ",VLOOKUP(KBACOI!$I$22,KBACOI!$D$3:$F$103,3,0)*M239/1000/12,0))</f>
        <v>594.97944904425106</v>
      </c>
      <c r="P239" s="1043"/>
      <c r="Q239" s="539">
        <f ca="1">IF('Tinh phi QL'!$H$9="Nam",VLOOKUP(KBACOI!$I$22,KBACOI!$D$3:$F$103,2,0)*R239/1000/12,IF('Tinh phi QL'!$H$9="Nữ",VLOOKUP(KBACOI!$I$22,KBACOI!$D$3:$F$103,3,0)*R239/1000/12,0))</f>
        <v>568.24115802139102</v>
      </c>
      <c r="R239" s="541">
        <f ca="1">KBA20namMH!E240-U238</f>
        <v>1319445.4133623629</v>
      </c>
      <c r="S239" s="552">
        <f ca="1">(S238-N239-O239)*(1+KBA20namcamket!$W$3)</f>
        <v>117862.76906233039</v>
      </c>
      <c r="T239" s="1044"/>
      <c r="U239" s="542">
        <f ca="1">(U238-N239-Q239)*(1+KBA20namMH!$P$3)</f>
        <v>180601.93511333177</v>
      </c>
    </row>
    <row r="240" spans="11:21" ht="9.75" customHeight="1">
      <c r="K240" s="1043"/>
      <c r="L240" s="262">
        <v>238</v>
      </c>
      <c r="M240" s="540">
        <f ca="1">KBA20namcamket!E241-S239</f>
        <v>1382137.2309376695</v>
      </c>
      <c r="N240" s="538">
        <f ca="1">VTL20namcamket!F241</f>
        <v>60</v>
      </c>
      <c r="O240" s="541">
        <f ca="1">IF('Tinh phi QL'!$H$9="Nam",VLOOKUP(KBACOI!$I$22,KBACOI!$D$3:$F$103,2,0)*M240/1000/12,IF('Tinh phi QL'!$H$9="Nữ",VLOOKUP(KBACOI!$I$22,KBACOI!$D$3:$F$103,3,0)*M240/1000/12,0))</f>
        <v>595.24043412382309</v>
      </c>
      <c r="P240" s="1043"/>
      <c r="Q240" s="539">
        <f ca="1">IF('Tinh phi QL'!$H$9="Nam",VLOOKUP(KBACOI!$I$22,KBACOI!$D$3:$F$103,2,0)*R240/1000/12,IF('Tinh phi QL'!$H$9="Nữ",VLOOKUP(KBACOI!$I$22,KBACOI!$D$3:$F$103,3,0)*R240/1000/12,0))</f>
        <v>568.22076661119183</v>
      </c>
      <c r="R240" s="541">
        <f ca="1">KBA20namMH!E241-U239</f>
        <v>1319398.0648866682</v>
      </c>
      <c r="S240" s="552">
        <f ca="1">(S239-N240-O240)*(1+KBA20namcamket!$W$3)</f>
        <v>117256.25353777131</v>
      </c>
      <c r="T240" s="1044"/>
      <c r="U240" s="542">
        <f ca="1">(U239-N240-Q240)*(1+KBA20namMH!$P$3)</f>
        <v>180649.48184163574</v>
      </c>
    </row>
    <row r="241" spans="11:21" ht="9.75" customHeight="1">
      <c r="K241" s="1043"/>
      <c r="L241" s="262">
        <v>239</v>
      </c>
      <c r="M241" s="540">
        <f ca="1">KBA20namcamket!E242-S240</f>
        <v>1382743.7464622287</v>
      </c>
      <c r="N241" s="538">
        <f ca="1">VTL20namcamket!F242</f>
        <v>60</v>
      </c>
      <c r="O241" s="541">
        <f ca="1">IF('Tinh phi QL'!$H$9="Nam",VLOOKUP(KBACOI!$I$22,KBACOI!$D$3:$F$103,2,0)*M241/1000/12,IF('Tinh phi QL'!$H$9="Nữ",VLOOKUP(KBACOI!$I$22,KBACOI!$D$3:$F$103,3,0)*M241/1000/12,0))</f>
        <v>595.50164014306654</v>
      </c>
      <c r="P241" s="1043"/>
      <c r="Q241" s="539">
        <f ca="1">IF('Tinh phi QL'!$H$9="Nam",VLOOKUP(KBACOI!$I$22,KBACOI!$D$3:$F$103,2,0)*R241/1000/12,IF('Tinh phi QL'!$H$9="Nữ",VLOOKUP(KBACOI!$I$22,KBACOI!$D$3:$F$103,3,0)*R241/1000/12,0))</f>
        <v>568.20028982020222</v>
      </c>
      <c r="R241" s="541">
        <f ca="1">KBA20namMH!E242-U240</f>
        <v>1319350.5181583643</v>
      </c>
      <c r="S241" s="552">
        <f ca="1">(S240-N241-O241)*(1+KBA20namcamket!$W$3)</f>
        <v>116649.22456109866</v>
      </c>
      <c r="T241" s="1044"/>
      <c r="U241" s="542">
        <f ca="1">(U240-N241-Q241)*(1+KBA20namMH!$P$3)</f>
        <v>180697.22765265184</v>
      </c>
    </row>
    <row r="242" spans="11:21" ht="9.75" customHeight="1">
      <c r="K242" s="1043"/>
      <c r="L242" s="262">
        <v>240</v>
      </c>
      <c r="M242" s="540">
        <f ca="1">KBA20namcamket!E243-S241</f>
        <v>1383350.7754389013</v>
      </c>
      <c r="N242" s="538">
        <f ca="1">VTL20namcamket!F243</f>
        <v>60</v>
      </c>
      <c r="O242" s="541">
        <f ca="1">IF('Tinh phi QL'!$H$9="Nam",VLOOKUP(KBACOI!$I$22,KBACOI!$D$3:$F$103,2,0)*M242/1000/12,IF('Tinh phi QL'!$H$9="Nữ",VLOOKUP(KBACOI!$I$22,KBACOI!$D$3:$F$103,3,0)*M242/1000/12,0))</f>
        <v>595.76306728902011</v>
      </c>
      <c r="P242" s="1043"/>
      <c r="Q242" s="539">
        <f ca="1">IF('Tinh phi QL'!$H$9="Nam",VLOOKUP(KBACOI!$I$22,KBACOI!$D$3:$F$103,2,0)*R242/1000/12,IF('Tinh phi QL'!$H$9="Nữ",VLOOKUP(KBACOI!$I$22,KBACOI!$D$3:$F$103,3,0)*R242/1000/12,0))</f>
        <v>568.17972729092469</v>
      </c>
      <c r="R242" s="541">
        <f ca="1">KBA20namMH!E243-U241</f>
        <v>1319302.7723473483</v>
      </c>
      <c r="S242" s="553">
        <f ca="1">(S241-N242-O242)*(1+KBA20namcamket!$W$3)+P231</f>
        <v>116341.68169764412</v>
      </c>
      <c r="T242" s="1044"/>
      <c r="U242" s="543">
        <f ca="1">(U241-N242-Q242)*(1+KBA20namMH!$P$3)+T231</f>
        <v>181045.17337995843</v>
      </c>
    </row>
  </sheetData>
  <sheetProtection algorithmName="SHA-512" hashValue="8jSMWkK/RB6ooHpbMvaBPpaItyulbPq9R7sK9SCuBaekdGIBp0KkoCvfJ6f2cLcKASRksHvrOurkoPqIOe55sQ==" saltValue="w5rYtDXvTpsN2fmsV7QoIA==" spinCount="100000" sheet="1" objects="1" scenarios="1"/>
  <mergeCells count="53">
    <mergeCell ref="K3:K14"/>
    <mergeCell ref="K15:K26"/>
    <mergeCell ref="K27:K38"/>
    <mergeCell ref="K39:K50"/>
    <mergeCell ref="P39:P50"/>
    <mergeCell ref="T51:T62"/>
    <mergeCell ref="K63:K74"/>
    <mergeCell ref="P63:P74"/>
    <mergeCell ref="T63:T74"/>
    <mergeCell ref="K75:K86"/>
    <mergeCell ref="P75:P86"/>
    <mergeCell ref="T75:T86"/>
    <mergeCell ref="K51:K62"/>
    <mergeCell ref="P51:P62"/>
    <mergeCell ref="K87:K98"/>
    <mergeCell ref="P87:P98"/>
    <mergeCell ref="T87:T98"/>
    <mergeCell ref="K99:K110"/>
    <mergeCell ref="P99:P110"/>
    <mergeCell ref="T99:T110"/>
    <mergeCell ref="K111:K122"/>
    <mergeCell ref="P111:P122"/>
    <mergeCell ref="T111:T122"/>
    <mergeCell ref="K123:K134"/>
    <mergeCell ref="P123:P134"/>
    <mergeCell ref="T123:T134"/>
    <mergeCell ref="K135:K146"/>
    <mergeCell ref="P135:P146"/>
    <mergeCell ref="T135:T146"/>
    <mergeCell ref="K147:K158"/>
    <mergeCell ref="P147:P158"/>
    <mergeCell ref="T147:T158"/>
    <mergeCell ref="K159:K170"/>
    <mergeCell ref="P159:P170"/>
    <mergeCell ref="T159:T170"/>
    <mergeCell ref="K171:K182"/>
    <mergeCell ref="P171:P182"/>
    <mergeCell ref="T171:T182"/>
    <mergeCell ref="K183:K194"/>
    <mergeCell ref="P183:P194"/>
    <mergeCell ref="T183:T194"/>
    <mergeCell ref="K195:K206"/>
    <mergeCell ref="P195:P206"/>
    <mergeCell ref="T195:T206"/>
    <mergeCell ref="K231:K242"/>
    <mergeCell ref="P231:P242"/>
    <mergeCell ref="T231:T242"/>
    <mergeCell ref="K207:K218"/>
    <mergeCell ref="P207:P218"/>
    <mergeCell ref="T207:T218"/>
    <mergeCell ref="K219:K230"/>
    <mergeCell ref="P219:P230"/>
    <mergeCell ref="T219:T230"/>
  </mergeCells>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8CD7B-5DC6-4628-A626-A8C83D118D97}">
  <dimension ref="B1:W243"/>
  <sheetViews>
    <sheetView showGridLines="0" zoomScaleNormal="100" workbookViewId="0">
      <pane ySplit="3" topLeftCell="A4" activePane="bottomLeft" state="frozen"/>
      <selection pane="bottomLeft" activeCell="AA8" sqref="AA8"/>
    </sheetView>
  </sheetViews>
  <sheetFormatPr defaultColWidth="7.796875" defaultRowHeight="9.75" customHeight="1"/>
  <cols>
    <col min="1" max="1" width="2.19921875" style="277" customWidth="1"/>
    <col min="2" max="2" width="5.796875" style="270" customWidth="1"/>
    <col min="3" max="3" width="6.796875" style="270" customWidth="1"/>
    <col min="4" max="4" width="9.19921875" style="270" customWidth="1"/>
    <col min="5" max="5" width="14.296875" style="271" customWidth="1"/>
    <col min="6" max="6" width="11.5" style="299" customWidth="1"/>
    <col min="7" max="7" width="13.796875" style="272" customWidth="1"/>
    <col min="8" max="8" width="14.796875" style="271" customWidth="1"/>
    <col min="9" max="9" width="17.296875" style="273" customWidth="1"/>
    <col min="10" max="10" width="15.796875" style="300" customWidth="1"/>
    <col min="11" max="11" width="2.19921875" style="318" hidden="1" customWidth="1"/>
    <col min="12" max="12" width="2.69921875" style="318" hidden="1" customWidth="1"/>
    <col min="13" max="13" width="8.19921875" style="319" hidden="1" customWidth="1"/>
    <col min="14" max="15" width="0" style="298" hidden="1" customWidth="1"/>
    <col min="16" max="23" width="8.19921875" style="277" hidden="1" customWidth="1"/>
    <col min="24" max="16384" width="7.796875" style="277"/>
  </cols>
  <sheetData>
    <row r="1" spans="2:23" ht="9.75" customHeight="1">
      <c r="F1" s="271"/>
      <c r="J1" s="274" t="s">
        <v>681</v>
      </c>
      <c r="N1" s="275" t="s">
        <v>682</v>
      </c>
      <c r="O1" s="275" t="s">
        <v>683</v>
      </c>
      <c r="P1" s="276">
        <v>1</v>
      </c>
      <c r="Q1" s="276">
        <v>2</v>
      </c>
      <c r="R1" s="314">
        <v>3</v>
      </c>
      <c r="S1" s="314">
        <v>4</v>
      </c>
      <c r="T1" s="314">
        <v>5</v>
      </c>
      <c r="U1" s="322" t="s">
        <v>682</v>
      </c>
      <c r="V1" s="322" t="s">
        <v>702</v>
      </c>
      <c r="W1" s="314" t="s">
        <v>703</v>
      </c>
    </row>
    <row r="2" spans="2:23" ht="12" customHeight="1">
      <c r="B2" s="956" t="s">
        <v>710</v>
      </c>
      <c r="C2" s="956"/>
      <c r="D2" s="956"/>
      <c r="E2" s="956"/>
      <c r="F2" s="956"/>
      <c r="G2" s="956"/>
      <c r="H2" s="956"/>
      <c r="I2" s="956"/>
      <c r="J2" s="274"/>
      <c r="N2" s="278">
        <v>0.02</v>
      </c>
      <c r="O2" s="279">
        <v>0.01</v>
      </c>
      <c r="P2" s="315">
        <v>3.5000000000000003E-2</v>
      </c>
      <c r="Q2" s="315">
        <v>0.03</v>
      </c>
      <c r="R2" s="315">
        <v>0.03</v>
      </c>
      <c r="S2" s="315">
        <v>0.02</v>
      </c>
      <c r="T2" s="315">
        <v>0.02</v>
      </c>
      <c r="U2" s="315">
        <v>1.4999999999999999E-2</v>
      </c>
      <c r="V2" s="315">
        <v>0.01</v>
      </c>
      <c r="W2" s="323">
        <v>5.0000000000000001E-3</v>
      </c>
    </row>
    <row r="3" spans="2:23" s="286" customFormat="1" ht="27" customHeight="1">
      <c r="B3" s="280" t="s">
        <v>670</v>
      </c>
      <c r="C3" s="280" t="s">
        <v>1</v>
      </c>
      <c r="D3" s="280" t="s">
        <v>671</v>
      </c>
      <c r="E3" s="281" t="s">
        <v>678</v>
      </c>
      <c r="F3" s="281" t="s">
        <v>684</v>
      </c>
      <c r="G3" s="282" t="s">
        <v>685</v>
      </c>
      <c r="H3" s="281" t="s">
        <v>686</v>
      </c>
      <c r="I3" s="283" t="s">
        <v>687</v>
      </c>
      <c r="J3" s="284" t="s">
        <v>688</v>
      </c>
      <c r="K3" s="320"/>
      <c r="L3" s="320"/>
      <c r="M3" s="321"/>
      <c r="N3" s="285">
        <f t="shared" ref="N3:W3" si="0">(1+N2)^(1/12)-1</f>
        <v>1.6515813019202241E-3</v>
      </c>
      <c r="O3" s="285">
        <f t="shared" si="0"/>
        <v>8.295381143461622E-4</v>
      </c>
      <c r="P3" s="316">
        <f t="shared" si="0"/>
        <v>2.8708987190766422E-3</v>
      </c>
      <c r="Q3" s="316">
        <f t="shared" si="0"/>
        <v>2.4662697723036864E-3</v>
      </c>
      <c r="R3" s="316">
        <f t="shared" si="0"/>
        <v>2.4662697723036864E-3</v>
      </c>
      <c r="S3" s="316">
        <f t="shared" si="0"/>
        <v>1.6515813019202241E-3</v>
      </c>
      <c r="T3" s="316">
        <f t="shared" si="0"/>
        <v>1.6515813019202241E-3</v>
      </c>
      <c r="U3" s="316">
        <f t="shared" si="0"/>
        <v>1.2414877164492744E-3</v>
      </c>
      <c r="V3" s="316">
        <f t="shared" si="0"/>
        <v>8.295381143461622E-4</v>
      </c>
      <c r="W3" s="316">
        <f t="shared" si="0"/>
        <v>4.1571484472902043E-4</v>
      </c>
    </row>
    <row r="4" spans="2:23" ht="9.75" customHeight="1">
      <c r="B4" s="954">
        <v>1</v>
      </c>
      <c r="C4" s="952">
        <f ca="1">'Tinh phi QL'!I8</f>
        <v>30</v>
      </c>
      <c r="D4" s="287">
        <f ca="1">'Hoach dinh tai chinh'!J3</f>
        <v>46229</v>
      </c>
      <c r="E4" s="288">
        <f>'Tinh phi QL'!E13/1000</f>
        <v>1000000</v>
      </c>
      <c r="F4" s="289">
        <f ca="1">IF(YEAR(D4)=2025,40000,IF(YEAR(D4)=2026,40000,IF(YEAR(D4)=2027,40000,IF(YEAR(D4)=2028,40000,IF(YEAR(D4)=2029,40000,IF(YEAR(D4)=2030,50000,IF(YEAR(D4)=2031,50000,IF(YEAR(D4)=2032,50000,IF(YEAR(D4)=2033,50000,IF(YEAR(D4)=2034,50000,IF(YEAR(D4)&gt;=2035,60000,0)))))))))))/1000</f>
        <v>40</v>
      </c>
      <c r="G4" s="290">
        <f ca="1">KBACOI!O3</f>
        <v>116.08333333333333</v>
      </c>
      <c r="H4" s="290">
        <f ca="1">(KBAGTTKcamket!F7-KBA20namcamket!F4-G4)*(1+KBA20namcamket!P3)</f>
        <v>4857.8230608203139</v>
      </c>
      <c r="I4" s="291"/>
      <c r="J4" s="292">
        <f ca="1">H4</f>
        <v>4857.8230608203139</v>
      </c>
      <c r="K4" s="949">
        <f ca="1">J15</f>
        <v>3265.5581049188945</v>
      </c>
      <c r="L4" s="949"/>
      <c r="M4" s="949"/>
      <c r="N4" s="950">
        <f ca="1">SUM(G4:G15)</f>
        <v>1394.1057395550015</v>
      </c>
      <c r="O4" s="950"/>
    </row>
    <row r="5" spans="2:23" ht="9.75" customHeight="1">
      <c r="B5" s="954"/>
      <c r="C5" s="952"/>
      <c r="D5" s="287">
        <f t="shared" ref="D5:D68" ca="1" si="1">EDATE(D4,1)</f>
        <v>46260</v>
      </c>
      <c r="E5" s="288">
        <f>E4</f>
        <v>1000000</v>
      </c>
      <c r="F5" s="289">
        <f t="shared" ref="F5:F68" ca="1" si="2">IF(YEAR(D5)=2025,40000,IF(YEAR(D5)=2026,40000,IF(YEAR(D5)=2027,40000,IF(YEAR(D5)=2028,40000,IF(YEAR(D5)=2029,40000,IF(YEAR(D5)=2030,50000,IF(YEAR(D5)=2031,50000,IF(YEAR(D5)=2032,50000,IF(YEAR(D5)=2033,50000,IF(YEAR(D5)=2034,50000,IF(YEAR(D5)&gt;=2035,60000,0)))))))))))/1000</f>
        <v>40</v>
      </c>
      <c r="G5" s="290">
        <f ca="1">KBACOI!O4</f>
        <v>116.09992064290428</v>
      </c>
      <c r="H5" s="290">
        <f t="shared" ref="H5:H15" ca="1" si="3">(H4-F5-G5)*(1+$P$3)</f>
        <v>4715.2213111179981</v>
      </c>
      <c r="I5" s="291"/>
      <c r="J5" s="292">
        <f t="shared" ref="J5:J68" ca="1" si="4">H5</f>
        <v>4715.2213111179981</v>
      </c>
      <c r="K5" s="949"/>
      <c r="L5" s="949"/>
      <c r="M5" s="949"/>
      <c r="N5" s="950"/>
      <c r="O5" s="950"/>
    </row>
    <row r="6" spans="2:23" ht="9.75" customHeight="1">
      <c r="B6" s="954"/>
      <c r="C6" s="952"/>
      <c r="D6" s="287">
        <f t="shared" ca="1" si="1"/>
        <v>46291</v>
      </c>
      <c r="E6" s="288">
        <f t="shared" ref="E6:E69" si="5">E5</f>
        <v>1000000</v>
      </c>
      <c r="F6" s="289">
        <f t="shared" ca="1" si="2"/>
        <v>40</v>
      </c>
      <c r="G6" s="290">
        <f ca="1">KBACOI!O5</f>
        <v>116.1165575137029</v>
      </c>
      <c r="H6" s="290">
        <f t="shared" ca="1" si="3"/>
        <v>4572.1934816015537</v>
      </c>
      <c r="I6" s="291"/>
      <c r="J6" s="292">
        <f t="shared" ca="1" si="4"/>
        <v>4572.1934816015537</v>
      </c>
      <c r="K6" s="949"/>
      <c r="L6" s="949"/>
      <c r="M6" s="949"/>
      <c r="N6" s="950"/>
      <c r="O6" s="950"/>
    </row>
    <row r="7" spans="2:23" ht="9.75" customHeight="1">
      <c r="B7" s="954"/>
      <c r="C7" s="952"/>
      <c r="D7" s="287">
        <f t="shared" ca="1" si="1"/>
        <v>46321</v>
      </c>
      <c r="E7" s="288">
        <f t="shared" si="5"/>
        <v>1000000</v>
      </c>
      <c r="F7" s="289">
        <f t="shared" ca="1" si="2"/>
        <v>40</v>
      </c>
      <c r="G7" s="290">
        <f ca="1">KBACOI!O6</f>
        <v>116.13324409381313</v>
      </c>
      <c r="H7" s="290">
        <f t="shared" ca="1" si="3"/>
        <v>4428.7382991869672</v>
      </c>
      <c r="I7" s="291"/>
      <c r="J7" s="292">
        <f t="shared" ca="1" si="4"/>
        <v>4428.7382991869672</v>
      </c>
      <c r="K7" s="949"/>
      <c r="L7" s="949"/>
      <c r="M7" s="949"/>
      <c r="N7" s="950"/>
      <c r="O7" s="950"/>
    </row>
    <row r="8" spans="2:23" ht="9.75" customHeight="1">
      <c r="B8" s="954"/>
      <c r="C8" s="952"/>
      <c r="D8" s="287">
        <f t="shared" ca="1" si="1"/>
        <v>46352</v>
      </c>
      <c r="E8" s="288">
        <f t="shared" si="5"/>
        <v>1000000</v>
      </c>
      <c r="F8" s="289">
        <f t="shared" ca="1" si="2"/>
        <v>40</v>
      </c>
      <c r="G8" s="290">
        <f ca="1">KBACOI!O7</f>
        <v>116.14998053176151</v>
      </c>
      <c r="H8" s="290">
        <f t="shared" ca="1" si="3"/>
        <v>4284.8544869863745</v>
      </c>
      <c r="I8" s="291"/>
      <c r="J8" s="292">
        <f t="shared" ca="1" si="4"/>
        <v>4284.8544869863745</v>
      </c>
      <c r="K8" s="949"/>
      <c r="L8" s="949"/>
      <c r="M8" s="949"/>
      <c r="N8" s="950"/>
      <c r="O8" s="950"/>
    </row>
    <row r="9" spans="2:23" ht="9.75" customHeight="1">
      <c r="B9" s="954"/>
      <c r="C9" s="952"/>
      <c r="D9" s="287">
        <f t="shared" ca="1" si="1"/>
        <v>46382</v>
      </c>
      <c r="E9" s="288">
        <f t="shared" si="5"/>
        <v>1000000</v>
      </c>
      <c r="F9" s="289">
        <f t="shared" ca="1" si="2"/>
        <v>40</v>
      </c>
      <c r="G9" s="290">
        <f ca="1">KBACOI!O8</f>
        <v>116.16676697651825</v>
      </c>
      <c r="H9" s="290">
        <f t="shared" ca="1" si="3"/>
        <v>4140.5407642967002</v>
      </c>
      <c r="I9" s="291"/>
      <c r="J9" s="292">
        <f t="shared" ca="1" si="4"/>
        <v>4140.5407642967002</v>
      </c>
      <c r="K9" s="949"/>
      <c r="L9" s="949"/>
      <c r="M9" s="949"/>
      <c r="N9" s="950"/>
      <c r="O9" s="950"/>
    </row>
    <row r="10" spans="2:23" ht="9.75" customHeight="1">
      <c r="B10" s="954"/>
      <c r="C10" s="952"/>
      <c r="D10" s="287">
        <f t="shared" ca="1" si="1"/>
        <v>46413</v>
      </c>
      <c r="E10" s="288">
        <f t="shared" si="5"/>
        <v>1000000</v>
      </c>
      <c r="F10" s="289">
        <f t="shared" ca="1" si="2"/>
        <v>40</v>
      </c>
      <c r="G10" s="290">
        <f ca="1">KBACOI!O9</f>
        <v>116.18360357749872</v>
      </c>
      <c r="H10" s="290">
        <f t="shared" ca="1" si="3"/>
        <v>3995.7958465882543</v>
      </c>
      <c r="I10" s="291"/>
      <c r="J10" s="292">
        <f t="shared" ca="1" si="4"/>
        <v>3995.7958465882543</v>
      </c>
      <c r="K10" s="949"/>
      <c r="L10" s="949"/>
      <c r="M10" s="949"/>
      <c r="N10" s="950"/>
      <c r="O10" s="950"/>
    </row>
    <row r="11" spans="2:23" ht="9.75" customHeight="1">
      <c r="B11" s="954"/>
      <c r="C11" s="952"/>
      <c r="D11" s="287">
        <f t="shared" ca="1" si="1"/>
        <v>46444</v>
      </c>
      <c r="E11" s="288">
        <f t="shared" si="5"/>
        <v>1000000</v>
      </c>
      <c r="F11" s="289">
        <f t="shared" ca="1" si="2"/>
        <v>40</v>
      </c>
      <c r="G11" s="290">
        <f ca="1">KBACOI!O10</f>
        <v>116.2004904845647</v>
      </c>
      <c r="H11" s="290">
        <f t="shared" ca="1" si="3"/>
        <v>3850.6184454933</v>
      </c>
      <c r="I11" s="291"/>
      <c r="J11" s="292">
        <f t="shared" ca="1" si="4"/>
        <v>3850.6184454933</v>
      </c>
      <c r="K11" s="949"/>
      <c r="L11" s="949"/>
      <c r="M11" s="949"/>
      <c r="N11" s="950"/>
      <c r="O11" s="950"/>
    </row>
    <row r="12" spans="2:23" ht="9.75" customHeight="1">
      <c r="B12" s="954"/>
      <c r="C12" s="952"/>
      <c r="D12" s="287">
        <f t="shared" ca="1" si="1"/>
        <v>46472</v>
      </c>
      <c r="E12" s="288">
        <f t="shared" si="5"/>
        <v>1000000</v>
      </c>
      <c r="F12" s="289">
        <f t="shared" ca="1" si="2"/>
        <v>40</v>
      </c>
      <c r="G12" s="290">
        <f ca="1">KBACOI!O11</f>
        <v>116.21742784802576</v>
      </c>
      <c r="H12" s="290">
        <f t="shared" ca="1" si="3"/>
        <v>3705.0072687945876</v>
      </c>
      <c r="I12" s="291"/>
      <c r="J12" s="292">
        <f t="shared" ca="1" si="4"/>
        <v>3705.0072687945876</v>
      </c>
      <c r="K12" s="949"/>
      <c r="L12" s="949"/>
      <c r="M12" s="949"/>
      <c r="N12" s="950"/>
      <c r="O12" s="950"/>
    </row>
    <row r="13" spans="2:23" ht="9.75" customHeight="1">
      <c r="B13" s="954"/>
      <c r="C13" s="952"/>
      <c r="D13" s="287">
        <f t="shared" ca="1" si="1"/>
        <v>46503</v>
      </c>
      <c r="E13" s="288">
        <f t="shared" si="5"/>
        <v>1000000</v>
      </c>
      <c r="F13" s="289">
        <f t="shared" ca="1" si="2"/>
        <v>40</v>
      </c>
      <c r="G13" s="290">
        <f ca="1">KBACOI!O12</f>
        <v>116.23441581864063</v>
      </c>
      <c r="H13" s="290">
        <f t="shared" ca="1" si="3"/>
        <v>3558.9610204138494</v>
      </c>
      <c r="I13" s="291"/>
      <c r="J13" s="292">
        <f t="shared" ca="1" si="4"/>
        <v>3558.9610204138494</v>
      </c>
      <c r="K13" s="949"/>
      <c r="L13" s="949"/>
      <c r="M13" s="949"/>
      <c r="N13" s="950"/>
      <c r="O13" s="950"/>
    </row>
    <row r="14" spans="2:23" ht="9.75" customHeight="1">
      <c r="B14" s="954"/>
      <c r="C14" s="952"/>
      <c r="D14" s="287">
        <f t="shared" ca="1" si="1"/>
        <v>46533</v>
      </c>
      <c r="E14" s="288">
        <f t="shared" si="5"/>
        <v>1000000</v>
      </c>
      <c r="F14" s="289">
        <f t="shared" ca="1" si="2"/>
        <v>40</v>
      </c>
      <c r="G14" s="290">
        <f ca="1">KBACOI!O13</f>
        <v>116.25145454761838</v>
      </c>
      <c r="H14" s="290">
        <f t="shared" ca="1" si="3"/>
        <v>3412.4784004002663</v>
      </c>
      <c r="I14" s="291"/>
      <c r="J14" s="292">
        <f t="shared" ca="1" si="4"/>
        <v>3412.4784004002663</v>
      </c>
      <c r="K14" s="949"/>
      <c r="L14" s="949"/>
      <c r="M14" s="949"/>
      <c r="N14" s="950"/>
      <c r="O14" s="950"/>
    </row>
    <row r="15" spans="2:23" ht="9.75" customHeight="1">
      <c r="B15" s="954"/>
      <c r="C15" s="952"/>
      <c r="D15" s="287">
        <f t="shared" ca="1" si="1"/>
        <v>46564</v>
      </c>
      <c r="E15" s="288">
        <f t="shared" si="5"/>
        <v>1000000</v>
      </c>
      <c r="F15" s="289">
        <f t="shared" ca="1" si="2"/>
        <v>40</v>
      </c>
      <c r="G15" s="290">
        <f ca="1">KBACOI!O14</f>
        <v>116.26854418661996</v>
      </c>
      <c r="H15" s="290">
        <f t="shared" ca="1" si="3"/>
        <v>3265.5581049188945</v>
      </c>
      <c r="I15" s="291"/>
      <c r="J15" s="293">
        <f t="shared" ca="1" si="4"/>
        <v>3265.5581049188945</v>
      </c>
      <c r="K15" s="949"/>
      <c r="L15" s="949"/>
      <c r="M15" s="949"/>
      <c r="N15" s="950"/>
      <c r="O15" s="950"/>
    </row>
    <row r="16" spans="2:23" ht="9.75" customHeight="1">
      <c r="B16" s="955">
        <v>2</v>
      </c>
      <c r="C16" s="947">
        <f ca="1">C4+1</f>
        <v>31</v>
      </c>
      <c r="D16" s="294">
        <f t="shared" ca="1" si="1"/>
        <v>46594</v>
      </c>
      <c r="E16" s="359">
        <f>'Tinh phi QL'!E13*1.05/1000</f>
        <v>1050000</v>
      </c>
      <c r="F16" s="360">
        <f t="shared" ca="1" si="2"/>
        <v>40</v>
      </c>
      <c r="G16" s="295">
        <f ca="1">KBACOI!O15</f>
        <v>124.76813302740972</v>
      </c>
      <c r="H16" s="295">
        <f ca="1">(H15+KBAGTTKcamket!F8-F16-G16)*(1+Q3)</f>
        <v>10125.701244875549</v>
      </c>
      <c r="I16" s="324"/>
      <c r="J16" s="296">
        <f t="shared" ca="1" si="4"/>
        <v>10125.701244875549</v>
      </c>
      <c r="K16" s="949">
        <f ca="1">J27</f>
        <v>8563.193298780383</v>
      </c>
      <c r="L16" s="949"/>
      <c r="M16" s="949"/>
      <c r="N16" s="950">
        <f ca="1">SUM(G16:G27)</f>
        <v>1498.3348686435668</v>
      </c>
      <c r="O16" s="950"/>
    </row>
    <row r="17" spans="2:15" ht="9.75" customHeight="1">
      <c r="B17" s="955"/>
      <c r="C17" s="947"/>
      <c r="D17" s="294">
        <f t="shared" ca="1" si="1"/>
        <v>46625</v>
      </c>
      <c r="E17" s="359">
        <f t="shared" si="5"/>
        <v>1050000</v>
      </c>
      <c r="F17" s="360">
        <f t="shared" ca="1" si="2"/>
        <v>40</v>
      </c>
      <c r="G17" s="295">
        <f ca="1">KBACOI!O16</f>
        <v>124.78491585061494</v>
      </c>
      <c r="H17" s="295">
        <f ca="1">(H16-F17-G17)*(1+$Q$3)</f>
        <v>9985.4826358716546</v>
      </c>
      <c r="I17" s="324"/>
      <c r="J17" s="296">
        <f t="shared" ca="1" si="4"/>
        <v>9985.4826358716546</v>
      </c>
      <c r="K17" s="949"/>
      <c r="L17" s="949"/>
      <c r="M17" s="949"/>
      <c r="N17" s="950"/>
      <c r="O17" s="950"/>
    </row>
    <row r="18" spans="2:15" ht="9.75" customHeight="1">
      <c r="B18" s="955"/>
      <c r="C18" s="947"/>
      <c r="D18" s="294">
        <f t="shared" ca="1" si="1"/>
        <v>46656</v>
      </c>
      <c r="E18" s="359">
        <f t="shared" si="5"/>
        <v>1050000</v>
      </c>
      <c r="F18" s="360">
        <f t="shared" ca="1" si="2"/>
        <v>40</v>
      </c>
      <c r="G18" s="295">
        <f ca="1">KBACOI!O17</f>
        <v>124.8017420836954</v>
      </c>
      <c r="H18" s="295">
        <f t="shared" ref="H18:H27" ca="1" si="6">(H17-F18-G18)*(1+$Q$3)</f>
        <v>9844.9013422197495</v>
      </c>
      <c r="I18" s="324"/>
      <c r="J18" s="296">
        <f t="shared" ca="1" si="4"/>
        <v>9844.9013422197495</v>
      </c>
      <c r="K18" s="949"/>
      <c r="L18" s="949"/>
      <c r="M18" s="949"/>
      <c r="N18" s="950"/>
      <c r="O18" s="950"/>
    </row>
    <row r="19" spans="2:15" ht="9.75" customHeight="1">
      <c r="B19" s="955"/>
      <c r="C19" s="947"/>
      <c r="D19" s="294">
        <f t="shared" ca="1" si="1"/>
        <v>46686</v>
      </c>
      <c r="E19" s="359">
        <f t="shared" si="5"/>
        <v>1050000</v>
      </c>
      <c r="F19" s="360">
        <f t="shared" ca="1" si="2"/>
        <v>40</v>
      </c>
      <c r="G19" s="295">
        <f ca="1">KBACOI!O18</f>
        <v>124.81861183893362</v>
      </c>
      <c r="H19" s="295">
        <f t="shared" ca="1" si="6"/>
        <v>9703.9564258121536</v>
      </c>
      <c r="I19" s="324"/>
      <c r="J19" s="296">
        <f t="shared" ca="1" si="4"/>
        <v>9703.9564258121536</v>
      </c>
      <c r="K19" s="949"/>
      <c r="L19" s="949"/>
      <c r="M19" s="949"/>
      <c r="N19" s="950"/>
      <c r="O19" s="950"/>
    </row>
    <row r="20" spans="2:15" ht="9.75" customHeight="1">
      <c r="B20" s="955"/>
      <c r="C20" s="947"/>
      <c r="D20" s="294">
        <f t="shared" ca="1" si="1"/>
        <v>46717</v>
      </c>
      <c r="E20" s="359">
        <f t="shared" si="5"/>
        <v>1050000</v>
      </c>
      <c r="F20" s="360">
        <f t="shared" ca="1" si="2"/>
        <v>40</v>
      </c>
      <c r="G20" s="295">
        <f ca="1">KBACOI!O19</f>
        <v>124.83552522890254</v>
      </c>
      <c r="H20" s="295">
        <f t="shared" ca="1" si="6"/>
        <v>9562.6469461147099</v>
      </c>
      <c r="I20" s="324"/>
      <c r="J20" s="296">
        <f t="shared" ca="1" si="4"/>
        <v>9562.6469461147099</v>
      </c>
      <c r="K20" s="949"/>
      <c r="L20" s="949"/>
      <c r="M20" s="949"/>
      <c r="N20" s="950"/>
      <c r="O20" s="950"/>
    </row>
    <row r="21" spans="2:15" ht="9.75" customHeight="1">
      <c r="B21" s="955"/>
      <c r="C21" s="947"/>
      <c r="D21" s="294">
        <f t="shared" ca="1" si="1"/>
        <v>46747</v>
      </c>
      <c r="E21" s="359">
        <f t="shared" si="5"/>
        <v>1050000</v>
      </c>
      <c r="F21" s="360">
        <f t="shared" ca="1" si="2"/>
        <v>40</v>
      </c>
      <c r="G21" s="295">
        <f ca="1">KBACOI!O20</f>
        <v>124.85248236646623</v>
      </c>
      <c r="H21" s="295">
        <f t="shared" ca="1" si="6"/>
        <v>9420.9719601605084</v>
      </c>
      <c r="I21" s="324"/>
      <c r="J21" s="296">
        <f t="shared" ca="1" si="4"/>
        <v>9420.9719601605084</v>
      </c>
      <c r="K21" s="949"/>
      <c r="L21" s="949"/>
      <c r="M21" s="949"/>
      <c r="N21" s="950"/>
      <c r="O21" s="950"/>
    </row>
    <row r="22" spans="2:15" ht="9.75" customHeight="1">
      <c r="B22" s="955"/>
      <c r="C22" s="947"/>
      <c r="D22" s="294">
        <f t="shared" ca="1" si="1"/>
        <v>46778</v>
      </c>
      <c r="E22" s="359">
        <f t="shared" si="5"/>
        <v>1050000</v>
      </c>
      <c r="F22" s="360">
        <f t="shared" ca="1" si="2"/>
        <v>40</v>
      </c>
      <c r="G22" s="295">
        <f ca="1">KBACOI!O21</f>
        <v>124.86948336478072</v>
      </c>
      <c r="H22" s="295">
        <f t="shared" ca="1" si="6"/>
        <v>9278.9305225435946</v>
      </c>
      <c r="I22" s="324"/>
      <c r="J22" s="296">
        <f t="shared" ca="1" si="4"/>
        <v>9278.9305225435946</v>
      </c>
      <c r="K22" s="949"/>
      <c r="L22" s="949"/>
      <c r="M22" s="949"/>
      <c r="N22" s="950"/>
      <c r="O22" s="950"/>
    </row>
    <row r="23" spans="2:15" ht="9.75" customHeight="1">
      <c r="B23" s="955"/>
      <c r="C23" s="947"/>
      <c r="D23" s="294">
        <f t="shared" ca="1" si="1"/>
        <v>46809</v>
      </c>
      <c r="E23" s="359">
        <f t="shared" si="5"/>
        <v>1050000</v>
      </c>
      <c r="F23" s="360">
        <f t="shared" ca="1" si="2"/>
        <v>40</v>
      </c>
      <c r="G23" s="295">
        <f ca="1">KBACOI!O22</f>
        <v>124.88652833729476</v>
      </c>
      <c r="H23" s="295">
        <f t="shared" ca="1" si="6"/>
        <v>9136.5216854126575</v>
      </c>
      <c r="I23" s="324"/>
      <c r="J23" s="296">
        <f t="shared" ca="1" si="4"/>
        <v>9136.5216854126575</v>
      </c>
      <c r="K23" s="949"/>
      <c r="L23" s="949"/>
      <c r="M23" s="949"/>
      <c r="N23" s="950"/>
      <c r="O23" s="950"/>
    </row>
    <row r="24" spans="2:15" ht="9.75" customHeight="1">
      <c r="B24" s="955"/>
      <c r="C24" s="947"/>
      <c r="D24" s="294">
        <f t="shared" ca="1" si="1"/>
        <v>46838</v>
      </c>
      <c r="E24" s="359">
        <f t="shared" si="5"/>
        <v>1050000</v>
      </c>
      <c r="F24" s="360">
        <f t="shared" ca="1" si="2"/>
        <v>40</v>
      </c>
      <c r="G24" s="295">
        <f ca="1">KBACOI!O23</f>
        <v>124.90361739775047</v>
      </c>
      <c r="H24" s="295">
        <f t="shared" ca="1" si="6"/>
        <v>8993.7444984647045</v>
      </c>
      <c r="I24" s="324"/>
      <c r="J24" s="296">
        <f t="shared" ca="1" si="4"/>
        <v>8993.7444984647045</v>
      </c>
      <c r="K24" s="949"/>
      <c r="L24" s="949"/>
      <c r="M24" s="949"/>
      <c r="N24" s="950"/>
      <c r="O24" s="950"/>
    </row>
    <row r="25" spans="2:15" ht="9.75" customHeight="1">
      <c r="B25" s="955"/>
      <c r="C25" s="947"/>
      <c r="D25" s="294">
        <f t="shared" ca="1" si="1"/>
        <v>46869</v>
      </c>
      <c r="E25" s="359">
        <f t="shared" si="5"/>
        <v>1050000</v>
      </c>
      <c r="F25" s="360">
        <f t="shared" ca="1" si="2"/>
        <v>40</v>
      </c>
      <c r="G25" s="295">
        <f ca="1">KBACOI!O24</f>
        <v>124.92075066018423</v>
      </c>
      <c r="H25" s="295">
        <f t="shared" ca="1" si="6"/>
        <v>8850.5980089387285</v>
      </c>
      <c r="I25" s="324"/>
      <c r="J25" s="296">
        <f t="shared" ca="1" si="4"/>
        <v>8850.5980089387285</v>
      </c>
      <c r="K25" s="949"/>
      <c r="L25" s="949"/>
      <c r="M25" s="949"/>
      <c r="N25" s="950"/>
      <c r="O25" s="950"/>
    </row>
    <row r="26" spans="2:15" ht="9.75" customHeight="1">
      <c r="B26" s="955"/>
      <c r="C26" s="947"/>
      <c r="D26" s="294">
        <f t="shared" ca="1" si="1"/>
        <v>46899</v>
      </c>
      <c r="E26" s="359">
        <f t="shared" si="5"/>
        <v>1050000</v>
      </c>
      <c r="F26" s="360">
        <f t="shared" ca="1" si="2"/>
        <v>40</v>
      </c>
      <c r="G26" s="295">
        <f ca="1">KBACOI!O25</f>
        <v>124.93792823892734</v>
      </c>
      <c r="H26" s="295">
        <f t="shared" ca="1" si="6"/>
        <v>8707.0812616093353</v>
      </c>
      <c r="I26" s="324"/>
      <c r="J26" s="296">
        <f t="shared" ca="1" si="4"/>
        <v>8707.0812616093353</v>
      </c>
      <c r="K26" s="949"/>
      <c r="L26" s="949"/>
      <c r="M26" s="949"/>
      <c r="N26" s="950"/>
      <c r="O26" s="950"/>
    </row>
    <row r="27" spans="2:15" ht="9.75" customHeight="1">
      <c r="B27" s="955"/>
      <c r="C27" s="947"/>
      <c r="D27" s="294">
        <f t="shared" ca="1" si="1"/>
        <v>46930</v>
      </c>
      <c r="E27" s="359">
        <f t="shared" si="5"/>
        <v>1050000</v>
      </c>
      <c r="F27" s="360">
        <f t="shared" ca="1" si="2"/>
        <v>40</v>
      </c>
      <c r="G27" s="295">
        <f ca="1">KBACOI!O26</f>
        <v>124.95515024860687</v>
      </c>
      <c r="H27" s="295">
        <f t="shared" ca="1" si="6"/>
        <v>8563.193298780383</v>
      </c>
      <c r="I27" s="324"/>
      <c r="J27" s="297">
        <f t="shared" ca="1" si="4"/>
        <v>8563.193298780383</v>
      </c>
      <c r="K27" s="949"/>
      <c r="L27" s="949"/>
      <c r="M27" s="949"/>
      <c r="N27" s="950"/>
      <c r="O27" s="950"/>
    </row>
    <row r="28" spans="2:15" ht="9.75" customHeight="1">
      <c r="B28" s="954">
        <v>3</v>
      </c>
      <c r="C28" s="952">
        <f ca="1">C16+1</f>
        <v>32</v>
      </c>
      <c r="D28" s="287">
        <f t="shared" ca="1" si="1"/>
        <v>46960</v>
      </c>
      <c r="E28" s="327">
        <f>'Tinh phi QL'!E13*1.1/1000</f>
        <v>1100000</v>
      </c>
      <c r="F28" s="289">
        <f t="shared" ca="1" si="2"/>
        <v>40</v>
      </c>
      <c r="G28" s="290">
        <f ca="1">KBACOI!O27</f>
        <v>135.06845523541872</v>
      </c>
      <c r="H28" s="290">
        <f ca="1">(H27+KBAGTTKcamket!F9-F28-G28)*(1+$R$3)</f>
        <v>16428.542380471339</v>
      </c>
      <c r="I28" s="291"/>
      <c r="J28" s="292">
        <f t="shared" ca="1" si="4"/>
        <v>16428.542380471339</v>
      </c>
      <c r="K28" s="949">
        <f ca="1">J39</f>
        <v>14924.153925772907</v>
      </c>
      <c r="L28" s="949"/>
      <c r="M28" s="949"/>
      <c r="N28" s="950">
        <f t="shared" ref="N28" ca="1" si="7">SUM(G28:G39)</f>
        <v>1621.9389961368297</v>
      </c>
      <c r="O28" s="950"/>
    </row>
    <row r="29" spans="2:15" ht="9.75" customHeight="1">
      <c r="B29" s="954"/>
      <c r="C29" s="952"/>
      <c r="D29" s="287">
        <f t="shared" ca="1" si="1"/>
        <v>46991</v>
      </c>
      <c r="E29" s="288">
        <f t="shared" si="5"/>
        <v>1100000</v>
      </c>
      <c r="F29" s="289">
        <f t="shared" ca="1" si="2"/>
        <v>40</v>
      </c>
      <c r="G29" s="290">
        <f ca="1">KBACOI!O28</f>
        <v>135.08524171656791</v>
      </c>
      <c r="H29" s="290">
        <f ca="1">(H28-F29-G29)*(1+$R$3)</f>
        <v>16293.542548791516</v>
      </c>
      <c r="I29" s="291"/>
      <c r="J29" s="292">
        <f t="shared" ca="1" si="4"/>
        <v>16293.542548791516</v>
      </c>
      <c r="K29" s="949"/>
      <c r="L29" s="949"/>
      <c r="M29" s="949"/>
      <c r="N29" s="950"/>
      <c r="O29" s="950"/>
    </row>
    <row r="30" spans="2:15" ht="9.75" customHeight="1">
      <c r="B30" s="954"/>
      <c r="C30" s="952"/>
      <c r="D30" s="287">
        <f t="shared" ca="1" si="1"/>
        <v>47022</v>
      </c>
      <c r="E30" s="288">
        <f t="shared" si="5"/>
        <v>1100000</v>
      </c>
      <c r="F30" s="289">
        <f t="shared" ca="1" si="2"/>
        <v>40</v>
      </c>
      <c r="G30" s="290">
        <f ca="1">KBACOI!O29</f>
        <v>135.10207169558399</v>
      </c>
      <c r="H30" s="290">
        <f t="shared" ref="H30:H39" ca="1" si="8">(H29-F30-G30)*(1+$R$3)</f>
        <v>16158.19289962127</v>
      </c>
      <c r="I30" s="291"/>
      <c r="J30" s="292">
        <f t="shared" ca="1" si="4"/>
        <v>16158.19289962127</v>
      </c>
      <c r="K30" s="949"/>
      <c r="L30" s="949"/>
      <c r="M30" s="949"/>
      <c r="N30" s="950"/>
      <c r="O30" s="950"/>
    </row>
    <row r="31" spans="2:15" ht="9.75" customHeight="1">
      <c r="B31" s="954"/>
      <c r="C31" s="952"/>
      <c r="D31" s="287">
        <f t="shared" ca="1" si="1"/>
        <v>47052</v>
      </c>
      <c r="E31" s="288">
        <f t="shared" si="5"/>
        <v>1100000</v>
      </c>
      <c r="F31" s="289">
        <f t="shared" ca="1" si="2"/>
        <v>40</v>
      </c>
      <c r="G31" s="290">
        <f ca="1">KBACOI!O30</f>
        <v>135.11894528518056</v>
      </c>
      <c r="H31" s="290">
        <f t="shared" ca="1" si="8"/>
        <v>16022.492526498163</v>
      </c>
      <c r="I31" s="291"/>
      <c r="J31" s="292">
        <f t="shared" ca="1" si="4"/>
        <v>16022.492526498163</v>
      </c>
      <c r="K31" s="949"/>
      <c r="L31" s="949"/>
      <c r="M31" s="949"/>
      <c r="N31" s="950"/>
      <c r="O31" s="950"/>
    </row>
    <row r="32" spans="2:15" ht="9.75" customHeight="1">
      <c r="B32" s="954"/>
      <c r="C32" s="952"/>
      <c r="D32" s="287">
        <f t="shared" ca="1" si="1"/>
        <v>47083</v>
      </c>
      <c r="E32" s="288">
        <f t="shared" si="5"/>
        <v>1100000</v>
      </c>
      <c r="F32" s="289">
        <f t="shared" ca="1" si="2"/>
        <v>40</v>
      </c>
      <c r="G32" s="290">
        <f ca="1">KBACOI!O31</f>
        <v>135.13586259836322</v>
      </c>
      <c r="H32" s="290">
        <f t="shared" ca="1" si="8"/>
        <v>15886.440520610891</v>
      </c>
      <c r="I32" s="291"/>
      <c r="J32" s="292">
        <f t="shared" ca="1" si="4"/>
        <v>15886.440520610891</v>
      </c>
      <c r="K32" s="949"/>
      <c r="L32" s="949"/>
      <c r="M32" s="949"/>
      <c r="N32" s="950"/>
      <c r="O32" s="950"/>
    </row>
    <row r="33" spans="2:15" ht="9.75" customHeight="1">
      <c r="B33" s="954"/>
      <c r="C33" s="952"/>
      <c r="D33" s="287">
        <f t="shared" ca="1" si="1"/>
        <v>47113</v>
      </c>
      <c r="E33" s="288">
        <f t="shared" si="5"/>
        <v>1100000</v>
      </c>
      <c r="F33" s="289">
        <f t="shared" ca="1" si="2"/>
        <v>40</v>
      </c>
      <c r="G33" s="290">
        <f ca="1">KBACOI!O32</f>
        <v>135.15282374843051</v>
      </c>
      <c r="H33" s="290">
        <f t="shared" ca="1" si="8"/>
        <v>15750.035970793198</v>
      </c>
      <c r="I33" s="291"/>
      <c r="J33" s="292">
        <f t="shared" ca="1" si="4"/>
        <v>15750.035970793198</v>
      </c>
      <c r="K33" s="949"/>
      <c r="L33" s="949"/>
      <c r="M33" s="949"/>
      <c r="N33" s="950"/>
      <c r="O33" s="950"/>
    </row>
    <row r="34" spans="2:15" ht="9.75" customHeight="1">
      <c r="B34" s="954"/>
      <c r="C34" s="952"/>
      <c r="D34" s="287">
        <f t="shared" ca="1" si="1"/>
        <v>47144</v>
      </c>
      <c r="E34" s="288">
        <f t="shared" si="5"/>
        <v>1100000</v>
      </c>
      <c r="F34" s="289">
        <f t="shared" ca="1" si="2"/>
        <v>40</v>
      </c>
      <c r="G34" s="290">
        <f ca="1">KBACOI!O33</f>
        <v>135.16982884897448</v>
      </c>
      <c r="H34" s="290">
        <f t="shared" ca="1" si="8"/>
        <v>15613.277963517776</v>
      </c>
      <c r="I34" s="291"/>
      <c r="J34" s="292">
        <f t="shared" ca="1" si="4"/>
        <v>15613.277963517776</v>
      </c>
      <c r="K34" s="949"/>
      <c r="L34" s="949"/>
      <c r="M34" s="949"/>
      <c r="N34" s="950"/>
      <c r="O34" s="950"/>
    </row>
    <row r="35" spans="2:15" ht="9.75" customHeight="1">
      <c r="B35" s="954"/>
      <c r="C35" s="952"/>
      <c r="D35" s="287">
        <f t="shared" ca="1" si="1"/>
        <v>47175</v>
      </c>
      <c r="E35" s="288">
        <f t="shared" si="5"/>
        <v>1100000</v>
      </c>
      <c r="F35" s="289">
        <f t="shared" ca="1" si="2"/>
        <v>40</v>
      </c>
      <c r="G35" s="290">
        <f ca="1">KBACOI!O34</f>
        <v>135.18687801388145</v>
      </c>
      <c r="H35" s="290">
        <f t="shared" ca="1" si="8"/>
        <v>15476.165582890144</v>
      </c>
      <c r="I35" s="291"/>
      <c r="J35" s="292">
        <f t="shared" ca="1" si="4"/>
        <v>15476.165582890144</v>
      </c>
      <c r="K35" s="949"/>
      <c r="L35" s="949"/>
      <c r="M35" s="949"/>
      <c r="N35" s="950"/>
      <c r="O35" s="950"/>
    </row>
    <row r="36" spans="2:15" ht="9.75" customHeight="1">
      <c r="B36" s="954"/>
      <c r="C36" s="952"/>
      <c r="D36" s="287">
        <f t="shared" ca="1" si="1"/>
        <v>47203</v>
      </c>
      <c r="E36" s="288">
        <f t="shared" si="5"/>
        <v>1100000</v>
      </c>
      <c r="F36" s="289">
        <f t="shared" ca="1" si="2"/>
        <v>40</v>
      </c>
      <c r="G36" s="290">
        <f ca="1">KBACOI!O35</f>
        <v>135.20397135733302</v>
      </c>
      <c r="H36" s="290">
        <f t="shared" ca="1" si="8"/>
        <v>15338.697910642513</v>
      </c>
      <c r="I36" s="291"/>
      <c r="J36" s="292">
        <f t="shared" ca="1" si="4"/>
        <v>15338.697910642513</v>
      </c>
      <c r="K36" s="949"/>
      <c r="L36" s="949"/>
      <c r="M36" s="949"/>
      <c r="N36" s="950"/>
      <c r="O36" s="950"/>
    </row>
    <row r="37" spans="2:15" ht="9.75" customHeight="1">
      <c r="B37" s="954"/>
      <c r="C37" s="952"/>
      <c r="D37" s="287">
        <f t="shared" ca="1" si="1"/>
        <v>47234</v>
      </c>
      <c r="E37" s="288">
        <f t="shared" si="5"/>
        <v>1100000</v>
      </c>
      <c r="F37" s="289">
        <f t="shared" ca="1" si="2"/>
        <v>40</v>
      </c>
      <c r="G37" s="290">
        <f ca="1">KBACOI!O36</f>
        <v>135.22110899380655</v>
      </c>
      <c r="H37" s="290">
        <f t="shared" ca="1" si="8"/>
        <v>15200.874026127642</v>
      </c>
      <c r="I37" s="291"/>
      <c r="J37" s="292">
        <f t="shared" ca="1" si="4"/>
        <v>15200.874026127642</v>
      </c>
      <c r="K37" s="949"/>
      <c r="L37" s="949"/>
      <c r="M37" s="949"/>
      <c r="N37" s="950"/>
      <c r="O37" s="950"/>
    </row>
    <row r="38" spans="2:15" ht="9.75" customHeight="1">
      <c r="B38" s="954"/>
      <c r="C38" s="952"/>
      <c r="D38" s="287">
        <f t="shared" ca="1" si="1"/>
        <v>47264</v>
      </c>
      <c r="E38" s="288">
        <f t="shared" si="5"/>
        <v>1100000</v>
      </c>
      <c r="F38" s="289">
        <f t="shared" ca="1" si="2"/>
        <v>40</v>
      </c>
      <c r="G38" s="290">
        <f ca="1">KBACOI!O37</f>
        <v>135.23829103807608</v>
      </c>
      <c r="H38" s="290">
        <f t="shared" ca="1" si="8"/>
        <v>15062.693006312662</v>
      </c>
      <c r="I38" s="291"/>
      <c r="J38" s="292">
        <f t="shared" ca="1" si="4"/>
        <v>15062.693006312662</v>
      </c>
      <c r="K38" s="949"/>
      <c r="L38" s="949"/>
      <c r="M38" s="949"/>
      <c r="N38" s="950"/>
      <c r="O38" s="950"/>
    </row>
    <row r="39" spans="2:15" ht="9.75" customHeight="1">
      <c r="B39" s="954"/>
      <c r="C39" s="952"/>
      <c r="D39" s="287">
        <f t="shared" ca="1" si="1"/>
        <v>47295</v>
      </c>
      <c r="E39" s="288">
        <f t="shared" si="5"/>
        <v>1100000</v>
      </c>
      <c r="F39" s="289">
        <f t="shared" ca="1" si="2"/>
        <v>40</v>
      </c>
      <c r="G39" s="290">
        <f ca="1">KBACOI!O38</f>
        <v>135.25551760521302</v>
      </c>
      <c r="H39" s="290">
        <f t="shared" ca="1" si="8"/>
        <v>14924.153925772907</v>
      </c>
      <c r="I39" s="291"/>
      <c r="J39" s="293">
        <f t="shared" ca="1" si="4"/>
        <v>14924.153925772907</v>
      </c>
      <c r="K39" s="949"/>
      <c r="L39" s="949"/>
      <c r="M39" s="949"/>
      <c r="N39" s="950"/>
      <c r="O39" s="950"/>
    </row>
    <row r="40" spans="2:15" ht="9.75" customHeight="1">
      <c r="B40" s="955">
        <v>4</v>
      </c>
      <c r="C40" s="947">
        <f ca="1">C28+1</f>
        <v>33</v>
      </c>
      <c r="D40" s="294">
        <f t="shared" ca="1" si="1"/>
        <v>47325</v>
      </c>
      <c r="E40" s="359">
        <f>'Tinh phi QL'!E13*1.15/1000</f>
        <v>1150000</v>
      </c>
      <c r="F40" s="360">
        <f t="shared" ca="1" si="2"/>
        <v>40</v>
      </c>
      <c r="G40" s="295">
        <f ca="1">KBACOI!O39</f>
        <v>146.51985998964952</v>
      </c>
      <c r="H40" s="295">
        <f ca="1">(H39+KBAGTTKcamket!F10-F40-G40)*(1+S3)</f>
        <v>22775.187117056212</v>
      </c>
      <c r="I40" s="948"/>
      <c r="J40" s="296">
        <f t="shared" ca="1" si="4"/>
        <v>22775.187117056212</v>
      </c>
      <c r="K40" s="949">
        <f ca="1">J51</f>
        <v>21058.562034943792</v>
      </c>
      <c r="L40" s="949"/>
      <c r="M40" s="949"/>
      <c r="N40" s="950">
        <f t="shared" ref="N40" ca="1" si="9">SUM(G40:G51)</f>
        <v>1759.5436555403739</v>
      </c>
      <c r="O40" s="950"/>
    </row>
    <row r="41" spans="2:15" ht="9.75" customHeight="1">
      <c r="B41" s="955"/>
      <c r="C41" s="946"/>
      <c r="D41" s="294">
        <f t="shared" ca="1" si="1"/>
        <v>47356</v>
      </c>
      <c r="E41" s="359">
        <f t="shared" si="5"/>
        <v>1150000</v>
      </c>
      <c r="F41" s="360">
        <f t="shared" ca="1" si="2"/>
        <v>40</v>
      </c>
      <c r="G41" s="295">
        <f ca="1">KBACOI!O40</f>
        <v>146.5392256747827</v>
      </c>
      <c r="H41" s="295">
        <f ca="1">(H40-F41-G41)*(1+$S$3)</f>
        <v>22625.954879874495</v>
      </c>
      <c r="I41" s="948"/>
      <c r="J41" s="296">
        <f t="shared" ca="1" si="4"/>
        <v>22625.954879874495</v>
      </c>
      <c r="K41" s="949"/>
      <c r="L41" s="949"/>
      <c r="M41" s="949"/>
      <c r="N41" s="950"/>
      <c r="O41" s="950"/>
    </row>
    <row r="42" spans="2:15" ht="9.75" customHeight="1">
      <c r="B42" s="955"/>
      <c r="C42" s="946"/>
      <c r="D42" s="294">
        <f t="shared" ca="1" si="1"/>
        <v>47387</v>
      </c>
      <c r="E42" s="359">
        <f t="shared" si="5"/>
        <v>1150000</v>
      </c>
      <c r="F42" s="360">
        <f t="shared" ca="1" si="2"/>
        <v>40</v>
      </c>
      <c r="G42" s="295">
        <f ca="1">KBACOI!O41</f>
        <v>146.55862586561631</v>
      </c>
      <c r="H42" s="295">
        <f t="shared" ref="H42:H51" ca="1" si="10">(H41-F42-G42)*(1+$S$3)</f>
        <v>22476.456741288381</v>
      </c>
      <c r="I42" s="948"/>
      <c r="J42" s="296">
        <f t="shared" ca="1" si="4"/>
        <v>22476.456741288381</v>
      </c>
      <c r="K42" s="949"/>
      <c r="L42" s="949"/>
      <c r="M42" s="949"/>
      <c r="N42" s="950"/>
      <c r="O42" s="950"/>
    </row>
    <row r="43" spans="2:15" ht="9.75" customHeight="1">
      <c r="B43" s="955"/>
      <c r="C43" s="946"/>
      <c r="D43" s="294">
        <f t="shared" ca="1" si="1"/>
        <v>47417</v>
      </c>
      <c r="E43" s="359">
        <f t="shared" si="5"/>
        <v>1150000</v>
      </c>
      <c r="F43" s="360">
        <f t="shared" ca="1" si="2"/>
        <v>40</v>
      </c>
      <c r="G43" s="295">
        <f ca="1">KBACOI!O42</f>
        <v>146.57806062363252</v>
      </c>
      <c r="H43" s="295">
        <f t="shared" ca="1" si="10"/>
        <v>22326.692227515803</v>
      </c>
      <c r="I43" s="948"/>
      <c r="J43" s="296">
        <f t="shared" ca="1" si="4"/>
        <v>22326.692227515803</v>
      </c>
      <c r="K43" s="949"/>
      <c r="L43" s="949"/>
      <c r="M43" s="949"/>
      <c r="N43" s="950"/>
      <c r="O43" s="950"/>
    </row>
    <row r="44" spans="2:15" ht="9.75" customHeight="1">
      <c r="B44" s="955"/>
      <c r="C44" s="946"/>
      <c r="D44" s="294">
        <f t="shared" ca="1" si="1"/>
        <v>47448</v>
      </c>
      <c r="E44" s="359">
        <f t="shared" si="5"/>
        <v>1150000</v>
      </c>
      <c r="F44" s="360">
        <f t="shared" ca="1" si="2"/>
        <v>40</v>
      </c>
      <c r="G44" s="295">
        <f ca="1">KBACOI!O43</f>
        <v>146.59753001042296</v>
      </c>
      <c r="H44" s="295">
        <f t="shared" ca="1" si="10"/>
        <v>22176.660863930523</v>
      </c>
      <c r="I44" s="948"/>
      <c r="J44" s="296">
        <f t="shared" ca="1" si="4"/>
        <v>22176.660863930523</v>
      </c>
      <c r="K44" s="949"/>
      <c r="L44" s="949"/>
      <c r="M44" s="949"/>
      <c r="N44" s="950"/>
      <c r="O44" s="950"/>
    </row>
    <row r="45" spans="2:15" ht="9.75" customHeight="1">
      <c r="B45" s="955"/>
      <c r="C45" s="946"/>
      <c r="D45" s="294">
        <f t="shared" ca="1" si="1"/>
        <v>47478</v>
      </c>
      <c r="E45" s="359">
        <f t="shared" si="5"/>
        <v>1150000</v>
      </c>
      <c r="F45" s="360">
        <f t="shared" ca="1" si="2"/>
        <v>40</v>
      </c>
      <c r="G45" s="295">
        <f ca="1">KBACOI!O44</f>
        <v>146.61703408768904</v>
      </c>
      <c r="H45" s="295">
        <f t="shared" ca="1" si="10"/>
        <v>22026.362175060611</v>
      </c>
      <c r="I45" s="948"/>
      <c r="J45" s="296">
        <f t="shared" ca="1" si="4"/>
        <v>22026.362175060611</v>
      </c>
      <c r="K45" s="949"/>
      <c r="L45" s="949"/>
      <c r="M45" s="949"/>
      <c r="N45" s="950"/>
      <c r="O45" s="950"/>
    </row>
    <row r="46" spans="2:15" ht="9.75" customHeight="1">
      <c r="B46" s="955"/>
      <c r="C46" s="946"/>
      <c r="D46" s="294">
        <f t="shared" ca="1" si="1"/>
        <v>47509</v>
      </c>
      <c r="E46" s="359">
        <f t="shared" si="5"/>
        <v>1150000</v>
      </c>
      <c r="F46" s="360">
        <f t="shared" ca="1" si="2"/>
        <v>50</v>
      </c>
      <c r="G46" s="295">
        <f ca="1">KBACOI!O45</f>
        <v>146.63657291724212</v>
      </c>
      <c r="H46" s="295">
        <f t="shared" ca="1" si="10"/>
        <v>21865.779168773915</v>
      </c>
      <c r="I46" s="948"/>
      <c r="J46" s="296">
        <f t="shared" ca="1" si="4"/>
        <v>21865.779168773915</v>
      </c>
      <c r="K46" s="949"/>
      <c r="L46" s="949"/>
      <c r="M46" s="949"/>
      <c r="N46" s="950"/>
      <c r="O46" s="950"/>
    </row>
    <row r="47" spans="2:15" ht="9.75" customHeight="1">
      <c r="B47" s="955"/>
      <c r="C47" s="946"/>
      <c r="D47" s="294">
        <f t="shared" ca="1" si="1"/>
        <v>47540</v>
      </c>
      <c r="E47" s="359">
        <f t="shared" si="5"/>
        <v>1150000</v>
      </c>
      <c r="F47" s="360">
        <f t="shared" ca="1" si="2"/>
        <v>50</v>
      </c>
      <c r="G47" s="295">
        <f ca="1">KBACOI!O46</f>
        <v>146.65744870805941</v>
      </c>
      <c r="H47" s="295">
        <f t="shared" ca="1" si="10"/>
        <v>21704.91003632775</v>
      </c>
      <c r="I47" s="948"/>
      <c r="J47" s="296">
        <f t="shared" ca="1" si="4"/>
        <v>21704.91003632775</v>
      </c>
      <c r="K47" s="949"/>
      <c r="L47" s="949"/>
      <c r="M47" s="949"/>
      <c r="N47" s="950"/>
      <c r="O47" s="950"/>
    </row>
    <row r="48" spans="2:15" ht="9.75" customHeight="1">
      <c r="B48" s="955"/>
      <c r="C48" s="946"/>
      <c r="D48" s="294">
        <f t="shared" ca="1" si="1"/>
        <v>47568</v>
      </c>
      <c r="E48" s="359">
        <f t="shared" si="5"/>
        <v>1150000</v>
      </c>
      <c r="F48" s="360">
        <f t="shared" ca="1" si="2"/>
        <v>50</v>
      </c>
      <c r="G48" s="295">
        <f ca="1">KBACOI!O47</f>
        <v>146.6783616952774</v>
      </c>
      <c r="H48" s="295">
        <f t="shared" ca="1" si="10"/>
        <v>21543.754267903663</v>
      </c>
      <c r="I48" s="948"/>
      <c r="J48" s="296">
        <f t="shared" ca="1" si="4"/>
        <v>21543.754267903663</v>
      </c>
      <c r="K48" s="949"/>
      <c r="L48" s="949"/>
      <c r="M48" s="949"/>
      <c r="N48" s="950"/>
      <c r="O48" s="950"/>
    </row>
    <row r="49" spans="2:15" ht="9.75" customHeight="1">
      <c r="B49" s="955"/>
      <c r="C49" s="946"/>
      <c r="D49" s="294">
        <f t="shared" ca="1" si="1"/>
        <v>47599</v>
      </c>
      <c r="E49" s="359">
        <f t="shared" si="5"/>
        <v>1150000</v>
      </c>
      <c r="F49" s="360">
        <f t="shared" ca="1" si="2"/>
        <v>50</v>
      </c>
      <c r="G49" s="295">
        <f ca="1">KBACOI!O48</f>
        <v>146.69931194517252</v>
      </c>
      <c r="H49" s="295">
        <f t="shared" ca="1" si="10"/>
        <v>21382.311352774814</v>
      </c>
      <c r="I49" s="948"/>
      <c r="J49" s="296">
        <f t="shared" ca="1" si="4"/>
        <v>21382.311352774814</v>
      </c>
      <c r="K49" s="949"/>
      <c r="L49" s="949"/>
      <c r="M49" s="949"/>
      <c r="N49" s="950"/>
      <c r="O49" s="950"/>
    </row>
    <row r="50" spans="2:15" ht="9.75" customHeight="1">
      <c r="B50" s="955"/>
      <c r="C50" s="946"/>
      <c r="D50" s="294">
        <f t="shared" ca="1" si="1"/>
        <v>47629</v>
      </c>
      <c r="E50" s="359">
        <f t="shared" si="5"/>
        <v>1150000</v>
      </c>
      <c r="F50" s="360">
        <f t="shared" ca="1" si="2"/>
        <v>50</v>
      </c>
      <c r="G50" s="295">
        <f ca="1">KBACOI!O49</f>
        <v>146.72029952413928</v>
      </c>
      <c r="H50" s="295">
        <f t="shared" ca="1" si="10"/>
        <v>21220.580779304353</v>
      </c>
      <c r="I50" s="948"/>
      <c r="J50" s="296">
        <f t="shared" ca="1" si="4"/>
        <v>21220.580779304353</v>
      </c>
      <c r="K50" s="949"/>
      <c r="L50" s="949"/>
      <c r="M50" s="949"/>
      <c r="N50" s="950"/>
      <c r="O50" s="950"/>
    </row>
    <row r="51" spans="2:15" ht="9.75" customHeight="1">
      <c r="B51" s="955"/>
      <c r="C51" s="946"/>
      <c r="D51" s="294">
        <f t="shared" ca="1" si="1"/>
        <v>47660</v>
      </c>
      <c r="E51" s="359">
        <f t="shared" si="5"/>
        <v>1150000</v>
      </c>
      <c r="F51" s="360">
        <f t="shared" ca="1" si="2"/>
        <v>50</v>
      </c>
      <c r="G51" s="295">
        <f ca="1">KBACOI!O50</f>
        <v>146.74132449869046</v>
      </c>
      <c r="H51" s="295">
        <f t="shared" ca="1" si="10"/>
        <v>21058.562034943792</v>
      </c>
      <c r="I51" s="948"/>
      <c r="J51" s="297">
        <f ca="1">H51+I40</f>
        <v>21058.562034943792</v>
      </c>
      <c r="K51" s="949"/>
      <c r="L51" s="949"/>
      <c r="M51" s="949"/>
      <c r="N51" s="950"/>
      <c r="O51" s="950"/>
    </row>
    <row r="52" spans="2:15" ht="9.75" customHeight="1">
      <c r="B52" s="954">
        <v>5</v>
      </c>
      <c r="C52" s="952">
        <f ca="1">C40+1</f>
        <v>34</v>
      </c>
      <c r="D52" s="287">
        <f t="shared" ca="1" si="1"/>
        <v>47690</v>
      </c>
      <c r="E52" s="288">
        <f>'Tinh phi QL'!E13*1.2/1000</f>
        <v>1200000</v>
      </c>
      <c r="F52" s="289">
        <f t="shared" ca="1" si="2"/>
        <v>50</v>
      </c>
      <c r="G52" s="290">
        <f ca="1">KBACOI!O51</f>
        <v>160.02866318855766</v>
      </c>
      <c r="H52" s="290">
        <f ca="1">(J51+KBAGTTKcamket!F11-F52-G52)*(1+T3)</f>
        <v>28896.179070059847</v>
      </c>
      <c r="I52" s="953">
        <f>IF(COUNTIF(KBAGTTKcamket!$E$7:E11,0)&gt;0,0,3%*'Tinh phi QL'!$H$13/1000)</f>
        <v>300</v>
      </c>
      <c r="J52" s="292">
        <f t="shared" ca="1" si="4"/>
        <v>28896.179070059847</v>
      </c>
      <c r="K52" s="949">
        <f ca="1">J63</f>
        <v>27390.684160707406</v>
      </c>
      <c r="L52" s="949"/>
      <c r="M52" s="949"/>
      <c r="N52" s="950">
        <f t="shared" ref="N52" ca="1" si="11">SUM(G52:G63)</f>
        <v>1921.8174197353712</v>
      </c>
      <c r="O52" s="950"/>
    </row>
    <row r="53" spans="2:15" ht="9.75" customHeight="1">
      <c r="B53" s="954"/>
      <c r="C53" s="951"/>
      <c r="D53" s="287">
        <f t="shared" ca="1" si="1"/>
        <v>47721</v>
      </c>
      <c r="E53" s="288">
        <f t="shared" si="5"/>
        <v>1200000</v>
      </c>
      <c r="F53" s="289">
        <f t="shared" ca="1" si="2"/>
        <v>50</v>
      </c>
      <c r="G53" s="290">
        <f ca="1">KBACOI!O52</f>
        <v>160.05085552709181</v>
      </c>
      <c r="H53" s="290">
        <f ca="1">(H52-F53-G53)*(1+$T$3)</f>
        <v>28733.505687516361</v>
      </c>
      <c r="I53" s="953"/>
      <c r="J53" s="292">
        <f t="shared" ca="1" si="4"/>
        <v>28733.505687516361</v>
      </c>
      <c r="K53" s="949"/>
      <c r="L53" s="949"/>
      <c r="M53" s="949"/>
      <c r="N53" s="950"/>
      <c r="O53" s="950"/>
    </row>
    <row r="54" spans="2:15" ht="9.75" customHeight="1">
      <c r="B54" s="954"/>
      <c r="C54" s="951"/>
      <c r="D54" s="287">
        <f t="shared" ca="1" si="1"/>
        <v>47752</v>
      </c>
      <c r="E54" s="288">
        <f t="shared" si="5"/>
        <v>1200000</v>
      </c>
      <c r="F54" s="289">
        <f t="shared" ca="1" si="2"/>
        <v>50</v>
      </c>
      <c r="G54" s="290">
        <f ca="1">KBACOI!O53</f>
        <v>160.07308755603941</v>
      </c>
      <c r="H54" s="290">
        <f t="shared" ref="H54:H63" ca="1" si="12">(H53-F54-G54)*(1+$T$3)</f>
        <v>28570.541367908998</v>
      </c>
      <c r="I54" s="953"/>
      <c r="J54" s="292">
        <f t="shared" ca="1" si="4"/>
        <v>28570.541367908998</v>
      </c>
      <c r="K54" s="949"/>
      <c r="L54" s="949"/>
      <c r="M54" s="949"/>
      <c r="N54" s="950"/>
      <c r="O54" s="950"/>
    </row>
    <row r="55" spans="2:15" ht="9.75" customHeight="1">
      <c r="B55" s="954"/>
      <c r="C55" s="951"/>
      <c r="D55" s="287">
        <f t="shared" ca="1" si="1"/>
        <v>47782</v>
      </c>
      <c r="E55" s="288">
        <f t="shared" si="5"/>
        <v>1200000</v>
      </c>
      <c r="F55" s="289">
        <f t="shared" ca="1" si="2"/>
        <v>50</v>
      </c>
      <c r="G55" s="290">
        <f ca="1">KBACOI!O54</f>
        <v>160.09535934638578</v>
      </c>
      <c r="H55" s="290">
        <f t="shared" ca="1" si="12"/>
        <v>28407.285590904474</v>
      </c>
      <c r="I55" s="953"/>
      <c r="J55" s="292">
        <f t="shared" ca="1" si="4"/>
        <v>28407.285590904474</v>
      </c>
      <c r="K55" s="949"/>
      <c r="L55" s="949"/>
      <c r="M55" s="949"/>
      <c r="N55" s="950"/>
      <c r="O55" s="950"/>
    </row>
    <row r="56" spans="2:15" ht="9.75" customHeight="1">
      <c r="B56" s="954"/>
      <c r="C56" s="951"/>
      <c r="D56" s="287">
        <f t="shared" ca="1" si="1"/>
        <v>47813</v>
      </c>
      <c r="E56" s="288">
        <f t="shared" si="5"/>
        <v>1200000</v>
      </c>
      <c r="F56" s="289">
        <f t="shared" ca="1" si="2"/>
        <v>50</v>
      </c>
      <c r="G56" s="290">
        <f ca="1">KBACOI!O55</f>
        <v>160.11767096924305</v>
      </c>
      <c r="H56" s="290">
        <f t="shared" ca="1" si="12"/>
        <v>28243.737835238899</v>
      </c>
      <c r="I56" s="953"/>
      <c r="J56" s="292">
        <f t="shared" ca="1" si="4"/>
        <v>28243.737835238899</v>
      </c>
      <c r="K56" s="949"/>
      <c r="L56" s="949"/>
      <c r="M56" s="949"/>
      <c r="N56" s="950"/>
      <c r="O56" s="950"/>
    </row>
    <row r="57" spans="2:15" ht="9.75" customHeight="1">
      <c r="B57" s="954"/>
      <c r="C57" s="951"/>
      <c r="D57" s="287">
        <f t="shared" ca="1" si="1"/>
        <v>47843</v>
      </c>
      <c r="E57" s="288">
        <f t="shared" si="5"/>
        <v>1200000</v>
      </c>
      <c r="F57" s="289">
        <f t="shared" ca="1" si="2"/>
        <v>50</v>
      </c>
      <c r="G57" s="290">
        <f ca="1">KBACOI!O56</f>
        <v>160.14002249585067</v>
      </c>
      <c r="H57" s="290">
        <f t="shared" ca="1" si="12"/>
        <v>28079.897578716125</v>
      </c>
      <c r="I57" s="953"/>
      <c r="J57" s="292">
        <f t="shared" ca="1" si="4"/>
        <v>28079.897578716125</v>
      </c>
      <c r="K57" s="949"/>
      <c r="L57" s="949"/>
      <c r="M57" s="949"/>
      <c r="N57" s="950"/>
      <c r="O57" s="950"/>
    </row>
    <row r="58" spans="2:15" ht="9.75" customHeight="1">
      <c r="B58" s="954"/>
      <c r="C58" s="951"/>
      <c r="D58" s="287">
        <f t="shared" ca="1" si="1"/>
        <v>47874</v>
      </c>
      <c r="E58" s="288">
        <f t="shared" si="5"/>
        <v>1200000</v>
      </c>
      <c r="F58" s="289">
        <f t="shared" ca="1" si="2"/>
        <v>50</v>
      </c>
      <c r="G58" s="290">
        <f ca="1">KBACOI!O57</f>
        <v>160.16241399757547</v>
      </c>
      <c r="H58" s="290">
        <f t="shared" ca="1" si="12"/>
        <v>27915.764298206068</v>
      </c>
      <c r="I58" s="953"/>
      <c r="J58" s="292">
        <f t="shared" ca="1" si="4"/>
        <v>27915.764298206068</v>
      </c>
      <c r="K58" s="949"/>
      <c r="L58" s="949"/>
      <c r="M58" s="949"/>
      <c r="N58" s="950"/>
      <c r="O58" s="950"/>
    </row>
    <row r="59" spans="2:15" ht="9.75" customHeight="1">
      <c r="B59" s="954"/>
      <c r="C59" s="951"/>
      <c r="D59" s="287">
        <f t="shared" ca="1" si="1"/>
        <v>47905</v>
      </c>
      <c r="E59" s="288">
        <f t="shared" si="5"/>
        <v>1200000</v>
      </c>
      <c r="F59" s="289">
        <f t="shared" ca="1" si="2"/>
        <v>50</v>
      </c>
      <c r="G59" s="290">
        <f ca="1">KBACOI!O58</f>
        <v>160.18484554591186</v>
      </c>
      <c r="H59" s="290">
        <f t="shared" ca="1" si="12"/>
        <v>27751.337469643036</v>
      </c>
      <c r="I59" s="953"/>
      <c r="J59" s="292">
        <f t="shared" ca="1" si="4"/>
        <v>27751.337469643036</v>
      </c>
      <c r="K59" s="949"/>
      <c r="L59" s="949"/>
      <c r="M59" s="949"/>
      <c r="N59" s="950"/>
      <c r="O59" s="950"/>
    </row>
    <row r="60" spans="2:15" ht="9.75" customHeight="1">
      <c r="B60" s="954"/>
      <c r="C60" s="951"/>
      <c r="D60" s="287">
        <f t="shared" ca="1" si="1"/>
        <v>47933</v>
      </c>
      <c r="E60" s="288">
        <f t="shared" si="5"/>
        <v>1200000</v>
      </c>
      <c r="F60" s="289">
        <f t="shared" ca="1" si="2"/>
        <v>50</v>
      </c>
      <c r="G60" s="290">
        <f ca="1">KBACOI!O59</f>
        <v>160.20731721248211</v>
      </c>
      <c r="H60" s="290">
        <f t="shared" ca="1" si="12"/>
        <v>27586.616568024059</v>
      </c>
      <c r="I60" s="953"/>
      <c r="J60" s="292">
        <f t="shared" ca="1" si="4"/>
        <v>27586.616568024059</v>
      </c>
      <c r="K60" s="949"/>
      <c r="L60" s="949"/>
      <c r="M60" s="949"/>
      <c r="N60" s="950"/>
      <c r="O60" s="950"/>
    </row>
    <row r="61" spans="2:15" ht="9.75" customHeight="1">
      <c r="B61" s="954"/>
      <c r="C61" s="951"/>
      <c r="D61" s="287">
        <f t="shared" ca="1" si="1"/>
        <v>47964</v>
      </c>
      <c r="E61" s="288">
        <f t="shared" si="5"/>
        <v>1200000</v>
      </c>
      <c r="F61" s="289">
        <f t="shared" ca="1" si="2"/>
        <v>50</v>
      </c>
      <c r="G61" s="290">
        <f ca="1">KBACOI!O60</f>
        <v>160.2298290690367</v>
      </c>
      <c r="H61" s="290">
        <f t="shared" ca="1" si="12"/>
        <v>27421.601067407217</v>
      </c>
      <c r="I61" s="953"/>
      <c r="J61" s="292">
        <f t="shared" ca="1" si="4"/>
        <v>27421.601067407217</v>
      </c>
      <c r="K61" s="949"/>
      <c r="L61" s="949"/>
      <c r="M61" s="949"/>
      <c r="N61" s="950"/>
      <c r="O61" s="950"/>
    </row>
    <row r="62" spans="2:15" ht="9.75" customHeight="1">
      <c r="B62" s="954"/>
      <c r="C62" s="951"/>
      <c r="D62" s="287">
        <f t="shared" ca="1" si="1"/>
        <v>47994</v>
      </c>
      <c r="E62" s="288">
        <f t="shared" si="5"/>
        <v>1200000</v>
      </c>
      <c r="F62" s="289">
        <f t="shared" ca="1" si="2"/>
        <v>50</v>
      </c>
      <c r="G62" s="290">
        <f ca="1">KBACOI!O61</f>
        <v>160.25238118745435</v>
      </c>
      <c r="H62" s="290">
        <f t="shared" ca="1" si="12"/>
        <v>27256.290440909957</v>
      </c>
      <c r="I62" s="953"/>
      <c r="J62" s="292">
        <f t="shared" ca="1" si="4"/>
        <v>27256.290440909957</v>
      </c>
      <c r="K62" s="949"/>
      <c r="L62" s="949"/>
      <c r="M62" s="949"/>
      <c r="N62" s="950"/>
      <c r="O62" s="950"/>
    </row>
    <row r="63" spans="2:15" ht="9.75" customHeight="1">
      <c r="B63" s="954"/>
      <c r="C63" s="951"/>
      <c r="D63" s="287">
        <f t="shared" ca="1" si="1"/>
        <v>48025</v>
      </c>
      <c r="E63" s="288">
        <f t="shared" si="5"/>
        <v>1200000</v>
      </c>
      <c r="F63" s="289">
        <f t="shared" ca="1" si="2"/>
        <v>50</v>
      </c>
      <c r="G63" s="290">
        <f ca="1">KBACOI!O62</f>
        <v>160.27497363974229</v>
      </c>
      <c r="H63" s="290">
        <f t="shared" ca="1" si="12"/>
        <v>27090.684160707406</v>
      </c>
      <c r="I63" s="953"/>
      <c r="J63" s="293">
        <f ca="1">H63+I52</f>
        <v>27390.684160707406</v>
      </c>
      <c r="K63" s="949"/>
      <c r="L63" s="949"/>
      <c r="M63" s="949"/>
      <c r="N63" s="950"/>
      <c r="O63" s="950"/>
    </row>
    <row r="64" spans="2:15" ht="9.75" customHeight="1">
      <c r="B64" s="946">
        <f>B52+1</f>
        <v>6</v>
      </c>
      <c r="C64" s="947">
        <f ca="1">C52+1</f>
        <v>35</v>
      </c>
      <c r="D64" s="294">
        <f t="shared" ca="1" si="1"/>
        <v>48055</v>
      </c>
      <c r="E64" s="359">
        <f>'Tinh phi QL'!E13*1.25/1000</f>
        <v>1250000</v>
      </c>
      <c r="F64" s="360">
        <f t="shared" ca="1" si="2"/>
        <v>50</v>
      </c>
      <c r="G64" s="295">
        <f ca="1">KBACOI!O63</f>
        <v>175.45308102475099</v>
      </c>
      <c r="H64" s="295">
        <f ca="1">(J63+KBAGTTKcamket!F12-F64-G64)*(1+U3)</f>
        <v>37011.122960003784</v>
      </c>
      <c r="I64" s="953">
        <f>IF(COUNTIF(KBAGTTKcamket!$E$7:E12,0)&gt;0,0,3%*'Tinh phi QL'!$H$13/1000)</f>
        <v>300</v>
      </c>
      <c r="J64" s="296">
        <f t="shared" ca="1" si="4"/>
        <v>37011.122960003784</v>
      </c>
      <c r="K64" s="949">
        <f ca="1">J75</f>
        <v>35319.444093877682</v>
      </c>
      <c r="L64" s="949"/>
      <c r="M64" s="949"/>
      <c r="N64" s="950">
        <f t="shared" ref="N64" ca="1" si="13">SUM(G64:G75)</f>
        <v>2107.1593700782928</v>
      </c>
      <c r="O64" s="950"/>
    </row>
    <row r="65" spans="2:15" ht="9.75" customHeight="1">
      <c r="B65" s="946"/>
      <c r="C65" s="946"/>
      <c r="D65" s="294">
        <f t="shared" ca="1" si="1"/>
        <v>48086</v>
      </c>
      <c r="E65" s="359">
        <f t="shared" si="5"/>
        <v>1250000</v>
      </c>
      <c r="F65" s="360">
        <f t="shared" ca="1" si="2"/>
        <v>50</v>
      </c>
      <c r="G65" s="295">
        <f ca="1">KBACOI!O64</f>
        <v>175.47905754511942</v>
      </c>
      <c r="H65" s="295">
        <f ca="1">(H64-F65-G65)*(1+$U$3)</f>
        <v>36831.312827505244</v>
      </c>
      <c r="I65" s="953"/>
      <c r="J65" s="296">
        <f t="shared" ca="1" si="4"/>
        <v>36831.312827505244</v>
      </c>
      <c r="K65" s="949"/>
      <c r="L65" s="949"/>
      <c r="M65" s="949"/>
      <c r="N65" s="950"/>
      <c r="O65" s="950"/>
    </row>
    <row r="66" spans="2:15" ht="9.75" customHeight="1">
      <c r="B66" s="946"/>
      <c r="C66" s="946"/>
      <c r="D66" s="294">
        <f t="shared" ca="1" si="1"/>
        <v>48117</v>
      </c>
      <c r="E66" s="359">
        <f t="shared" si="5"/>
        <v>1250000</v>
      </c>
      <c r="F66" s="360">
        <f t="shared" ca="1" si="2"/>
        <v>50</v>
      </c>
      <c r="G66" s="295">
        <f ca="1">KBACOI!O65</f>
        <v>175.5050700776209</v>
      </c>
      <c r="H66" s="295">
        <f t="shared" ref="H66:H75" ca="1" si="14">(H65-F66-G66)*(1+$U$3)</f>
        <v>36651.253418109176</v>
      </c>
      <c r="I66" s="953"/>
      <c r="J66" s="296">
        <f t="shared" ca="1" si="4"/>
        <v>36651.253418109176</v>
      </c>
      <c r="K66" s="949"/>
      <c r="L66" s="949"/>
      <c r="M66" s="949"/>
      <c r="N66" s="950"/>
      <c r="O66" s="950"/>
    </row>
    <row r="67" spans="2:15" ht="9.75" customHeight="1">
      <c r="B67" s="946"/>
      <c r="C67" s="946"/>
      <c r="D67" s="294">
        <f t="shared" ca="1" si="1"/>
        <v>48147</v>
      </c>
      <c r="E67" s="359">
        <f t="shared" si="5"/>
        <v>1250000</v>
      </c>
      <c r="F67" s="360">
        <f t="shared" ca="1" si="2"/>
        <v>50</v>
      </c>
      <c r="G67" s="295">
        <f ca="1">KBACOI!O66</f>
        <v>175.53111867218021</v>
      </c>
      <c r="H67" s="295">
        <f t="shared" ca="1" si="14"/>
        <v>36470.944386234536</v>
      </c>
      <c r="I67" s="953"/>
      <c r="J67" s="296">
        <f t="shared" ca="1" si="4"/>
        <v>36470.944386234536</v>
      </c>
      <c r="K67" s="949"/>
      <c r="L67" s="949"/>
      <c r="M67" s="949"/>
      <c r="N67" s="950"/>
      <c r="O67" s="950"/>
    </row>
    <row r="68" spans="2:15" ht="9.75" customHeight="1">
      <c r="B68" s="946"/>
      <c r="C68" s="946"/>
      <c r="D68" s="294">
        <f t="shared" ca="1" si="1"/>
        <v>48178</v>
      </c>
      <c r="E68" s="359">
        <f t="shared" si="5"/>
        <v>1250000</v>
      </c>
      <c r="F68" s="360">
        <f t="shared" ca="1" si="2"/>
        <v>50</v>
      </c>
      <c r="G68" s="295">
        <f ca="1">KBACOI!O67</f>
        <v>175.55720337879143</v>
      </c>
      <c r="H68" s="295">
        <f t="shared" ca="1" si="14"/>
        <v>36290.38538582121</v>
      </c>
      <c r="I68" s="953"/>
      <c r="J68" s="296">
        <f t="shared" ca="1" si="4"/>
        <v>36290.38538582121</v>
      </c>
      <c r="K68" s="949"/>
      <c r="L68" s="949"/>
      <c r="M68" s="949"/>
      <c r="N68" s="950"/>
      <c r="O68" s="950"/>
    </row>
    <row r="69" spans="2:15" ht="9.75" customHeight="1">
      <c r="B69" s="946"/>
      <c r="C69" s="946"/>
      <c r="D69" s="294">
        <f t="shared" ref="D69:D132" ca="1" si="15">EDATE(D68,1)</f>
        <v>48208</v>
      </c>
      <c r="E69" s="359">
        <f t="shared" si="5"/>
        <v>1250000</v>
      </c>
      <c r="F69" s="360">
        <f t="shared" ref="F69:F132" ca="1" si="16">IF(YEAR(D69)=2025,40000,IF(YEAR(D69)=2026,40000,IF(YEAR(D69)=2027,40000,IF(YEAR(D69)=2028,40000,IF(YEAR(D69)=2029,40000,IF(YEAR(D69)=2030,50000,IF(YEAR(D69)=2031,50000,IF(YEAR(D69)=2032,50000,IF(YEAR(D69)=2033,50000,IF(YEAR(D69)=2034,50000,IF(YEAR(D69)&gt;=2035,60000,0)))))))))))/1000</f>
        <v>50</v>
      </c>
      <c r="G69" s="295">
        <f ca="1">KBACOI!O68</f>
        <v>175.58332424751791</v>
      </c>
      <c r="H69" s="295">
        <f t="shared" ca="1" si="14"/>
        <v>36109.576070329305</v>
      </c>
      <c r="I69" s="953"/>
      <c r="J69" s="296">
        <f t="shared" ref="J69:J132" ca="1" si="17">H69</f>
        <v>36109.576070329305</v>
      </c>
      <c r="K69" s="949"/>
      <c r="L69" s="949"/>
      <c r="M69" s="949"/>
      <c r="N69" s="950"/>
      <c r="O69" s="950"/>
    </row>
    <row r="70" spans="2:15" ht="9.75" customHeight="1">
      <c r="B70" s="946"/>
      <c r="C70" s="946"/>
      <c r="D70" s="294">
        <f t="shared" ca="1" si="15"/>
        <v>48239</v>
      </c>
      <c r="E70" s="359">
        <f t="shared" ref="E70:E133" si="18">E69</f>
        <v>1250000</v>
      </c>
      <c r="F70" s="360">
        <f t="shared" ca="1" si="16"/>
        <v>50</v>
      </c>
      <c r="G70" s="295">
        <f ca="1">KBACOI!O69</f>
        <v>175.60948132849236</v>
      </c>
      <c r="H70" s="295">
        <f t="shared" ca="1" si="14"/>
        <v>35928.51609273853</v>
      </c>
      <c r="I70" s="953"/>
      <c r="J70" s="296">
        <f t="shared" ca="1" si="17"/>
        <v>35928.51609273853</v>
      </c>
      <c r="K70" s="949"/>
      <c r="L70" s="949"/>
      <c r="M70" s="949"/>
      <c r="N70" s="950"/>
      <c r="O70" s="950"/>
    </row>
    <row r="71" spans="2:15" ht="9.75" customHeight="1">
      <c r="B71" s="946"/>
      <c r="C71" s="946"/>
      <c r="D71" s="294">
        <f t="shared" ca="1" si="15"/>
        <v>48270</v>
      </c>
      <c r="E71" s="359">
        <f t="shared" si="18"/>
        <v>1250000</v>
      </c>
      <c r="F71" s="360">
        <f t="shared" ca="1" si="16"/>
        <v>50</v>
      </c>
      <c r="G71" s="295">
        <f ca="1">KBACOI!O70</f>
        <v>175.63567467191714</v>
      </c>
      <c r="H71" s="295">
        <f t="shared" ca="1" si="14"/>
        <v>35747.205105547502</v>
      </c>
      <c r="I71" s="953"/>
      <c r="J71" s="296">
        <f t="shared" ca="1" si="17"/>
        <v>35747.205105547502</v>
      </c>
      <c r="K71" s="949"/>
      <c r="L71" s="949"/>
      <c r="M71" s="949"/>
      <c r="N71" s="950"/>
      <c r="O71" s="950"/>
    </row>
    <row r="72" spans="2:15" ht="9.75" customHeight="1">
      <c r="B72" s="946"/>
      <c r="C72" s="946"/>
      <c r="D72" s="294">
        <f t="shared" ca="1" si="15"/>
        <v>48299</v>
      </c>
      <c r="E72" s="359">
        <f t="shared" si="18"/>
        <v>1250000</v>
      </c>
      <c r="F72" s="360">
        <f t="shared" ca="1" si="16"/>
        <v>50</v>
      </c>
      <c r="G72" s="295">
        <f ca="1">KBACOI!O71</f>
        <v>175.66190432806411</v>
      </c>
      <c r="H72" s="295">
        <f t="shared" ca="1" si="14"/>
        <v>35565.642760773073</v>
      </c>
      <c r="I72" s="953"/>
      <c r="J72" s="296">
        <f t="shared" ca="1" si="17"/>
        <v>35565.642760773073</v>
      </c>
      <c r="K72" s="949"/>
      <c r="L72" s="949"/>
      <c r="M72" s="949"/>
      <c r="N72" s="950"/>
      <c r="O72" s="950"/>
    </row>
    <row r="73" spans="2:15" ht="9.75" customHeight="1">
      <c r="B73" s="946"/>
      <c r="C73" s="946"/>
      <c r="D73" s="294">
        <f t="shared" ca="1" si="15"/>
        <v>48330</v>
      </c>
      <c r="E73" s="359">
        <f t="shared" si="18"/>
        <v>1250000</v>
      </c>
      <c r="F73" s="360">
        <f t="shared" ca="1" si="16"/>
        <v>50</v>
      </c>
      <c r="G73" s="295">
        <f ca="1">KBACOI!O72</f>
        <v>175.68817034727485</v>
      </c>
      <c r="H73" s="295">
        <f t="shared" ca="1" si="14"/>
        <v>35383.828709949688</v>
      </c>
      <c r="I73" s="953"/>
      <c r="J73" s="296">
        <f t="shared" ca="1" si="17"/>
        <v>35383.828709949688</v>
      </c>
      <c r="K73" s="949"/>
      <c r="L73" s="949"/>
      <c r="M73" s="949"/>
      <c r="N73" s="950"/>
      <c r="O73" s="950"/>
    </row>
    <row r="74" spans="2:15" ht="9.75" customHeight="1">
      <c r="B74" s="946"/>
      <c r="C74" s="946"/>
      <c r="D74" s="294">
        <f t="shared" ca="1" si="15"/>
        <v>48360</v>
      </c>
      <c r="E74" s="359">
        <f t="shared" si="18"/>
        <v>1250000</v>
      </c>
      <c r="F74" s="360">
        <f t="shared" ca="1" si="16"/>
        <v>50</v>
      </c>
      <c r="G74" s="295">
        <f ca="1">KBACOI!O73</f>
        <v>175.7144727799606</v>
      </c>
      <c r="H74" s="295">
        <f t="shared" ca="1" si="14"/>
        <v>35201.762604128693</v>
      </c>
      <c r="I74" s="953"/>
      <c r="J74" s="296">
        <f t="shared" ca="1" si="17"/>
        <v>35201.762604128693</v>
      </c>
      <c r="K74" s="949"/>
      <c r="L74" s="949"/>
      <c r="M74" s="949"/>
      <c r="N74" s="950"/>
      <c r="O74" s="950"/>
    </row>
    <row r="75" spans="2:15" ht="9.75" customHeight="1">
      <c r="B75" s="946"/>
      <c r="C75" s="946"/>
      <c r="D75" s="294">
        <f t="shared" ca="1" si="15"/>
        <v>48391</v>
      </c>
      <c r="E75" s="359">
        <f t="shared" si="18"/>
        <v>1250000</v>
      </c>
      <c r="F75" s="360">
        <f t="shared" ca="1" si="16"/>
        <v>50</v>
      </c>
      <c r="G75" s="295">
        <f ca="1">KBACOI!O74</f>
        <v>175.7408116766027</v>
      </c>
      <c r="H75" s="295">
        <f t="shared" ca="1" si="14"/>
        <v>35019.444093877682</v>
      </c>
      <c r="I75" s="953"/>
      <c r="J75" s="297">
        <f ca="1">H75+I64</f>
        <v>35319.444093877682</v>
      </c>
      <c r="K75" s="949"/>
      <c r="L75" s="949"/>
      <c r="M75" s="949"/>
      <c r="N75" s="950"/>
      <c r="O75" s="950"/>
    </row>
    <row r="76" spans="2:15" ht="9.75" customHeight="1">
      <c r="B76" s="951">
        <f>B64+1</f>
        <v>7</v>
      </c>
      <c r="C76" s="952">
        <f ca="1">C64+1</f>
        <v>36</v>
      </c>
      <c r="D76" s="287">
        <f t="shared" ca="1" si="15"/>
        <v>48421</v>
      </c>
      <c r="E76" s="288">
        <f>'Tinh phi QL'!E13*1.3/1000</f>
        <v>1300000</v>
      </c>
      <c r="F76" s="289">
        <f t="shared" ca="1" si="16"/>
        <v>50</v>
      </c>
      <c r="G76" s="290">
        <f ca="1">KBACOI!O75</f>
        <v>194.08819264681358</v>
      </c>
      <c r="H76" s="290">
        <f ca="1">(J75+KBAGTTKcamket!F13-F76-G76)*(1+$U$3)</f>
        <v>44931.068104353537</v>
      </c>
      <c r="I76" s="953">
        <f>IF(COUNTIF(KBAGTTKcamket!$E$7:E13,0)&gt;0,0,3%*'Tinh phi QL'!$H$13/1000)</f>
        <v>300</v>
      </c>
      <c r="J76" s="292">
        <f t="shared" ca="1" si="17"/>
        <v>44931.068104353537</v>
      </c>
      <c r="K76" s="949">
        <f ca="1">J87</f>
        <v>43141.49064393634</v>
      </c>
      <c r="L76" s="949"/>
      <c r="M76" s="949"/>
      <c r="N76" s="950">
        <f t="shared" ref="N76" ca="1" si="19">SUM(G76:G87)</f>
        <v>2330.990232356588</v>
      </c>
      <c r="O76" s="950"/>
    </row>
    <row r="77" spans="2:15" ht="9.75" customHeight="1">
      <c r="B77" s="951"/>
      <c r="C77" s="951"/>
      <c r="D77" s="287">
        <f t="shared" ca="1" si="15"/>
        <v>48452</v>
      </c>
      <c r="E77" s="288">
        <f t="shared" si="18"/>
        <v>1300000</v>
      </c>
      <c r="F77" s="289">
        <f t="shared" ca="1" si="16"/>
        <v>50</v>
      </c>
      <c r="G77" s="290">
        <f ca="1">KBACOI!O76</f>
        <v>194.11732813319335</v>
      </c>
      <c r="H77" s="290">
        <f ca="1">(H76-F77-G77)*(1+$U$3)</f>
        <v>44742.429076694592</v>
      </c>
      <c r="I77" s="953"/>
      <c r="J77" s="292">
        <f t="shared" ca="1" si="17"/>
        <v>44742.429076694592</v>
      </c>
      <c r="K77" s="949"/>
      <c r="L77" s="949"/>
      <c r="M77" s="949"/>
      <c r="N77" s="950"/>
      <c r="O77" s="950"/>
    </row>
    <row r="78" spans="2:15" ht="9.75" customHeight="1">
      <c r="B78" s="951"/>
      <c r="C78" s="951"/>
      <c r="D78" s="287">
        <f t="shared" ca="1" si="15"/>
        <v>48483</v>
      </c>
      <c r="E78" s="288">
        <f t="shared" si="18"/>
        <v>1300000</v>
      </c>
      <c r="F78" s="289">
        <f t="shared" ca="1" si="16"/>
        <v>50</v>
      </c>
      <c r="G78" s="290">
        <f ca="1">KBACOI!O77</f>
        <v>194.14650430280457</v>
      </c>
      <c r="H78" s="290">
        <f t="shared" ref="H78:H87" ca="1" si="20">(H77-F78-G78)*(1+$U$3)</f>
        <v>44553.5266436085</v>
      </c>
      <c r="I78" s="953"/>
      <c r="J78" s="292">
        <f t="shared" ca="1" si="17"/>
        <v>44553.5266436085</v>
      </c>
      <c r="K78" s="949"/>
      <c r="L78" s="949"/>
      <c r="M78" s="949"/>
      <c r="N78" s="950"/>
      <c r="O78" s="950"/>
    </row>
    <row r="79" spans="2:15" ht="9.75" customHeight="1">
      <c r="B79" s="951"/>
      <c r="C79" s="951"/>
      <c r="D79" s="287">
        <f t="shared" ca="1" si="15"/>
        <v>48513</v>
      </c>
      <c r="E79" s="288">
        <f t="shared" si="18"/>
        <v>1300000</v>
      </c>
      <c r="F79" s="289">
        <f t="shared" ca="1" si="16"/>
        <v>50</v>
      </c>
      <c r="G79" s="290">
        <f ca="1">KBACOI!O78</f>
        <v>194.17572121245522</v>
      </c>
      <c r="H79" s="290">
        <f t="shared" ca="1" si="20"/>
        <v>44364.360437290037</v>
      </c>
      <c r="I79" s="953"/>
      <c r="J79" s="292">
        <f t="shared" ca="1" si="17"/>
        <v>44364.360437290037</v>
      </c>
      <c r="K79" s="949"/>
      <c r="L79" s="949"/>
      <c r="M79" s="949"/>
      <c r="N79" s="950"/>
      <c r="O79" s="950"/>
    </row>
    <row r="80" spans="2:15" ht="9.75" customHeight="1">
      <c r="B80" s="951"/>
      <c r="C80" s="951"/>
      <c r="D80" s="287">
        <f t="shared" ca="1" si="15"/>
        <v>48544</v>
      </c>
      <c r="E80" s="288">
        <f t="shared" si="18"/>
        <v>1300000</v>
      </c>
      <c r="F80" s="289">
        <f t="shared" ca="1" si="16"/>
        <v>50</v>
      </c>
      <c r="G80" s="290">
        <f ca="1">KBACOI!O79</f>
        <v>194.20497891903247</v>
      </c>
      <c r="H80" s="290">
        <f t="shared" ca="1" si="20"/>
        <v>44174.930089420399</v>
      </c>
      <c r="I80" s="953"/>
      <c r="J80" s="292">
        <f t="shared" ca="1" si="17"/>
        <v>44174.930089420399</v>
      </c>
      <c r="K80" s="949"/>
      <c r="L80" s="949"/>
      <c r="M80" s="949"/>
      <c r="N80" s="950"/>
      <c r="O80" s="950"/>
    </row>
    <row r="81" spans="2:15" ht="9.75" customHeight="1">
      <c r="B81" s="951"/>
      <c r="C81" s="951"/>
      <c r="D81" s="287">
        <f t="shared" ca="1" si="15"/>
        <v>48574</v>
      </c>
      <c r="E81" s="288">
        <f t="shared" si="18"/>
        <v>1300000</v>
      </c>
      <c r="F81" s="289">
        <f t="shared" ca="1" si="16"/>
        <v>50</v>
      </c>
      <c r="G81" s="290">
        <f ca="1">KBACOI!O80</f>
        <v>194.23427747950299</v>
      </c>
      <c r="H81" s="290">
        <f t="shared" ca="1" si="20"/>
        <v>43985.235231166487</v>
      </c>
      <c r="I81" s="953"/>
      <c r="J81" s="292">
        <f t="shared" ca="1" si="17"/>
        <v>43985.235231166487</v>
      </c>
      <c r="K81" s="949"/>
      <c r="L81" s="949"/>
      <c r="M81" s="949"/>
      <c r="N81" s="950"/>
      <c r="O81" s="950"/>
    </row>
    <row r="82" spans="2:15" ht="9.75" customHeight="1">
      <c r="B82" s="951"/>
      <c r="C82" s="951"/>
      <c r="D82" s="287">
        <f t="shared" ca="1" si="15"/>
        <v>48605</v>
      </c>
      <c r="E82" s="288">
        <f t="shared" si="18"/>
        <v>1300000</v>
      </c>
      <c r="F82" s="289">
        <f t="shared" ca="1" si="16"/>
        <v>50</v>
      </c>
      <c r="G82" s="290">
        <f ca="1">KBACOI!O81</f>
        <v>194.26361695091293</v>
      </c>
      <c r="H82" s="290">
        <f t="shared" ca="1" si="20"/>
        <v>43795.275493180176</v>
      </c>
      <c r="I82" s="953"/>
      <c r="J82" s="292">
        <f t="shared" ca="1" si="17"/>
        <v>43795.275493180176</v>
      </c>
      <c r="K82" s="949"/>
      <c r="L82" s="949"/>
      <c r="M82" s="949"/>
      <c r="N82" s="950"/>
      <c r="O82" s="950"/>
    </row>
    <row r="83" spans="2:15" ht="9.75" customHeight="1">
      <c r="B83" s="951"/>
      <c r="C83" s="951"/>
      <c r="D83" s="287">
        <f t="shared" ca="1" si="15"/>
        <v>48636</v>
      </c>
      <c r="E83" s="288">
        <f t="shared" si="18"/>
        <v>1300000</v>
      </c>
      <c r="F83" s="289">
        <f t="shared" ca="1" si="16"/>
        <v>50</v>
      </c>
      <c r="G83" s="290">
        <f ca="1">KBACOI!O82</f>
        <v>194.29299739038814</v>
      </c>
      <c r="H83" s="290">
        <f t="shared" ca="1" si="20"/>
        <v>43605.05050559761</v>
      </c>
      <c r="I83" s="953"/>
      <c r="J83" s="292">
        <f t="shared" ca="1" si="17"/>
        <v>43605.05050559761</v>
      </c>
      <c r="K83" s="949"/>
      <c r="L83" s="949"/>
      <c r="M83" s="949"/>
      <c r="N83" s="950"/>
      <c r="O83" s="950"/>
    </row>
    <row r="84" spans="2:15" ht="9.75" customHeight="1">
      <c r="B84" s="951"/>
      <c r="C84" s="951"/>
      <c r="D84" s="287">
        <f t="shared" ca="1" si="15"/>
        <v>48664</v>
      </c>
      <c r="E84" s="288">
        <f t="shared" si="18"/>
        <v>1300000</v>
      </c>
      <c r="F84" s="289">
        <f t="shared" ca="1" si="16"/>
        <v>50</v>
      </c>
      <c r="G84" s="290">
        <f ca="1">KBACOI!O83</f>
        <v>194.32241885513426</v>
      </c>
      <c r="H84" s="290">
        <f t="shared" ca="1" si="20"/>
        <v>43414.559898038468</v>
      </c>
      <c r="I84" s="953"/>
      <c r="J84" s="292">
        <f t="shared" ca="1" si="17"/>
        <v>43414.559898038468</v>
      </c>
      <c r="K84" s="949"/>
      <c r="L84" s="949"/>
      <c r="M84" s="949"/>
      <c r="N84" s="950"/>
      <c r="O84" s="950"/>
    </row>
    <row r="85" spans="2:15" ht="9.75" customHeight="1">
      <c r="B85" s="951"/>
      <c r="C85" s="951"/>
      <c r="D85" s="287">
        <f t="shared" ca="1" si="15"/>
        <v>48695</v>
      </c>
      <c r="E85" s="288">
        <f t="shared" si="18"/>
        <v>1300000</v>
      </c>
      <c r="F85" s="289">
        <f t="shared" ca="1" si="16"/>
        <v>50</v>
      </c>
      <c r="G85" s="290">
        <f ca="1">KBACOI!O84</f>
        <v>194.3518814024367</v>
      </c>
      <c r="H85" s="290">
        <f t="shared" ca="1" si="20"/>
        <v>43223.803299605243</v>
      </c>
      <c r="I85" s="953"/>
      <c r="J85" s="292">
        <f t="shared" ca="1" si="17"/>
        <v>43223.803299605243</v>
      </c>
      <c r="K85" s="949"/>
      <c r="L85" s="949"/>
      <c r="M85" s="949"/>
      <c r="N85" s="950"/>
      <c r="O85" s="950"/>
    </row>
    <row r="86" spans="2:15" ht="9.75" customHeight="1">
      <c r="B86" s="951"/>
      <c r="C86" s="951"/>
      <c r="D86" s="287">
        <f t="shared" ca="1" si="15"/>
        <v>48725</v>
      </c>
      <c r="E86" s="288">
        <f t="shared" si="18"/>
        <v>1300000</v>
      </c>
      <c r="F86" s="289">
        <f t="shared" ca="1" si="16"/>
        <v>50</v>
      </c>
      <c r="G86" s="290">
        <f ca="1">KBACOI!O85</f>
        <v>194.38138508966108</v>
      </c>
      <c r="H86" s="290">
        <f t="shared" ca="1" si="20"/>
        <v>43032.780338882541</v>
      </c>
      <c r="I86" s="953"/>
      <c r="J86" s="292">
        <f t="shared" ca="1" si="17"/>
        <v>43032.780338882541</v>
      </c>
      <c r="K86" s="949"/>
      <c r="L86" s="949"/>
      <c r="M86" s="949"/>
      <c r="N86" s="950"/>
      <c r="O86" s="950"/>
    </row>
    <row r="87" spans="2:15" ht="9.75" customHeight="1">
      <c r="B87" s="951"/>
      <c r="C87" s="951"/>
      <c r="D87" s="287">
        <f t="shared" ca="1" si="15"/>
        <v>48756</v>
      </c>
      <c r="E87" s="288">
        <f t="shared" si="18"/>
        <v>1300000</v>
      </c>
      <c r="F87" s="289">
        <f t="shared" ca="1" si="16"/>
        <v>50</v>
      </c>
      <c r="G87" s="290">
        <f ca="1">KBACOI!O86</f>
        <v>194.41092997425287</v>
      </c>
      <c r="H87" s="290">
        <f t="shared" ca="1" si="20"/>
        <v>42841.49064393634</v>
      </c>
      <c r="I87" s="953"/>
      <c r="J87" s="293">
        <f ca="1">H87+I76</f>
        <v>43141.49064393634</v>
      </c>
      <c r="K87" s="949"/>
      <c r="L87" s="949"/>
      <c r="M87" s="949"/>
      <c r="N87" s="950"/>
      <c r="O87" s="950"/>
    </row>
    <row r="88" spans="2:15" ht="9.75" customHeight="1">
      <c r="B88" s="946">
        <f>B76+1</f>
        <v>8</v>
      </c>
      <c r="C88" s="947">
        <f ca="1">C76+1</f>
        <v>37</v>
      </c>
      <c r="D88" s="294">
        <f t="shared" ca="1" si="15"/>
        <v>48786</v>
      </c>
      <c r="E88" s="359">
        <f>'Tinh phi QL'!E13*1.35/1000</f>
        <v>1350000</v>
      </c>
      <c r="F88" s="360">
        <f t="shared" ca="1" si="16"/>
        <v>50</v>
      </c>
      <c r="G88" s="295">
        <f ca="1">KBACOI!O87</f>
        <v>215.31171255310656</v>
      </c>
      <c r="H88" s="295">
        <f ca="1">(J87+KBAGTTKcamket!F14-F88-G88)*(1+U3)</f>
        <v>52741.575760476029</v>
      </c>
      <c r="I88" s="953">
        <f>IF(COUNTIF(KBAGTTKcamket!$E$7:E14,0)&gt;0,0,3%*'Tinh phi QL'!$H$13/1000)</f>
        <v>300</v>
      </c>
      <c r="J88" s="296">
        <f t="shared" ca="1" si="17"/>
        <v>52741.575760476029</v>
      </c>
      <c r="K88" s="949">
        <f ca="1">J99</f>
        <v>50823.850962158285</v>
      </c>
      <c r="L88" s="949"/>
      <c r="M88" s="949"/>
      <c r="N88" s="950">
        <f t="shared" ref="N88" ca="1" si="21">SUM(G88:G99)</f>
        <v>2585.9411281454782</v>
      </c>
      <c r="O88" s="950"/>
    </row>
    <row r="89" spans="2:15" ht="9.75" customHeight="1">
      <c r="B89" s="946"/>
      <c r="C89" s="946"/>
      <c r="D89" s="294">
        <f t="shared" ca="1" si="15"/>
        <v>48817</v>
      </c>
      <c r="E89" s="359">
        <f t="shared" si="18"/>
        <v>1350000</v>
      </c>
      <c r="F89" s="360">
        <f t="shared" ca="1" si="16"/>
        <v>50</v>
      </c>
      <c r="G89" s="295">
        <f ca="1">KBACOI!O88</f>
        <v>215.34489842376095</v>
      </c>
      <c r="H89" s="295">
        <f ca="1">(H88-F89-G89)*(1+$U$3)</f>
        <v>52541.379458073061</v>
      </c>
      <c r="I89" s="953"/>
      <c r="J89" s="296">
        <f t="shared" ca="1" si="17"/>
        <v>52541.379458073061</v>
      </c>
      <c r="K89" s="949"/>
      <c r="L89" s="949"/>
      <c r="M89" s="949"/>
      <c r="N89" s="950"/>
      <c r="O89" s="950"/>
    </row>
    <row r="90" spans="2:15" ht="9.75" customHeight="1">
      <c r="B90" s="946"/>
      <c r="C90" s="946"/>
      <c r="D90" s="294">
        <f t="shared" ca="1" si="15"/>
        <v>48848</v>
      </c>
      <c r="E90" s="359">
        <f t="shared" si="18"/>
        <v>1350000</v>
      </c>
      <c r="F90" s="360">
        <f t="shared" ca="1" si="16"/>
        <v>50</v>
      </c>
      <c r="G90" s="295">
        <f ca="1">KBACOI!O89</f>
        <v>215.3781310099599</v>
      </c>
      <c r="H90" s="295">
        <f t="shared" ref="H90:H99" ca="1" si="22">(H89-F90-G90)*(1+$U$3)</f>
        <v>52340.901340575736</v>
      </c>
      <c r="I90" s="953"/>
      <c r="J90" s="296">
        <f t="shared" ca="1" si="17"/>
        <v>52340.901340575736</v>
      </c>
      <c r="K90" s="949"/>
      <c r="L90" s="949"/>
      <c r="M90" s="949"/>
      <c r="N90" s="950"/>
      <c r="O90" s="950"/>
    </row>
    <row r="91" spans="2:15" ht="9.75" customHeight="1">
      <c r="B91" s="946"/>
      <c r="C91" s="946"/>
      <c r="D91" s="294">
        <f t="shared" ca="1" si="15"/>
        <v>48878</v>
      </c>
      <c r="E91" s="359">
        <f t="shared" si="18"/>
        <v>1350000</v>
      </c>
      <c r="F91" s="360">
        <f t="shared" ca="1" si="16"/>
        <v>50</v>
      </c>
      <c r="G91" s="295">
        <f ca="1">KBACOI!O90</f>
        <v>215.41141037746445</v>
      </c>
      <c r="H91" s="295">
        <f t="shared" ca="1" si="22"/>
        <v>52140.141011274689</v>
      </c>
      <c r="I91" s="953"/>
      <c r="J91" s="296">
        <f t="shared" ca="1" si="17"/>
        <v>52140.141011274689</v>
      </c>
      <c r="K91" s="949"/>
      <c r="L91" s="949"/>
      <c r="M91" s="949"/>
      <c r="N91" s="950"/>
      <c r="O91" s="950"/>
    </row>
    <row r="92" spans="2:15" ht="9.75" customHeight="1">
      <c r="B92" s="946"/>
      <c r="C92" s="946"/>
      <c r="D92" s="294">
        <f t="shared" ca="1" si="15"/>
        <v>48909</v>
      </c>
      <c r="E92" s="359">
        <f t="shared" si="18"/>
        <v>1350000</v>
      </c>
      <c r="F92" s="360">
        <f t="shared" ca="1" si="16"/>
        <v>50</v>
      </c>
      <c r="G92" s="295">
        <f ca="1">KBACOI!O91</f>
        <v>215.44473659212841</v>
      </c>
      <c r="H92" s="295">
        <f t="shared" ca="1" si="22"/>
        <v>51939.098072902118</v>
      </c>
      <c r="I92" s="953"/>
      <c r="J92" s="296">
        <f t="shared" ca="1" si="17"/>
        <v>51939.098072902118</v>
      </c>
      <c r="K92" s="949"/>
      <c r="L92" s="949"/>
      <c r="M92" s="949"/>
      <c r="N92" s="950"/>
      <c r="O92" s="950"/>
    </row>
    <row r="93" spans="2:15" ht="9.75" customHeight="1">
      <c r="B93" s="946"/>
      <c r="C93" s="946"/>
      <c r="D93" s="294">
        <f t="shared" ca="1" si="15"/>
        <v>48939</v>
      </c>
      <c r="E93" s="359">
        <f t="shared" si="18"/>
        <v>1350000</v>
      </c>
      <c r="F93" s="360">
        <f t="shared" ca="1" si="16"/>
        <v>50</v>
      </c>
      <c r="G93" s="295">
        <f ca="1">KBACOI!O92</f>
        <v>215.47810971989824</v>
      </c>
      <c r="H93" s="295">
        <f t="shared" ca="1" si="22"/>
        <v>51737.772127630975</v>
      </c>
      <c r="I93" s="953"/>
      <c r="J93" s="296">
        <f t="shared" ca="1" si="17"/>
        <v>51737.772127630975</v>
      </c>
      <c r="K93" s="949"/>
      <c r="L93" s="949"/>
      <c r="M93" s="949"/>
      <c r="N93" s="950"/>
      <c r="O93" s="950"/>
    </row>
    <row r="94" spans="2:15" ht="9.75" customHeight="1">
      <c r="B94" s="946"/>
      <c r="C94" s="946"/>
      <c r="D94" s="294">
        <f t="shared" ca="1" si="15"/>
        <v>48970</v>
      </c>
      <c r="E94" s="359">
        <f t="shared" si="18"/>
        <v>1350000</v>
      </c>
      <c r="F94" s="360">
        <f t="shared" ca="1" si="16"/>
        <v>50</v>
      </c>
      <c r="G94" s="295">
        <f ca="1">KBACOI!O93</f>
        <v>215.51152982681324</v>
      </c>
      <c r="H94" s="295">
        <f t="shared" ca="1" si="22"/>
        <v>51536.162777074212</v>
      </c>
      <c r="I94" s="953"/>
      <c r="J94" s="296">
        <f t="shared" ca="1" si="17"/>
        <v>51536.162777074212</v>
      </c>
      <c r="K94" s="949"/>
      <c r="L94" s="949"/>
      <c r="M94" s="949"/>
      <c r="N94" s="950"/>
      <c r="O94" s="950"/>
    </row>
    <row r="95" spans="2:15" ht="9.75" customHeight="1">
      <c r="B95" s="946"/>
      <c r="C95" s="946"/>
      <c r="D95" s="294">
        <f t="shared" ca="1" si="15"/>
        <v>49001</v>
      </c>
      <c r="E95" s="359">
        <f t="shared" si="18"/>
        <v>1350000</v>
      </c>
      <c r="F95" s="360">
        <f t="shared" ca="1" si="16"/>
        <v>50</v>
      </c>
      <c r="G95" s="295">
        <f ca="1">KBACOI!O94</f>
        <v>215.54499697900567</v>
      </c>
      <c r="H95" s="295">
        <f t="shared" ca="1" si="22"/>
        <v>51334.269622283959</v>
      </c>
      <c r="I95" s="953"/>
      <c r="J95" s="296">
        <f t="shared" ca="1" si="17"/>
        <v>51334.269622283959</v>
      </c>
      <c r="K95" s="949"/>
      <c r="L95" s="949"/>
      <c r="M95" s="949"/>
      <c r="N95" s="950"/>
      <c r="O95" s="950"/>
    </row>
    <row r="96" spans="2:15" ht="9.75" customHeight="1">
      <c r="B96" s="946"/>
      <c r="C96" s="946"/>
      <c r="D96" s="294">
        <f t="shared" ca="1" si="15"/>
        <v>49029</v>
      </c>
      <c r="E96" s="359">
        <f t="shared" si="18"/>
        <v>1350000</v>
      </c>
      <c r="F96" s="360">
        <f t="shared" ca="1" si="16"/>
        <v>50</v>
      </c>
      <c r="G96" s="295">
        <f ca="1">KBACOI!O95</f>
        <v>215.57851124270087</v>
      </c>
      <c r="H96" s="295">
        <f t="shared" ca="1" si="22"/>
        <v>51132.092263750754</v>
      </c>
      <c r="I96" s="953"/>
      <c r="J96" s="296">
        <f t="shared" ca="1" si="17"/>
        <v>51132.092263750754</v>
      </c>
      <c r="K96" s="949"/>
      <c r="L96" s="949"/>
      <c r="M96" s="949"/>
      <c r="N96" s="950"/>
      <c r="O96" s="950"/>
    </row>
    <row r="97" spans="2:15" ht="9.75" customHeight="1">
      <c r="B97" s="946"/>
      <c r="C97" s="946"/>
      <c r="D97" s="294">
        <f t="shared" ca="1" si="15"/>
        <v>49060</v>
      </c>
      <c r="E97" s="359">
        <f t="shared" si="18"/>
        <v>1350000</v>
      </c>
      <c r="F97" s="360">
        <f t="shared" ca="1" si="16"/>
        <v>50</v>
      </c>
      <c r="G97" s="295">
        <f ca="1">KBACOI!O96</f>
        <v>215.61207268421734</v>
      </c>
      <c r="H97" s="295">
        <f t="shared" ca="1" si="22"/>
        <v>50929.630301402751</v>
      </c>
      <c r="I97" s="953"/>
      <c r="J97" s="296">
        <f t="shared" ca="1" si="17"/>
        <v>50929.630301402751</v>
      </c>
      <c r="K97" s="949"/>
      <c r="L97" s="949"/>
      <c r="M97" s="949"/>
      <c r="N97" s="950"/>
      <c r="O97" s="950"/>
    </row>
    <row r="98" spans="2:15" ht="9.75" customHeight="1">
      <c r="B98" s="946"/>
      <c r="C98" s="946"/>
      <c r="D98" s="294">
        <f t="shared" ca="1" si="15"/>
        <v>49090</v>
      </c>
      <c r="E98" s="359">
        <f t="shared" si="18"/>
        <v>1350000</v>
      </c>
      <c r="F98" s="360">
        <f t="shared" ca="1" si="16"/>
        <v>50</v>
      </c>
      <c r="G98" s="295">
        <f ca="1">KBACOI!O97</f>
        <v>215.64568136996718</v>
      </c>
      <c r="H98" s="295">
        <f t="shared" ca="1" si="22"/>
        <v>50726.883334604929</v>
      </c>
      <c r="I98" s="953"/>
      <c r="J98" s="296">
        <f t="shared" ca="1" si="17"/>
        <v>50726.883334604929</v>
      </c>
      <c r="K98" s="949"/>
      <c r="L98" s="949"/>
      <c r="M98" s="949"/>
      <c r="N98" s="950"/>
      <c r="O98" s="950"/>
    </row>
    <row r="99" spans="2:15" ht="9.75" customHeight="1">
      <c r="B99" s="946"/>
      <c r="C99" s="946"/>
      <c r="D99" s="294">
        <f t="shared" ca="1" si="15"/>
        <v>49121</v>
      </c>
      <c r="E99" s="359">
        <f t="shared" si="18"/>
        <v>1350000</v>
      </c>
      <c r="F99" s="360">
        <f t="shared" ca="1" si="16"/>
        <v>50</v>
      </c>
      <c r="G99" s="295">
        <f ca="1">KBACOI!O98</f>
        <v>215.67933736645557</v>
      </c>
      <c r="H99" s="295">
        <f t="shared" ca="1" si="22"/>
        <v>50523.850962158285</v>
      </c>
      <c r="I99" s="953"/>
      <c r="J99" s="297">
        <f ca="1">H99+I88</f>
        <v>50823.850962158285</v>
      </c>
      <c r="K99" s="949"/>
      <c r="L99" s="949"/>
      <c r="M99" s="949"/>
      <c r="N99" s="950"/>
      <c r="O99" s="950"/>
    </row>
    <row r="100" spans="2:15" ht="9.75" customHeight="1">
      <c r="B100" s="951">
        <f>B88+1</f>
        <v>9</v>
      </c>
      <c r="C100" s="952">
        <f ca="1">C88+1</f>
        <v>38</v>
      </c>
      <c r="D100" s="287">
        <f t="shared" ca="1" si="15"/>
        <v>49151</v>
      </c>
      <c r="E100" s="288">
        <f>'Tinh phi QL'!E13*1.4/1000</f>
        <v>1400000</v>
      </c>
      <c r="F100" s="289">
        <f t="shared" ca="1" si="16"/>
        <v>50</v>
      </c>
      <c r="G100" s="290">
        <f ca="1">KBACOI!O99</f>
        <v>239.30187196142774</v>
      </c>
      <c r="H100" s="290">
        <f ca="1">(J99+KBAGTTKcamket!F15-F100-G100)*(1+$U$3)</f>
        <v>60409.453691769842</v>
      </c>
      <c r="I100" s="953">
        <f>IF(COUNTIF(KBAGTTKcamket!$E$7:E15,0)&gt;0,0,3%*'Tinh phi QL'!$H$13/1000)</f>
        <v>300</v>
      </c>
      <c r="J100" s="292">
        <f t="shared" ca="1" si="17"/>
        <v>60409.453691769842</v>
      </c>
      <c r="K100" s="949">
        <f ca="1">J111</f>
        <v>58270.601403891946</v>
      </c>
      <c r="L100" s="949"/>
      <c r="M100" s="949"/>
      <c r="N100" s="950">
        <f t="shared" ref="N100" ca="1" si="23">SUM(G100:G111)</f>
        <v>2874.189528488263</v>
      </c>
      <c r="O100" s="950"/>
    </row>
    <row r="101" spans="2:15" ht="9.75" customHeight="1">
      <c r="B101" s="951"/>
      <c r="C101" s="951"/>
      <c r="D101" s="287">
        <f t="shared" ca="1" si="15"/>
        <v>49182</v>
      </c>
      <c r="E101" s="288">
        <f t="shared" si="18"/>
        <v>1400000</v>
      </c>
      <c r="F101" s="289">
        <f t="shared" ca="1" si="16"/>
        <v>50</v>
      </c>
      <c r="G101" s="290">
        <f ca="1">KBACOI!O100</f>
        <v>239.34017760707047</v>
      </c>
      <c r="H101" s="290">
        <f ca="1">(H100-F101-G101)*(1+$U$3)</f>
        <v>60194.751896602145</v>
      </c>
      <c r="I101" s="953"/>
      <c r="J101" s="292">
        <f t="shared" ca="1" si="17"/>
        <v>60194.751896602145</v>
      </c>
      <c r="K101" s="949"/>
      <c r="L101" s="949"/>
      <c r="M101" s="949"/>
      <c r="N101" s="950"/>
      <c r="O101" s="950"/>
    </row>
    <row r="102" spans="2:15" ht="9.75" customHeight="1">
      <c r="B102" s="951"/>
      <c r="C102" s="951"/>
      <c r="D102" s="287">
        <f t="shared" ca="1" si="15"/>
        <v>49213</v>
      </c>
      <c r="E102" s="288">
        <f t="shared" si="18"/>
        <v>1400000</v>
      </c>
      <c r="F102" s="289">
        <f t="shared" ca="1" si="16"/>
        <v>50</v>
      </c>
      <c r="G102" s="290">
        <f ca="1">KBACOI!O101</f>
        <v>239.37853766114043</v>
      </c>
      <c r="H102" s="290">
        <f t="shared" ref="H102:H111" ca="1" si="24">(H101-F102-G102)*(1+$U$3)</f>
        <v>59979.745144115434</v>
      </c>
      <c r="I102" s="953"/>
      <c r="J102" s="292">
        <f t="shared" ca="1" si="17"/>
        <v>59979.745144115434</v>
      </c>
      <c r="K102" s="949"/>
      <c r="L102" s="949"/>
      <c r="M102" s="949"/>
      <c r="N102" s="950"/>
      <c r="O102" s="950"/>
    </row>
    <row r="103" spans="2:15" ht="9.75" customHeight="1">
      <c r="B103" s="951"/>
      <c r="C103" s="951"/>
      <c r="D103" s="287">
        <f t="shared" ca="1" si="15"/>
        <v>49243</v>
      </c>
      <c r="E103" s="288">
        <f t="shared" si="18"/>
        <v>1400000</v>
      </c>
      <c r="F103" s="289">
        <f t="shared" ca="1" si="16"/>
        <v>50</v>
      </c>
      <c r="G103" s="290">
        <f ca="1">KBACOI!O102</f>
        <v>239.41695220091802</v>
      </c>
      <c r="H103" s="290">
        <f t="shared" ca="1" si="24"/>
        <v>59764.433001155601</v>
      </c>
      <c r="I103" s="953"/>
      <c r="J103" s="292">
        <f t="shared" ca="1" si="17"/>
        <v>59764.433001155601</v>
      </c>
      <c r="K103" s="949"/>
      <c r="L103" s="949"/>
      <c r="M103" s="949"/>
      <c r="N103" s="950"/>
      <c r="O103" s="950"/>
    </row>
    <row r="104" spans="2:15" ht="9.75" customHeight="1">
      <c r="B104" s="951"/>
      <c r="C104" s="951"/>
      <c r="D104" s="287">
        <f t="shared" ca="1" si="15"/>
        <v>49274</v>
      </c>
      <c r="E104" s="288">
        <f t="shared" si="18"/>
        <v>1400000</v>
      </c>
      <c r="F104" s="289">
        <f t="shared" ca="1" si="16"/>
        <v>50</v>
      </c>
      <c r="G104" s="290">
        <f ca="1">KBACOI!O103</f>
        <v>239.45542130379354</v>
      </c>
      <c r="H104" s="290">
        <f t="shared" ca="1" si="24"/>
        <v>59548.815033953295</v>
      </c>
      <c r="I104" s="953"/>
      <c r="J104" s="292">
        <f t="shared" ca="1" si="17"/>
        <v>59548.815033953295</v>
      </c>
      <c r="K104" s="949"/>
      <c r="L104" s="949"/>
      <c r="M104" s="949"/>
      <c r="N104" s="950"/>
      <c r="O104" s="950"/>
    </row>
    <row r="105" spans="2:15" ht="9.75" customHeight="1">
      <c r="B105" s="951"/>
      <c r="C105" s="951"/>
      <c r="D105" s="287">
        <f t="shared" ca="1" si="15"/>
        <v>49304</v>
      </c>
      <c r="E105" s="288">
        <f t="shared" si="18"/>
        <v>1400000</v>
      </c>
      <c r="F105" s="289">
        <f t="shared" ca="1" si="16"/>
        <v>50</v>
      </c>
      <c r="G105" s="290">
        <f ca="1">KBACOI!O104</f>
        <v>239.49394504726703</v>
      </c>
      <c r="H105" s="290">
        <f t="shared" ca="1" si="24"/>
        <v>59332.890808123026</v>
      </c>
      <c r="I105" s="953"/>
      <c r="J105" s="292">
        <f t="shared" ca="1" si="17"/>
        <v>59332.890808123026</v>
      </c>
      <c r="K105" s="949"/>
      <c r="L105" s="949"/>
      <c r="M105" s="949"/>
      <c r="N105" s="950"/>
      <c r="O105" s="950"/>
    </row>
    <row r="106" spans="2:15" ht="9.75" customHeight="1">
      <c r="B106" s="951"/>
      <c r="C106" s="951"/>
      <c r="D106" s="287">
        <f t="shared" ca="1" si="15"/>
        <v>49335</v>
      </c>
      <c r="E106" s="288">
        <f t="shared" si="18"/>
        <v>1400000</v>
      </c>
      <c r="F106" s="289">
        <f t="shared" ca="1" si="16"/>
        <v>60</v>
      </c>
      <c r="G106" s="290">
        <f ca="1">KBACOI!O105</f>
        <v>239.53252350894869</v>
      </c>
      <c r="H106" s="290">
        <f t="shared" ca="1" si="24"/>
        <v>59106.647473785175</v>
      </c>
      <c r="I106" s="953"/>
      <c r="J106" s="292">
        <f t="shared" ca="1" si="17"/>
        <v>59106.647473785175</v>
      </c>
      <c r="K106" s="949"/>
      <c r="L106" s="949"/>
      <c r="M106" s="949"/>
      <c r="N106" s="950"/>
      <c r="O106" s="950"/>
    </row>
    <row r="107" spans="2:15" ht="9.75" customHeight="1">
      <c r="B107" s="951"/>
      <c r="C107" s="951"/>
      <c r="D107" s="287">
        <f t="shared" ca="1" si="15"/>
        <v>49366</v>
      </c>
      <c r="E107" s="288">
        <f t="shared" si="18"/>
        <v>1400000</v>
      </c>
      <c r="F107" s="289">
        <f t="shared" ca="1" si="16"/>
        <v>60</v>
      </c>
      <c r="G107" s="290">
        <f ca="1">KBACOI!O106</f>
        <v>239.57294565135044</v>
      </c>
      <c r="H107" s="290">
        <f t="shared" ca="1" si="24"/>
        <v>58880.082788800821</v>
      </c>
      <c r="I107" s="953"/>
      <c r="J107" s="292">
        <f t="shared" ca="1" si="17"/>
        <v>58880.082788800821</v>
      </c>
      <c r="K107" s="949"/>
      <c r="L107" s="949"/>
      <c r="M107" s="949"/>
      <c r="N107" s="950"/>
      <c r="O107" s="950"/>
    </row>
    <row r="108" spans="2:15" ht="9.75" customHeight="1">
      <c r="B108" s="951"/>
      <c r="C108" s="951"/>
      <c r="D108" s="287">
        <f t="shared" ca="1" si="15"/>
        <v>49394</v>
      </c>
      <c r="E108" s="288">
        <f t="shared" si="18"/>
        <v>1400000</v>
      </c>
      <c r="F108" s="289">
        <f t="shared" ca="1" si="16"/>
        <v>60</v>
      </c>
      <c r="G108" s="290">
        <f ca="1">KBACOI!O107</f>
        <v>239.61342520840094</v>
      </c>
      <c r="H108" s="290">
        <f t="shared" ca="1" si="24"/>
        <v>58653.196296731156</v>
      </c>
      <c r="I108" s="953"/>
      <c r="J108" s="292">
        <f t="shared" ca="1" si="17"/>
        <v>58653.196296731156</v>
      </c>
      <c r="K108" s="949"/>
      <c r="L108" s="949"/>
      <c r="M108" s="949"/>
      <c r="N108" s="950"/>
      <c r="O108" s="950"/>
    </row>
    <row r="109" spans="2:15" ht="9.75" customHeight="1">
      <c r="B109" s="951"/>
      <c r="C109" s="951"/>
      <c r="D109" s="287">
        <f t="shared" ca="1" si="15"/>
        <v>49425</v>
      </c>
      <c r="E109" s="288">
        <f t="shared" si="18"/>
        <v>1400000</v>
      </c>
      <c r="F109" s="289">
        <f t="shared" ca="1" si="16"/>
        <v>60</v>
      </c>
      <c r="G109" s="290">
        <f ca="1">KBACOI!O108</f>
        <v>239.65396226165072</v>
      </c>
      <c r="H109" s="290">
        <f t="shared" ca="1" si="24"/>
        <v>58425.987540489055</v>
      </c>
      <c r="I109" s="953"/>
      <c r="J109" s="292">
        <f t="shared" ca="1" si="17"/>
        <v>58425.987540489055</v>
      </c>
      <c r="K109" s="949"/>
      <c r="L109" s="949"/>
      <c r="M109" s="949"/>
      <c r="N109" s="950"/>
      <c r="O109" s="950"/>
    </row>
    <row r="110" spans="2:15" ht="9.75" customHeight="1">
      <c r="B110" s="951"/>
      <c r="C110" s="951"/>
      <c r="D110" s="287">
        <f t="shared" ca="1" si="15"/>
        <v>49455</v>
      </c>
      <c r="E110" s="288">
        <f t="shared" si="18"/>
        <v>1400000</v>
      </c>
      <c r="F110" s="289">
        <f t="shared" ca="1" si="16"/>
        <v>60</v>
      </c>
      <c r="G110" s="290">
        <f ca="1">KBACOI!O109</f>
        <v>239.69455689276595</v>
      </c>
      <c r="H110" s="290">
        <f t="shared" ca="1" si="24"/>
        <v>58198.456062338155</v>
      </c>
      <c r="I110" s="953"/>
      <c r="J110" s="292">
        <f t="shared" ca="1" si="17"/>
        <v>58198.456062338155</v>
      </c>
      <c r="K110" s="949"/>
      <c r="L110" s="949"/>
      <c r="M110" s="949"/>
      <c r="N110" s="950"/>
      <c r="O110" s="950"/>
    </row>
    <row r="111" spans="2:15" ht="9.75" customHeight="1">
      <c r="B111" s="951"/>
      <c r="C111" s="951"/>
      <c r="D111" s="287">
        <f t="shared" ca="1" si="15"/>
        <v>49486</v>
      </c>
      <c r="E111" s="288">
        <f t="shared" si="18"/>
        <v>1400000</v>
      </c>
      <c r="F111" s="289">
        <f t="shared" ca="1" si="16"/>
        <v>60</v>
      </c>
      <c r="G111" s="290">
        <f ca="1">KBACOI!O110</f>
        <v>239.73520918352892</v>
      </c>
      <c r="H111" s="290">
        <f t="shared" ca="1" si="24"/>
        <v>57970.601403891946</v>
      </c>
      <c r="I111" s="953"/>
      <c r="J111" s="293">
        <f ca="1">H111+I100</f>
        <v>58270.601403891946</v>
      </c>
      <c r="K111" s="949"/>
      <c r="L111" s="949"/>
      <c r="M111" s="949"/>
      <c r="N111" s="950"/>
      <c r="O111" s="950"/>
    </row>
    <row r="112" spans="2:15" ht="9.75" customHeight="1">
      <c r="B112" s="946">
        <f>B100+1</f>
        <v>10</v>
      </c>
      <c r="C112" s="947">
        <f ca="1">C100+1</f>
        <v>39</v>
      </c>
      <c r="D112" s="294">
        <f t="shared" ca="1" si="15"/>
        <v>49516</v>
      </c>
      <c r="E112" s="359">
        <f>'Tinh phi QL'!E13*1.45/1000</f>
        <v>1450000</v>
      </c>
      <c r="F112" s="360">
        <f t="shared" ca="1" si="16"/>
        <v>60</v>
      </c>
      <c r="G112" s="295">
        <f ca="1">KBACOI!O111</f>
        <v>267.17301706191421</v>
      </c>
      <c r="H112" s="295">
        <f ca="1">(J111+KBAGTTKcamket!F16-F112-G112)*(1+$U$3)</f>
        <v>67827.53102104245</v>
      </c>
      <c r="I112" s="953">
        <f>IF(COUNTIF(KBAGTTKcamket!$E$7:E16,0)&gt;0,0,3%*'Tinh phi QL'!$H$13/1000)</f>
        <v>300</v>
      </c>
      <c r="J112" s="296">
        <f t="shared" ca="1" si="17"/>
        <v>67827.53102104245</v>
      </c>
      <c r="K112" s="949">
        <f ca="1">J123</f>
        <v>65430.624150168114</v>
      </c>
      <c r="L112" s="949"/>
      <c r="M112" s="949"/>
      <c r="N112" s="950">
        <f t="shared" ref="N112" ca="1" si="25">SUM(G112:G123)</f>
        <v>3209.1926673569669</v>
      </c>
      <c r="O112" s="950"/>
    </row>
    <row r="113" spans="2:15" ht="9.75" customHeight="1">
      <c r="B113" s="946"/>
      <c r="C113" s="946"/>
      <c r="D113" s="294">
        <f t="shared" ca="1" si="15"/>
        <v>49547</v>
      </c>
      <c r="E113" s="359">
        <f t="shared" si="18"/>
        <v>1450000</v>
      </c>
      <c r="F113" s="360">
        <f t="shared" ca="1" si="16"/>
        <v>60</v>
      </c>
      <c r="G113" s="295">
        <f ca="1">KBACOI!O112</f>
        <v>267.22001066926509</v>
      </c>
      <c r="H113" s="295">
        <f ca="1">(H112-F113-G113)*(1+$U$3)</f>
        <v>67584.111817349069</v>
      </c>
      <c r="I113" s="953"/>
      <c r="J113" s="296">
        <f t="shared" ca="1" si="17"/>
        <v>67584.111817349069</v>
      </c>
      <c r="K113" s="949"/>
      <c r="L113" s="949"/>
      <c r="M113" s="949"/>
      <c r="N113" s="950"/>
      <c r="O113" s="950"/>
    </row>
    <row r="114" spans="2:15" ht="9.75" customHeight="1">
      <c r="B114" s="946"/>
      <c r="C114" s="946"/>
      <c r="D114" s="294">
        <f t="shared" ca="1" si="15"/>
        <v>49578</v>
      </c>
      <c r="E114" s="359">
        <f t="shared" si="18"/>
        <v>1450000</v>
      </c>
      <c r="F114" s="360">
        <f t="shared" ca="1" si="16"/>
        <v>60</v>
      </c>
      <c r="G114" s="295">
        <f ca="1">KBACOI!O113</f>
        <v>267.26707171531251</v>
      </c>
      <c r="H114" s="295">
        <f t="shared" ref="H114:H123" ca="1" si="26">(H113-F114-G114)*(1+$U$3)</f>
        <v>67340.343292232603</v>
      </c>
      <c r="I114" s="953"/>
      <c r="J114" s="296">
        <f t="shared" ca="1" si="17"/>
        <v>67340.343292232603</v>
      </c>
      <c r="K114" s="949"/>
      <c r="L114" s="949"/>
      <c r="M114" s="949"/>
      <c r="N114" s="950"/>
      <c r="O114" s="950"/>
    </row>
    <row r="115" spans="2:15" ht="9.75" customHeight="1">
      <c r="B115" s="946"/>
      <c r="C115" s="946"/>
      <c r="D115" s="294">
        <f t="shared" ca="1" si="15"/>
        <v>49608</v>
      </c>
      <c r="E115" s="359">
        <f t="shared" si="18"/>
        <v>1450000</v>
      </c>
      <c r="F115" s="360">
        <f t="shared" ca="1" si="16"/>
        <v>60</v>
      </c>
      <c r="G115" s="295">
        <f ca="1">KBACOI!O114</f>
        <v>267.314200296835</v>
      </c>
      <c r="H115" s="295">
        <f t="shared" ca="1" si="26"/>
        <v>67096.224944395464</v>
      </c>
      <c r="I115" s="953"/>
      <c r="J115" s="296">
        <f t="shared" ca="1" si="17"/>
        <v>67096.224944395464</v>
      </c>
      <c r="K115" s="949"/>
      <c r="L115" s="949"/>
      <c r="M115" s="949"/>
      <c r="N115" s="950"/>
      <c r="O115" s="950"/>
    </row>
    <row r="116" spans="2:15" ht="9.75" customHeight="1">
      <c r="B116" s="946"/>
      <c r="C116" s="946"/>
      <c r="D116" s="294">
        <f t="shared" ca="1" si="15"/>
        <v>49639</v>
      </c>
      <c r="E116" s="359">
        <f t="shared" si="18"/>
        <v>1450000</v>
      </c>
      <c r="F116" s="360">
        <f t="shared" ca="1" si="16"/>
        <v>60</v>
      </c>
      <c r="G116" s="295">
        <f ca="1">KBACOI!O115</f>
        <v>267.36139651075018</v>
      </c>
      <c r="H116" s="295">
        <f t="shared" ca="1" si="26"/>
        <v>66851.75627182069</v>
      </c>
      <c r="I116" s="953"/>
      <c r="J116" s="296">
        <f t="shared" ca="1" si="17"/>
        <v>66851.75627182069</v>
      </c>
      <c r="K116" s="949"/>
      <c r="L116" s="949"/>
      <c r="M116" s="949"/>
      <c r="N116" s="950"/>
      <c r="O116" s="950"/>
    </row>
    <row r="117" spans="2:15" ht="9.75" customHeight="1">
      <c r="B117" s="946"/>
      <c r="C117" s="946"/>
      <c r="D117" s="294">
        <f t="shared" ca="1" si="15"/>
        <v>49669</v>
      </c>
      <c r="E117" s="359">
        <f t="shared" si="18"/>
        <v>1450000</v>
      </c>
      <c r="F117" s="360">
        <f t="shared" ca="1" si="16"/>
        <v>60</v>
      </c>
      <c r="G117" s="295">
        <f ca="1">KBACOI!O116</f>
        <v>267.40866045411462</v>
      </c>
      <c r="H117" s="295">
        <f t="shared" ca="1" si="26"/>
        <v>66606.936771770896</v>
      </c>
      <c r="I117" s="953"/>
      <c r="J117" s="296">
        <f t="shared" ca="1" si="17"/>
        <v>66606.936771770896</v>
      </c>
      <c r="K117" s="949"/>
      <c r="L117" s="949"/>
      <c r="M117" s="949"/>
      <c r="N117" s="950"/>
      <c r="O117" s="950"/>
    </row>
    <row r="118" spans="2:15" ht="9.75" customHeight="1">
      <c r="B118" s="946"/>
      <c r="C118" s="946"/>
      <c r="D118" s="294">
        <f t="shared" ca="1" si="15"/>
        <v>49700</v>
      </c>
      <c r="E118" s="359">
        <f t="shared" si="18"/>
        <v>1450000</v>
      </c>
      <c r="F118" s="360">
        <f t="shared" ca="1" si="16"/>
        <v>60</v>
      </c>
      <c r="G118" s="295">
        <f ca="1">KBACOI!O117</f>
        <v>267.45599222412426</v>
      </c>
      <c r="H118" s="295">
        <f t="shared" ca="1" si="26"/>
        <v>66361.765940787212</v>
      </c>
      <c r="I118" s="953"/>
      <c r="J118" s="296">
        <f t="shared" ca="1" si="17"/>
        <v>66361.765940787212</v>
      </c>
      <c r="K118" s="949"/>
      <c r="L118" s="949"/>
      <c r="M118" s="949"/>
      <c r="N118" s="950"/>
      <c r="O118" s="950"/>
    </row>
    <row r="119" spans="2:15" ht="9.75" customHeight="1">
      <c r="B119" s="946"/>
      <c r="C119" s="946"/>
      <c r="D119" s="294">
        <f t="shared" ca="1" si="15"/>
        <v>49731</v>
      </c>
      <c r="E119" s="359">
        <f t="shared" si="18"/>
        <v>1450000</v>
      </c>
      <c r="F119" s="360">
        <f t="shared" ca="1" si="16"/>
        <v>60</v>
      </c>
      <c r="G119" s="295">
        <f ca="1">KBACOI!O118</f>
        <v>267.50339191811446</v>
      </c>
      <c r="H119" s="295">
        <f t="shared" ca="1" si="26"/>
        <v>66116.243274688299</v>
      </c>
      <c r="I119" s="953"/>
      <c r="J119" s="296">
        <f t="shared" ca="1" si="17"/>
        <v>66116.243274688299</v>
      </c>
      <c r="K119" s="949"/>
      <c r="L119" s="949"/>
      <c r="M119" s="949"/>
      <c r="N119" s="950"/>
      <c r="O119" s="950"/>
    </row>
    <row r="120" spans="2:15" ht="9.75" customHeight="1">
      <c r="B120" s="946"/>
      <c r="C120" s="946"/>
      <c r="D120" s="294">
        <f t="shared" ca="1" si="15"/>
        <v>49760</v>
      </c>
      <c r="E120" s="359">
        <f t="shared" si="18"/>
        <v>1450000</v>
      </c>
      <c r="F120" s="360">
        <f t="shared" ca="1" si="16"/>
        <v>60</v>
      </c>
      <c r="G120" s="295">
        <f ca="1">KBACOI!O119</f>
        <v>267.55085963356026</v>
      </c>
      <c r="H120" s="295">
        <f t="shared" ca="1" si="26"/>
        <v>65870.368268569291</v>
      </c>
      <c r="I120" s="953"/>
      <c r="J120" s="296">
        <f t="shared" ca="1" si="17"/>
        <v>65870.368268569291</v>
      </c>
      <c r="K120" s="949"/>
      <c r="L120" s="949"/>
      <c r="M120" s="949"/>
      <c r="N120" s="950"/>
      <c r="O120" s="950"/>
    </row>
    <row r="121" spans="2:15" ht="9.75" customHeight="1">
      <c r="B121" s="946"/>
      <c r="C121" s="946"/>
      <c r="D121" s="294">
        <f t="shared" ca="1" si="15"/>
        <v>49791</v>
      </c>
      <c r="E121" s="359">
        <f t="shared" si="18"/>
        <v>1450000</v>
      </c>
      <c r="F121" s="360">
        <f t="shared" ca="1" si="16"/>
        <v>60</v>
      </c>
      <c r="G121" s="295">
        <f ca="1">KBACOI!O120</f>
        <v>267.5983954680766</v>
      </c>
      <c r="H121" s="295">
        <f t="shared" ca="1" si="26"/>
        <v>65624.140416800743</v>
      </c>
      <c r="I121" s="953"/>
      <c r="J121" s="296">
        <f t="shared" ca="1" si="17"/>
        <v>65624.140416800743</v>
      </c>
      <c r="K121" s="949"/>
      <c r="L121" s="949"/>
      <c r="M121" s="949"/>
      <c r="N121" s="950"/>
      <c r="O121" s="950"/>
    </row>
    <row r="122" spans="2:15" ht="9.75" customHeight="1">
      <c r="B122" s="946"/>
      <c r="C122" s="946"/>
      <c r="D122" s="294">
        <f t="shared" ca="1" si="15"/>
        <v>49821</v>
      </c>
      <c r="E122" s="359">
        <f t="shared" si="18"/>
        <v>1450000</v>
      </c>
      <c r="F122" s="360">
        <f t="shared" ca="1" si="16"/>
        <v>60</v>
      </c>
      <c r="G122" s="295">
        <f ca="1">KBACOI!O121</f>
        <v>267.64599951941847</v>
      </c>
      <c r="H122" s="295">
        <f t="shared" ca="1" si="26"/>
        <v>65377.559213027584</v>
      </c>
      <c r="I122" s="953"/>
      <c r="J122" s="296">
        <f t="shared" ca="1" si="17"/>
        <v>65377.559213027584</v>
      </c>
      <c r="K122" s="949"/>
      <c r="L122" s="949"/>
      <c r="M122" s="949"/>
      <c r="N122" s="950"/>
      <c r="O122" s="950"/>
    </row>
    <row r="123" spans="2:15" ht="9.75" customHeight="1">
      <c r="B123" s="946"/>
      <c r="C123" s="946"/>
      <c r="D123" s="294">
        <f t="shared" ca="1" si="15"/>
        <v>49852</v>
      </c>
      <c r="E123" s="359">
        <f t="shared" si="18"/>
        <v>1450000</v>
      </c>
      <c r="F123" s="360">
        <f t="shared" ca="1" si="16"/>
        <v>60</v>
      </c>
      <c r="G123" s="295">
        <f ca="1">KBACOI!O122</f>
        <v>267.69367188548131</v>
      </c>
      <c r="H123" s="295">
        <f t="shared" ca="1" si="26"/>
        <v>65130.624150168114</v>
      </c>
      <c r="I123" s="953"/>
      <c r="J123" s="297">
        <f ca="1">H123+I112</f>
        <v>65430.624150168114</v>
      </c>
      <c r="K123" s="949"/>
      <c r="L123" s="949"/>
      <c r="M123" s="949"/>
      <c r="N123" s="950"/>
      <c r="O123" s="950"/>
    </row>
    <row r="124" spans="2:15" ht="9.75" customHeight="1">
      <c r="B124" s="951">
        <f>B112+1</f>
        <v>11</v>
      </c>
      <c r="C124" s="952">
        <f ca="1">C112+1</f>
        <v>40</v>
      </c>
      <c r="D124" s="287">
        <f t="shared" ca="1" si="15"/>
        <v>49882</v>
      </c>
      <c r="E124" s="288">
        <f>'Tinh phi QL'!E13*1.5/1000</f>
        <v>1500000</v>
      </c>
      <c r="F124" s="289">
        <f t="shared" ca="1" si="16"/>
        <v>60</v>
      </c>
      <c r="G124" s="290">
        <f ca="1">KBACOI!O123</f>
        <v>299.15956892846469</v>
      </c>
      <c r="H124" s="290">
        <f ca="1">(J123+KBAGTTKcamket!F17-F124-G124)*(1+$V$3)</f>
        <v>75133.739222409582</v>
      </c>
      <c r="I124" s="953">
        <f>IF(COUNTIF(KBAGTTKcamket!$E$7:E17,0)&gt;0,0,3%*'Tinh phi QL'!$H$13/1000)</f>
        <v>300</v>
      </c>
      <c r="J124" s="292">
        <f t="shared" ca="1" si="17"/>
        <v>75133.739222409582</v>
      </c>
      <c r="K124" s="949">
        <f ca="1">J135</f>
        <v>72147.561701864208</v>
      </c>
      <c r="L124" s="949"/>
      <c r="M124" s="949"/>
      <c r="N124" s="950">
        <f t="shared" ref="N124" ca="1" si="27">SUM(G124:G135)</f>
        <v>3594.0439464380011</v>
      </c>
      <c r="O124" s="950"/>
    </row>
    <row r="125" spans="2:15" ht="9.75" customHeight="1">
      <c r="B125" s="951"/>
      <c r="C125" s="951"/>
      <c r="D125" s="287">
        <f t="shared" ca="1" si="15"/>
        <v>49913</v>
      </c>
      <c r="E125" s="288">
        <f t="shared" si="18"/>
        <v>1500000</v>
      </c>
      <c r="F125" s="289">
        <f t="shared" ca="1" si="16"/>
        <v>60</v>
      </c>
      <c r="G125" s="290">
        <f ca="1">KBACOI!O124</f>
        <v>299.22191476329397</v>
      </c>
      <c r="H125" s="290">
        <f ca="1">(H124-F125-G125)*(1+$V$3)</f>
        <v>74836.54561973481</v>
      </c>
      <c r="I125" s="953"/>
      <c r="J125" s="292">
        <f t="shared" ca="1" si="17"/>
        <v>74836.54561973481</v>
      </c>
      <c r="K125" s="949"/>
      <c r="L125" s="949"/>
      <c r="M125" s="949"/>
      <c r="N125" s="950"/>
      <c r="O125" s="950"/>
    </row>
    <row r="126" spans="2:15" ht="9.75" customHeight="1">
      <c r="B126" s="951"/>
      <c r="C126" s="951"/>
      <c r="D126" s="287">
        <f t="shared" ca="1" si="15"/>
        <v>49944</v>
      </c>
      <c r="E126" s="288">
        <f t="shared" si="18"/>
        <v>1500000</v>
      </c>
      <c r="F126" s="289">
        <f t="shared" ca="1" si="16"/>
        <v>60</v>
      </c>
      <c r="G126" s="290">
        <f ca="1">KBACOI!O125</f>
        <v>299.28432541985569</v>
      </c>
      <c r="H126" s="290">
        <f t="shared" ref="H126:H135" ca="1" si="28">(H125-F126-G126)*(1+$V$3)</f>
        <v>74539.043021210717</v>
      </c>
      <c r="I126" s="953"/>
      <c r="J126" s="292">
        <f t="shared" ca="1" si="17"/>
        <v>74539.043021210717</v>
      </c>
      <c r="K126" s="949"/>
      <c r="L126" s="949"/>
      <c r="M126" s="949"/>
      <c r="N126" s="950"/>
      <c r="O126" s="950"/>
    </row>
    <row r="127" spans="2:15" ht="9.75" customHeight="1">
      <c r="B127" s="951"/>
      <c r="C127" s="951"/>
      <c r="D127" s="287">
        <f t="shared" ca="1" si="15"/>
        <v>49974</v>
      </c>
      <c r="E127" s="288">
        <f t="shared" si="18"/>
        <v>1500000</v>
      </c>
      <c r="F127" s="289">
        <f t="shared" ca="1" si="16"/>
        <v>60</v>
      </c>
      <c r="G127" s="290">
        <f ca="1">KBACOI!O126</f>
        <v>299.34680096554575</v>
      </c>
      <c r="H127" s="290">
        <f t="shared" ca="1" si="28"/>
        <v>74241.231105570478</v>
      </c>
      <c r="I127" s="953"/>
      <c r="J127" s="292">
        <f t="shared" ca="1" si="17"/>
        <v>74241.231105570478</v>
      </c>
      <c r="K127" s="949"/>
      <c r="L127" s="949"/>
      <c r="M127" s="949"/>
      <c r="N127" s="950"/>
      <c r="O127" s="950"/>
    </row>
    <row r="128" spans="2:15" ht="9.75" customHeight="1">
      <c r="B128" s="951"/>
      <c r="C128" s="951"/>
      <c r="D128" s="287">
        <f t="shared" ca="1" si="15"/>
        <v>50005</v>
      </c>
      <c r="E128" s="288">
        <f t="shared" si="18"/>
        <v>1500000</v>
      </c>
      <c r="F128" s="289">
        <f t="shared" ca="1" si="16"/>
        <v>60</v>
      </c>
      <c r="G128" s="290">
        <f ca="1">KBACOI!O127</f>
        <v>299.40934146783019</v>
      </c>
      <c r="H128" s="290">
        <f t="shared" ca="1" si="28"/>
        <v>73943.109551213289</v>
      </c>
      <c r="I128" s="953"/>
      <c r="J128" s="292">
        <f t="shared" ca="1" si="17"/>
        <v>73943.109551213289</v>
      </c>
      <c r="K128" s="949"/>
      <c r="L128" s="949"/>
      <c r="M128" s="949"/>
      <c r="N128" s="950"/>
      <c r="O128" s="950"/>
    </row>
    <row r="129" spans="2:15" ht="9.75" customHeight="1">
      <c r="B129" s="951"/>
      <c r="C129" s="951"/>
      <c r="D129" s="287">
        <f t="shared" ca="1" si="15"/>
        <v>50035</v>
      </c>
      <c r="E129" s="288">
        <f t="shared" si="18"/>
        <v>1500000</v>
      </c>
      <c r="F129" s="289">
        <f t="shared" ca="1" si="16"/>
        <v>60</v>
      </c>
      <c r="G129" s="290">
        <f ca="1">KBACOI!O128</f>
        <v>299.47194699424523</v>
      </c>
      <c r="H129" s="290">
        <f t="shared" ca="1" si="28"/>
        <v>73644.678036203972</v>
      </c>
      <c r="I129" s="953"/>
      <c r="J129" s="292">
        <f t="shared" ca="1" si="17"/>
        <v>73644.678036203972</v>
      </c>
      <c r="K129" s="949"/>
      <c r="L129" s="949"/>
      <c r="M129" s="949"/>
      <c r="N129" s="950"/>
      <c r="O129" s="950"/>
    </row>
    <row r="130" spans="2:15" ht="9.75" customHeight="1">
      <c r="B130" s="951"/>
      <c r="C130" s="951"/>
      <c r="D130" s="287">
        <f t="shared" ca="1" si="15"/>
        <v>50066</v>
      </c>
      <c r="E130" s="288">
        <f t="shared" si="18"/>
        <v>1500000</v>
      </c>
      <c r="F130" s="289">
        <f t="shared" ca="1" si="16"/>
        <v>60</v>
      </c>
      <c r="G130" s="290">
        <f ca="1">KBACOI!O129</f>
        <v>299.53461761239714</v>
      </c>
      <c r="H130" s="290">
        <f t="shared" ca="1" si="28"/>
        <v>73345.936238272625</v>
      </c>
      <c r="I130" s="953"/>
      <c r="J130" s="292">
        <f t="shared" ca="1" si="17"/>
        <v>73345.936238272625</v>
      </c>
      <c r="K130" s="949"/>
      <c r="L130" s="949"/>
      <c r="M130" s="949"/>
      <c r="N130" s="950"/>
      <c r="O130" s="950"/>
    </row>
    <row r="131" spans="2:15" ht="9.75" customHeight="1">
      <c r="B131" s="951"/>
      <c r="C131" s="951"/>
      <c r="D131" s="287">
        <f t="shared" ca="1" si="15"/>
        <v>50097</v>
      </c>
      <c r="E131" s="288">
        <f t="shared" si="18"/>
        <v>1500000</v>
      </c>
      <c r="F131" s="289">
        <f t="shared" ca="1" si="16"/>
        <v>60</v>
      </c>
      <c r="G131" s="290">
        <f ca="1">KBACOI!O130</f>
        <v>299.59735338996273</v>
      </c>
      <c r="H131" s="290">
        <f t="shared" ca="1" si="28"/>
        <v>73046.88383481426</v>
      </c>
      <c r="I131" s="953"/>
      <c r="J131" s="292">
        <f t="shared" ca="1" si="17"/>
        <v>73046.88383481426</v>
      </c>
      <c r="K131" s="949"/>
      <c r="L131" s="949"/>
      <c r="M131" s="949"/>
      <c r="N131" s="950"/>
      <c r="O131" s="950"/>
    </row>
    <row r="132" spans="2:15" ht="9.75" customHeight="1">
      <c r="B132" s="951"/>
      <c r="C132" s="951"/>
      <c r="D132" s="287">
        <f t="shared" ca="1" si="15"/>
        <v>50125</v>
      </c>
      <c r="E132" s="288">
        <f t="shared" si="18"/>
        <v>1500000</v>
      </c>
      <c r="F132" s="289">
        <f t="shared" ca="1" si="16"/>
        <v>60</v>
      </c>
      <c r="G132" s="290">
        <f ca="1">KBACOI!O131</f>
        <v>299.66015439468902</v>
      </c>
      <c r="H132" s="290">
        <f t="shared" ca="1" si="28"/>
        <v>72747.520502888481</v>
      </c>
      <c r="I132" s="953"/>
      <c r="J132" s="292">
        <f t="shared" ca="1" si="17"/>
        <v>72747.520502888481</v>
      </c>
      <c r="K132" s="949"/>
      <c r="L132" s="949"/>
      <c r="M132" s="949"/>
      <c r="N132" s="950"/>
      <c r="O132" s="950"/>
    </row>
    <row r="133" spans="2:15" ht="9.75" customHeight="1">
      <c r="B133" s="951"/>
      <c r="C133" s="951"/>
      <c r="D133" s="287">
        <f t="shared" ref="D133:D196" ca="1" si="29">EDATE(D132,1)</f>
        <v>50156</v>
      </c>
      <c r="E133" s="288">
        <f t="shared" si="18"/>
        <v>1500000</v>
      </c>
      <c r="F133" s="289">
        <f t="shared" ref="F133:F196" ca="1" si="30">IF(YEAR(D133)=2025,40000,IF(YEAR(D133)=2026,40000,IF(YEAR(D133)=2027,40000,IF(YEAR(D133)=2028,40000,IF(YEAR(D133)=2029,40000,IF(YEAR(D133)=2030,50000,IF(YEAR(D133)=2031,50000,IF(YEAR(D133)=2032,50000,IF(YEAR(D133)=2033,50000,IF(YEAR(D133)=2034,50000,IF(YEAR(D133)&gt;=2035,60000,0)))))))))))/1000</f>
        <v>60</v>
      </c>
      <c r="G133" s="290">
        <f ca="1">KBACOI!O132</f>
        <v>299.72302069439337</v>
      </c>
      <c r="H133" s="290">
        <f t="shared" ca="1" si="28"/>
        <v>72447.845919219137</v>
      </c>
      <c r="I133" s="953"/>
      <c r="J133" s="292">
        <f t="shared" ref="J133:J196" ca="1" si="31">H133</f>
        <v>72447.845919219137</v>
      </c>
      <c r="K133" s="949"/>
      <c r="L133" s="949"/>
      <c r="M133" s="949"/>
      <c r="N133" s="950"/>
      <c r="O133" s="950"/>
    </row>
    <row r="134" spans="2:15" ht="9.75" customHeight="1">
      <c r="B134" s="951"/>
      <c r="C134" s="951"/>
      <c r="D134" s="287">
        <f t="shared" ca="1" si="29"/>
        <v>50186</v>
      </c>
      <c r="E134" s="288">
        <f t="shared" ref="E134:E197" si="32">E133</f>
        <v>1500000</v>
      </c>
      <c r="F134" s="289">
        <f t="shared" ca="1" si="30"/>
        <v>60</v>
      </c>
      <c r="G134" s="290">
        <f ca="1">KBACOI!O133</f>
        <v>299.785952356964</v>
      </c>
      <c r="H134" s="290">
        <f t="shared" ca="1" si="28"/>
        <v>72147.859760193955</v>
      </c>
      <c r="I134" s="953"/>
      <c r="J134" s="292">
        <f t="shared" ca="1" si="31"/>
        <v>72147.859760193955</v>
      </c>
      <c r="K134" s="949"/>
      <c r="L134" s="949"/>
      <c r="M134" s="949"/>
      <c r="N134" s="950"/>
      <c r="O134" s="950"/>
    </row>
    <row r="135" spans="2:15" ht="9.75" customHeight="1">
      <c r="B135" s="951"/>
      <c r="C135" s="951"/>
      <c r="D135" s="287">
        <f t="shared" ca="1" si="29"/>
        <v>50217</v>
      </c>
      <c r="E135" s="288">
        <f t="shared" si="32"/>
        <v>1500000</v>
      </c>
      <c r="F135" s="289">
        <f t="shared" ca="1" si="30"/>
        <v>60</v>
      </c>
      <c r="G135" s="290">
        <f ca="1">KBACOI!O134</f>
        <v>299.84894945035927</v>
      </c>
      <c r="H135" s="290">
        <f t="shared" ca="1" si="28"/>
        <v>71847.561701864208</v>
      </c>
      <c r="I135" s="953"/>
      <c r="J135" s="293">
        <f ca="1">H135+I124</f>
        <v>72147.561701864208</v>
      </c>
      <c r="K135" s="949"/>
      <c r="L135" s="949"/>
      <c r="M135" s="949"/>
      <c r="N135" s="950"/>
      <c r="O135" s="950"/>
    </row>
    <row r="136" spans="2:15" ht="9.75" customHeight="1">
      <c r="B136" s="946">
        <f>B124+1</f>
        <v>12</v>
      </c>
      <c r="C136" s="947">
        <f ca="1">C124+1</f>
        <v>41</v>
      </c>
      <c r="D136" s="294">
        <f t="shared" ca="1" si="29"/>
        <v>50247</v>
      </c>
      <c r="E136" s="359">
        <f t="shared" si="32"/>
        <v>1500000</v>
      </c>
      <c r="F136" s="360">
        <f t="shared" ca="1" si="30"/>
        <v>60</v>
      </c>
      <c r="G136" s="295">
        <f ca="1">KBACOI!O135</f>
        <v>323.27035593197496</v>
      </c>
      <c r="H136" s="295">
        <f ca="1">(J135+KBAGTTKcamket!F18-F136-G136)*(1+$V$3)</f>
        <v>81832.117941996185</v>
      </c>
      <c r="I136" s="953">
        <f>IF(COUNTIF(KBAGTTKcamket!$E$7:E18,0)&gt;0,0,3%*'Tinh phi QL'!$H$13/1000)</f>
        <v>300</v>
      </c>
      <c r="J136" s="296">
        <f t="shared" ca="1" si="31"/>
        <v>81832.117941996185</v>
      </c>
      <c r="K136" s="949">
        <f ca="1">J147</f>
        <v>78640.137628816097</v>
      </c>
      <c r="L136" s="949"/>
      <c r="M136" s="949"/>
      <c r="N136" s="950">
        <f t="shared" ref="N136" ca="1" si="33">SUM(G136:G147)</f>
        <v>3884.0078448371692</v>
      </c>
      <c r="O136" s="950"/>
    </row>
    <row r="137" spans="2:15" ht="9.75" customHeight="1">
      <c r="B137" s="946"/>
      <c r="C137" s="946"/>
      <c r="D137" s="294">
        <f t="shared" ca="1" si="29"/>
        <v>50278</v>
      </c>
      <c r="E137" s="359">
        <f t="shared" si="32"/>
        <v>1500000</v>
      </c>
      <c r="F137" s="360">
        <f t="shared" ca="1" si="30"/>
        <v>60</v>
      </c>
      <c r="G137" s="295">
        <f ca="1">KBACOI!O136</f>
        <v>323.34227710922494</v>
      </c>
      <c r="H137" s="295">
        <f ca="1">(H136-F137-G137)*(1+$V$3)</f>
        <v>81516.340528667803</v>
      </c>
      <c r="I137" s="953"/>
      <c r="J137" s="296">
        <f t="shared" ca="1" si="31"/>
        <v>81516.340528667803</v>
      </c>
      <c r="K137" s="949"/>
      <c r="L137" s="949"/>
      <c r="M137" s="949"/>
      <c r="N137" s="950"/>
      <c r="O137" s="950"/>
    </row>
    <row r="138" spans="2:15" ht="9.75" customHeight="1">
      <c r="B138" s="946"/>
      <c r="C138" s="946"/>
      <c r="D138" s="294">
        <f t="shared" ca="1" si="29"/>
        <v>50309</v>
      </c>
      <c r="E138" s="359">
        <f t="shared" si="32"/>
        <v>1500000</v>
      </c>
      <c r="F138" s="360">
        <f t="shared" ca="1" si="30"/>
        <v>60</v>
      </c>
      <c r="G138" s="295">
        <f ca="1">KBACOI!O137</f>
        <v>323.41427435946372</v>
      </c>
      <c r="H138" s="295">
        <f t="shared" ref="H138:H147" ca="1" si="34">(H137-F138-G138)*(1+$V$3)</f>
        <v>81200.229108964733</v>
      </c>
      <c r="I138" s="953"/>
      <c r="J138" s="296">
        <f t="shared" ca="1" si="31"/>
        <v>81200.229108964733</v>
      </c>
      <c r="K138" s="949"/>
      <c r="L138" s="949"/>
      <c r="M138" s="949"/>
      <c r="N138" s="950"/>
      <c r="O138" s="950"/>
    </row>
    <row r="139" spans="2:15" ht="9.75" customHeight="1">
      <c r="B139" s="946"/>
      <c r="C139" s="946"/>
      <c r="D139" s="294">
        <f t="shared" ca="1" si="29"/>
        <v>50339</v>
      </c>
      <c r="E139" s="359">
        <f t="shared" si="32"/>
        <v>1500000</v>
      </c>
      <c r="F139" s="360">
        <f t="shared" ca="1" si="30"/>
        <v>60</v>
      </c>
      <c r="G139" s="295">
        <f ca="1">KBACOI!O138</f>
        <v>323.48634776315606</v>
      </c>
      <c r="H139" s="295">
        <f t="shared" ca="1" si="34"/>
        <v>80883.783329599304</v>
      </c>
      <c r="I139" s="953"/>
      <c r="J139" s="296">
        <f t="shared" ca="1" si="31"/>
        <v>80883.783329599304</v>
      </c>
      <c r="K139" s="949"/>
      <c r="L139" s="949"/>
      <c r="M139" s="949"/>
      <c r="N139" s="950"/>
      <c r="O139" s="950"/>
    </row>
    <row r="140" spans="2:15" ht="9.75" customHeight="1">
      <c r="B140" s="946"/>
      <c r="C140" s="946"/>
      <c r="D140" s="294">
        <f t="shared" ca="1" si="29"/>
        <v>50370</v>
      </c>
      <c r="E140" s="359">
        <f t="shared" si="32"/>
        <v>1500000</v>
      </c>
      <c r="F140" s="360">
        <f t="shared" ca="1" si="30"/>
        <v>60</v>
      </c>
      <c r="G140" s="295">
        <f ca="1">KBACOI!O139</f>
        <v>323.55849740085137</v>
      </c>
      <c r="H140" s="295">
        <f t="shared" ca="1" si="34"/>
        <v>80567.002836910193</v>
      </c>
      <c r="I140" s="953"/>
      <c r="J140" s="296">
        <f t="shared" ca="1" si="31"/>
        <v>80567.002836910193</v>
      </c>
      <c r="K140" s="949"/>
      <c r="L140" s="949"/>
      <c r="M140" s="949"/>
      <c r="N140" s="950"/>
      <c r="O140" s="950"/>
    </row>
    <row r="141" spans="2:15" ht="9.75" customHeight="1">
      <c r="B141" s="946"/>
      <c r="C141" s="946"/>
      <c r="D141" s="294">
        <f t="shared" ca="1" si="29"/>
        <v>50400</v>
      </c>
      <c r="E141" s="359">
        <f t="shared" si="32"/>
        <v>1500000</v>
      </c>
      <c r="F141" s="360">
        <f t="shared" ca="1" si="30"/>
        <v>60</v>
      </c>
      <c r="G141" s="295">
        <f ca="1">KBACOI!O140</f>
        <v>323.63072335318452</v>
      </c>
      <c r="H141" s="295">
        <f t="shared" ca="1" si="34"/>
        <v>80249.887276862006</v>
      </c>
      <c r="I141" s="953"/>
      <c r="J141" s="296">
        <f t="shared" ca="1" si="31"/>
        <v>80249.887276862006</v>
      </c>
      <c r="K141" s="949"/>
      <c r="L141" s="949"/>
      <c r="M141" s="949"/>
      <c r="N141" s="950"/>
      <c r="O141" s="950"/>
    </row>
    <row r="142" spans="2:15" ht="9.75" customHeight="1">
      <c r="B142" s="946"/>
      <c r="C142" s="946"/>
      <c r="D142" s="294">
        <f t="shared" ca="1" si="29"/>
        <v>50431</v>
      </c>
      <c r="E142" s="359">
        <f t="shared" si="32"/>
        <v>1500000</v>
      </c>
      <c r="F142" s="360">
        <f t="shared" ca="1" si="30"/>
        <v>60</v>
      </c>
      <c r="G142" s="295">
        <f ca="1">KBACOI!O141</f>
        <v>323.70302570087546</v>
      </c>
      <c r="H142" s="295">
        <f t="shared" ca="1" si="34"/>
        <v>79932.43629504487</v>
      </c>
      <c r="I142" s="953"/>
      <c r="J142" s="296">
        <f t="shared" ca="1" si="31"/>
        <v>79932.43629504487</v>
      </c>
      <c r="K142" s="949"/>
      <c r="L142" s="949"/>
      <c r="M142" s="949"/>
      <c r="N142" s="950"/>
      <c r="O142" s="950"/>
    </row>
    <row r="143" spans="2:15" ht="9.75" customHeight="1">
      <c r="B143" s="946"/>
      <c r="C143" s="946"/>
      <c r="D143" s="294">
        <f t="shared" ca="1" si="29"/>
        <v>50462</v>
      </c>
      <c r="E143" s="359">
        <f t="shared" si="32"/>
        <v>1500000</v>
      </c>
      <c r="F143" s="360">
        <f t="shared" ca="1" si="30"/>
        <v>60</v>
      </c>
      <c r="G143" s="295">
        <f ca="1">KBACOI!O142</f>
        <v>323.77540452472982</v>
      </c>
      <c r="H143" s="295">
        <f t="shared" ca="1" si="34"/>
        <v>79614.649536674027</v>
      </c>
      <c r="I143" s="953"/>
      <c r="J143" s="296">
        <f t="shared" ca="1" si="31"/>
        <v>79614.649536674027</v>
      </c>
      <c r="K143" s="949"/>
      <c r="L143" s="949"/>
      <c r="M143" s="949"/>
      <c r="N143" s="950"/>
      <c r="O143" s="950"/>
    </row>
    <row r="144" spans="2:15" ht="9.75" customHeight="1">
      <c r="B144" s="946"/>
      <c r="C144" s="946"/>
      <c r="D144" s="294">
        <f t="shared" ca="1" si="29"/>
        <v>50490</v>
      </c>
      <c r="E144" s="359">
        <f t="shared" si="32"/>
        <v>1500000</v>
      </c>
      <c r="F144" s="360">
        <f t="shared" ca="1" si="30"/>
        <v>60</v>
      </c>
      <c r="G144" s="295">
        <f ca="1">KBACOI!O143</f>
        <v>323.84785990563836</v>
      </c>
      <c r="H144" s="295">
        <f t="shared" ca="1" si="34"/>
        <v>79296.526646589467</v>
      </c>
      <c r="I144" s="953"/>
      <c r="J144" s="296">
        <f t="shared" ca="1" si="31"/>
        <v>79296.526646589467</v>
      </c>
      <c r="K144" s="949"/>
      <c r="L144" s="949"/>
      <c r="M144" s="949"/>
      <c r="N144" s="950"/>
      <c r="O144" s="950"/>
    </row>
    <row r="145" spans="2:15" ht="9.75" customHeight="1">
      <c r="B145" s="946"/>
      <c r="C145" s="946"/>
      <c r="D145" s="294">
        <f t="shared" ca="1" si="29"/>
        <v>50521</v>
      </c>
      <c r="E145" s="359">
        <f t="shared" si="32"/>
        <v>1500000</v>
      </c>
      <c r="F145" s="360">
        <f t="shared" ca="1" si="30"/>
        <v>60</v>
      </c>
      <c r="G145" s="295">
        <f ca="1">KBACOI!O144</f>
        <v>323.92039192457764</v>
      </c>
      <c r="H145" s="295">
        <f t="shared" ca="1" si="34"/>
        <v>78978.067269255524</v>
      </c>
      <c r="I145" s="953"/>
      <c r="J145" s="296">
        <f t="shared" ca="1" si="31"/>
        <v>78978.067269255524</v>
      </c>
      <c r="K145" s="949"/>
      <c r="L145" s="949"/>
      <c r="M145" s="949"/>
      <c r="N145" s="950"/>
      <c r="O145" s="950"/>
    </row>
    <row r="146" spans="2:15" ht="9.75" customHeight="1">
      <c r="B146" s="946"/>
      <c r="C146" s="946"/>
      <c r="D146" s="294">
        <f t="shared" ca="1" si="29"/>
        <v>50551</v>
      </c>
      <c r="E146" s="359">
        <f t="shared" si="32"/>
        <v>1500000</v>
      </c>
      <c r="F146" s="360">
        <f t="shared" ca="1" si="30"/>
        <v>60</v>
      </c>
      <c r="G146" s="295">
        <f ca="1">KBACOI!O145</f>
        <v>323.99300066260975</v>
      </c>
      <c r="H146" s="295">
        <f t="shared" ca="1" si="34"/>
        <v>78659.271048760464</v>
      </c>
      <c r="I146" s="953"/>
      <c r="J146" s="296">
        <f t="shared" ca="1" si="31"/>
        <v>78659.271048760464</v>
      </c>
      <c r="K146" s="949"/>
      <c r="L146" s="949"/>
      <c r="M146" s="949"/>
      <c r="N146" s="950"/>
      <c r="O146" s="950"/>
    </row>
    <row r="147" spans="2:15" ht="9.75" customHeight="1">
      <c r="B147" s="946"/>
      <c r="C147" s="946"/>
      <c r="D147" s="294">
        <f t="shared" ca="1" si="29"/>
        <v>50582</v>
      </c>
      <c r="E147" s="359">
        <f t="shared" si="32"/>
        <v>1500000</v>
      </c>
      <c r="F147" s="360">
        <f t="shared" ca="1" si="30"/>
        <v>60</v>
      </c>
      <c r="G147" s="295">
        <f ca="1">KBACOI!O146</f>
        <v>324.06568620088262</v>
      </c>
      <c r="H147" s="295">
        <f t="shared" ca="1" si="34"/>
        <v>78340.137628816097</v>
      </c>
      <c r="I147" s="953"/>
      <c r="J147" s="297">
        <f ca="1">H147+I136</f>
        <v>78640.137628816097</v>
      </c>
      <c r="K147" s="949"/>
      <c r="L147" s="949"/>
      <c r="M147" s="949"/>
      <c r="N147" s="950"/>
      <c r="O147" s="950"/>
    </row>
    <row r="148" spans="2:15" ht="9.75" customHeight="1">
      <c r="B148" s="951">
        <f>B136+1</f>
        <v>13</v>
      </c>
      <c r="C148" s="952">
        <f ca="1">C136+1</f>
        <v>42</v>
      </c>
      <c r="D148" s="287">
        <f t="shared" ca="1" si="29"/>
        <v>50612</v>
      </c>
      <c r="E148" s="288">
        <f t="shared" si="32"/>
        <v>1500000</v>
      </c>
      <c r="F148" s="289">
        <f t="shared" ca="1" si="30"/>
        <v>60</v>
      </c>
      <c r="G148" s="290">
        <f ca="1">KBACOI!O147</f>
        <v>349.07633929313948</v>
      </c>
      <c r="H148" s="290">
        <f ca="1">(J147+KBAGTTKcamket!F19-F148-G148)*(1+$V$3)</f>
        <v>88304.252317731822</v>
      </c>
      <c r="I148" s="953">
        <f>IF(COUNTIF(KBAGTTKcamket!$E$7:E19,0)&gt;0,0,3%*'Tinh phi QL'!$H$13/1000)</f>
        <v>300</v>
      </c>
      <c r="J148" s="292">
        <f t="shared" ca="1" si="31"/>
        <v>88304.252317731822</v>
      </c>
      <c r="K148" s="949">
        <f ca="1">J159</f>
        <v>84885.55086458796</v>
      </c>
      <c r="L148" s="949"/>
      <c r="M148" s="949"/>
      <c r="N148" s="950">
        <f t="shared" ref="N148" ca="1" si="35">SUM(G148:G159)</f>
        <v>4194.4187964650109</v>
      </c>
      <c r="O148" s="950"/>
    </row>
    <row r="149" spans="2:15" ht="9.75" customHeight="1">
      <c r="B149" s="951"/>
      <c r="C149" s="951"/>
      <c r="D149" s="287">
        <f t="shared" ca="1" si="29"/>
        <v>50643</v>
      </c>
      <c r="E149" s="288">
        <f t="shared" si="32"/>
        <v>1500000</v>
      </c>
      <c r="F149" s="289">
        <f t="shared" ca="1" si="30"/>
        <v>60</v>
      </c>
      <c r="G149" s="290">
        <f ca="1">KBACOI!O148</f>
        <v>349.15941492674773</v>
      </c>
      <c r="H149" s="290">
        <f ca="1">(H148-F149-G149)*(1+$V$3)</f>
        <v>87968.005232431955</v>
      </c>
      <c r="I149" s="953"/>
      <c r="J149" s="292">
        <f t="shared" ca="1" si="31"/>
        <v>87968.005232431955</v>
      </c>
      <c r="K149" s="949"/>
      <c r="L149" s="949"/>
      <c r="M149" s="949"/>
      <c r="N149" s="950"/>
      <c r="O149" s="950"/>
    </row>
    <row r="150" spans="2:15" ht="9.75" customHeight="1">
      <c r="B150" s="951"/>
      <c r="C150" s="951"/>
      <c r="D150" s="287">
        <f t="shared" ca="1" si="29"/>
        <v>50674</v>
      </c>
      <c r="E150" s="288">
        <f t="shared" si="32"/>
        <v>1500000</v>
      </c>
      <c r="F150" s="289">
        <f t="shared" ca="1" si="30"/>
        <v>60</v>
      </c>
      <c r="G150" s="290">
        <f ca="1">KBACOI!O149</f>
        <v>349.24258003917845</v>
      </c>
      <c r="H150" s="290">
        <f t="shared" ref="H150:H159" ca="1" si="36">(H149-F150-G150)*(1+$V$3)</f>
        <v>87631.395983257928</v>
      </c>
      <c r="I150" s="953"/>
      <c r="J150" s="292">
        <f t="shared" ca="1" si="31"/>
        <v>87631.395983257928</v>
      </c>
      <c r="K150" s="949"/>
      <c r="L150" s="949"/>
      <c r="M150" s="949"/>
      <c r="N150" s="950"/>
      <c r="O150" s="950"/>
    </row>
    <row r="151" spans="2:15" ht="9.75" customHeight="1">
      <c r="B151" s="951"/>
      <c r="C151" s="951"/>
      <c r="D151" s="287">
        <f t="shared" ca="1" si="29"/>
        <v>50704</v>
      </c>
      <c r="E151" s="288">
        <f t="shared" si="32"/>
        <v>1500000</v>
      </c>
      <c r="F151" s="289">
        <f t="shared" ca="1" si="30"/>
        <v>60</v>
      </c>
      <c r="G151" s="290">
        <f ca="1">KBACOI!O150</f>
        <v>349.3258347268075</v>
      </c>
      <c r="H151" s="290">
        <f t="shared" ca="1" si="36"/>
        <v>87294.424180131493</v>
      </c>
      <c r="I151" s="953"/>
      <c r="J151" s="292">
        <f t="shared" ca="1" si="31"/>
        <v>87294.424180131493</v>
      </c>
      <c r="K151" s="949"/>
      <c r="L151" s="949"/>
      <c r="M151" s="949"/>
      <c r="N151" s="950"/>
      <c r="O151" s="950"/>
    </row>
    <row r="152" spans="2:15" ht="9.75" customHeight="1">
      <c r="B152" s="951"/>
      <c r="C152" s="951"/>
      <c r="D152" s="287">
        <f t="shared" ca="1" si="29"/>
        <v>50735</v>
      </c>
      <c r="E152" s="288">
        <f t="shared" si="32"/>
        <v>1500000</v>
      </c>
      <c r="F152" s="289">
        <f t="shared" ca="1" si="30"/>
        <v>60</v>
      </c>
      <c r="G152" s="290">
        <f ca="1">KBACOI!O151</f>
        <v>349.40917908611414</v>
      </c>
      <c r="H152" s="290">
        <f t="shared" ca="1" si="36"/>
        <v>86957.08943255429</v>
      </c>
      <c r="I152" s="953"/>
      <c r="J152" s="292">
        <f t="shared" ca="1" si="31"/>
        <v>86957.08943255429</v>
      </c>
      <c r="K152" s="949"/>
      <c r="L152" s="949"/>
      <c r="M152" s="949"/>
      <c r="N152" s="950"/>
      <c r="O152" s="950"/>
    </row>
    <row r="153" spans="2:15" ht="9.75" customHeight="1">
      <c r="B153" s="951"/>
      <c r="C153" s="951"/>
      <c r="D153" s="287">
        <f t="shared" ca="1" si="29"/>
        <v>50765</v>
      </c>
      <c r="E153" s="288">
        <f t="shared" si="32"/>
        <v>1500000</v>
      </c>
      <c r="F153" s="289">
        <f t="shared" ca="1" si="30"/>
        <v>60</v>
      </c>
      <c r="G153" s="290">
        <f ca="1">KBACOI!O152</f>
        <v>349.49261321368158</v>
      </c>
      <c r="H153" s="290">
        <f t="shared" ca="1" si="36"/>
        <v>86619.391349607322</v>
      </c>
      <c r="I153" s="953"/>
      <c r="J153" s="292">
        <f t="shared" ca="1" si="31"/>
        <v>86619.391349607322</v>
      </c>
      <c r="K153" s="949"/>
      <c r="L153" s="949"/>
      <c r="M153" s="949"/>
      <c r="N153" s="950"/>
      <c r="O153" s="950"/>
    </row>
    <row r="154" spans="2:15" ht="9.75" customHeight="1">
      <c r="B154" s="951"/>
      <c r="C154" s="951"/>
      <c r="D154" s="287">
        <f t="shared" ca="1" si="29"/>
        <v>50796</v>
      </c>
      <c r="E154" s="288">
        <f t="shared" si="32"/>
        <v>1500000</v>
      </c>
      <c r="F154" s="289">
        <f t="shared" ca="1" si="30"/>
        <v>60</v>
      </c>
      <c r="G154" s="290">
        <f ca="1">KBACOI!O153</f>
        <v>349.57613720619707</v>
      </c>
      <c r="H154" s="290">
        <f t="shared" ca="1" si="36"/>
        <v>86281.329539950544</v>
      </c>
      <c r="I154" s="953"/>
      <c r="J154" s="292">
        <f t="shared" ca="1" si="31"/>
        <v>86281.329539950544</v>
      </c>
      <c r="K154" s="949"/>
      <c r="L154" s="949"/>
      <c r="M154" s="949"/>
      <c r="N154" s="950"/>
      <c r="O154" s="950"/>
    </row>
    <row r="155" spans="2:15" ht="9.75" customHeight="1">
      <c r="B155" s="951"/>
      <c r="C155" s="951"/>
      <c r="D155" s="287">
        <f t="shared" ca="1" si="29"/>
        <v>50827</v>
      </c>
      <c r="E155" s="288">
        <f t="shared" si="32"/>
        <v>1500000</v>
      </c>
      <c r="F155" s="289">
        <f t="shared" ca="1" si="30"/>
        <v>60</v>
      </c>
      <c r="G155" s="290">
        <f ca="1">KBACOI!O154</f>
        <v>349.65975116045223</v>
      </c>
      <c r="H155" s="290">
        <f t="shared" ca="1" si="36"/>
        <v>85942.903611822447</v>
      </c>
      <c r="I155" s="953"/>
      <c r="J155" s="292">
        <f t="shared" ca="1" si="31"/>
        <v>85942.903611822447</v>
      </c>
      <c r="K155" s="949"/>
      <c r="L155" s="949"/>
      <c r="M155" s="949"/>
      <c r="N155" s="950"/>
      <c r="O155" s="950"/>
    </row>
    <row r="156" spans="2:15" ht="9.75" customHeight="1">
      <c r="B156" s="951"/>
      <c r="C156" s="951"/>
      <c r="D156" s="287">
        <f t="shared" ca="1" si="29"/>
        <v>50855</v>
      </c>
      <c r="E156" s="288">
        <f t="shared" si="32"/>
        <v>1500000</v>
      </c>
      <c r="F156" s="289">
        <f t="shared" ca="1" si="30"/>
        <v>60</v>
      </c>
      <c r="G156" s="290">
        <f ca="1">KBACOI!O155</f>
        <v>349.74345517334251</v>
      </c>
      <c r="H156" s="290">
        <f t="shared" ca="1" si="36"/>
        <v>85604.113173039514</v>
      </c>
      <c r="I156" s="953"/>
      <c r="J156" s="292">
        <f t="shared" ca="1" si="31"/>
        <v>85604.113173039514</v>
      </c>
      <c r="K156" s="949"/>
      <c r="L156" s="949"/>
      <c r="M156" s="949"/>
      <c r="N156" s="950"/>
      <c r="O156" s="950"/>
    </row>
    <row r="157" spans="2:15" ht="9.75" customHeight="1">
      <c r="B157" s="951"/>
      <c r="C157" s="951"/>
      <c r="D157" s="287">
        <f t="shared" ca="1" si="29"/>
        <v>50886</v>
      </c>
      <c r="E157" s="288">
        <f t="shared" si="32"/>
        <v>1500000</v>
      </c>
      <c r="F157" s="289">
        <f t="shared" ca="1" si="30"/>
        <v>60</v>
      </c>
      <c r="G157" s="290">
        <f ca="1">KBACOI!O156</f>
        <v>349.82724934186814</v>
      </c>
      <c r="H157" s="290">
        <f t="shared" ca="1" si="36"/>
        <v>85264.95783099586</v>
      </c>
      <c r="I157" s="953"/>
      <c r="J157" s="292">
        <f t="shared" ca="1" si="31"/>
        <v>85264.95783099586</v>
      </c>
      <c r="K157" s="949"/>
      <c r="L157" s="949"/>
      <c r="M157" s="949"/>
      <c r="N157" s="950"/>
      <c r="O157" s="950"/>
    </row>
    <row r="158" spans="2:15" ht="9.75" customHeight="1">
      <c r="B158" s="951"/>
      <c r="C158" s="951"/>
      <c r="D158" s="287">
        <f t="shared" ca="1" si="29"/>
        <v>50916</v>
      </c>
      <c r="E158" s="288">
        <f t="shared" si="32"/>
        <v>1500000</v>
      </c>
      <c r="F158" s="289">
        <f t="shared" ca="1" si="30"/>
        <v>60</v>
      </c>
      <c r="G158" s="290">
        <f ca="1">KBACOI!O157</f>
        <v>349.91113376313371</v>
      </c>
      <c r="H158" s="290">
        <f t="shared" ca="1" si="36"/>
        <v>84925.437192662706</v>
      </c>
      <c r="I158" s="953"/>
      <c r="J158" s="292">
        <f t="shared" ca="1" si="31"/>
        <v>84925.437192662706</v>
      </c>
      <c r="K158" s="949"/>
      <c r="L158" s="949"/>
      <c r="M158" s="949"/>
      <c r="N158" s="950"/>
      <c r="O158" s="950"/>
    </row>
    <row r="159" spans="2:15" ht="9.75" customHeight="1">
      <c r="B159" s="951"/>
      <c r="C159" s="951"/>
      <c r="D159" s="287">
        <f t="shared" ca="1" si="29"/>
        <v>50947</v>
      </c>
      <c r="E159" s="288">
        <f t="shared" si="32"/>
        <v>1500000</v>
      </c>
      <c r="F159" s="289">
        <f t="shared" ca="1" si="30"/>
        <v>60</v>
      </c>
      <c r="G159" s="290">
        <f ca="1">KBACOI!O158</f>
        <v>349.99510853434816</v>
      </c>
      <c r="H159" s="290">
        <f t="shared" ca="1" si="36"/>
        <v>84585.55086458796</v>
      </c>
      <c r="I159" s="953"/>
      <c r="J159" s="293">
        <f ca="1">H159+I148</f>
        <v>84885.55086458796</v>
      </c>
      <c r="K159" s="949"/>
      <c r="L159" s="949"/>
      <c r="M159" s="949"/>
      <c r="N159" s="950"/>
      <c r="O159" s="950"/>
    </row>
    <row r="160" spans="2:15" ht="9.75" customHeight="1">
      <c r="B160" s="946">
        <f>B148+1</f>
        <v>14</v>
      </c>
      <c r="C160" s="947">
        <f ca="1">C148+1</f>
        <v>43</v>
      </c>
      <c r="D160" s="294">
        <f t="shared" ca="1" si="29"/>
        <v>50977</v>
      </c>
      <c r="E160" s="359">
        <f t="shared" si="32"/>
        <v>1500000</v>
      </c>
      <c r="F160" s="360">
        <f t="shared" ca="1" si="30"/>
        <v>60</v>
      </c>
      <c r="G160" s="295">
        <f ca="1">KBACOI!O159</f>
        <v>377.50741533438071</v>
      </c>
      <c r="H160" s="295">
        <f ca="1">(J159+KBAGTTKcamket!F20-F160-G160)*(1+$V$3)</f>
        <v>94526.39170112017</v>
      </c>
      <c r="I160" s="953">
        <f>IF(COUNTIF(KBAGTTKcamket!$E$7:E20,0)&gt;0,0,3%*'Tinh phi QL'!$H$13/1000)</f>
        <v>300</v>
      </c>
      <c r="J160" s="296">
        <f t="shared" ca="1" si="31"/>
        <v>94526.39170112017</v>
      </c>
      <c r="K160" s="949">
        <f ca="1">J171</f>
        <v>90849.507648408777</v>
      </c>
      <c r="L160" s="949"/>
      <c r="M160" s="949"/>
      <c r="N160" s="950">
        <f t="shared" ref="N160" ca="1" si="37">SUM(G160:G171)</f>
        <v>4536.480970222733</v>
      </c>
      <c r="O160" s="950"/>
    </row>
    <row r="161" spans="2:15" ht="9.75" customHeight="1">
      <c r="B161" s="946"/>
      <c r="C161" s="946"/>
      <c r="D161" s="294">
        <f t="shared" ca="1" si="29"/>
        <v>51008</v>
      </c>
      <c r="E161" s="359">
        <f t="shared" si="32"/>
        <v>1500000</v>
      </c>
      <c r="F161" s="360">
        <f t="shared" ca="1" si="30"/>
        <v>60</v>
      </c>
      <c r="G161" s="295">
        <f ca="1">KBACOI!O160</f>
        <v>377.60390942963244</v>
      </c>
      <c r="H161" s="295">
        <f ca="1">(H160-F161-G161)*(1+$V$3)</f>
        <v>94166.838027296384</v>
      </c>
      <c r="I161" s="953"/>
      <c r="J161" s="296">
        <f t="shared" ca="1" si="31"/>
        <v>94166.838027296384</v>
      </c>
      <c r="K161" s="949"/>
      <c r="L161" s="949"/>
      <c r="M161" s="949"/>
      <c r="N161" s="950"/>
      <c r="O161" s="950"/>
    </row>
    <row r="162" spans="2:15" ht="9.75" customHeight="1">
      <c r="B162" s="946"/>
      <c r="C162" s="946"/>
      <c r="D162" s="294">
        <f t="shared" ca="1" si="29"/>
        <v>51039</v>
      </c>
      <c r="E162" s="359">
        <f t="shared" si="32"/>
        <v>1500000</v>
      </c>
      <c r="F162" s="360">
        <f t="shared" ca="1" si="30"/>
        <v>60</v>
      </c>
      <c r="G162" s="295">
        <f ca="1">KBACOI!O161</f>
        <v>377.70050951666644</v>
      </c>
      <c r="H162" s="295">
        <f t="shared" ref="H162:H171" ca="1" si="38">(H161-F162-G162)*(1+$V$3)</f>
        <v>93806.889409775511</v>
      </c>
      <c r="I162" s="953"/>
      <c r="J162" s="296">
        <f t="shared" ca="1" si="31"/>
        <v>93806.889409775511</v>
      </c>
      <c r="K162" s="949"/>
      <c r="L162" s="949"/>
      <c r="M162" s="949"/>
      <c r="N162" s="950"/>
      <c r="O162" s="950"/>
    </row>
    <row r="163" spans="2:15" ht="9.75" customHeight="1">
      <c r="B163" s="946"/>
      <c r="C163" s="946"/>
      <c r="D163" s="294">
        <f t="shared" ca="1" si="29"/>
        <v>51069</v>
      </c>
      <c r="E163" s="359">
        <f t="shared" si="32"/>
        <v>1500000</v>
      </c>
      <c r="F163" s="360">
        <f t="shared" ca="1" si="30"/>
        <v>60</v>
      </c>
      <c r="G163" s="295">
        <f ca="1">KBACOI!O162</f>
        <v>377.79721571190697</v>
      </c>
      <c r="H163" s="295">
        <f t="shared" ca="1" si="38"/>
        <v>93446.545414740482</v>
      </c>
      <c r="I163" s="953"/>
      <c r="J163" s="296">
        <f t="shared" ca="1" si="31"/>
        <v>93446.545414740482</v>
      </c>
      <c r="K163" s="949"/>
      <c r="L163" s="949"/>
      <c r="M163" s="949"/>
      <c r="N163" s="950"/>
      <c r="O163" s="950"/>
    </row>
    <row r="164" spans="2:15" ht="9.75" customHeight="1">
      <c r="B164" s="946"/>
      <c r="C164" s="946"/>
      <c r="D164" s="294">
        <f t="shared" ca="1" si="29"/>
        <v>51100</v>
      </c>
      <c r="E164" s="359">
        <f t="shared" si="32"/>
        <v>1500000</v>
      </c>
      <c r="F164" s="360">
        <f t="shared" ca="1" si="30"/>
        <v>60</v>
      </c>
      <c r="G164" s="295">
        <f ca="1">KBACOI!O163</f>
        <v>377.8940281319064</v>
      </c>
      <c r="H164" s="295">
        <f t="shared" ca="1" si="38"/>
        <v>93085.805607897695</v>
      </c>
      <c r="I164" s="953"/>
      <c r="J164" s="296">
        <f t="shared" ca="1" si="31"/>
        <v>93085.805607897695</v>
      </c>
      <c r="K164" s="949"/>
      <c r="L164" s="949"/>
      <c r="M164" s="949"/>
      <c r="N164" s="950"/>
      <c r="O164" s="950"/>
    </row>
    <row r="165" spans="2:15" ht="9.75" customHeight="1">
      <c r="B165" s="946"/>
      <c r="C165" s="946"/>
      <c r="D165" s="294">
        <f t="shared" ca="1" si="29"/>
        <v>51130</v>
      </c>
      <c r="E165" s="359">
        <f t="shared" si="32"/>
        <v>1500000</v>
      </c>
      <c r="F165" s="360">
        <f t="shared" ca="1" si="30"/>
        <v>60</v>
      </c>
      <c r="G165" s="295">
        <f ca="1">KBACOI!O164</f>
        <v>377.99094689334487</v>
      </c>
      <c r="H165" s="295">
        <f t="shared" ca="1" si="38"/>
        <v>92724.669554476524</v>
      </c>
      <c r="I165" s="953"/>
      <c r="J165" s="296">
        <f t="shared" ca="1" si="31"/>
        <v>92724.669554476524</v>
      </c>
      <c r="K165" s="949"/>
      <c r="L165" s="949"/>
      <c r="M165" s="949"/>
      <c r="N165" s="950"/>
      <c r="O165" s="950"/>
    </row>
    <row r="166" spans="2:15" ht="9.75" customHeight="1">
      <c r="B166" s="946"/>
      <c r="C166" s="946"/>
      <c r="D166" s="294">
        <f t="shared" ca="1" si="29"/>
        <v>51161</v>
      </c>
      <c r="E166" s="359">
        <f t="shared" si="32"/>
        <v>1500000</v>
      </c>
      <c r="F166" s="360">
        <f t="shared" ca="1" si="30"/>
        <v>60</v>
      </c>
      <c r="G166" s="295">
        <f ca="1">KBACOI!O165</f>
        <v>378.08797211303067</v>
      </c>
      <c r="H166" s="295">
        <f t="shared" ca="1" si="38"/>
        <v>92363.136819228777</v>
      </c>
      <c r="I166" s="953"/>
      <c r="J166" s="296">
        <f t="shared" ca="1" si="31"/>
        <v>92363.136819228777</v>
      </c>
      <c r="K166" s="949"/>
      <c r="L166" s="949"/>
      <c r="M166" s="949"/>
      <c r="N166" s="950"/>
      <c r="O166" s="950"/>
    </row>
    <row r="167" spans="2:15" ht="9.75" customHeight="1">
      <c r="B167" s="946"/>
      <c r="C167" s="946"/>
      <c r="D167" s="294">
        <f t="shared" ca="1" si="29"/>
        <v>51192</v>
      </c>
      <c r="E167" s="359">
        <f t="shared" si="32"/>
        <v>1500000</v>
      </c>
      <c r="F167" s="360">
        <f t="shared" ca="1" si="30"/>
        <v>60</v>
      </c>
      <c r="G167" s="295">
        <f ca="1">KBACOI!O166</f>
        <v>378.18510390790055</v>
      </c>
      <c r="H167" s="295">
        <f t="shared" ca="1" si="38"/>
        <v>92001.206966428159</v>
      </c>
      <c r="I167" s="953"/>
      <c r="J167" s="296">
        <f t="shared" ca="1" si="31"/>
        <v>92001.206966428159</v>
      </c>
      <c r="K167" s="949"/>
      <c r="L167" s="949"/>
      <c r="M167" s="949"/>
      <c r="N167" s="950"/>
      <c r="O167" s="950"/>
    </row>
    <row r="168" spans="2:15" ht="9.75" customHeight="1">
      <c r="B168" s="946"/>
      <c r="C168" s="946"/>
      <c r="D168" s="294">
        <f t="shared" ca="1" si="29"/>
        <v>51221</v>
      </c>
      <c r="E168" s="359">
        <f t="shared" si="32"/>
        <v>1500000</v>
      </c>
      <c r="F168" s="360">
        <f t="shared" ca="1" si="30"/>
        <v>60</v>
      </c>
      <c r="G168" s="295">
        <f ca="1">KBACOI!O167</f>
        <v>378.28234239501967</v>
      </c>
      <c r="H168" s="295">
        <f t="shared" ca="1" si="38"/>
        <v>91638.879559869776</v>
      </c>
      <c r="I168" s="953"/>
      <c r="J168" s="296">
        <f t="shared" ca="1" si="31"/>
        <v>91638.879559869776</v>
      </c>
      <c r="K168" s="949"/>
      <c r="L168" s="949"/>
      <c r="M168" s="949"/>
      <c r="N168" s="950"/>
      <c r="O168" s="950"/>
    </row>
    <row r="169" spans="2:15" ht="9.75" customHeight="1">
      <c r="B169" s="946"/>
      <c r="C169" s="946"/>
      <c r="D169" s="294">
        <f t="shared" ca="1" si="29"/>
        <v>51252</v>
      </c>
      <c r="E169" s="359">
        <f t="shared" si="32"/>
        <v>1500000</v>
      </c>
      <c r="F169" s="360">
        <f t="shared" ca="1" si="30"/>
        <v>60</v>
      </c>
      <c r="G169" s="295">
        <f ca="1">KBACOI!O168</f>
        <v>378.37968769158169</v>
      </c>
      <c r="H169" s="295">
        <f t="shared" ca="1" si="38"/>
        <v>91276.154162869585</v>
      </c>
      <c r="I169" s="953"/>
      <c r="J169" s="296">
        <f t="shared" ca="1" si="31"/>
        <v>91276.154162869585</v>
      </c>
      <c r="K169" s="949"/>
      <c r="L169" s="949"/>
      <c r="M169" s="949"/>
      <c r="N169" s="950"/>
      <c r="O169" s="950"/>
    </row>
    <row r="170" spans="2:15" ht="9.75" customHeight="1">
      <c r="B170" s="946"/>
      <c r="C170" s="946"/>
      <c r="D170" s="294">
        <f t="shared" ca="1" si="29"/>
        <v>51282</v>
      </c>
      <c r="E170" s="359">
        <f t="shared" si="32"/>
        <v>1500000</v>
      </c>
      <c r="F170" s="360">
        <f t="shared" ca="1" si="30"/>
        <v>60</v>
      </c>
      <c r="G170" s="295">
        <f ca="1">KBACOI!O169</f>
        <v>378.47713991490906</v>
      </c>
      <c r="H170" s="295">
        <f t="shared" ca="1" si="38"/>
        <v>90913.030338263896</v>
      </c>
      <c r="I170" s="953"/>
      <c r="J170" s="296">
        <f t="shared" ca="1" si="31"/>
        <v>90913.030338263896</v>
      </c>
      <c r="K170" s="949"/>
      <c r="L170" s="949"/>
      <c r="M170" s="949"/>
      <c r="N170" s="950"/>
      <c r="O170" s="950"/>
    </row>
    <row r="171" spans="2:15" ht="9.75" customHeight="1">
      <c r="B171" s="946"/>
      <c r="C171" s="946"/>
      <c r="D171" s="294">
        <f t="shared" ca="1" si="29"/>
        <v>51313</v>
      </c>
      <c r="E171" s="359">
        <f t="shared" si="32"/>
        <v>1500000</v>
      </c>
      <c r="F171" s="360">
        <f t="shared" ca="1" si="30"/>
        <v>60</v>
      </c>
      <c r="G171" s="295">
        <f ca="1">KBACOI!O170</f>
        <v>378.57469918245323</v>
      </c>
      <c r="H171" s="295">
        <f t="shared" ca="1" si="38"/>
        <v>90549.507648408777</v>
      </c>
      <c r="I171" s="953"/>
      <c r="J171" s="297">
        <f ca="1">H171+I160</f>
        <v>90849.507648408777</v>
      </c>
      <c r="K171" s="949"/>
      <c r="L171" s="949"/>
      <c r="M171" s="949"/>
      <c r="N171" s="950"/>
      <c r="O171" s="950"/>
    </row>
    <row r="172" spans="2:15" ht="9.75" customHeight="1">
      <c r="B172" s="951">
        <f>B160+1</f>
        <v>15</v>
      </c>
      <c r="C172" s="952">
        <f ca="1">C160+1</f>
        <v>44</v>
      </c>
      <c r="D172" s="287">
        <f t="shared" ca="1" si="29"/>
        <v>51343</v>
      </c>
      <c r="E172" s="288">
        <f t="shared" si="32"/>
        <v>1500000</v>
      </c>
      <c r="F172" s="289">
        <f t="shared" ca="1" si="30"/>
        <v>60</v>
      </c>
      <c r="G172" s="290">
        <f ca="1">KBACOI!O171</f>
        <v>407.61917677176353</v>
      </c>
      <c r="H172" s="290">
        <f ca="1">(J171+KBAGTTKcamket!F20-F172-G172)*(1+$V$3)</f>
        <v>100465.15907411427</v>
      </c>
      <c r="I172" s="953">
        <f>IF(COUNTIF(KBAGTTKcamket!$E$7:E21,0)&gt;0,0,3%*'Tinh phi QL'!$H$13/1000)</f>
        <v>300</v>
      </c>
      <c r="J172" s="292">
        <f t="shared" ca="1" si="31"/>
        <v>100465.15907411427</v>
      </c>
      <c r="K172" s="949">
        <f ca="1">J183</f>
        <v>96508.778926331695</v>
      </c>
      <c r="L172" s="949"/>
      <c r="M172" s="949"/>
      <c r="N172" s="950">
        <f t="shared" ref="N172" ca="1" si="39">SUM(G172:G183)</f>
        <v>4898.8480631424472</v>
      </c>
      <c r="O172" s="950"/>
    </row>
    <row r="173" spans="2:15" ht="9.75" customHeight="1">
      <c r="B173" s="951"/>
      <c r="C173" s="951"/>
      <c r="D173" s="287">
        <f t="shared" ca="1" si="29"/>
        <v>51374</v>
      </c>
      <c r="E173" s="288">
        <f t="shared" si="32"/>
        <v>1500000</v>
      </c>
      <c r="F173" s="289">
        <f t="shared" ca="1" si="30"/>
        <v>60</v>
      </c>
      <c r="G173" s="290">
        <f ca="1">KBACOI!O172</f>
        <v>407.73115032307481</v>
      </c>
      <c r="H173" s="290">
        <f ca="1">(H172-F173-G173)*(1+$V$3)</f>
        <v>100080.37960159057</v>
      </c>
      <c r="I173" s="953"/>
      <c r="J173" s="292">
        <f t="shared" ca="1" si="31"/>
        <v>100080.37960159057</v>
      </c>
      <c r="K173" s="949"/>
      <c r="L173" s="949"/>
      <c r="M173" s="949"/>
      <c r="N173" s="950"/>
      <c r="O173" s="950"/>
    </row>
    <row r="174" spans="2:15" ht="9.75" customHeight="1">
      <c r="B174" s="951"/>
      <c r="C174" s="951"/>
      <c r="D174" s="287">
        <f t="shared" ca="1" si="29"/>
        <v>51405</v>
      </c>
      <c r="E174" s="288">
        <f t="shared" si="32"/>
        <v>1500000</v>
      </c>
      <c r="F174" s="289">
        <f t="shared" ca="1" si="30"/>
        <v>60</v>
      </c>
      <c r="G174" s="290">
        <f ca="1">KBACOI!O173</f>
        <v>407.84324940940331</v>
      </c>
      <c r="H174" s="290">
        <f t="shared" ref="H174:H183" ca="1" si="40">(H173-F174-G174)*(1+$V$3)</f>
        <v>99695.168747751988</v>
      </c>
      <c r="I174" s="953"/>
      <c r="J174" s="292">
        <f t="shared" ca="1" si="31"/>
        <v>99695.168747751988</v>
      </c>
      <c r="K174" s="949"/>
      <c r="L174" s="949"/>
      <c r="M174" s="949"/>
      <c r="N174" s="950"/>
      <c r="O174" s="950"/>
    </row>
    <row r="175" spans="2:15" ht="9.75" customHeight="1">
      <c r="B175" s="951"/>
      <c r="C175" s="951"/>
      <c r="D175" s="287">
        <f t="shared" ca="1" si="29"/>
        <v>51435</v>
      </c>
      <c r="E175" s="288">
        <f t="shared" si="32"/>
        <v>1500000</v>
      </c>
      <c r="F175" s="289">
        <f t="shared" ca="1" si="30"/>
        <v>60</v>
      </c>
      <c r="G175" s="290">
        <f ca="1">KBACOI!O174</f>
        <v>407.95547417148822</v>
      </c>
      <c r="H175" s="290">
        <f t="shared" ca="1" si="40"/>
        <v>99309.52602897129</v>
      </c>
      <c r="I175" s="953"/>
      <c r="J175" s="292">
        <f t="shared" ca="1" si="31"/>
        <v>99309.52602897129</v>
      </c>
      <c r="K175" s="949"/>
      <c r="L175" s="949"/>
      <c r="M175" s="949"/>
      <c r="N175" s="950"/>
      <c r="O175" s="950"/>
    </row>
    <row r="176" spans="2:15" ht="9.75" customHeight="1">
      <c r="B176" s="951"/>
      <c r="C176" s="951"/>
      <c r="D176" s="287">
        <f t="shared" ca="1" si="29"/>
        <v>51466</v>
      </c>
      <c r="E176" s="288">
        <f t="shared" si="32"/>
        <v>1500000</v>
      </c>
      <c r="F176" s="289">
        <f t="shared" ca="1" si="30"/>
        <v>60</v>
      </c>
      <c r="G176" s="290">
        <f ca="1">KBACOI!O175</f>
        <v>408.06782475022641</v>
      </c>
      <c r="H176" s="290">
        <f t="shared" ca="1" si="40"/>
        <v>98923.450961079026</v>
      </c>
      <c r="I176" s="953"/>
      <c r="J176" s="292">
        <f t="shared" ca="1" si="31"/>
        <v>98923.450961079026</v>
      </c>
      <c r="K176" s="949"/>
      <c r="L176" s="949"/>
      <c r="M176" s="949"/>
      <c r="N176" s="950"/>
      <c r="O176" s="950"/>
    </row>
    <row r="177" spans="2:15" ht="9.75" customHeight="1">
      <c r="B177" s="951"/>
      <c r="C177" s="951"/>
      <c r="D177" s="287">
        <f t="shared" ca="1" si="29"/>
        <v>51496</v>
      </c>
      <c r="E177" s="288">
        <f t="shared" si="32"/>
        <v>1500000</v>
      </c>
      <c r="F177" s="289">
        <f t="shared" ca="1" si="30"/>
        <v>60</v>
      </c>
      <c r="G177" s="290">
        <f ca="1">KBACOI!O176</f>
        <v>408.18030128667232</v>
      </c>
      <c r="H177" s="290">
        <f t="shared" ca="1" si="40"/>
        <v>98536.943059362922</v>
      </c>
      <c r="I177" s="953"/>
      <c r="J177" s="292">
        <f t="shared" ca="1" si="31"/>
        <v>98536.943059362922</v>
      </c>
      <c r="K177" s="949"/>
      <c r="L177" s="949"/>
      <c r="M177" s="949"/>
      <c r="N177" s="950"/>
      <c r="O177" s="950"/>
    </row>
    <row r="178" spans="2:15" ht="9.75" customHeight="1">
      <c r="B178" s="951"/>
      <c r="C178" s="951"/>
      <c r="D178" s="287">
        <f t="shared" ca="1" si="29"/>
        <v>51527</v>
      </c>
      <c r="E178" s="288">
        <f t="shared" si="32"/>
        <v>1500000</v>
      </c>
      <c r="F178" s="289">
        <f t="shared" ca="1" si="30"/>
        <v>60</v>
      </c>
      <c r="G178" s="290">
        <f ca="1">KBACOI!O177</f>
        <v>408.29290392203893</v>
      </c>
      <c r="H178" s="290">
        <f t="shared" ca="1" si="40"/>
        <v>98150.001838567303</v>
      </c>
      <c r="I178" s="953"/>
      <c r="J178" s="292">
        <f t="shared" ca="1" si="31"/>
        <v>98150.001838567303</v>
      </c>
      <c r="K178" s="949"/>
      <c r="L178" s="949"/>
      <c r="M178" s="949"/>
      <c r="N178" s="950"/>
      <c r="O178" s="950"/>
    </row>
    <row r="179" spans="2:15" ht="9.75" customHeight="1">
      <c r="B179" s="951"/>
      <c r="C179" s="951"/>
      <c r="D179" s="287">
        <f t="shared" ca="1" si="29"/>
        <v>51558</v>
      </c>
      <c r="E179" s="288">
        <f t="shared" si="32"/>
        <v>1500000</v>
      </c>
      <c r="F179" s="289">
        <f t="shared" ca="1" si="30"/>
        <v>60</v>
      </c>
      <c r="G179" s="290">
        <f ca="1">KBACOI!O178</f>
        <v>408.40563279769736</v>
      </c>
      <c r="H179" s="290">
        <f t="shared" ca="1" si="40"/>
        <v>97762.626812892457</v>
      </c>
      <c r="I179" s="953"/>
      <c r="J179" s="292">
        <f t="shared" ca="1" si="31"/>
        <v>97762.626812892457</v>
      </c>
      <c r="K179" s="949"/>
      <c r="L179" s="949"/>
      <c r="M179" s="949"/>
      <c r="N179" s="950"/>
      <c r="O179" s="950"/>
    </row>
    <row r="180" spans="2:15" ht="9.75" customHeight="1">
      <c r="B180" s="951"/>
      <c r="C180" s="951"/>
      <c r="D180" s="287">
        <f t="shared" ca="1" si="29"/>
        <v>51586</v>
      </c>
      <c r="E180" s="288">
        <f t="shared" si="32"/>
        <v>1500000</v>
      </c>
      <c r="F180" s="289">
        <f t="shared" ca="1" si="30"/>
        <v>60</v>
      </c>
      <c r="G180" s="290">
        <f ca="1">KBACOI!O179</f>
        <v>408.51848805517733</v>
      </c>
      <c r="H180" s="290">
        <f t="shared" ca="1" si="40"/>
        <v>97374.817495994052</v>
      </c>
      <c r="I180" s="953"/>
      <c r="J180" s="292">
        <f t="shared" ca="1" si="31"/>
        <v>97374.817495994052</v>
      </c>
      <c r="K180" s="949"/>
      <c r="L180" s="949"/>
      <c r="M180" s="949"/>
      <c r="N180" s="950"/>
      <c r="O180" s="950"/>
    </row>
    <row r="181" spans="2:15" ht="9.75" customHeight="1">
      <c r="B181" s="951"/>
      <c r="C181" s="951"/>
      <c r="D181" s="287">
        <f t="shared" ca="1" si="29"/>
        <v>51617</v>
      </c>
      <c r="E181" s="288">
        <f t="shared" si="32"/>
        <v>1500000</v>
      </c>
      <c r="F181" s="289">
        <f t="shared" ca="1" si="30"/>
        <v>60</v>
      </c>
      <c r="G181" s="290">
        <f ca="1">KBACOI!O180</f>
        <v>408.63146983616707</v>
      </c>
      <c r="H181" s="290">
        <f t="shared" ca="1" si="40"/>
        <v>96986.573400982496</v>
      </c>
      <c r="I181" s="953"/>
      <c r="J181" s="292">
        <f t="shared" ca="1" si="31"/>
        <v>96986.573400982496</v>
      </c>
      <c r="K181" s="949"/>
      <c r="L181" s="949"/>
      <c r="M181" s="949"/>
      <c r="N181" s="950"/>
      <c r="O181" s="950"/>
    </row>
    <row r="182" spans="2:15" ht="9.75" customHeight="1">
      <c r="B182" s="951"/>
      <c r="C182" s="951"/>
      <c r="D182" s="287">
        <f t="shared" ca="1" si="29"/>
        <v>51647</v>
      </c>
      <c r="E182" s="288">
        <f t="shared" si="32"/>
        <v>1500000</v>
      </c>
      <c r="F182" s="289">
        <f t="shared" ca="1" si="30"/>
        <v>60</v>
      </c>
      <c r="G182" s="290">
        <f ca="1">KBACOI!O181</f>
        <v>408.74457828251383</v>
      </c>
      <c r="H182" s="290">
        <f t="shared" ca="1" si="40"/>
        <v>96597.894040422354</v>
      </c>
      <c r="I182" s="953"/>
      <c r="J182" s="292">
        <f t="shared" ca="1" si="31"/>
        <v>96597.894040422354</v>
      </c>
      <c r="K182" s="949"/>
      <c r="L182" s="949"/>
      <c r="M182" s="949"/>
      <c r="N182" s="950"/>
      <c r="O182" s="950"/>
    </row>
    <row r="183" spans="2:15" ht="9.75" customHeight="1">
      <c r="B183" s="951"/>
      <c r="C183" s="951"/>
      <c r="D183" s="287">
        <f t="shared" ca="1" si="29"/>
        <v>51678</v>
      </c>
      <c r="E183" s="288">
        <f t="shared" si="32"/>
        <v>1500000</v>
      </c>
      <c r="F183" s="289">
        <f t="shared" ca="1" si="30"/>
        <v>60</v>
      </c>
      <c r="G183" s="290">
        <f ca="1">KBACOI!O182</f>
        <v>408.85781353622366</v>
      </c>
      <c r="H183" s="290">
        <f t="shared" ca="1" si="40"/>
        <v>96208.778926331695</v>
      </c>
      <c r="I183" s="953"/>
      <c r="J183" s="293">
        <f ca="1">H183+I172</f>
        <v>96508.778926331695</v>
      </c>
      <c r="K183" s="949"/>
      <c r="L183" s="949"/>
      <c r="M183" s="949"/>
      <c r="N183" s="950"/>
      <c r="O183" s="950"/>
    </row>
    <row r="184" spans="2:15" ht="9.75" customHeight="1">
      <c r="B184" s="946">
        <f>B172+1</f>
        <v>16</v>
      </c>
      <c r="C184" s="947">
        <f ca="1">C172+1</f>
        <v>45</v>
      </c>
      <c r="D184" s="294">
        <f t="shared" ca="1" si="29"/>
        <v>51708</v>
      </c>
      <c r="E184" s="359">
        <f t="shared" si="32"/>
        <v>1500000</v>
      </c>
      <c r="F184" s="360">
        <f t="shared" ca="1" si="30"/>
        <v>60</v>
      </c>
      <c r="G184" s="295">
        <f ca="1">KBACOI!O183</f>
        <v>439.41423171189666</v>
      </c>
      <c r="H184" s="295">
        <f ca="1">(J183+KBAGTTKcamket!F21-F184-G184)*(1+$W$3)</f>
        <v>106053.43436120365</v>
      </c>
      <c r="I184" s="953">
        <f>IF(COUNTIF(KBAGTTKcamket!$E$7:E22,0)&gt;0,0,3%*'Tinh phi QL'!$H$13/1000)</f>
        <v>300</v>
      </c>
      <c r="J184" s="296">
        <f t="shared" ca="1" si="31"/>
        <v>106053.43436120365</v>
      </c>
      <c r="K184" s="949">
        <f ca="1">J195</f>
        <v>101322.61655893427</v>
      </c>
      <c r="L184" s="949"/>
      <c r="M184" s="949"/>
      <c r="N184" s="950">
        <f t="shared" ref="N184" ca="1" si="41">SUM(G184:G195)</f>
        <v>5282.4705467287986</v>
      </c>
      <c r="O184" s="950"/>
    </row>
    <row r="185" spans="2:15" ht="9.75" customHeight="1">
      <c r="B185" s="946"/>
      <c r="C185" s="946"/>
      <c r="D185" s="294">
        <f t="shared" ca="1" si="29"/>
        <v>51739</v>
      </c>
      <c r="E185" s="359">
        <f t="shared" si="32"/>
        <v>1500000</v>
      </c>
      <c r="F185" s="360">
        <f t="shared" ca="1" si="30"/>
        <v>60</v>
      </c>
      <c r="G185" s="295">
        <f ca="1">KBACOI!O184</f>
        <v>439.55781703143384</v>
      </c>
      <c r="H185" s="295">
        <f ca="1">(H184-F185-G185)*(1+$W$3)</f>
        <v>105597.75685757032</v>
      </c>
      <c r="I185" s="953"/>
      <c r="J185" s="296">
        <f t="shared" ca="1" si="31"/>
        <v>105597.75685757032</v>
      </c>
      <c r="K185" s="949"/>
      <c r="L185" s="949"/>
      <c r="M185" s="949"/>
      <c r="N185" s="950"/>
      <c r="O185" s="950"/>
    </row>
    <row r="186" spans="2:15" ht="9.75" customHeight="1">
      <c r="B186" s="946"/>
      <c r="C186" s="946"/>
      <c r="D186" s="294">
        <f t="shared" ca="1" si="29"/>
        <v>51770</v>
      </c>
      <c r="E186" s="359">
        <f t="shared" si="32"/>
        <v>1500000</v>
      </c>
      <c r="F186" s="360">
        <f t="shared" ca="1" si="30"/>
        <v>60</v>
      </c>
      <c r="G186" s="295">
        <f ca="1">KBACOI!O185</f>
        <v>439.70150733757947</v>
      </c>
      <c r="H186" s="295">
        <f t="shared" ref="H186:H243" ca="1" si="42">(H185-F186-G186)*(1+$W$3)</f>
        <v>105141.74617199399</v>
      </c>
      <c r="I186" s="953"/>
      <c r="J186" s="296">
        <f t="shared" ca="1" si="31"/>
        <v>105141.74617199399</v>
      </c>
      <c r="K186" s="949"/>
      <c r="L186" s="949"/>
      <c r="M186" s="949"/>
      <c r="N186" s="950"/>
      <c r="O186" s="950"/>
    </row>
    <row r="187" spans="2:15" ht="9.75" customHeight="1">
      <c r="B187" s="946"/>
      <c r="C187" s="946"/>
      <c r="D187" s="294">
        <f t="shared" ca="1" si="29"/>
        <v>51800</v>
      </c>
      <c r="E187" s="359">
        <f t="shared" si="32"/>
        <v>1500000</v>
      </c>
      <c r="F187" s="360">
        <f t="shared" ca="1" si="30"/>
        <v>60</v>
      </c>
      <c r="G187" s="295">
        <f ca="1">KBACOI!O186</f>
        <v>439.84530270709791</v>
      </c>
      <c r="H187" s="295">
        <f t="shared" ca="1" si="42"/>
        <v>104685.40206085892</v>
      </c>
      <c r="I187" s="953"/>
      <c r="J187" s="296">
        <f t="shared" ca="1" si="31"/>
        <v>104685.40206085892</v>
      </c>
      <c r="K187" s="949"/>
      <c r="L187" s="949"/>
      <c r="M187" s="949"/>
      <c r="N187" s="950"/>
      <c r="O187" s="950"/>
    </row>
    <row r="188" spans="2:15" ht="9.75" customHeight="1">
      <c r="B188" s="946"/>
      <c r="C188" s="946"/>
      <c r="D188" s="294">
        <f t="shared" ca="1" si="29"/>
        <v>51831</v>
      </c>
      <c r="E188" s="359">
        <f t="shared" si="32"/>
        <v>1500000</v>
      </c>
      <c r="F188" s="360">
        <f t="shared" ca="1" si="30"/>
        <v>60</v>
      </c>
      <c r="G188" s="295">
        <f ca="1">KBACOI!O187</f>
        <v>439.98920321680913</v>
      </c>
      <c r="H188" s="295">
        <f t="shared" ca="1" si="42"/>
        <v>104228.72428037124</v>
      </c>
      <c r="I188" s="953"/>
      <c r="J188" s="296">
        <f t="shared" ca="1" si="31"/>
        <v>104228.72428037124</v>
      </c>
      <c r="K188" s="949"/>
      <c r="L188" s="949"/>
      <c r="M188" s="949"/>
      <c r="N188" s="950"/>
      <c r="O188" s="950"/>
    </row>
    <row r="189" spans="2:15" ht="9.75" customHeight="1">
      <c r="B189" s="946"/>
      <c r="C189" s="946"/>
      <c r="D189" s="294">
        <f t="shared" ca="1" si="29"/>
        <v>51861</v>
      </c>
      <c r="E189" s="359">
        <f t="shared" si="32"/>
        <v>1500000</v>
      </c>
      <c r="F189" s="360">
        <f t="shared" ca="1" si="30"/>
        <v>60</v>
      </c>
      <c r="G189" s="295">
        <f ca="1">KBACOI!O188</f>
        <v>440.13320894358952</v>
      </c>
      <c r="H189" s="295">
        <f t="shared" ca="1" si="42"/>
        <v>103771.71258655888</v>
      </c>
      <c r="I189" s="953"/>
      <c r="J189" s="296">
        <f t="shared" ca="1" si="31"/>
        <v>103771.71258655888</v>
      </c>
      <c r="K189" s="949"/>
      <c r="L189" s="949"/>
      <c r="M189" s="949"/>
      <c r="N189" s="950"/>
      <c r="O189" s="950"/>
    </row>
    <row r="190" spans="2:15" ht="9.75" customHeight="1">
      <c r="B190" s="946"/>
      <c r="C190" s="946"/>
      <c r="D190" s="294">
        <f t="shared" ca="1" si="29"/>
        <v>51892</v>
      </c>
      <c r="E190" s="359">
        <f t="shared" si="32"/>
        <v>1500000</v>
      </c>
      <c r="F190" s="360">
        <f t="shared" ca="1" si="30"/>
        <v>60</v>
      </c>
      <c r="G190" s="295">
        <f ca="1">KBACOI!O189</f>
        <v>440.27731996437177</v>
      </c>
      <c r="H190" s="295">
        <f t="shared" ca="1" si="42"/>
        <v>103314.36673527129</v>
      </c>
      <c r="I190" s="953"/>
      <c r="J190" s="296">
        <f t="shared" ca="1" si="31"/>
        <v>103314.36673527129</v>
      </c>
      <c r="K190" s="949"/>
      <c r="L190" s="949"/>
      <c r="M190" s="949"/>
      <c r="N190" s="950"/>
      <c r="O190" s="950"/>
    </row>
    <row r="191" spans="2:15" ht="9.75" customHeight="1">
      <c r="B191" s="946"/>
      <c r="C191" s="946"/>
      <c r="D191" s="294">
        <f t="shared" ca="1" si="29"/>
        <v>51923</v>
      </c>
      <c r="E191" s="359">
        <f t="shared" si="32"/>
        <v>1500000</v>
      </c>
      <c r="F191" s="360">
        <f t="shared" ca="1" si="30"/>
        <v>60</v>
      </c>
      <c r="G191" s="295">
        <f ca="1">KBACOI!O190</f>
        <v>440.42153635614449</v>
      </c>
      <c r="H191" s="295">
        <f t="shared" ca="1" si="42"/>
        <v>102856.6864821795</v>
      </c>
      <c r="I191" s="953"/>
      <c r="J191" s="296">
        <f t="shared" ca="1" si="31"/>
        <v>102856.6864821795</v>
      </c>
      <c r="K191" s="949"/>
      <c r="L191" s="949"/>
      <c r="M191" s="949"/>
      <c r="N191" s="950"/>
      <c r="O191" s="950"/>
    </row>
    <row r="192" spans="2:15" ht="9.75" customHeight="1">
      <c r="B192" s="946"/>
      <c r="C192" s="946"/>
      <c r="D192" s="294">
        <f t="shared" ca="1" si="29"/>
        <v>51951</v>
      </c>
      <c r="E192" s="359">
        <f t="shared" si="32"/>
        <v>1500000</v>
      </c>
      <c r="F192" s="360">
        <f t="shared" ca="1" si="30"/>
        <v>60</v>
      </c>
      <c r="G192" s="295">
        <f ca="1">KBACOI!O191</f>
        <v>440.56585819595279</v>
      </c>
      <c r="H192" s="295">
        <f t="shared" ca="1" si="42"/>
        <v>102398.6715827758</v>
      </c>
      <c r="I192" s="953"/>
      <c r="J192" s="296">
        <f t="shared" ca="1" si="31"/>
        <v>102398.6715827758</v>
      </c>
      <c r="K192" s="949"/>
      <c r="L192" s="949"/>
      <c r="M192" s="949"/>
      <c r="N192" s="950"/>
      <c r="O192" s="950"/>
    </row>
    <row r="193" spans="2:15" ht="9.75" customHeight="1">
      <c r="B193" s="946"/>
      <c r="C193" s="946"/>
      <c r="D193" s="294">
        <f t="shared" ca="1" si="29"/>
        <v>51982</v>
      </c>
      <c r="E193" s="359">
        <f t="shared" si="32"/>
        <v>1500000</v>
      </c>
      <c r="F193" s="360">
        <f t="shared" ca="1" si="30"/>
        <v>60</v>
      </c>
      <c r="G193" s="295">
        <f ca="1">KBACOI!O192</f>
        <v>440.710285560898</v>
      </c>
      <c r="H193" s="295">
        <f t="shared" ca="1" si="42"/>
        <v>101940.32179237378</v>
      </c>
      <c r="I193" s="953"/>
      <c r="J193" s="296">
        <f t="shared" ca="1" si="31"/>
        <v>101940.32179237378</v>
      </c>
      <c r="K193" s="949"/>
      <c r="L193" s="949"/>
      <c r="M193" s="949"/>
      <c r="N193" s="950"/>
      <c r="O193" s="950"/>
    </row>
    <row r="194" spans="2:15" ht="9.75" customHeight="1">
      <c r="B194" s="946"/>
      <c r="C194" s="946"/>
      <c r="D194" s="294">
        <f t="shared" ca="1" si="29"/>
        <v>52012</v>
      </c>
      <c r="E194" s="359">
        <f t="shared" si="32"/>
        <v>1500000</v>
      </c>
      <c r="F194" s="360">
        <f t="shared" ca="1" si="30"/>
        <v>60</v>
      </c>
      <c r="G194" s="295">
        <f ca="1">KBACOI!O193</f>
        <v>440.85481852813808</v>
      </c>
      <c r="H194" s="295">
        <f t="shared" ca="1" si="42"/>
        <v>101481.63686610806</v>
      </c>
      <c r="I194" s="953"/>
      <c r="J194" s="296">
        <f t="shared" ca="1" si="31"/>
        <v>101481.63686610806</v>
      </c>
      <c r="K194" s="949"/>
      <c r="L194" s="949"/>
      <c r="M194" s="949"/>
      <c r="N194" s="950"/>
      <c r="O194" s="950"/>
    </row>
    <row r="195" spans="2:15" ht="9.75" customHeight="1">
      <c r="B195" s="946"/>
      <c r="C195" s="946"/>
      <c r="D195" s="294">
        <f t="shared" ca="1" si="29"/>
        <v>52043</v>
      </c>
      <c r="E195" s="359">
        <f t="shared" si="32"/>
        <v>1500000</v>
      </c>
      <c r="F195" s="360">
        <f t="shared" ca="1" si="30"/>
        <v>60</v>
      </c>
      <c r="G195" s="295">
        <f ca="1">KBACOI!O194</f>
        <v>440.99945717488725</v>
      </c>
      <c r="H195" s="295">
        <f t="shared" ca="1" si="42"/>
        <v>101022.61655893427</v>
      </c>
      <c r="I195" s="953"/>
      <c r="J195" s="297">
        <f ca="1">H195+I184</f>
        <v>101322.61655893427</v>
      </c>
      <c r="K195" s="949"/>
      <c r="L195" s="949"/>
      <c r="M195" s="949"/>
      <c r="N195" s="950"/>
      <c r="O195" s="950"/>
    </row>
    <row r="196" spans="2:15" ht="9.75" customHeight="1">
      <c r="B196" s="951">
        <f>B184+1</f>
        <v>17</v>
      </c>
      <c r="C196" s="952">
        <f ca="1">C184+1</f>
        <v>46</v>
      </c>
      <c r="D196" s="287">
        <f t="shared" ca="1" si="29"/>
        <v>52073</v>
      </c>
      <c r="E196" s="288">
        <f t="shared" si="32"/>
        <v>1500000</v>
      </c>
      <c r="F196" s="289">
        <f t="shared" ca="1" si="30"/>
        <v>60</v>
      </c>
      <c r="G196" s="290">
        <f ca="1">KBACOI!O195</f>
        <v>474.00188021455045</v>
      </c>
      <c r="H196" s="290">
        <f ca="1">(J195+KBAGTTKcamket!F23-F196-G196)*(1+$W$3)</f>
        <v>110834.67115046862</v>
      </c>
      <c r="I196" s="953">
        <f>IF(COUNTIF(KBAGTTKcamket!$E$7:E23,0)&gt;0,0,3%*'Tinh phi QL'!$H$13/1000)</f>
        <v>300</v>
      </c>
      <c r="J196" s="292">
        <f t="shared" ca="1" si="31"/>
        <v>110834.67115046862</v>
      </c>
      <c r="K196" s="949">
        <f ca="1">J207</f>
        <v>105742.82515604857</v>
      </c>
      <c r="L196" s="949"/>
      <c r="M196" s="949"/>
      <c r="N196" s="950">
        <f t="shared" ref="N196" ca="1" si="43">SUM(G196:G207)</f>
        <v>5699.0427886017624</v>
      </c>
      <c r="O196" s="950"/>
    </row>
    <row r="197" spans="2:15" ht="9.75" customHeight="1">
      <c r="B197" s="951"/>
      <c r="C197" s="951"/>
      <c r="D197" s="287">
        <f t="shared" ref="D197:D243" ca="1" si="44">EDATE(D196,1)</f>
        <v>52104</v>
      </c>
      <c r="E197" s="288">
        <f t="shared" si="32"/>
        <v>1500000</v>
      </c>
      <c r="F197" s="289">
        <f t="shared" ref="F197:F243" ca="1" si="45">IF(YEAR(D197)=2025,40000,IF(YEAR(D197)=2026,40000,IF(YEAR(D197)=2027,40000,IF(YEAR(D197)=2028,40000,IF(YEAR(D197)=2029,40000,IF(YEAR(D197)=2030,50000,IF(YEAR(D197)=2031,50000,IF(YEAR(D197)=2032,50000,IF(YEAR(D197)=2033,50000,IF(YEAR(D197)=2034,50000,IF(YEAR(D197)&gt;=2035,60000,0)))))))))))/1000</f>
        <v>60</v>
      </c>
      <c r="G197" s="290">
        <f ca="1">KBACOI!O196</f>
        <v>474.16843224730678</v>
      </c>
      <c r="H197" s="290">
        <f t="shared" ca="1" si="42"/>
        <v>110346.35627458236</v>
      </c>
      <c r="I197" s="953"/>
      <c r="J197" s="292">
        <f t="shared" ref="J197:J242" ca="1" si="46">H197</f>
        <v>110346.35627458236</v>
      </c>
      <c r="K197" s="949"/>
      <c r="L197" s="949"/>
      <c r="M197" s="949"/>
      <c r="N197" s="950"/>
      <c r="O197" s="950"/>
    </row>
    <row r="198" spans="2:15" ht="9.75" customHeight="1">
      <c r="B198" s="951"/>
      <c r="C198" s="951"/>
      <c r="D198" s="287">
        <f t="shared" ca="1" si="44"/>
        <v>52135</v>
      </c>
      <c r="E198" s="288">
        <f t="shared" ref="E198:E243" si="47">E197</f>
        <v>1500000</v>
      </c>
      <c r="F198" s="289">
        <f t="shared" ca="1" si="45"/>
        <v>60</v>
      </c>
      <c r="G198" s="290">
        <f ca="1">KBACOI!O197</f>
        <v>474.33511039160925</v>
      </c>
      <c r="H198" s="290">
        <f t="shared" ca="1" si="42"/>
        <v>109857.67165151841</v>
      </c>
      <c r="I198" s="953"/>
      <c r="J198" s="292">
        <f t="shared" ca="1" si="46"/>
        <v>109857.67165151841</v>
      </c>
      <c r="K198" s="949"/>
      <c r="L198" s="949"/>
      <c r="M198" s="949"/>
      <c r="N198" s="950"/>
      <c r="O198" s="950"/>
    </row>
    <row r="199" spans="2:15" ht="9.75" customHeight="1">
      <c r="B199" s="951"/>
      <c r="C199" s="951"/>
      <c r="D199" s="287">
        <f t="shared" ca="1" si="44"/>
        <v>52165</v>
      </c>
      <c r="E199" s="288">
        <f t="shared" si="47"/>
        <v>1500000</v>
      </c>
      <c r="F199" s="289">
        <f t="shared" ca="1" si="45"/>
        <v>60</v>
      </c>
      <c r="G199" s="290">
        <f ca="1">KBACOI!O198</f>
        <v>474.50191474294843</v>
      </c>
      <c r="H199" s="290">
        <f t="shared" ca="1" si="42"/>
        <v>109368.61700130787</v>
      </c>
      <c r="I199" s="953"/>
      <c r="J199" s="292">
        <f t="shared" ca="1" si="46"/>
        <v>109368.61700130787</v>
      </c>
      <c r="K199" s="949"/>
      <c r="L199" s="949"/>
      <c r="M199" s="949"/>
      <c r="N199" s="950"/>
      <c r="O199" s="950"/>
    </row>
    <row r="200" spans="2:15" ht="9.75" customHeight="1">
      <c r="B200" s="951"/>
      <c r="C200" s="951"/>
      <c r="D200" s="287">
        <f t="shared" ca="1" si="44"/>
        <v>52196</v>
      </c>
      <c r="E200" s="288">
        <f t="shared" si="47"/>
        <v>1500000</v>
      </c>
      <c r="F200" s="289">
        <f t="shared" ca="1" si="45"/>
        <v>60</v>
      </c>
      <c r="G200" s="290">
        <f ca="1">KBACOI!O199</f>
        <v>474.66884539688687</v>
      </c>
      <c r="H200" s="290">
        <f t="shared" ca="1" si="42"/>
        <v>108879.19204376987</v>
      </c>
      <c r="I200" s="953"/>
      <c r="J200" s="292">
        <f t="shared" ca="1" si="46"/>
        <v>108879.19204376987</v>
      </c>
      <c r="K200" s="949"/>
      <c r="L200" s="949"/>
      <c r="M200" s="949"/>
      <c r="N200" s="950"/>
      <c r="O200" s="950"/>
    </row>
    <row r="201" spans="2:15" ht="9.75" customHeight="1">
      <c r="B201" s="951"/>
      <c r="C201" s="951"/>
      <c r="D201" s="287">
        <f t="shared" ca="1" si="44"/>
        <v>52226</v>
      </c>
      <c r="E201" s="288">
        <f t="shared" si="47"/>
        <v>1500000</v>
      </c>
      <c r="F201" s="289">
        <f t="shared" ca="1" si="45"/>
        <v>60</v>
      </c>
      <c r="G201" s="290">
        <f ca="1">KBACOI!O200</f>
        <v>474.83590244905992</v>
      </c>
      <c r="H201" s="290">
        <f t="shared" ca="1" si="42"/>
        <v>108389.39649851136</v>
      </c>
      <c r="I201" s="953"/>
      <c r="J201" s="292">
        <f t="shared" ca="1" si="46"/>
        <v>108389.39649851136</v>
      </c>
      <c r="K201" s="949"/>
      <c r="L201" s="949"/>
      <c r="M201" s="949"/>
      <c r="N201" s="950"/>
      <c r="O201" s="950"/>
    </row>
    <row r="202" spans="2:15" ht="9.75" customHeight="1">
      <c r="B202" s="951"/>
      <c r="C202" s="951"/>
      <c r="D202" s="287">
        <f t="shared" ca="1" si="44"/>
        <v>52257</v>
      </c>
      <c r="E202" s="288">
        <f t="shared" si="47"/>
        <v>1500000</v>
      </c>
      <c r="F202" s="289">
        <f t="shared" ca="1" si="45"/>
        <v>60</v>
      </c>
      <c r="G202" s="290">
        <f ca="1">KBACOI!O201</f>
        <v>475.00308599517479</v>
      </c>
      <c r="H202" s="290">
        <f t="shared" ca="1" si="42"/>
        <v>107899.230084927</v>
      </c>
      <c r="I202" s="953"/>
      <c r="J202" s="292">
        <f t="shared" ca="1" si="46"/>
        <v>107899.230084927</v>
      </c>
      <c r="K202" s="949"/>
      <c r="L202" s="949"/>
      <c r="M202" s="949"/>
      <c r="N202" s="950"/>
      <c r="O202" s="950"/>
    </row>
    <row r="203" spans="2:15" ht="9.75" customHeight="1">
      <c r="B203" s="951"/>
      <c r="C203" s="951"/>
      <c r="D203" s="287">
        <f t="shared" ca="1" si="44"/>
        <v>52288</v>
      </c>
      <c r="E203" s="288">
        <f t="shared" si="47"/>
        <v>1500000</v>
      </c>
      <c r="F203" s="289">
        <f t="shared" ca="1" si="45"/>
        <v>60</v>
      </c>
      <c r="G203" s="290">
        <f ca="1">KBACOI!O202</f>
        <v>475.17039613101156</v>
      </c>
      <c r="H203" s="290">
        <f t="shared" ca="1" si="42"/>
        <v>107408.69252219899</v>
      </c>
      <c r="I203" s="953"/>
      <c r="J203" s="292">
        <f t="shared" ca="1" si="46"/>
        <v>107408.69252219899</v>
      </c>
      <c r="K203" s="949"/>
      <c r="L203" s="949"/>
      <c r="M203" s="949"/>
      <c r="N203" s="950"/>
      <c r="O203" s="950"/>
    </row>
    <row r="204" spans="2:15" ht="9.75" customHeight="1">
      <c r="B204" s="951"/>
      <c r="C204" s="951"/>
      <c r="D204" s="287">
        <f t="shared" ca="1" si="44"/>
        <v>52316</v>
      </c>
      <c r="E204" s="288">
        <f t="shared" si="47"/>
        <v>1500000</v>
      </c>
      <c r="F204" s="289">
        <f t="shared" ca="1" si="45"/>
        <v>60</v>
      </c>
      <c r="G204" s="290">
        <f ca="1">KBACOI!O203</f>
        <v>475.33783295242279</v>
      </c>
      <c r="H204" s="290">
        <f t="shared" ca="1" si="42"/>
        <v>106917.78352929688</v>
      </c>
      <c r="I204" s="953"/>
      <c r="J204" s="292">
        <f t="shared" ca="1" si="46"/>
        <v>106917.78352929688</v>
      </c>
      <c r="K204" s="949"/>
      <c r="L204" s="949"/>
      <c r="M204" s="949"/>
      <c r="N204" s="950"/>
      <c r="O204" s="950"/>
    </row>
    <row r="205" spans="2:15" ht="9.75" customHeight="1">
      <c r="B205" s="951"/>
      <c r="C205" s="951"/>
      <c r="D205" s="287">
        <f t="shared" ca="1" si="44"/>
        <v>52347</v>
      </c>
      <c r="E205" s="288">
        <f t="shared" si="47"/>
        <v>1500000</v>
      </c>
      <c r="F205" s="289">
        <f t="shared" ca="1" si="45"/>
        <v>60</v>
      </c>
      <c r="G205" s="290">
        <f ca="1">KBACOI!O204</f>
        <v>475.50539655533333</v>
      </c>
      <c r="H205" s="290">
        <f t="shared" ca="1" si="42"/>
        <v>106426.50282497742</v>
      </c>
      <c r="I205" s="953"/>
      <c r="J205" s="292">
        <f t="shared" ca="1" si="46"/>
        <v>106426.50282497742</v>
      </c>
      <c r="K205" s="949"/>
      <c r="L205" s="949"/>
      <c r="M205" s="949"/>
      <c r="N205" s="950"/>
      <c r="O205" s="950"/>
    </row>
    <row r="206" spans="2:15" ht="9.75" customHeight="1">
      <c r="B206" s="951"/>
      <c r="C206" s="951"/>
      <c r="D206" s="287">
        <f t="shared" ca="1" si="44"/>
        <v>52377</v>
      </c>
      <c r="E206" s="288">
        <f t="shared" si="47"/>
        <v>1500000</v>
      </c>
      <c r="F206" s="289">
        <f t="shared" ca="1" si="45"/>
        <v>60</v>
      </c>
      <c r="G206" s="290">
        <f ca="1">KBACOI!O205</f>
        <v>475.67308703574105</v>
      </c>
      <c r="H206" s="290">
        <f t="shared" ca="1" si="42"/>
        <v>105934.85012778442</v>
      </c>
      <c r="I206" s="953"/>
      <c r="J206" s="292">
        <f t="shared" ca="1" si="46"/>
        <v>105934.85012778442</v>
      </c>
      <c r="K206" s="949"/>
      <c r="L206" s="949"/>
      <c r="M206" s="949"/>
      <c r="N206" s="950"/>
      <c r="O206" s="950"/>
    </row>
    <row r="207" spans="2:15" ht="9.75" customHeight="1">
      <c r="B207" s="951"/>
      <c r="C207" s="951"/>
      <c r="D207" s="287">
        <f t="shared" ca="1" si="44"/>
        <v>52408</v>
      </c>
      <c r="E207" s="288">
        <f t="shared" si="47"/>
        <v>1500000</v>
      </c>
      <c r="F207" s="289">
        <f t="shared" ca="1" si="45"/>
        <v>60</v>
      </c>
      <c r="G207" s="290">
        <f ca="1">KBACOI!O206</f>
        <v>475.84090448971619</v>
      </c>
      <c r="H207" s="290">
        <f t="shared" ca="1" si="42"/>
        <v>105442.82515604857</v>
      </c>
      <c r="I207" s="953"/>
      <c r="J207" s="293">
        <f ca="1">H207+I196</f>
        <v>105742.82515604857</v>
      </c>
      <c r="K207" s="949"/>
      <c r="L207" s="949"/>
      <c r="M207" s="949"/>
      <c r="N207" s="950"/>
      <c r="O207" s="950"/>
    </row>
    <row r="208" spans="2:15" ht="9.75" customHeight="1">
      <c r="B208" s="946">
        <f>B196+1</f>
        <v>18</v>
      </c>
      <c r="C208" s="947">
        <f ca="1">C196+1</f>
        <v>47</v>
      </c>
      <c r="D208" s="294">
        <f t="shared" ca="1" si="44"/>
        <v>52438</v>
      </c>
      <c r="E208" s="359">
        <f t="shared" si="47"/>
        <v>1500000</v>
      </c>
      <c r="F208" s="360">
        <f t="shared" ca="1" si="45"/>
        <v>60</v>
      </c>
      <c r="G208" s="295">
        <f ca="1">KBACOI!O207</f>
        <v>510.32947845913674</v>
      </c>
      <c r="H208" s="295">
        <f ca="1">(J207+KBAGTTKcamket!F24-F208-G208)*(1+$W$3)</f>
        <v>115220.37459374708</v>
      </c>
      <c r="I208" s="953">
        <f>IF(COUNTIF(KBAGTTKcamket!$E$7:E24,0)&gt;0,0,3%*'Tinh phi QL'!$H$13/1000)</f>
        <v>300</v>
      </c>
      <c r="J208" s="296">
        <f t="shared" ca="1" si="46"/>
        <v>115220.37459374708</v>
      </c>
      <c r="K208" s="949">
        <f ca="1">J219</f>
        <v>109746.29541721228</v>
      </c>
      <c r="L208" s="949"/>
      <c r="M208" s="949"/>
      <c r="N208" s="950">
        <f t="shared" ref="N208" ca="1" si="48">SUM(G208:G219)</f>
        <v>6136.6993113996359</v>
      </c>
      <c r="O208" s="950"/>
    </row>
    <row r="209" spans="2:15" ht="9.75" customHeight="1">
      <c r="B209" s="946"/>
      <c r="C209" s="946"/>
      <c r="D209" s="294">
        <f t="shared" ca="1" si="44"/>
        <v>52469</v>
      </c>
      <c r="E209" s="359">
        <f t="shared" si="47"/>
        <v>1500000</v>
      </c>
      <c r="F209" s="360">
        <f t="shared" ca="1" si="45"/>
        <v>60</v>
      </c>
      <c r="G209" s="295">
        <f ca="1">KBACOI!O208</f>
        <v>510.52208856643864</v>
      </c>
      <c r="H209" s="295">
        <f t="shared" ca="1" si="42"/>
        <v>114697.51415081303</v>
      </c>
      <c r="I209" s="953"/>
      <c r="J209" s="296">
        <f t="shared" ca="1" si="46"/>
        <v>114697.51415081303</v>
      </c>
      <c r="K209" s="949"/>
      <c r="L209" s="949"/>
      <c r="M209" s="949"/>
      <c r="N209" s="950"/>
      <c r="O209" s="950"/>
    </row>
    <row r="210" spans="2:15" ht="9.75" customHeight="1">
      <c r="B210" s="946"/>
      <c r="C210" s="946"/>
      <c r="D210" s="294">
        <f t="shared" ca="1" si="44"/>
        <v>52500</v>
      </c>
      <c r="E210" s="359">
        <f t="shared" si="47"/>
        <v>1500000</v>
      </c>
      <c r="F210" s="360">
        <f t="shared" ca="1" si="45"/>
        <v>60</v>
      </c>
      <c r="G210" s="295">
        <f ca="1">KBACOI!O209</f>
        <v>510.71484978306694</v>
      </c>
      <c r="H210" s="295">
        <f t="shared" ca="1" si="42"/>
        <v>114174.24350568082</v>
      </c>
      <c r="I210" s="953"/>
      <c r="J210" s="296">
        <f t="shared" ca="1" si="46"/>
        <v>114174.24350568082</v>
      </c>
      <c r="K210" s="949"/>
      <c r="L210" s="949"/>
      <c r="M210" s="949"/>
      <c r="N210" s="950"/>
      <c r="O210" s="950"/>
    </row>
    <row r="211" spans="2:15" ht="9.75" customHeight="1">
      <c r="B211" s="946"/>
      <c r="C211" s="946"/>
      <c r="D211" s="294">
        <f t="shared" ca="1" si="44"/>
        <v>52530</v>
      </c>
      <c r="E211" s="359">
        <f t="shared" si="47"/>
        <v>1500000</v>
      </c>
      <c r="F211" s="360">
        <f t="shared" ca="1" si="45"/>
        <v>60</v>
      </c>
      <c r="G211" s="295">
        <f ca="1">KBACOI!O210</f>
        <v>510.90776222757239</v>
      </c>
      <c r="H211" s="295">
        <f t="shared" ca="1" si="42"/>
        <v>113650.56233653254</v>
      </c>
      <c r="I211" s="953"/>
      <c r="J211" s="296">
        <f t="shared" ca="1" si="46"/>
        <v>113650.56233653254</v>
      </c>
      <c r="K211" s="949"/>
      <c r="L211" s="949"/>
      <c r="M211" s="949"/>
      <c r="N211" s="950"/>
      <c r="O211" s="950"/>
    </row>
    <row r="212" spans="2:15" ht="9.75" customHeight="1">
      <c r="B212" s="946"/>
      <c r="C212" s="946"/>
      <c r="D212" s="294">
        <f t="shared" ca="1" si="44"/>
        <v>52561</v>
      </c>
      <c r="E212" s="359">
        <f t="shared" si="47"/>
        <v>1500000</v>
      </c>
      <c r="F212" s="360">
        <f t="shared" ca="1" si="45"/>
        <v>60</v>
      </c>
      <c r="G212" s="295">
        <f ca="1">KBACOI!O211</f>
        <v>511.10082601859835</v>
      </c>
      <c r="H212" s="295">
        <f t="shared" ca="1" si="42"/>
        <v>113126.47032129783</v>
      </c>
      <c r="I212" s="953"/>
      <c r="J212" s="296">
        <f t="shared" ca="1" si="46"/>
        <v>113126.47032129783</v>
      </c>
      <c r="K212" s="949"/>
      <c r="L212" s="949"/>
      <c r="M212" s="949"/>
      <c r="N212" s="950"/>
      <c r="O212" s="950"/>
    </row>
    <row r="213" spans="2:15" ht="9.75" customHeight="1">
      <c r="B213" s="946"/>
      <c r="C213" s="946"/>
      <c r="D213" s="294">
        <f t="shared" ca="1" si="44"/>
        <v>52591</v>
      </c>
      <c r="E213" s="359">
        <f t="shared" si="47"/>
        <v>1500000</v>
      </c>
      <c r="F213" s="360">
        <f t="shared" ca="1" si="45"/>
        <v>60</v>
      </c>
      <c r="G213" s="295">
        <f ca="1">KBACOI!O212</f>
        <v>511.29404127488152</v>
      </c>
      <c r="H213" s="295">
        <f t="shared" ca="1" si="42"/>
        <v>112601.96713765364</v>
      </c>
      <c r="I213" s="953"/>
      <c r="J213" s="296">
        <f t="shared" ca="1" si="46"/>
        <v>112601.96713765364</v>
      </c>
      <c r="K213" s="949"/>
      <c r="L213" s="949"/>
      <c r="M213" s="949"/>
      <c r="N213" s="950"/>
      <c r="O213" s="950"/>
    </row>
    <row r="214" spans="2:15" ht="9.75" customHeight="1">
      <c r="B214" s="946"/>
      <c r="C214" s="946"/>
      <c r="D214" s="294">
        <f t="shared" ca="1" si="44"/>
        <v>52622</v>
      </c>
      <c r="E214" s="359">
        <f t="shared" si="47"/>
        <v>1500000</v>
      </c>
      <c r="F214" s="360">
        <f t="shared" ca="1" si="45"/>
        <v>60</v>
      </c>
      <c r="G214" s="295">
        <f ca="1">KBACOI!O213</f>
        <v>511.48740811525175</v>
      </c>
      <c r="H214" s="295">
        <f t="shared" ca="1" si="42"/>
        <v>112077.05246302407</v>
      </c>
      <c r="I214" s="953"/>
      <c r="J214" s="296">
        <f t="shared" ca="1" si="46"/>
        <v>112077.05246302407</v>
      </c>
      <c r="K214" s="949"/>
      <c r="L214" s="949"/>
      <c r="M214" s="949"/>
      <c r="N214" s="950"/>
      <c r="O214" s="950"/>
    </row>
    <row r="215" spans="2:15" ht="9.75" customHeight="1">
      <c r="B215" s="946"/>
      <c r="C215" s="946"/>
      <c r="D215" s="294">
        <f t="shared" ca="1" si="44"/>
        <v>52653</v>
      </c>
      <c r="E215" s="359">
        <f t="shared" si="47"/>
        <v>1500000</v>
      </c>
      <c r="F215" s="360">
        <f t="shared" ca="1" si="45"/>
        <v>60</v>
      </c>
      <c r="G215" s="295">
        <f ca="1">KBACOI!O214</f>
        <v>511.68092665863173</v>
      </c>
      <c r="H215" s="295">
        <f t="shared" ca="1" si="42"/>
        <v>111551.72597458013</v>
      </c>
      <c r="I215" s="953"/>
      <c r="J215" s="296">
        <f t="shared" ca="1" si="46"/>
        <v>111551.72597458013</v>
      </c>
      <c r="K215" s="949"/>
      <c r="L215" s="949"/>
      <c r="M215" s="949"/>
      <c r="N215" s="950"/>
      <c r="O215" s="950"/>
    </row>
    <row r="216" spans="2:15" ht="9.75" customHeight="1">
      <c r="B216" s="946"/>
      <c r="C216" s="946"/>
      <c r="D216" s="294">
        <f t="shared" ca="1" si="44"/>
        <v>52682</v>
      </c>
      <c r="E216" s="359">
        <f t="shared" si="47"/>
        <v>1500000</v>
      </c>
      <c r="F216" s="360">
        <f t="shared" ca="1" si="45"/>
        <v>60</v>
      </c>
      <c r="G216" s="295">
        <f ca="1">KBACOI!O215</f>
        <v>511.87459702403817</v>
      </c>
      <c r="H216" s="295">
        <f t="shared" ca="1" si="42"/>
        <v>111025.98734923956</v>
      </c>
      <c r="I216" s="953"/>
      <c r="J216" s="296">
        <f t="shared" ca="1" si="46"/>
        <v>111025.98734923956</v>
      </c>
      <c r="K216" s="949"/>
      <c r="L216" s="949"/>
      <c r="M216" s="949"/>
      <c r="N216" s="950"/>
      <c r="O216" s="950"/>
    </row>
    <row r="217" spans="2:15" ht="9.75" customHeight="1">
      <c r="B217" s="946"/>
      <c r="C217" s="946"/>
      <c r="D217" s="294">
        <f t="shared" ca="1" si="44"/>
        <v>52713</v>
      </c>
      <c r="E217" s="359">
        <f t="shared" si="47"/>
        <v>1500000</v>
      </c>
      <c r="F217" s="360">
        <f t="shared" ca="1" si="45"/>
        <v>60</v>
      </c>
      <c r="G217" s="295">
        <f ca="1">KBACOI!O216</f>
        <v>512.06841933058047</v>
      </c>
      <c r="H217" s="295">
        <f t="shared" ca="1" si="42"/>
        <v>110499.83626366664</v>
      </c>
      <c r="I217" s="953"/>
      <c r="J217" s="296">
        <f t="shared" ca="1" si="46"/>
        <v>110499.83626366664</v>
      </c>
      <c r="K217" s="949"/>
      <c r="L217" s="949"/>
      <c r="M217" s="949"/>
      <c r="N217" s="950"/>
      <c r="O217" s="950"/>
    </row>
    <row r="218" spans="2:15" ht="9.75" customHeight="1">
      <c r="B218" s="946"/>
      <c r="C218" s="946"/>
      <c r="D218" s="294">
        <f t="shared" ca="1" si="44"/>
        <v>52743</v>
      </c>
      <c r="E218" s="359">
        <f t="shared" si="47"/>
        <v>1500000</v>
      </c>
      <c r="F218" s="360">
        <f t="shared" ca="1" si="45"/>
        <v>60</v>
      </c>
      <c r="G218" s="295">
        <f ca="1">KBACOI!O217</f>
        <v>512.26239369746156</v>
      </c>
      <c r="H218" s="295">
        <f t="shared" ca="1" si="42"/>
        <v>109973.27239427197</v>
      </c>
      <c r="I218" s="953"/>
      <c r="J218" s="296">
        <f t="shared" ca="1" si="46"/>
        <v>109973.27239427197</v>
      </c>
      <c r="K218" s="949"/>
      <c r="L218" s="949"/>
      <c r="M218" s="949"/>
      <c r="N218" s="950"/>
      <c r="O218" s="950"/>
    </row>
    <row r="219" spans="2:15" ht="9.75" customHeight="1">
      <c r="B219" s="946"/>
      <c r="C219" s="946"/>
      <c r="D219" s="294">
        <f t="shared" ca="1" si="44"/>
        <v>52774</v>
      </c>
      <c r="E219" s="359">
        <f t="shared" si="47"/>
        <v>1500000</v>
      </c>
      <c r="F219" s="360">
        <f t="shared" ca="1" si="45"/>
        <v>60</v>
      </c>
      <c r="G219" s="295">
        <f ca="1">KBACOI!O218</f>
        <v>512.45652024397839</v>
      </c>
      <c r="H219" s="295">
        <f t="shared" ca="1" si="42"/>
        <v>109446.29541721228</v>
      </c>
      <c r="I219" s="953"/>
      <c r="J219" s="297">
        <f ca="1">H219+I208</f>
        <v>109746.29541721228</v>
      </c>
      <c r="K219" s="949"/>
      <c r="L219" s="949"/>
      <c r="M219" s="949"/>
      <c r="N219" s="950"/>
      <c r="O219" s="950"/>
    </row>
    <row r="220" spans="2:15" ht="9.75" customHeight="1">
      <c r="B220" s="951">
        <f>B208+1</f>
        <v>19</v>
      </c>
      <c r="C220" s="952">
        <f ca="1">C208+1</f>
        <v>48</v>
      </c>
      <c r="D220" s="287">
        <f t="shared" ca="1" si="44"/>
        <v>52804</v>
      </c>
      <c r="E220" s="288">
        <f t="shared" si="47"/>
        <v>1500000</v>
      </c>
      <c r="F220" s="289">
        <f t="shared" ca="1" si="45"/>
        <v>60</v>
      </c>
      <c r="G220" s="290">
        <f ca="1">KBACOI!O219</f>
        <v>549.34097442394955</v>
      </c>
      <c r="H220" s="290">
        <f ca="1">(J219+KBAGTTKcamket!F25-F220-G220)*(1+$W$3)</f>
        <v>119186.48144330601</v>
      </c>
      <c r="I220" s="953">
        <f>IF(COUNTIF(KBAGTTKcamket!$E$7:E25,0)&gt;0,0,3%*'Tinh phi QL'!$H$13/1000)</f>
        <v>300</v>
      </c>
      <c r="J220" s="292">
        <f t="shared" ca="1" si="46"/>
        <v>119186.48144330601</v>
      </c>
      <c r="K220" s="949">
        <f ca="1">J231</f>
        <v>113298.37497677418</v>
      </c>
      <c r="L220" s="949"/>
      <c r="M220" s="949"/>
      <c r="N220" s="950">
        <f t="shared" ref="N220" ca="1" si="49">SUM(G220:G231)</f>
        <v>6606.8368539289122</v>
      </c>
      <c r="O220" s="950"/>
    </row>
    <row r="221" spans="2:15" ht="9.75" customHeight="1">
      <c r="B221" s="951"/>
      <c r="C221" s="951"/>
      <c r="D221" s="287">
        <f t="shared" ca="1" si="44"/>
        <v>52835</v>
      </c>
      <c r="E221" s="288">
        <f t="shared" si="47"/>
        <v>1500000</v>
      </c>
      <c r="F221" s="289">
        <f t="shared" ca="1" si="45"/>
        <v>60</v>
      </c>
      <c r="G221" s="290">
        <f ca="1">KBACOI!O220</f>
        <v>549.5637803855642</v>
      </c>
      <c r="H221" s="290">
        <f t="shared" ca="1" si="42"/>
        <v>118626.21184783513</v>
      </c>
      <c r="I221" s="953"/>
      <c r="J221" s="292">
        <f t="shared" ca="1" si="46"/>
        <v>118626.21184783513</v>
      </c>
      <c r="K221" s="949"/>
      <c r="L221" s="949"/>
      <c r="M221" s="949"/>
      <c r="N221" s="950"/>
      <c r="O221" s="950"/>
    </row>
    <row r="222" spans="2:15" ht="9.75" customHeight="1">
      <c r="B222" s="951"/>
      <c r="C222" s="951"/>
      <c r="D222" s="287">
        <f t="shared" ca="1" si="44"/>
        <v>52866</v>
      </c>
      <c r="E222" s="288">
        <f t="shared" si="47"/>
        <v>1500000</v>
      </c>
      <c r="F222" s="289">
        <f t="shared" ca="1" si="45"/>
        <v>60</v>
      </c>
      <c r="G222" s="290">
        <f ca="1">KBACOI!O221</f>
        <v>549.7867676845616</v>
      </c>
      <c r="H222" s="290">
        <f t="shared" ca="1" si="42"/>
        <v>118065.48625997824</v>
      </c>
      <c r="I222" s="953"/>
      <c r="J222" s="292">
        <f t="shared" ca="1" si="46"/>
        <v>118065.48625997824</v>
      </c>
      <c r="K222" s="949"/>
      <c r="L222" s="949"/>
      <c r="M222" s="949"/>
      <c r="N222" s="950"/>
      <c r="O222" s="950"/>
    </row>
    <row r="223" spans="2:15" ht="9.75" customHeight="1">
      <c r="B223" s="951"/>
      <c r="C223" s="951"/>
      <c r="D223" s="287">
        <f t="shared" ca="1" si="44"/>
        <v>52896</v>
      </c>
      <c r="E223" s="288">
        <f t="shared" si="47"/>
        <v>1500000</v>
      </c>
      <c r="F223" s="289">
        <f t="shared" ca="1" si="45"/>
        <v>60</v>
      </c>
      <c r="G223" s="290">
        <f ca="1">KBACOI!O222</f>
        <v>550.00993646852874</v>
      </c>
      <c r="H223" s="290">
        <f t="shared" ca="1" si="42"/>
        <v>117504.3043086121</v>
      </c>
      <c r="I223" s="953"/>
      <c r="J223" s="292">
        <f t="shared" ca="1" si="46"/>
        <v>117504.3043086121</v>
      </c>
      <c r="K223" s="949"/>
      <c r="L223" s="949"/>
      <c r="M223" s="949"/>
      <c r="N223" s="950"/>
      <c r="O223" s="950"/>
    </row>
    <row r="224" spans="2:15" ht="9.75" customHeight="1">
      <c r="B224" s="951"/>
      <c r="C224" s="951"/>
      <c r="D224" s="287">
        <f t="shared" ca="1" si="44"/>
        <v>52927</v>
      </c>
      <c r="E224" s="288">
        <f t="shared" si="47"/>
        <v>1500000</v>
      </c>
      <c r="F224" s="289">
        <f t="shared" ca="1" si="45"/>
        <v>60</v>
      </c>
      <c r="G224" s="290">
        <f ca="1">KBACOI!O223</f>
        <v>550.23328688517233</v>
      </c>
      <c r="H224" s="290">
        <f t="shared" ca="1" si="42"/>
        <v>116942.66562231148</v>
      </c>
      <c r="I224" s="953"/>
      <c r="J224" s="292">
        <f t="shared" ca="1" si="46"/>
        <v>116942.66562231148</v>
      </c>
      <c r="K224" s="949"/>
      <c r="L224" s="949"/>
      <c r="M224" s="949"/>
      <c r="N224" s="950"/>
      <c r="O224" s="950"/>
    </row>
    <row r="225" spans="2:15" ht="9.75" customHeight="1">
      <c r="B225" s="951"/>
      <c r="C225" s="951"/>
      <c r="D225" s="287">
        <f t="shared" ca="1" si="44"/>
        <v>52957</v>
      </c>
      <c r="E225" s="288">
        <f t="shared" si="47"/>
        <v>1500000</v>
      </c>
      <c r="F225" s="289">
        <f t="shared" ca="1" si="45"/>
        <v>60</v>
      </c>
      <c r="G225" s="290">
        <f ca="1">KBACOI!O224</f>
        <v>550.45681908232007</v>
      </c>
      <c r="H225" s="290">
        <f t="shared" ca="1" si="42"/>
        <v>116380.56982934878</v>
      </c>
      <c r="I225" s="953"/>
      <c r="J225" s="292">
        <f t="shared" ca="1" si="46"/>
        <v>116380.56982934878</v>
      </c>
      <c r="K225" s="949"/>
      <c r="L225" s="949"/>
      <c r="M225" s="949"/>
      <c r="N225" s="950"/>
      <c r="O225" s="950"/>
    </row>
    <row r="226" spans="2:15" ht="9.75" customHeight="1">
      <c r="B226" s="951"/>
      <c r="C226" s="951"/>
      <c r="D226" s="287">
        <f t="shared" ca="1" si="44"/>
        <v>52988</v>
      </c>
      <c r="E226" s="288">
        <f t="shared" si="47"/>
        <v>1500000</v>
      </c>
      <c r="F226" s="289">
        <f t="shared" ca="1" si="45"/>
        <v>60</v>
      </c>
      <c r="G226" s="290">
        <f ca="1">KBACOI!O225</f>
        <v>550.68053320791921</v>
      </c>
      <c r="H226" s="290">
        <f t="shared" ca="1" si="42"/>
        <v>115818.0165576939</v>
      </c>
      <c r="I226" s="953"/>
      <c r="J226" s="292">
        <f t="shared" ca="1" si="46"/>
        <v>115818.0165576939</v>
      </c>
      <c r="K226" s="949"/>
      <c r="L226" s="949"/>
      <c r="M226" s="949"/>
      <c r="N226" s="950"/>
      <c r="O226" s="950"/>
    </row>
    <row r="227" spans="2:15" ht="9.75" customHeight="1">
      <c r="B227" s="951"/>
      <c r="C227" s="951"/>
      <c r="D227" s="287">
        <f t="shared" ca="1" si="44"/>
        <v>53019</v>
      </c>
      <c r="E227" s="288">
        <f t="shared" si="47"/>
        <v>1500000</v>
      </c>
      <c r="F227" s="289">
        <f t="shared" ca="1" si="45"/>
        <v>60</v>
      </c>
      <c r="G227" s="290">
        <f ca="1">KBACOI!O226</f>
        <v>550.90442941003778</v>
      </c>
      <c r="H227" s="290">
        <f t="shared" ca="1" si="42"/>
        <v>115255.00543501395</v>
      </c>
      <c r="I227" s="953"/>
      <c r="J227" s="292">
        <f t="shared" ca="1" si="46"/>
        <v>115255.00543501395</v>
      </c>
      <c r="K227" s="949"/>
      <c r="L227" s="949"/>
      <c r="M227" s="949"/>
      <c r="N227" s="950"/>
      <c r="O227" s="950"/>
    </row>
    <row r="228" spans="2:15" ht="9.75" customHeight="1">
      <c r="B228" s="951"/>
      <c r="C228" s="951"/>
      <c r="D228" s="287">
        <f t="shared" ca="1" si="44"/>
        <v>53047</v>
      </c>
      <c r="E228" s="288">
        <f t="shared" si="47"/>
        <v>1500000</v>
      </c>
      <c r="F228" s="289">
        <f t="shared" ca="1" si="45"/>
        <v>60</v>
      </c>
      <c r="G228" s="290">
        <f ca="1">KBACOI!O227</f>
        <v>551.1285078368644</v>
      </c>
      <c r="H228" s="290">
        <f t="shared" ca="1" si="42"/>
        <v>114691.536088673</v>
      </c>
      <c r="I228" s="953"/>
      <c r="J228" s="292">
        <f t="shared" ca="1" si="46"/>
        <v>114691.536088673</v>
      </c>
      <c r="K228" s="949"/>
      <c r="L228" s="949"/>
      <c r="M228" s="949"/>
      <c r="N228" s="950"/>
      <c r="O228" s="950"/>
    </row>
    <row r="229" spans="2:15" ht="9.75" customHeight="1">
      <c r="B229" s="951"/>
      <c r="C229" s="951"/>
      <c r="D229" s="287">
        <f t="shared" ca="1" si="44"/>
        <v>53078</v>
      </c>
      <c r="E229" s="288">
        <f t="shared" si="47"/>
        <v>1500000</v>
      </c>
      <c r="F229" s="289">
        <f t="shared" ca="1" si="45"/>
        <v>60</v>
      </c>
      <c r="G229" s="290">
        <f ca="1">KBACOI!O228</f>
        <v>551.35276863670822</v>
      </c>
      <c r="H229" s="290">
        <f t="shared" ca="1" si="42"/>
        <v>114127.60814573185</v>
      </c>
      <c r="I229" s="953"/>
      <c r="J229" s="292">
        <f t="shared" ca="1" si="46"/>
        <v>114127.60814573185</v>
      </c>
      <c r="K229" s="949"/>
      <c r="L229" s="949"/>
      <c r="M229" s="949"/>
      <c r="N229" s="950"/>
      <c r="O229" s="950"/>
    </row>
    <row r="230" spans="2:15" ht="9.75" customHeight="1">
      <c r="B230" s="951"/>
      <c r="C230" s="951"/>
      <c r="D230" s="287">
        <f t="shared" ca="1" si="44"/>
        <v>53108</v>
      </c>
      <c r="E230" s="288">
        <f t="shared" si="47"/>
        <v>1500000</v>
      </c>
      <c r="F230" s="289">
        <f t="shared" ca="1" si="45"/>
        <v>60</v>
      </c>
      <c r="G230" s="290">
        <f ca="1">KBACOI!O229</f>
        <v>551.57721195799866</v>
      </c>
      <c r="H230" s="290">
        <f t="shared" ca="1" si="42"/>
        <v>113563.22123294775</v>
      </c>
      <c r="I230" s="953"/>
      <c r="J230" s="292">
        <f t="shared" ca="1" si="46"/>
        <v>113563.22123294775</v>
      </c>
      <c r="K230" s="949"/>
      <c r="L230" s="949"/>
      <c r="M230" s="949"/>
      <c r="N230" s="950"/>
      <c r="O230" s="950"/>
    </row>
    <row r="231" spans="2:15" ht="9.75" customHeight="1">
      <c r="B231" s="951"/>
      <c r="C231" s="951"/>
      <c r="D231" s="287">
        <f t="shared" ca="1" si="44"/>
        <v>53139</v>
      </c>
      <c r="E231" s="288">
        <f t="shared" si="47"/>
        <v>1500000</v>
      </c>
      <c r="F231" s="289">
        <f t="shared" ca="1" si="45"/>
        <v>60</v>
      </c>
      <c r="G231" s="290">
        <f ca="1">KBACOI!O230</f>
        <v>551.80183794928678</v>
      </c>
      <c r="H231" s="290">
        <f t="shared" ca="1" si="42"/>
        <v>112998.37497677418</v>
      </c>
      <c r="I231" s="953"/>
      <c r="J231" s="293">
        <f ca="1">H231+I220</f>
        <v>113298.37497677418</v>
      </c>
      <c r="K231" s="949"/>
      <c r="L231" s="949"/>
      <c r="M231" s="949"/>
      <c r="N231" s="950"/>
      <c r="O231" s="950"/>
    </row>
    <row r="232" spans="2:15" ht="9.75" customHeight="1">
      <c r="B232" s="946">
        <f>B220+1</f>
        <v>20</v>
      </c>
      <c r="C232" s="947">
        <f ca="1">C220+1</f>
        <v>49</v>
      </c>
      <c r="D232" s="294">
        <f t="shared" ca="1" si="44"/>
        <v>53169</v>
      </c>
      <c r="E232" s="359">
        <f t="shared" si="47"/>
        <v>1500000</v>
      </c>
      <c r="F232" s="360">
        <f t="shared" ca="1" si="45"/>
        <v>60</v>
      </c>
      <c r="G232" s="295">
        <f ca="1">KBACOI!O231</f>
        <v>592.899499843336</v>
      </c>
      <c r="H232" s="295">
        <f ca="1">(J231+KBAGTTKcamket!F26-F232-G232)*(1+$W$3)</f>
        <v>122696.46102172545</v>
      </c>
      <c r="I232" s="953">
        <f>IF(COUNTIF(KBAGTTKcamket!$E$7:E26,0)&gt;0,0,3%*'Tinh phi QL'!$H$13/1000)</f>
        <v>300</v>
      </c>
      <c r="J232" s="296">
        <f t="shared" ca="1" si="46"/>
        <v>122696.46102172545</v>
      </c>
      <c r="K232" s="949">
        <f ca="1">J243</f>
        <v>116341.68169764412</v>
      </c>
      <c r="L232" s="949"/>
      <c r="M232" s="949"/>
      <c r="N232" s="950">
        <f t="shared" ref="N232" ca="1" si="50">SUM(G232:G243)</f>
        <v>7131.9511712525191</v>
      </c>
      <c r="O232" s="950"/>
    </row>
    <row r="233" spans="2:15" ht="9.75" customHeight="1">
      <c r="B233" s="946"/>
      <c r="C233" s="946"/>
      <c r="D233" s="294">
        <f t="shared" ca="1" si="44"/>
        <v>53200</v>
      </c>
      <c r="E233" s="359">
        <f t="shared" si="47"/>
        <v>1500000</v>
      </c>
      <c r="F233" s="360">
        <f t="shared" ca="1" si="45"/>
        <v>60</v>
      </c>
      <c r="G233" s="295">
        <f ca="1">KBACOI!O232</f>
        <v>593.15872411997691</v>
      </c>
      <c r="H233" s="295">
        <f t="shared" ca="1" si="42"/>
        <v>122094.03751007034</v>
      </c>
      <c r="I233" s="953"/>
      <c r="J233" s="296">
        <f t="shared" ca="1" si="46"/>
        <v>122094.03751007034</v>
      </c>
      <c r="K233" s="949"/>
      <c r="L233" s="949"/>
      <c r="M233" s="949"/>
      <c r="N233" s="950"/>
      <c r="O233" s="950"/>
    </row>
    <row r="234" spans="2:15" ht="9.75" customHeight="1">
      <c r="B234" s="946"/>
      <c r="C234" s="946"/>
      <c r="D234" s="294">
        <f t="shared" ca="1" si="44"/>
        <v>53231</v>
      </c>
      <c r="E234" s="359">
        <f t="shared" si="47"/>
        <v>1500000</v>
      </c>
      <c r="F234" s="360">
        <f t="shared" ca="1" si="45"/>
        <v>60</v>
      </c>
      <c r="G234" s="295">
        <f ca="1">KBACOI!O233</f>
        <v>593.41816784566311</v>
      </c>
      <c r="H234" s="295">
        <f t="shared" ca="1" si="42"/>
        <v>121491.10401043833</v>
      </c>
      <c r="I234" s="953"/>
      <c r="J234" s="296">
        <f t="shared" ca="1" si="46"/>
        <v>121491.10401043833</v>
      </c>
      <c r="K234" s="949"/>
      <c r="L234" s="949"/>
      <c r="M234" s="949"/>
      <c r="N234" s="950"/>
      <c r="O234" s="950"/>
    </row>
    <row r="235" spans="2:15" ht="9.75" customHeight="1">
      <c r="B235" s="946"/>
      <c r="C235" s="946"/>
      <c r="D235" s="294">
        <f t="shared" ca="1" si="44"/>
        <v>53261</v>
      </c>
      <c r="E235" s="359">
        <f t="shared" si="47"/>
        <v>1500000</v>
      </c>
      <c r="F235" s="360">
        <f t="shared" ca="1" si="45"/>
        <v>60</v>
      </c>
      <c r="G235" s="295">
        <f ca="1">KBACOI!O234</f>
        <v>593.67783120617116</v>
      </c>
      <c r="H235" s="295">
        <f t="shared" ca="1" si="42"/>
        <v>120887.66009109371</v>
      </c>
      <c r="I235" s="953"/>
      <c r="J235" s="296">
        <f t="shared" ca="1" si="46"/>
        <v>120887.66009109371</v>
      </c>
      <c r="K235" s="949"/>
      <c r="L235" s="949"/>
      <c r="M235" s="949"/>
      <c r="N235" s="950"/>
      <c r="O235" s="950"/>
    </row>
    <row r="236" spans="2:15" ht="9.75" customHeight="1">
      <c r="B236" s="946"/>
      <c r="C236" s="946"/>
      <c r="D236" s="294">
        <f t="shared" ca="1" si="44"/>
        <v>53292</v>
      </c>
      <c r="E236" s="359">
        <f t="shared" si="47"/>
        <v>1500000</v>
      </c>
      <c r="F236" s="360">
        <f t="shared" ca="1" si="45"/>
        <v>60</v>
      </c>
      <c r="G236" s="295">
        <f ca="1">KBACOI!O235</f>
        <v>593.93771438743568</v>
      </c>
      <c r="H236" s="295">
        <f t="shared" ca="1" si="42"/>
        <v>120283.70531993531</v>
      </c>
      <c r="I236" s="953"/>
      <c r="J236" s="296">
        <f t="shared" ca="1" si="46"/>
        <v>120283.70531993531</v>
      </c>
      <c r="K236" s="949"/>
      <c r="L236" s="949"/>
      <c r="M236" s="949"/>
      <c r="N236" s="950"/>
      <c r="O236" s="950"/>
    </row>
    <row r="237" spans="2:15" ht="9.75" customHeight="1">
      <c r="B237" s="946"/>
      <c r="C237" s="946"/>
      <c r="D237" s="294">
        <f t="shared" ca="1" si="44"/>
        <v>53322</v>
      </c>
      <c r="E237" s="359">
        <f t="shared" si="47"/>
        <v>1500000</v>
      </c>
      <c r="F237" s="360">
        <f t="shared" ca="1" si="45"/>
        <v>60</v>
      </c>
      <c r="G237" s="295">
        <f ca="1">KBACOI!O236</f>
        <v>594.1978175755479</v>
      </c>
      <c r="H237" s="295">
        <f t="shared" ca="1" si="42"/>
        <v>119679.23926449611</v>
      </c>
      <c r="I237" s="953"/>
      <c r="J237" s="296">
        <f t="shared" ca="1" si="46"/>
        <v>119679.23926449611</v>
      </c>
      <c r="K237" s="949"/>
      <c r="L237" s="949"/>
      <c r="M237" s="949"/>
      <c r="N237" s="950"/>
      <c r="O237" s="950"/>
    </row>
    <row r="238" spans="2:15" ht="9.75" customHeight="1">
      <c r="B238" s="946"/>
      <c r="C238" s="946"/>
      <c r="D238" s="294">
        <f t="shared" ca="1" si="44"/>
        <v>53353</v>
      </c>
      <c r="E238" s="359">
        <f t="shared" si="47"/>
        <v>1500000</v>
      </c>
      <c r="F238" s="360">
        <f t="shared" ca="1" si="45"/>
        <v>60</v>
      </c>
      <c r="G238" s="295">
        <f ca="1">KBACOI!O237</f>
        <v>594.45814095675712</v>
      </c>
      <c r="H238" s="295">
        <f t="shared" ca="1" si="42"/>
        <v>119074.26149194302</v>
      </c>
      <c r="I238" s="953"/>
      <c r="J238" s="296">
        <f t="shared" ca="1" si="46"/>
        <v>119074.26149194302</v>
      </c>
      <c r="K238" s="949"/>
      <c r="L238" s="949"/>
      <c r="M238" s="949"/>
      <c r="N238" s="950"/>
      <c r="O238" s="950"/>
    </row>
    <row r="239" spans="2:15" ht="9.75" customHeight="1">
      <c r="B239" s="946"/>
      <c r="C239" s="946"/>
      <c r="D239" s="294">
        <f t="shared" ca="1" si="44"/>
        <v>53384</v>
      </c>
      <c r="E239" s="359">
        <f t="shared" si="47"/>
        <v>1500000</v>
      </c>
      <c r="F239" s="360">
        <f t="shared" ca="1" si="45"/>
        <v>60</v>
      </c>
      <c r="G239" s="295">
        <f ca="1">KBACOI!O238</f>
        <v>594.71868471746996</v>
      </c>
      <c r="H239" s="295">
        <f t="shared" ca="1" si="42"/>
        <v>118468.77156907653</v>
      </c>
      <c r="I239" s="953"/>
      <c r="J239" s="296">
        <f t="shared" ca="1" si="46"/>
        <v>118468.77156907653</v>
      </c>
      <c r="K239" s="949"/>
      <c r="L239" s="949"/>
      <c r="M239" s="949"/>
      <c r="N239" s="950"/>
      <c r="O239" s="950"/>
    </row>
    <row r="240" spans="2:15" ht="9.75" customHeight="1">
      <c r="B240" s="946"/>
      <c r="C240" s="946"/>
      <c r="D240" s="294">
        <f t="shared" ca="1" si="44"/>
        <v>53412</v>
      </c>
      <c r="E240" s="359">
        <f t="shared" si="47"/>
        <v>1500000</v>
      </c>
      <c r="F240" s="360">
        <f t="shared" ca="1" si="45"/>
        <v>60</v>
      </c>
      <c r="G240" s="295">
        <f ca="1">KBACOI!O239</f>
        <v>594.97944904425106</v>
      </c>
      <c r="H240" s="295">
        <f t="shared" ca="1" si="42"/>
        <v>117862.76906233039</v>
      </c>
      <c r="I240" s="953"/>
      <c r="J240" s="296">
        <f t="shared" ca="1" si="46"/>
        <v>117862.76906233039</v>
      </c>
      <c r="K240" s="949"/>
      <c r="L240" s="949"/>
      <c r="M240" s="949"/>
      <c r="N240" s="950"/>
      <c r="O240" s="950"/>
    </row>
    <row r="241" spans="2:15" ht="9.75" customHeight="1">
      <c r="B241" s="946"/>
      <c r="C241" s="946"/>
      <c r="D241" s="294">
        <f t="shared" ca="1" si="44"/>
        <v>53443</v>
      </c>
      <c r="E241" s="359">
        <f t="shared" si="47"/>
        <v>1500000</v>
      </c>
      <c r="F241" s="360">
        <f t="shared" ca="1" si="45"/>
        <v>60</v>
      </c>
      <c r="G241" s="295">
        <f ca="1">KBACOI!O240</f>
        <v>595.24043412382309</v>
      </c>
      <c r="H241" s="295">
        <f t="shared" ca="1" si="42"/>
        <v>117256.25353777131</v>
      </c>
      <c r="I241" s="953"/>
      <c r="J241" s="296">
        <f t="shared" ca="1" si="46"/>
        <v>117256.25353777131</v>
      </c>
      <c r="K241" s="949"/>
      <c r="L241" s="949"/>
      <c r="M241" s="949"/>
      <c r="N241" s="950"/>
      <c r="O241" s="950"/>
    </row>
    <row r="242" spans="2:15" ht="9.75" customHeight="1">
      <c r="B242" s="946"/>
      <c r="C242" s="946"/>
      <c r="D242" s="294">
        <f t="shared" ca="1" si="44"/>
        <v>53473</v>
      </c>
      <c r="E242" s="359">
        <f t="shared" si="47"/>
        <v>1500000</v>
      </c>
      <c r="F242" s="360">
        <f t="shared" ca="1" si="45"/>
        <v>60</v>
      </c>
      <c r="G242" s="295">
        <f ca="1">KBACOI!O241</f>
        <v>595.50164014306654</v>
      </c>
      <c r="H242" s="295">
        <f t="shared" ca="1" si="42"/>
        <v>116649.22456109866</v>
      </c>
      <c r="I242" s="953"/>
      <c r="J242" s="296">
        <f t="shared" ca="1" si="46"/>
        <v>116649.22456109866</v>
      </c>
      <c r="K242" s="949"/>
      <c r="L242" s="949"/>
      <c r="M242" s="949"/>
      <c r="N242" s="950"/>
      <c r="O242" s="950"/>
    </row>
    <row r="243" spans="2:15" ht="9.75" customHeight="1">
      <c r="B243" s="946"/>
      <c r="C243" s="946"/>
      <c r="D243" s="294">
        <f t="shared" ca="1" si="44"/>
        <v>53504</v>
      </c>
      <c r="E243" s="359">
        <f t="shared" si="47"/>
        <v>1500000</v>
      </c>
      <c r="F243" s="360">
        <f t="shared" ca="1" si="45"/>
        <v>60</v>
      </c>
      <c r="G243" s="295">
        <f ca="1">KBACOI!O242</f>
        <v>595.76306728902011</v>
      </c>
      <c r="H243" s="295">
        <f t="shared" ca="1" si="42"/>
        <v>116041.68169764412</v>
      </c>
      <c r="I243" s="953"/>
      <c r="J243" s="297">
        <f ca="1">H243+I232</f>
        <v>116341.68169764412</v>
      </c>
      <c r="K243" s="949"/>
      <c r="L243" s="949"/>
      <c r="M243" s="949"/>
      <c r="N243" s="950"/>
      <c r="O243" s="950"/>
    </row>
  </sheetData>
  <sheetProtection selectLockedCells="1"/>
  <mergeCells count="98">
    <mergeCell ref="B16:B27"/>
    <mergeCell ref="C16:C27"/>
    <mergeCell ref="K16:M27"/>
    <mergeCell ref="N16:O27"/>
    <mergeCell ref="B2:I2"/>
    <mergeCell ref="B4:B15"/>
    <mergeCell ref="C4:C15"/>
    <mergeCell ref="K4:M15"/>
    <mergeCell ref="N4:O15"/>
    <mergeCell ref="B28:B39"/>
    <mergeCell ref="C28:C39"/>
    <mergeCell ref="K28:M39"/>
    <mergeCell ref="N28:O39"/>
    <mergeCell ref="B40:B51"/>
    <mergeCell ref="C40:C51"/>
    <mergeCell ref="I40:I51"/>
    <mergeCell ref="K40:M51"/>
    <mergeCell ref="N40:O51"/>
    <mergeCell ref="B64:B75"/>
    <mergeCell ref="C64:C75"/>
    <mergeCell ref="I64:I75"/>
    <mergeCell ref="K64:M75"/>
    <mergeCell ref="N64:O75"/>
    <mergeCell ref="B52:B63"/>
    <mergeCell ref="C52:C63"/>
    <mergeCell ref="I52:I63"/>
    <mergeCell ref="K52:M63"/>
    <mergeCell ref="N52:O63"/>
    <mergeCell ref="B88:B99"/>
    <mergeCell ref="C88:C99"/>
    <mergeCell ref="I88:I99"/>
    <mergeCell ref="K88:M99"/>
    <mergeCell ref="N88:O99"/>
    <mergeCell ref="B76:B87"/>
    <mergeCell ref="C76:C87"/>
    <mergeCell ref="I76:I87"/>
    <mergeCell ref="K76:M87"/>
    <mergeCell ref="N76:O87"/>
    <mergeCell ref="B112:B123"/>
    <mergeCell ref="C112:C123"/>
    <mergeCell ref="I112:I123"/>
    <mergeCell ref="K112:M123"/>
    <mergeCell ref="N112:O123"/>
    <mergeCell ref="B100:B111"/>
    <mergeCell ref="C100:C111"/>
    <mergeCell ref="I100:I111"/>
    <mergeCell ref="K100:M111"/>
    <mergeCell ref="N100:O111"/>
    <mergeCell ref="B136:B147"/>
    <mergeCell ref="C136:C147"/>
    <mergeCell ref="I136:I147"/>
    <mergeCell ref="K136:M147"/>
    <mergeCell ref="N136:O147"/>
    <mergeCell ref="B124:B135"/>
    <mergeCell ref="C124:C135"/>
    <mergeCell ref="I124:I135"/>
    <mergeCell ref="K124:M135"/>
    <mergeCell ref="N124:O135"/>
    <mergeCell ref="B160:B171"/>
    <mergeCell ref="C160:C171"/>
    <mergeCell ref="I160:I171"/>
    <mergeCell ref="K160:M171"/>
    <mergeCell ref="N160:O171"/>
    <mergeCell ref="B148:B159"/>
    <mergeCell ref="C148:C159"/>
    <mergeCell ref="I148:I159"/>
    <mergeCell ref="K148:M159"/>
    <mergeCell ref="N148:O159"/>
    <mergeCell ref="B184:B195"/>
    <mergeCell ref="C184:C195"/>
    <mergeCell ref="I184:I195"/>
    <mergeCell ref="K184:M195"/>
    <mergeCell ref="N184:O195"/>
    <mergeCell ref="B172:B183"/>
    <mergeCell ref="C172:C183"/>
    <mergeCell ref="I172:I183"/>
    <mergeCell ref="K172:M183"/>
    <mergeCell ref="N172:O183"/>
    <mergeCell ref="B208:B219"/>
    <mergeCell ref="C208:C219"/>
    <mergeCell ref="I208:I219"/>
    <mergeCell ref="K208:M219"/>
    <mergeCell ref="N208:O219"/>
    <mergeCell ref="B196:B207"/>
    <mergeCell ref="C196:C207"/>
    <mergeCell ref="I196:I207"/>
    <mergeCell ref="K196:M207"/>
    <mergeCell ref="N196:O207"/>
    <mergeCell ref="B232:B243"/>
    <mergeCell ref="C232:C243"/>
    <mergeCell ref="I232:I243"/>
    <mergeCell ref="K232:M243"/>
    <mergeCell ref="N232:O243"/>
    <mergeCell ref="B220:B231"/>
    <mergeCell ref="C220:C231"/>
    <mergeCell ref="I220:I231"/>
    <mergeCell ref="K220:M231"/>
    <mergeCell ref="N220:O231"/>
  </mergeCells>
  <conditionalFormatting sqref="H1:J51 H52:H243 J52:J243 H244:J1048576">
    <cfRule type="cellIs" dxfId="130" priority="2" operator="lessThan">
      <formula>0</formula>
    </cfRule>
  </conditionalFormatting>
  <conditionalFormatting sqref="I52 I64 I76 I88 I100 I112 I124 I136 I148 I160 I172 I184 I196 I208 I220 I232">
    <cfRule type="cellIs" dxfId="129" priority="1" operator="lessThan">
      <formula>0</formula>
    </cfRule>
  </conditionalFormatting>
  <pageMargins left="0.75" right="0.75" top="1" bottom="1" header="0.5" footer="0.5"/>
  <drawing r:id="rId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12495-3875-4AE1-8912-D42E106EB81A}">
  <dimension ref="B1:W315"/>
  <sheetViews>
    <sheetView showGridLines="0" zoomScaleNormal="100" workbookViewId="0">
      <pane ySplit="3" topLeftCell="A22" activePane="bottomLeft" state="frozen"/>
      <selection pane="bottomLeft" activeCell="AE41" sqref="AE41"/>
    </sheetView>
  </sheetViews>
  <sheetFormatPr defaultColWidth="7.796875" defaultRowHeight="9.75" customHeight="1"/>
  <cols>
    <col min="1" max="1" width="2.19921875" style="277" customWidth="1"/>
    <col min="2" max="2" width="5.796875" style="270" customWidth="1"/>
    <col min="3" max="3" width="6.796875" style="270" customWidth="1"/>
    <col min="4" max="4" width="9.19921875" style="270" customWidth="1"/>
    <col min="5" max="5" width="14.296875" style="271" customWidth="1"/>
    <col min="6" max="6" width="11.5" style="299" customWidth="1"/>
    <col min="7" max="7" width="13.796875" style="272" customWidth="1"/>
    <col min="8" max="8" width="14.796875" style="271" customWidth="1"/>
    <col min="9" max="9" width="17.296875" style="273" customWidth="1"/>
    <col min="10" max="10" width="15.796875" style="300" customWidth="1"/>
    <col min="11" max="11" width="2.19921875" style="318" hidden="1" customWidth="1"/>
    <col min="12" max="12" width="2.69921875" style="318" hidden="1" customWidth="1"/>
    <col min="13" max="13" width="8.19921875" style="319" hidden="1" customWidth="1"/>
    <col min="14" max="15" width="0" style="298" hidden="1" customWidth="1"/>
    <col min="16" max="23" width="8.19921875" style="277" hidden="1" customWidth="1"/>
    <col min="24" max="16384" width="7.796875" style="277"/>
  </cols>
  <sheetData>
    <row r="1" spans="2:23" ht="9.75" customHeight="1">
      <c r="F1" s="271"/>
      <c r="J1" s="274" t="s">
        <v>681</v>
      </c>
      <c r="N1" s="275" t="s">
        <v>682</v>
      </c>
      <c r="O1" s="275" t="s">
        <v>683</v>
      </c>
      <c r="P1" s="276">
        <v>1</v>
      </c>
      <c r="Q1" s="276">
        <v>2</v>
      </c>
      <c r="R1" s="314">
        <v>3</v>
      </c>
      <c r="S1" s="314">
        <v>4</v>
      </c>
      <c r="T1" s="314">
        <v>5</v>
      </c>
      <c r="U1" s="322" t="s">
        <v>682</v>
      </c>
      <c r="V1" s="322" t="s">
        <v>702</v>
      </c>
      <c r="W1" s="314" t="s">
        <v>703</v>
      </c>
    </row>
    <row r="2" spans="2:23" ht="12" customHeight="1">
      <c r="B2" s="1042" t="s">
        <v>705</v>
      </c>
      <c r="C2" s="1042"/>
      <c r="D2" s="1042"/>
      <c r="E2" s="1042"/>
      <c r="F2" s="1042"/>
      <c r="G2" s="1042"/>
      <c r="H2" s="1042"/>
      <c r="I2" s="326">
        <f>VTLGTTKMH!M2</f>
        <v>4.5999999999999999E-2</v>
      </c>
      <c r="J2" s="274"/>
      <c r="N2" s="278">
        <v>0.02</v>
      </c>
      <c r="O2" s="279">
        <v>0.01</v>
      </c>
      <c r="P2" s="315">
        <f>VTLGTTKMH!M2</f>
        <v>4.5999999999999999E-2</v>
      </c>
      <c r="Q2" s="315">
        <f>P2</f>
        <v>4.5999999999999999E-2</v>
      </c>
      <c r="R2" s="315">
        <f t="shared" ref="R2:W2" si="0">Q2</f>
        <v>4.5999999999999999E-2</v>
      </c>
      <c r="S2" s="315">
        <f t="shared" si="0"/>
        <v>4.5999999999999999E-2</v>
      </c>
      <c r="T2" s="315">
        <f t="shared" si="0"/>
        <v>4.5999999999999999E-2</v>
      </c>
      <c r="U2" s="315">
        <f t="shared" si="0"/>
        <v>4.5999999999999999E-2</v>
      </c>
      <c r="V2" s="315">
        <f t="shared" si="0"/>
        <v>4.5999999999999999E-2</v>
      </c>
      <c r="W2" s="315">
        <f t="shared" si="0"/>
        <v>4.5999999999999999E-2</v>
      </c>
    </row>
    <row r="3" spans="2:23" s="286" customFormat="1" ht="27" customHeight="1">
      <c r="B3" s="280" t="s">
        <v>670</v>
      </c>
      <c r="C3" s="280" t="s">
        <v>1</v>
      </c>
      <c r="D3" s="280" t="s">
        <v>671</v>
      </c>
      <c r="E3" s="281" t="s">
        <v>678</v>
      </c>
      <c r="F3" s="281" t="s">
        <v>684</v>
      </c>
      <c r="G3" s="282" t="s">
        <v>685</v>
      </c>
      <c r="H3" s="281" t="s">
        <v>686</v>
      </c>
      <c r="I3" s="283" t="s">
        <v>687</v>
      </c>
      <c r="J3" s="284" t="s">
        <v>688</v>
      </c>
      <c r="K3" s="320"/>
      <c r="L3" s="320"/>
      <c r="M3" s="321"/>
      <c r="N3" s="285">
        <f t="shared" ref="N3:W3" si="1">(1+N2)^(1/12)-1</f>
        <v>1.6515813019202241E-3</v>
      </c>
      <c r="O3" s="285">
        <f t="shared" si="1"/>
        <v>8.295381143461622E-4</v>
      </c>
      <c r="P3" s="316">
        <f t="shared" si="1"/>
        <v>3.7548121811461499E-3</v>
      </c>
      <c r="Q3" s="316">
        <f t="shared" si="1"/>
        <v>3.7548121811461499E-3</v>
      </c>
      <c r="R3" s="316">
        <f t="shared" si="1"/>
        <v>3.7548121811461499E-3</v>
      </c>
      <c r="S3" s="316">
        <f t="shared" si="1"/>
        <v>3.7548121811461499E-3</v>
      </c>
      <c r="T3" s="316">
        <f t="shared" si="1"/>
        <v>3.7548121811461499E-3</v>
      </c>
      <c r="U3" s="316">
        <f t="shared" si="1"/>
        <v>3.7548121811461499E-3</v>
      </c>
      <c r="V3" s="316">
        <f t="shared" si="1"/>
        <v>3.7548121811461499E-3</v>
      </c>
      <c r="W3" s="316">
        <f t="shared" si="1"/>
        <v>3.7548121811461499E-3</v>
      </c>
    </row>
    <row r="4" spans="2:23" ht="9.75" customHeight="1">
      <c r="B4" s="954">
        <v>1</v>
      </c>
      <c r="C4" s="952">
        <f ca="1">'Tinh phi QL'!I8</f>
        <v>30</v>
      </c>
      <c r="D4" s="287">
        <f ca="1">'Hoach dinh tai chinh'!J3</f>
        <v>46229</v>
      </c>
      <c r="E4" s="288">
        <f>'Tinh phi QL'!E13/1000</f>
        <v>1000000</v>
      </c>
      <c r="F4" s="289">
        <f ca="1">IF(YEAR(D4)=2025,40000,IF(YEAR(D4)=2026,40000,IF(YEAR(D4)=2027,40000,IF(YEAR(D4)=2028,40000,IF(YEAR(D4)=2029,40000,IF(YEAR(D4)=2030,50000,IF(YEAR(D4)=2031,50000,IF(YEAR(D4)=2032,50000,IF(YEAR(D4)=2033,50000,IF(YEAR(D4)=2034,50000,IF(YEAR(D4)&gt;=2035,60000,0)))))))))))/1000</f>
        <v>40</v>
      </c>
      <c r="G4" s="290">
        <f ca="1">VTLCOI!R3</f>
        <v>116.08333333333333</v>
      </c>
      <c r="H4" s="290">
        <f ca="1">(VTLGTTKMH!F7-VTL20namMH!F4-G4)*(1+VTL20namMH!P3)</f>
        <v>4862.104663971124</v>
      </c>
      <c r="I4" s="291"/>
      <c r="J4" s="292">
        <f ca="1">H4</f>
        <v>4862.104663971124</v>
      </c>
      <c r="K4" s="1047">
        <f ca="1">J15</f>
        <v>3309.5585040901838</v>
      </c>
      <c r="L4" s="1047"/>
      <c r="M4" s="1047"/>
      <c r="N4" s="1047">
        <f ca="1">SUM(G4:G15)</f>
        <v>1394.0756181447107</v>
      </c>
      <c r="O4" s="1047"/>
      <c r="P4" s="298"/>
    </row>
    <row r="5" spans="2:23" ht="9.75" customHeight="1">
      <c r="B5" s="954"/>
      <c r="C5" s="952"/>
      <c r="D5" s="287">
        <f t="shared" ref="D5:D68" ca="1" si="2">EDATE(D4,1)</f>
        <v>46260</v>
      </c>
      <c r="E5" s="288">
        <f>E4</f>
        <v>1000000</v>
      </c>
      <c r="F5" s="289">
        <f t="shared" ref="F5:F68" ca="1" si="3">IF(YEAR(D5)=2025,40000,IF(YEAR(D5)=2026,40000,IF(YEAR(D5)=2027,40000,IF(YEAR(D5)=2028,40000,IF(YEAR(D5)=2029,40000,IF(YEAR(D5)=2030,50000,IF(YEAR(D5)=2031,50000,IF(YEAR(D5)=2032,50000,IF(YEAR(D5)=2033,50000,IF(YEAR(D5)=2034,50000,IF(YEAR(D5)&gt;=2035,60000,0)))))))))))/1000</f>
        <v>40</v>
      </c>
      <c r="G5" s="290">
        <f ca="1">VTLCOI!R4</f>
        <v>116.0994211225367</v>
      </c>
      <c r="H5" s="290">
        <f t="shared" ref="H5:H15" ca="1" si="4">(H4-F5-G5)*(1+$P$3)</f>
        <v>4723.6754086589726</v>
      </c>
      <c r="I5" s="291"/>
      <c r="J5" s="292">
        <f t="shared" ref="J5:J68" ca="1" si="5">H5</f>
        <v>4723.6754086589726</v>
      </c>
      <c r="K5" s="1047"/>
      <c r="L5" s="1047"/>
      <c r="M5" s="1047"/>
      <c r="N5" s="1047"/>
      <c r="O5" s="1047"/>
      <c r="P5" s="298"/>
    </row>
    <row r="6" spans="2:23" ht="9.75" customHeight="1">
      <c r="B6" s="954"/>
      <c r="C6" s="952"/>
      <c r="D6" s="287">
        <f t="shared" ca="1" si="2"/>
        <v>46291</v>
      </c>
      <c r="E6" s="288">
        <f t="shared" ref="E6:E69" si="6">E5</f>
        <v>1000000</v>
      </c>
      <c r="F6" s="289">
        <f t="shared" ca="1" si="3"/>
        <v>40</v>
      </c>
      <c r="G6" s="290">
        <f ca="1">VTLCOI!R5</f>
        <v>116.11557120232311</v>
      </c>
      <c r="H6" s="290">
        <f t="shared" ca="1" si="4"/>
        <v>4584.7101667724455</v>
      </c>
      <c r="I6" s="291"/>
      <c r="J6" s="292">
        <f t="shared" ca="1" si="5"/>
        <v>4584.7101667724455</v>
      </c>
      <c r="K6" s="1047"/>
      <c r="L6" s="1047"/>
      <c r="M6" s="1047"/>
      <c r="N6" s="1047"/>
      <c r="O6" s="1047"/>
      <c r="P6" s="298"/>
    </row>
    <row r="7" spans="2:23" ht="9.75" customHeight="1">
      <c r="B7" s="954"/>
      <c r="C7" s="952"/>
      <c r="D7" s="287">
        <f t="shared" ca="1" si="2"/>
        <v>46321</v>
      </c>
      <c r="E7" s="288">
        <f t="shared" si="6"/>
        <v>1000000</v>
      </c>
      <c r="F7" s="289">
        <f t="shared" ca="1" si="3"/>
        <v>40</v>
      </c>
      <c r="G7" s="290">
        <f ca="1">VTLCOI!R6</f>
        <v>116.13178381387655</v>
      </c>
      <c r="H7" s="290">
        <f t="shared" ca="1" si="4"/>
        <v>4445.206863016062</v>
      </c>
      <c r="I7" s="291"/>
      <c r="J7" s="292">
        <f t="shared" ca="1" si="5"/>
        <v>4445.206863016062</v>
      </c>
      <c r="K7" s="1047"/>
      <c r="L7" s="1047"/>
      <c r="M7" s="1047"/>
      <c r="N7" s="1047"/>
      <c r="O7" s="1047"/>
      <c r="P7" s="298"/>
    </row>
    <row r="8" spans="2:23" ht="9.75" customHeight="1">
      <c r="B8" s="954"/>
      <c r="C8" s="952"/>
      <c r="D8" s="287">
        <f t="shared" ca="1" si="2"/>
        <v>46352</v>
      </c>
      <c r="E8" s="288">
        <f t="shared" si="6"/>
        <v>1000000</v>
      </c>
      <c r="F8" s="289">
        <f t="shared" ca="1" si="3"/>
        <v>40</v>
      </c>
      <c r="G8" s="290">
        <f ca="1">VTLCOI!R7</f>
        <v>116.1480591993148</v>
      </c>
      <c r="H8" s="290">
        <f t="shared" ca="1" si="4"/>
        <v>4305.1634140589704</v>
      </c>
      <c r="I8" s="291"/>
      <c r="J8" s="292">
        <f t="shared" ca="1" si="5"/>
        <v>4305.1634140589704</v>
      </c>
      <c r="K8" s="1047"/>
      <c r="L8" s="1047"/>
      <c r="M8" s="1047"/>
      <c r="N8" s="1047"/>
      <c r="O8" s="1047"/>
      <c r="P8" s="298"/>
    </row>
    <row r="9" spans="2:23" ht="9.75" customHeight="1">
      <c r="B9" s="954"/>
      <c r="C9" s="952"/>
      <c r="D9" s="287">
        <f t="shared" ca="1" si="2"/>
        <v>46382</v>
      </c>
      <c r="E9" s="288">
        <f t="shared" si="6"/>
        <v>1000000</v>
      </c>
      <c r="F9" s="289">
        <f t="shared" ca="1" si="3"/>
        <v>40</v>
      </c>
      <c r="G9" s="290">
        <f ca="1">VTLCOI!R8</f>
        <v>116.16439760169311</v>
      </c>
      <c r="H9" s="290">
        <f t="shared" ca="1" si="4"/>
        <v>4164.5777285038348</v>
      </c>
      <c r="I9" s="291"/>
      <c r="J9" s="292">
        <f t="shared" ca="1" si="5"/>
        <v>4164.5777285038348</v>
      </c>
      <c r="K9" s="1047"/>
      <c r="L9" s="1047"/>
      <c r="M9" s="1047"/>
      <c r="N9" s="1047"/>
      <c r="O9" s="1047"/>
      <c r="P9" s="298"/>
    </row>
    <row r="10" spans="2:23" ht="9.75" customHeight="1">
      <c r="B10" s="954"/>
      <c r="C10" s="952"/>
      <c r="D10" s="287">
        <f t="shared" ca="1" si="2"/>
        <v>46413</v>
      </c>
      <c r="E10" s="288">
        <f t="shared" si="6"/>
        <v>1000000</v>
      </c>
      <c r="F10" s="289">
        <f t="shared" ca="1" si="3"/>
        <v>40</v>
      </c>
      <c r="G10" s="290">
        <f ca="1">VTLCOI!R9</f>
        <v>116.18079926500788</v>
      </c>
      <c r="H10" s="290">
        <f t="shared" ca="1" si="4"/>
        <v>4023.4477068556016</v>
      </c>
      <c r="I10" s="291"/>
      <c r="J10" s="292">
        <f t="shared" ca="1" si="5"/>
        <v>4023.4477068556016</v>
      </c>
      <c r="K10" s="1047"/>
      <c r="L10" s="1047"/>
      <c r="M10" s="1047"/>
      <c r="N10" s="1047"/>
      <c r="O10" s="1047"/>
      <c r="P10" s="298"/>
    </row>
    <row r="11" spans="2:23" ht="9.75" customHeight="1">
      <c r="B11" s="954"/>
      <c r="C11" s="952"/>
      <c r="D11" s="287">
        <f t="shared" ca="1" si="2"/>
        <v>46444</v>
      </c>
      <c r="E11" s="288">
        <f t="shared" si="6"/>
        <v>1000000</v>
      </c>
      <c r="F11" s="289">
        <f t="shared" ca="1" si="3"/>
        <v>40</v>
      </c>
      <c r="G11" s="290">
        <f ca="1">VTLCOI!R10</f>
        <v>116.19726443420016</v>
      </c>
      <c r="H11" s="290">
        <f t="shared" ca="1" si="4"/>
        <v>3881.7712414901484</v>
      </c>
      <c r="I11" s="291"/>
      <c r="J11" s="292">
        <f t="shared" ca="1" si="5"/>
        <v>3881.7712414901484</v>
      </c>
      <c r="K11" s="1047"/>
      <c r="L11" s="1047"/>
      <c r="M11" s="1047"/>
      <c r="N11" s="1047"/>
      <c r="O11" s="1047"/>
      <c r="P11" s="298"/>
    </row>
    <row r="12" spans="2:23" ht="9.75" customHeight="1">
      <c r="B12" s="954"/>
      <c r="C12" s="952"/>
      <c r="D12" s="287">
        <f t="shared" ca="1" si="2"/>
        <v>46472</v>
      </c>
      <c r="E12" s="288">
        <f t="shared" si="6"/>
        <v>1000000</v>
      </c>
      <c r="F12" s="289">
        <f t="shared" ca="1" si="3"/>
        <v>40</v>
      </c>
      <c r="G12" s="290">
        <f ca="1">VTLCOI!R11</f>
        <v>116.21379335515947</v>
      </c>
      <c r="H12" s="290">
        <f t="shared" ca="1" si="4"/>
        <v>3739.5462166228062</v>
      </c>
      <c r="I12" s="291"/>
      <c r="J12" s="292">
        <f t="shared" ca="1" si="5"/>
        <v>3739.5462166228062</v>
      </c>
      <c r="K12" s="1047"/>
      <c r="L12" s="1047"/>
      <c r="M12" s="1047"/>
      <c r="N12" s="1047"/>
      <c r="O12" s="1047"/>
      <c r="P12" s="298"/>
    </row>
    <row r="13" spans="2:23" ht="9.75" customHeight="1">
      <c r="B13" s="954"/>
      <c r="C13" s="952"/>
      <c r="D13" s="287">
        <f t="shared" ca="1" si="2"/>
        <v>46503</v>
      </c>
      <c r="E13" s="288">
        <f t="shared" si="6"/>
        <v>1000000</v>
      </c>
      <c r="F13" s="289">
        <f t="shared" ca="1" si="3"/>
        <v>40</v>
      </c>
      <c r="G13" s="290">
        <f ca="1">VTLCOI!R12</f>
        <v>116.23038627472734</v>
      </c>
      <c r="H13" s="290">
        <f t="shared" ca="1" si="4"/>
        <v>3596.7705082767638</v>
      </c>
      <c r="I13" s="291"/>
      <c r="J13" s="292">
        <f t="shared" ca="1" si="5"/>
        <v>3596.7705082767638</v>
      </c>
      <c r="K13" s="1047"/>
      <c r="L13" s="1047"/>
      <c r="M13" s="1047"/>
      <c r="N13" s="1047"/>
      <c r="O13" s="1047"/>
      <c r="P13" s="298"/>
    </row>
    <row r="14" spans="2:23" ht="9.75" customHeight="1">
      <c r="B14" s="954"/>
      <c r="C14" s="952"/>
      <c r="D14" s="287">
        <f t="shared" ca="1" si="2"/>
        <v>46533</v>
      </c>
      <c r="E14" s="288">
        <f t="shared" si="6"/>
        <v>1000000</v>
      </c>
      <c r="F14" s="289">
        <f t="shared" ca="1" si="3"/>
        <v>40</v>
      </c>
      <c r="G14" s="290">
        <f ca="1">VTLCOI!R13</f>
        <v>116.24704344070103</v>
      </c>
      <c r="H14" s="290">
        <f t="shared" ca="1" si="4"/>
        <v>3453.4419842513485</v>
      </c>
      <c r="I14" s="291"/>
      <c r="J14" s="292">
        <f t="shared" ca="1" si="5"/>
        <v>3453.4419842513485</v>
      </c>
      <c r="K14" s="1047"/>
      <c r="L14" s="1047"/>
      <c r="M14" s="1047"/>
      <c r="N14" s="1047"/>
      <c r="O14" s="1047"/>
      <c r="P14" s="298"/>
    </row>
    <row r="15" spans="2:23" ht="9.75" customHeight="1">
      <c r="B15" s="954"/>
      <c r="C15" s="952"/>
      <c r="D15" s="287">
        <f t="shared" ca="1" si="2"/>
        <v>46564</v>
      </c>
      <c r="E15" s="288">
        <f t="shared" si="6"/>
        <v>1000000</v>
      </c>
      <c r="F15" s="289">
        <f t="shared" ca="1" si="3"/>
        <v>40</v>
      </c>
      <c r="G15" s="290">
        <f ca="1">VTLCOI!R14</f>
        <v>116.26376510183734</v>
      </c>
      <c r="H15" s="290">
        <f t="shared" ca="1" si="4"/>
        <v>3309.5585040901838</v>
      </c>
      <c r="I15" s="291"/>
      <c r="J15" s="293">
        <f t="shared" ca="1" si="5"/>
        <v>3309.5585040901838</v>
      </c>
      <c r="K15" s="1047"/>
      <c r="L15" s="1047"/>
      <c r="M15" s="1047"/>
      <c r="N15" s="1047"/>
      <c r="O15" s="1047"/>
      <c r="P15" s="298"/>
    </row>
    <row r="16" spans="2:23" ht="9.75" customHeight="1">
      <c r="B16" s="955">
        <v>2</v>
      </c>
      <c r="C16" s="947">
        <f ca="1">C4+1</f>
        <v>31</v>
      </c>
      <c r="D16" s="294">
        <f t="shared" ca="1" si="2"/>
        <v>46594</v>
      </c>
      <c r="E16" s="359">
        <f t="shared" si="6"/>
        <v>1000000</v>
      </c>
      <c r="F16" s="360">
        <f t="shared" ca="1" si="3"/>
        <v>40</v>
      </c>
      <c r="G16" s="295">
        <f ca="1">VTLCOI!R15</f>
        <v>118.76285297950919</v>
      </c>
      <c r="H16" s="295">
        <f ca="1">(H15+VTLGTTKMH!F8-F16-G16)*(1+Q3)</f>
        <v>10188.90998226979</v>
      </c>
      <c r="I16" s="324"/>
      <c r="J16" s="296">
        <f t="shared" ca="1" si="5"/>
        <v>10188.90998226979</v>
      </c>
      <c r="K16" s="1047">
        <f ca="1">J27</f>
        <v>8830.5161843359019</v>
      </c>
      <c r="L16" s="1047"/>
      <c r="M16" s="1047"/>
      <c r="N16" s="1047">
        <f ca="1">SUM(G16:G27)</f>
        <v>1426.1222235223756</v>
      </c>
      <c r="O16" s="1047"/>
      <c r="P16" s="298"/>
    </row>
    <row r="17" spans="2:16" ht="9.75" customHeight="1">
      <c r="B17" s="955"/>
      <c r="C17" s="947"/>
      <c r="D17" s="294">
        <f t="shared" ca="1" si="2"/>
        <v>46625</v>
      </c>
      <c r="E17" s="359">
        <f t="shared" si="6"/>
        <v>1000000</v>
      </c>
      <c r="F17" s="360">
        <f t="shared" ca="1" si="3"/>
        <v>40</v>
      </c>
      <c r="G17" s="295">
        <f ca="1">VTLCOI!R16</f>
        <v>118.77733080212762</v>
      </c>
      <c r="H17" s="295">
        <f ca="1">(H16-F17-G17)*(1+$Q$3)</f>
        <v>10067.793915725904</v>
      </c>
      <c r="I17" s="324"/>
      <c r="J17" s="296">
        <f t="shared" ca="1" si="5"/>
        <v>10067.793915725904</v>
      </c>
      <c r="K17" s="1047"/>
      <c r="L17" s="1047"/>
      <c r="M17" s="1047"/>
      <c r="N17" s="1047"/>
      <c r="O17" s="1047"/>
      <c r="P17" s="298"/>
    </row>
    <row r="18" spans="2:16" ht="9.75" customHeight="1">
      <c r="B18" s="955"/>
      <c r="C18" s="947"/>
      <c r="D18" s="294">
        <f t="shared" ca="1" si="2"/>
        <v>46656</v>
      </c>
      <c r="E18" s="359">
        <f t="shared" si="6"/>
        <v>1000000</v>
      </c>
      <c r="F18" s="360">
        <f t="shared" ca="1" si="3"/>
        <v>40</v>
      </c>
      <c r="G18" s="295">
        <f ca="1">VTLCOI!R17</f>
        <v>118.79186473011289</v>
      </c>
      <c r="H18" s="295">
        <f t="shared" ref="H18:H27" ca="1" si="7">(H17-F18-G18)*(1+$Q$3)</f>
        <v>9946.2084925998734</v>
      </c>
      <c r="I18" s="324"/>
      <c r="J18" s="296">
        <f t="shared" ca="1" si="5"/>
        <v>9946.2084925998734</v>
      </c>
      <c r="K18" s="1047"/>
      <c r="L18" s="1047"/>
      <c r="M18" s="1047"/>
      <c r="N18" s="1047"/>
      <c r="O18" s="1047"/>
      <c r="P18" s="298"/>
    </row>
    <row r="19" spans="2:16" ht="9.75" customHeight="1">
      <c r="B19" s="955"/>
      <c r="C19" s="947"/>
      <c r="D19" s="294">
        <f t="shared" ca="1" si="2"/>
        <v>46686</v>
      </c>
      <c r="E19" s="359">
        <f t="shared" si="6"/>
        <v>1000000</v>
      </c>
      <c r="F19" s="360">
        <f t="shared" ca="1" si="3"/>
        <v>40</v>
      </c>
      <c r="G19" s="295">
        <f ca="1">VTLCOI!R18</f>
        <v>118.80645498088802</v>
      </c>
      <c r="H19" s="295">
        <f t="shared" ca="1" si="7"/>
        <v>9824.1518940116111</v>
      </c>
      <c r="I19" s="324"/>
      <c r="J19" s="296">
        <f t="shared" ca="1" si="5"/>
        <v>9824.1518940116111</v>
      </c>
      <c r="K19" s="1047"/>
      <c r="L19" s="1047"/>
      <c r="M19" s="1047"/>
      <c r="N19" s="1047"/>
      <c r="O19" s="1047"/>
      <c r="P19" s="298"/>
    </row>
    <row r="20" spans="2:16" ht="9.75" customHeight="1">
      <c r="B20" s="955"/>
      <c r="C20" s="947"/>
      <c r="D20" s="294">
        <f t="shared" ca="1" si="2"/>
        <v>46717</v>
      </c>
      <c r="E20" s="359">
        <f t="shared" si="6"/>
        <v>1000000</v>
      </c>
      <c r="F20" s="360">
        <f t="shared" ca="1" si="3"/>
        <v>40</v>
      </c>
      <c r="G20" s="295">
        <f ca="1">VTLCOI!R19</f>
        <v>118.82110177271859</v>
      </c>
      <c r="H20" s="295">
        <f t="shared" ca="1" si="7"/>
        <v>9701.6222940323969</v>
      </c>
      <c r="I20" s="324"/>
      <c r="J20" s="296">
        <f t="shared" ca="1" si="5"/>
        <v>9701.6222940323969</v>
      </c>
      <c r="K20" s="1047"/>
      <c r="L20" s="1047"/>
      <c r="M20" s="1047"/>
      <c r="N20" s="1047"/>
      <c r="O20" s="1047"/>
      <c r="P20" s="298"/>
    </row>
    <row r="21" spans="2:16" ht="9.75" customHeight="1">
      <c r="B21" s="955"/>
      <c r="C21" s="947"/>
      <c r="D21" s="294">
        <f t="shared" ca="1" si="2"/>
        <v>46747</v>
      </c>
      <c r="E21" s="359">
        <f t="shared" si="6"/>
        <v>1000000</v>
      </c>
      <c r="F21" s="360">
        <f t="shared" ca="1" si="3"/>
        <v>40</v>
      </c>
      <c r="G21" s="295">
        <f ca="1">VTLCOI!R20</f>
        <v>118.83580532471611</v>
      </c>
      <c r="H21" s="295">
        <f t="shared" ca="1" si="7"/>
        <v>9578.6178596575573</v>
      </c>
      <c r="I21" s="324"/>
      <c r="J21" s="296">
        <f t="shared" ca="1" si="5"/>
        <v>9578.6178596575573</v>
      </c>
      <c r="K21" s="1047"/>
      <c r="L21" s="1047"/>
      <c r="M21" s="1047"/>
      <c r="N21" s="1047"/>
      <c r="O21" s="1047"/>
      <c r="P21" s="298"/>
    </row>
    <row r="22" spans="2:16" ht="9.75" customHeight="1">
      <c r="B22" s="955"/>
      <c r="C22" s="947"/>
      <c r="D22" s="294">
        <f t="shared" ca="1" si="2"/>
        <v>46778</v>
      </c>
      <c r="E22" s="359">
        <f t="shared" si="6"/>
        <v>1000000</v>
      </c>
      <c r="F22" s="360">
        <f t="shared" ca="1" si="3"/>
        <v>40</v>
      </c>
      <c r="G22" s="295">
        <f ca="1">VTLCOI!R21</f>
        <v>118.8505658568411</v>
      </c>
      <c r="H22" s="295">
        <f t="shared" ca="1" si="7"/>
        <v>9455.1367507790419</v>
      </c>
      <c r="I22" s="324"/>
      <c r="J22" s="296">
        <f t="shared" ca="1" si="5"/>
        <v>9455.1367507790419</v>
      </c>
      <c r="K22" s="1047"/>
      <c r="L22" s="1047"/>
      <c r="M22" s="1047"/>
      <c r="N22" s="1047"/>
      <c r="O22" s="1047"/>
      <c r="P22" s="298"/>
    </row>
    <row r="23" spans="2:16" ht="9.75" customHeight="1">
      <c r="B23" s="955"/>
      <c r="C23" s="947"/>
      <c r="D23" s="294">
        <f t="shared" ca="1" si="2"/>
        <v>46809</v>
      </c>
      <c r="E23" s="359">
        <f t="shared" si="6"/>
        <v>1000000</v>
      </c>
      <c r="F23" s="360">
        <f t="shared" ca="1" si="3"/>
        <v>40</v>
      </c>
      <c r="G23" s="295">
        <f ca="1">VTLCOI!R22</f>
        <v>118.86538358990651</v>
      </c>
      <c r="H23" s="295">
        <f t="shared" ca="1" si="7"/>
        <v>9331.1771201578977</v>
      </c>
      <c r="I23" s="324"/>
      <c r="J23" s="296">
        <f t="shared" ca="1" si="5"/>
        <v>9331.1771201578977</v>
      </c>
      <c r="K23" s="1047"/>
      <c r="L23" s="1047"/>
      <c r="M23" s="1047"/>
      <c r="N23" s="1047"/>
      <c r="O23" s="1047"/>
      <c r="P23" s="298"/>
    </row>
    <row r="24" spans="2:16" ht="9.75" customHeight="1">
      <c r="B24" s="955"/>
      <c r="C24" s="947"/>
      <c r="D24" s="294">
        <f t="shared" ca="1" si="2"/>
        <v>46838</v>
      </c>
      <c r="E24" s="359">
        <f t="shared" si="6"/>
        <v>1000000</v>
      </c>
      <c r="F24" s="360">
        <f t="shared" ca="1" si="3"/>
        <v>40</v>
      </c>
      <c r="G24" s="295">
        <f ca="1">VTLCOI!R23</f>
        <v>118.88025874558105</v>
      </c>
      <c r="H24" s="295">
        <f t="shared" ca="1" si="7"/>
        <v>9206.7371133966353</v>
      </c>
      <c r="I24" s="324"/>
      <c r="J24" s="296">
        <f t="shared" ca="1" si="5"/>
        <v>9206.7371133966353</v>
      </c>
      <c r="K24" s="1047"/>
      <c r="L24" s="1047"/>
      <c r="M24" s="1047"/>
      <c r="N24" s="1047"/>
      <c r="O24" s="1047"/>
      <c r="P24" s="298"/>
    </row>
    <row r="25" spans="2:16" ht="9.75" customHeight="1">
      <c r="B25" s="955"/>
      <c r="C25" s="947"/>
      <c r="D25" s="294">
        <f t="shared" ca="1" si="2"/>
        <v>46869</v>
      </c>
      <c r="E25" s="359">
        <f t="shared" si="6"/>
        <v>1000000</v>
      </c>
      <c r="F25" s="360">
        <f t="shared" ca="1" si="3"/>
        <v>40</v>
      </c>
      <c r="G25" s="295">
        <f ca="1">VTLCOI!R24</f>
        <v>118.89519154639238</v>
      </c>
      <c r="H25" s="295">
        <f t="shared" ca="1" si="7"/>
        <v>9081.8148689114896</v>
      </c>
      <c r="I25" s="324"/>
      <c r="J25" s="296">
        <f t="shared" ca="1" si="5"/>
        <v>9081.8148689114896</v>
      </c>
      <c r="K25" s="1047"/>
      <c r="L25" s="1047"/>
      <c r="M25" s="1047"/>
      <c r="N25" s="1047"/>
      <c r="O25" s="1047"/>
      <c r="P25" s="298"/>
    </row>
    <row r="26" spans="2:16" ht="9.75" customHeight="1">
      <c r="B26" s="955"/>
      <c r="C26" s="947"/>
      <c r="D26" s="294">
        <f t="shared" ca="1" si="2"/>
        <v>46899</v>
      </c>
      <c r="E26" s="359">
        <f t="shared" si="6"/>
        <v>1000000</v>
      </c>
      <c r="F26" s="360">
        <f t="shared" ca="1" si="3"/>
        <v>40</v>
      </c>
      <c r="G26" s="295">
        <f ca="1">VTLCOI!R25</f>
        <v>118.91018221573063</v>
      </c>
      <c r="H26" s="295">
        <f t="shared" ca="1" si="7"/>
        <v>8956.4085179045705</v>
      </c>
      <c r="I26" s="324"/>
      <c r="J26" s="296">
        <f t="shared" ca="1" si="5"/>
        <v>8956.4085179045705</v>
      </c>
      <c r="K26" s="1047"/>
      <c r="L26" s="1047"/>
      <c r="M26" s="1047"/>
      <c r="N26" s="1047"/>
      <c r="O26" s="1047"/>
      <c r="P26" s="298"/>
    </row>
    <row r="27" spans="2:16" ht="9.75" customHeight="1">
      <c r="B27" s="955"/>
      <c r="C27" s="947"/>
      <c r="D27" s="294">
        <f t="shared" ca="1" si="2"/>
        <v>46930</v>
      </c>
      <c r="E27" s="359">
        <f t="shared" si="6"/>
        <v>1000000</v>
      </c>
      <c r="F27" s="360">
        <f t="shared" ca="1" si="3"/>
        <v>40</v>
      </c>
      <c r="G27" s="295">
        <f ca="1">VTLCOI!R26</f>
        <v>118.92523097785146</v>
      </c>
      <c r="H27" s="295">
        <f t="shared" ca="1" si="7"/>
        <v>8830.5161843359019</v>
      </c>
      <c r="I27" s="324"/>
      <c r="J27" s="297">
        <f t="shared" ca="1" si="5"/>
        <v>8830.5161843359019</v>
      </c>
      <c r="K27" s="1047"/>
      <c r="L27" s="1047"/>
      <c r="M27" s="1047"/>
      <c r="N27" s="1047"/>
      <c r="O27" s="1047"/>
      <c r="P27" s="298"/>
    </row>
    <row r="28" spans="2:16" ht="9.75" customHeight="1">
      <c r="B28" s="954">
        <v>3</v>
      </c>
      <c r="C28" s="952">
        <f ca="1">C16+1</f>
        <v>32</v>
      </c>
      <c r="D28" s="287">
        <f t="shared" ca="1" si="2"/>
        <v>46960</v>
      </c>
      <c r="E28" s="288">
        <f t="shared" si="6"/>
        <v>1000000</v>
      </c>
      <c r="F28" s="289">
        <f t="shared" ca="1" si="3"/>
        <v>40</v>
      </c>
      <c r="G28" s="290">
        <f ca="1">VTLCOI!R27</f>
        <v>122.56846231568613</v>
      </c>
      <c r="H28" s="290">
        <f ca="1">(H27+VTLGTTKMH!F9-F28-G28)*(1+$R$3)</f>
        <v>16730.532735161567</v>
      </c>
      <c r="I28" s="291"/>
      <c r="J28" s="292">
        <f t="shared" ca="1" si="5"/>
        <v>16730.532735161567</v>
      </c>
      <c r="K28" s="1047">
        <f ca="1">J39</f>
        <v>15604.777340959665</v>
      </c>
      <c r="L28" s="1047"/>
      <c r="M28" s="1047"/>
      <c r="N28" s="1047">
        <f t="shared" ref="N28" ca="1" si="8">SUM(G28:G39)</f>
        <v>1471.654944709976</v>
      </c>
      <c r="O28" s="1047"/>
      <c r="P28" s="298"/>
    </row>
    <row r="29" spans="2:16" ht="9.75" customHeight="1">
      <c r="B29" s="954"/>
      <c r="C29" s="952"/>
      <c r="D29" s="287">
        <f t="shared" ca="1" si="2"/>
        <v>46991</v>
      </c>
      <c r="E29" s="288">
        <f t="shared" si="6"/>
        <v>1000000</v>
      </c>
      <c r="F29" s="289">
        <f t="shared" ca="1" si="3"/>
        <v>40</v>
      </c>
      <c r="G29" s="290">
        <f ca="1">VTLCOI!R28</f>
        <v>122.58092691901652</v>
      </c>
      <c r="H29" s="290">
        <f ca="1">(H28-F29-G29)*(1+$R$3)</f>
        <v>16630.161355508782</v>
      </c>
      <c r="I29" s="291"/>
      <c r="J29" s="292">
        <f t="shared" ca="1" si="5"/>
        <v>16630.161355508782</v>
      </c>
      <c r="K29" s="1047"/>
      <c r="L29" s="1047"/>
      <c r="M29" s="1047"/>
      <c r="N29" s="1047"/>
      <c r="O29" s="1047"/>
      <c r="P29" s="298"/>
    </row>
    <row r="30" spans="2:16" ht="9.75" customHeight="1">
      <c r="B30" s="954"/>
      <c r="C30" s="952"/>
      <c r="D30" s="287">
        <f t="shared" ca="1" si="2"/>
        <v>47022</v>
      </c>
      <c r="E30" s="288">
        <f t="shared" si="6"/>
        <v>1000000</v>
      </c>
      <c r="F30" s="289">
        <f t="shared" ca="1" si="3"/>
        <v>40</v>
      </c>
      <c r="G30" s="290">
        <f ca="1">VTLCOI!R29</f>
        <v>122.59343988434658</v>
      </c>
      <c r="H30" s="290">
        <f t="shared" ref="H30:H39" ca="1" si="9">(H29-F30-G30)*(1+$R$3)</f>
        <v>16529.400540227874</v>
      </c>
      <c r="I30" s="291"/>
      <c r="J30" s="292">
        <f t="shared" ca="1" si="5"/>
        <v>16529.400540227874</v>
      </c>
      <c r="K30" s="1047"/>
      <c r="L30" s="1047"/>
      <c r="M30" s="1047"/>
      <c r="N30" s="1047"/>
      <c r="O30" s="1047"/>
      <c r="P30" s="298"/>
    </row>
    <row r="31" spans="2:16" ht="9.75" customHeight="1">
      <c r="B31" s="954"/>
      <c r="C31" s="952"/>
      <c r="D31" s="287">
        <f t="shared" ca="1" si="2"/>
        <v>47052</v>
      </c>
      <c r="E31" s="288">
        <f t="shared" si="6"/>
        <v>1000000</v>
      </c>
      <c r="F31" s="289">
        <f t="shared" ca="1" si="3"/>
        <v>40</v>
      </c>
      <c r="G31" s="290">
        <f ca="1">VTLCOI!R30</f>
        <v>122.60600139931826</v>
      </c>
      <c r="H31" s="290">
        <f t="shared" ca="1" si="9"/>
        <v>16428.248778329267</v>
      </c>
      <c r="I31" s="291"/>
      <c r="J31" s="292">
        <f t="shared" ca="1" si="5"/>
        <v>16428.248778329267</v>
      </c>
      <c r="K31" s="1047"/>
      <c r="L31" s="1047"/>
      <c r="M31" s="1047"/>
      <c r="N31" s="1047"/>
      <c r="O31" s="1047"/>
      <c r="P31" s="298"/>
    </row>
    <row r="32" spans="2:16" ht="9.75" customHeight="1">
      <c r="B32" s="954"/>
      <c r="C32" s="952"/>
      <c r="D32" s="287">
        <f t="shared" ca="1" si="2"/>
        <v>47083</v>
      </c>
      <c r="E32" s="288">
        <f t="shared" si="6"/>
        <v>1000000</v>
      </c>
      <c r="F32" s="289">
        <f t="shared" ca="1" si="3"/>
        <v>40</v>
      </c>
      <c r="G32" s="290">
        <f ca="1">VTLCOI!R31</f>
        <v>122.61861165230162</v>
      </c>
      <c r="H32" s="290">
        <f t="shared" ca="1" si="9"/>
        <v>16326.704552960822</v>
      </c>
      <c r="I32" s="291"/>
      <c r="J32" s="292">
        <f t="shared" ca="1" si="5"/>
        <v>16326.704552960822</v>
      </c>
      <c r="K32" s="1047"/>
      <c r="L32" s="1047"/>
      <c r="M32" s="1047"/>
      <c r="N32" s="1047"/>
      <c r="O32" s="1047"/>
      <c r="P32" s="298"/>
    </row>
    <row r="33" spans="2:16" ht="9.75" customHeight="1">
      <c r="B33" s="954"/>
      <c r="C33" s="952"/>
      <c r="D33" s="287">
        <f t="shared" ca="1" si="2"/>
        <v>47113</v>
      </c>
      <c r="E33" s="288">
        <f t="shared" si="6"/>
        <v>1000000</v>
      </c>
      <c r="F33" s="289">
        <f t="shared" ca="1" si="3"/>
        <v>40</v>
      </c>
      <c r="G33" s="290">
        <f ca="1">VTLCOI!R32</f>
        <v>122.63127083239755</v>
      </c>
      <c r="H33" s="290">
        <f t="shared" ca="1" si="9"/>
        <v>16224.766341385101</v>
      </c>
      <c r="I33" s="291"/>
      <c r="J33" s="292">
        <f t="shared" ca="1" si="5"/>
        <v>16224.766341385101</v>
      </c>
      <c r="K33" s="1047"/>
      <c r="L33" s="1047"/>
      <c r="M33" s="1047"/>
      <c r="N33" s="1047"/>
      <c r="O33" s="1047"/>
      <c r="P33" s="298"/>
    </row>
    <row r="34" spans="2:16" ht="9.75" customHeight="1">
      <c r="B34" s="954"/>
      <c r="C34" s="952"/>
      <c r="D34" s="287">
        <f t="shared" ca="1" si="2"/>
        <v>47144</v>
      </c>
      <c r="E34" s="288">
        <f t="shared" si="6"/>
        <v>1000000</v>
      </c>
      <c r="F34" s="289">
        <f t="shared" ca="1" si="3"/>
        <v>40</v>
      </c>
      <c r="G34" s="290">
        <f ca="1">VTLCOI!R33</f>
        <v>122.64397912944065</v>
      </c>
      <c r="H34" s="290">
        <f t="shared" ca="1" si="9"/>
        <v>16122.432614956517</v>
      </c>
      <c r="I34" s="291"/>
      <c r="J34" s="292">
        <f t="shared" ca="1" si="5"/>
        <v>16122.432614956517</v>
      </c>
      <c r="K34" s="1047"/>
      <c r="L34" s="1047"/>
      <c r="M34" s="1047"/>
      <c r="N34" s="1047"/>
      <c r="O34" s="1047"/>
      <c r="P34" s="298"/>
    </row>
    <row r="35" spans="2:16" ht="9.75" customHeight="1">
      <c r="B35" s="954"/>
      <c r="C35" s="952"/>
      <c r="D35" s="287">
        <f t="shared" ca="1" si="2"/>
        <v>47175</v>
      </c>
      <c r="E35" s="288">
        <f t="shared" si="6"/>
        <v>1000000</v>
      </c>
      <c r="F35" s="289">
        <f t="shared" ca="1" si="3"/>
        <v>40</v>
      </c>
      <c r="G35" s="290">
        <f ca="1">VTLCOI!R34</f>
        <v>122.6567367340021</v>
      </c>
      <c r="H35" s="290">
        <f t="shared" ca="1" si="9"/>
        <v>16019.701839098429</v>
      </c>
      <c r="I35" s="291"/>
      <c r="J35" s="292">
        <f t="shared" ca="1" si="5"/>
        <v>16019.701839098429</v>
      </c>
      <c r="K35" s="1047"/>
      <c r="L35" s="1047"/>
      <c r="M35" s="1047"/>
      <c r="N35" s="1047"/>
      <c r="O35" s="1047"/>
      <c r="P35" s="298"/>
    </row>
    <row r="36" spans="2:16" ht="9.75" customHeight="1">
      <c r="B36" s="954"/>
      <c r="C36" s="952"/>
      <c r="D36" s="287">
        <f t="shared" ca="1" si="2"/>
        <v>47203</v>
      </c>
      <c r="E36" s="288">
        <f t="shared" si="6"/>
        <v>1000000</v>
      </c>
      <c r="F36" s="289">
        <f t="shared" ca="1" si="3"/>
        <v>40</v>
      </c>
      <c r="G36" s="290">
        <f ca="1">VTLCOI!R35</f>
        <v>122.6695438373924</v>
      </c>
      <c r="H36" s="290">
        <f t="shared" ca="1" si="9"/>
        <v>15916.57247328011</v>
      </c>
      <c r="I36" s="291"/>
      <c r="J36" s="292">
        <f t="shared" ca="1" si="5"/>
        <v>15916.57247328011</v>
      </c>
      <c r="K36" s="1047"/>
      <c r="L36" s="1047"/>
      <c r="M36" s="1047"/>
      <c r="N36" s="1047"/>
      <c r="O36" s="1047"/>
      <c r="P36" s="298"/>
    </row>
    <row r="37" spans="2:16" ht="9.75" customHeight="1">
      <c r="B37" s="954"/>
      <c r="C37" s="952"/>
      <c r="D37" s="287">
        <f t="shared" ca="1" si="2"/>
        <v>47234</v>
      </c>
      <c r="E37" s="288">
        <f t="shared" si="6"/>
        <v>1000000</v>
      </c>
      <c r="F37" s="289">
        <f t="shared" ca="1" si="3"/>
        <v>40</v>
      </c>
      <c r="G37" s="290">
        <f ca="1">VTLCOI!R36</f>
        <v>122.68240063166441</v>
      </c>
      <c r="H37" s="290">
        <f t="shared" ca="1" si="9"/>
        <v>15813.042970993663</v>
      </c>
      <c r="I37" s="291"/>
      <c r="J37" s="292">
        <f t="shared" ca="1" si="5"/>
        <v>15813.042970993663</v>
      </c>
      <c r="K37" s="1047"/>
      <c r="L37" s="1047"/>
      <c r="M37" s="1047"/>
      <c r="N37" s="1047"/>
      <c r="O37" s="1047"/>
      <c r="P37" s="298"/>
    </row>
    <row r="38" spans="2:16" ht="9.75" customHeight="1">
      <c r="B38" s="954"/>
      <c r="C38" s="952"/>
      <c r="D38" s="287">
        <f t="shared" ca="1" si="2"/>
        <v>47264</v>
      </c>
      <c r="E38" s="288">
        <f t="shared" si="6"/>
        <v>1000000</v>
      </c>
      <c r="F38" s="289">
        <f t="shared" ca="1" si="3"/>
        <v>40</v>
      </c>
      <c r="G38" s="290">
        <f ca="1">VTLCOI!R37</f>
        <v>122.69530730961613</v>
      </c>
      <c r="H38" s="290">
        <f t="shared" ca="1" si="9"/>
        <v>15709.111779730822</v>
      </c>
      <c r="I38" s="291"/>
      <c r="J38" s="292">
        <f t="shared" ca="1" si="5"/>
        <v>15709.111779730822</v>
      </c>
      <c r="K38" s="1047"/>
      <c r="L38" s="1047"/>
      <c r="M38" s="1047"/>
      <c r="N38" s="1047"/>
      <c r="O38" s="1047"/>
      <c r="P38" s="298"/>
    </row>
    <row r="39" spans="2:16" ht="9.75" customHeight="1">
      <c r="B39" s="954"/>
      <c r="C39" s="952"/>
      <c r="D39" s="287">
        <f t="shared" ca="1" si="2"/>
        <v>47295</v>
      </c>
      <c r="E39" s="288">
        <f t="shared" si="6"/>
        <v>1000000</v>
      </c>
      <c r="F39" s="289">
        <f t="shared" ca="1" si="3"/>
        <v>40</v>
      </c>
      <c r="G39" s="290">
        <f ca="1">VTLCOI!R38</f>
        <v>122.70826406479357</v>
      </c>
      <c r="H39" s="290">
        <f t="shared" ca="1" si="9"/>
        <v>15604.777340959665</v>
      </c>
      <c r="I39" s="291"/>
      <c r="J39" s="293">
        <f t="shared" ca="1" si="5"/>
        <v>15604.777340959665</v>
      </c>
      <c r="K39" s="1047"/>
      <c r="L39" s="1047"/>
      <c r="M39" s="1047"/>
      <c r="N39" s="1047"/>
      <c r="O39" s="1047"/>
      <c r="P39" s="298"/>
    </row>
    <row r="40" spans="2:16" ht="9.75" customHeight="1">
      <c r="B40" s="955">
        <v>4</v>
      </c>
      <c r="C40" s="947">
        <f ca="1">C28+1</f>
        <v>33</v>
      </c>
      <c r="D40" s="294">
        <f t="shared" ca="1" si="2"/>
        <v>47325</v>
      </c>
      <c r="E40" s="359">
        <f t="shared" si="6"/>
        <v>1000000</v>
      </c>
      <c r="F40" s="360">
        <f t="shared" ca="1" si="3"/>
        <v>40</v>
      </c>
      <c r="G40" s="295">
        <f ca="1">VTLCOI!R39</f>
        <v>126.93137894567525</v>
      </c>
      <c r="H40" s="295">
        <f ca="1">(H39+VTLGTTKMH!F10-F40-G40)*(1+S3)</f>
        <v>23525.850671531985</v>
      </c>
      <c r="I40" s="948"/>
      <c r="J40" s="296">
        <f t="shared" ca="1" si="5"/>
        <v>23525.850671531985</v>
      </c>
      <c r="K40" s="1047">
        <f ca="1">J51</f>
        <v>22576.340421825858</v>
      </c>
      <c r="L40" s="1047"/>
      <c r="M40" s="1047"/>
      <c r="N40" s="1047">
        <f t="shared" ref="N40" ca="1" si="10">SUM(G40:G51)</f>
        <v>1523.8822605308023</v>
      </c>
      <c r="O40" s="1047"/>
      <c r="P40" s="298"/>
    </row>
    <row r="41" spans="2:16" ht="9.75" customHeight="1">
      <c r="B41" s="955"/>
      <c r="C41" s="946"/>
      <c r="D41" s="294">
        <f t="shared" ca="1" si="2"/>
        <v>47356</v>
      </c>
      <c r="E41" s="359">
        <f t="shared" si="6"/>
        <v>1000000</v>
      </c>
      <c r="F41" s="360">
        <f t="shared" ca="1" si="3"/>
        <v>40</v>
      </c>
      <c r="G41" s="295">
        <f ca="1">VTLCOI!R40</f>
        <v>126.94163941270084</v>
      </c>
      <c r="H41" s="295">
        <f ca="1">(H40-F41-G41)*(1+$S$3)</f>
        <v>23446.617348291373</v>
      </c>
      <c r="I41" s="948"/>
      <c r="J41" s="296">
        <f t="shared" ca="1" si="5"/>
        <v>23446.617348291373</v>
      </c>
      <c r="K41" s="1047"/>
      <c r="L41" s="1047"/>
      <c r="M41" s="1047"/>
      <c r="N41" s="1047"/>
      <c r="O41" s="1047"/>
      <c r="P41" s="298"/>
    </row>
    <row r="42" spans="2:16" ht="9.75" customHeight="1">
      <c r="B42" s="955"/>
      <c r="C42" s="946"/>
      <c r="D42" s="294">
        <f t="shared" ca="1" si="2"/>
        <v>47387</v>
      </c>
      <c r="E42" s="359">
        <f t="shared" si="6"/>
        <v>1000000</v>
      </c>
      <c r="F42" s="360">
        <f t="shared" ca="1" si="3"/>
        <v>40</v>
      </c>
      <c r="G42" s="295">
        <f ca="1">VTLCOI!R41</f>
        <v>126.95193974472214</v>
      </c>
      <c r="H42" s="295">
        <f t="shared" ref="H42:H51" ca="1" si="11">(H41-F42-G42)*(1+$S$3)</f>
        <v>23367.076179795669</v>
      </c>
      <c r="I42" s="948"/>
      <c r="J42" s="296">
        <f t="shared" ca="1" si="5"/>
        <v>23367.076179795669</v>
      </c>
      <c r="K42" s="1047"/>
      <c r="L42" s="1047"/>
      <c r="M42" s="1047"/>
      <c r="N42" s="1047"/>
      <c r="O42" s="1047"/>
      <c r="P42" s="298"/>
    </row>
    <row r="43" spans="2:16" ht="9.75" customHeight="1">
      <c r="B43" s="955"/>
      <c r="C43" s="946"/>
      <c r="D43" s="294">
        <f t="shared" ca="1" si="2"/>
        <v>47417</v>
      </c>
      <c r="E43" s="359">
        <f t="shared" si="6"/>
        <v>1000000</v>
      </c>
      <c r="F43" s="360">
        <f t="shared" ca="1" si="3"/>
        <v>40</v>
      </c>
      <c r="G43" s="295">
        <f ca="1">VTLCOI!R42</f>
        <v>126.96228009662657</v>
      </c>
      <c r="H43" s="295">
        <f t="shared" ca="1" si="11"/>
        <v>23287.22596997361</v>
      </c>
      <c r="I43" s="948"/>
      <c r="J43" s="296">
        <f t="shared" ca="1" si="5"/>
        <v>23287.22596997361</v>
      </c>
      <c r="K43" s="1047"/>
      <c r="L43" s="1047"/>
      <c r="M43" s="1047"/>
      <c r="N43" s="1047"/>
      <c r="O43" s="1047"/>
      <c r="P43" s="298"/>
    </row>
    <row r="44" spans="2:16" ht="9.75" customHeight="1">
      <c r="B44" s="955"/>
      <c r="C44" s="946"/>
      <c r="D44" s="294">
        <f t="shared" ca="1" si="2"/>
        <v>47448</v>
      </c>
      <c r="E44" s="359">
        <f t="shared" si="6"/>
        <v>1000000</v>
      </c>
      <c r="F44" s="360">
        <f t="shared" ca="1" si="3"/>
        <v>40</v>
      </c>
      <c r="G44" s="295">
        <f ca="1">VTLCOI!R43</f>
        <v>126.97266062390344</v>
      </c>
      <c r="H44" s="295">
        <f t="shared" ca="1" si="11"/>
        <v>23207.06551810684</v>
      </c>
      <c r="I44" s="948"/>
      <c r="J44" s="296">
        <f t="shared" ca="1" si="5"/>
        <v>23207.06551810684</v>
      </c>
      <c r="K44" s="1047"/>
      <c r="L44" s="1047"/>
      <c r="M44" s="1047"/>
      <c r="N44" s="1047"/>
      <c r="O44" s="1047"/>
      <c r="P44" s="298"/>
    </row>
    <row r="45" spans="2:16" ht="9.75" customHeight="1">
      <c r="B45" s="955"/>
      <c r="C45" s="946"/>
      <c r="D45" s="294">
        <f t="shared" ca="1" si="2"/>
        <v>47478</v>
      </c>
      <c r="E45" s="359">
        <f t="shared" si="6"/>
        <v>1000000</v>
      </c>
      <c r="F45" s="360">
        <f t="shared" ca="1" si="3"/>
        <v>40</v>
      </c>
      <c r="G45" s="295">
        <f ca="1">VTLCOI!R44</f>
        <v>126.98308148264611</v>
      </c>
      <c r="H45" s="295">
        <f t="shared" ca="1" si="11"/>
        <v>23126.593618811843</v>
      </c>
      <c r="I45" s="948"/>
      <c r="J45" s="296">
        <f t="shared" ca="1" si="5"/>
        <v>23126.593618811843</v>
      </c>
      <c r="K45" s="1047"/>
      <c r="L45" s="1047"/>
      <c r="M45" s="1047"/>
      <c r="N45" s="1047"/>
      <c r="O45" s="1047"/>
      <c r="P45" s="298"/>
    </row>
    <row r="46" spans="2:16" ht="9.75" customHeight="1">
      <c r="B46" s="955"/>
      <c r="C46" s="946"/>
      <c r="D46" s="294">
        <f t="shared" ca="1" si="2"/>
        <v>47509</v>
      </c>
      <c r="E46" s="359">
        <f t="shared" si="6"/>
        <v>1000000</v>
      </c>
      <c r="F46" s="360">
        <f t="shared" ca="1" si="3"/>
        <v>50</v>
      </c>
      <c r="G46" s="295">
        <f ca="1">VTLCOI!R45</f>
        <v>126.99354282955447</v>
      </c>
      <c r="H46" s="295">
        <f t="shared" ca="1" si="11"/>
        <v>23035.771513900021</v>
      </c>
      <c r="I46" s="948"/>
      <c r="J46" s="296">
        <f t="shared" ca="1" si="5"/>
        <v>23035.771513900021</v>
      </c>
      <c r="K46" s="1047"/>
      <c r="L46" s="1047"/>
      <c r="M46" s="1047"/>
      <c r="N46" s="1047"/>
      <c r="O46" s="1047"/>
      <c r="P46" s="298"/>
    </row>
    <row r="47" spans="2:16" ht="9.75" customHeight="1">
      <c r="B47" s="955"/>
      <c r="C47" s="946"/>
      <c r="D47" s="294">
        <f t="shared" ca="1" si="2"/>
        <v>47540</v>
      </c>
      <c r="E47" s="359">
        <f t="shared" si="6"/>
        <v>1000000</v>
      </c>
      <c r="F47" s="360">
        <f t="shared" ca="1" si="3"/>
        <v>50</v>
      </c>
      <c r="G47" s="295">
        <f ca="1">VTLCOI!R46</f>
        <v>127.005349703193</v>
      </c>
      <c r="H47" s="295">
        <f t="shared" ca="1" si="11"/>
        <v>22944.596537836129</v>
      </c>
      <c r="I47" s="948"/>
      <c r="J47" s="296">
        <f t="shared" ca="1" si="5"/>
        <v>22944.596537836129</v>
      </c>
      <c r="K47" s="1047"/>
      <c r="L47" s="1047"/>
      <c r="M47" s="1047"/>
      <c r="N47" s="1047"/>
      <c r="O47" s="1047"/>
      <c r="P47" s="298"/>
    </row>
    <row r="48" spans="2:16" ht="9.75" customHeight="1">
      <c r="B48" s="955"/>
      <c r="C48" s="946"/>
      <c r="D48" s="294">
        <f t="shared" ca="1" si="2"/>
        <v>47568</v>
      </c>
      <c r="E48" s="359">
        <f t="shared" si="6"/>
        <v>1000000</v>
      </c>
      <c r="F48" s="360">
        <f t="shared" ca="1" si="3"/>
        <v>50</v>
      </c>
      <c r="G48" s="295">
        <f ca="1">VTLCOI!R47</f>
        <v>127.0172024500813</v>
      </c>
      <c r="H48" s="295">
        <f t="shared" ca="1" si="11"/>
        <v>22853.067319609767</v>
      </c>
      <c r="I48" s="948"/>
      <c r="J48" s="296">
        <f t="shared" ca="1" si="5"/>
        <v>22853.067319609767</v>
      </c>
      <c r="K48" s="1047"/>
      <c r="L48" s="1047"/>
      <c r="M48" s="1047"/>
      <c r="N48" s="1047"/>
      <c r="O48" s="1047"/>
      <c r="P48" s="298"/>
    </row>
    <row r="49" spans="2:16" ht="9.75" customHeight="1">
      <c r="B49" s="955"/>
      <c r="C49" s="946"/>
      <c r="D49" s="294">
        <f t="shared" ca="1" si="2"/>
        <v>47599</v>
      </c>
      <c r="E49" s="359">
        <f t="shared" si="6"/>
        <v>1000000</v>
      </c>
      <c r="F49" s="360">
        <f t="shared" ca="1" si="3"/>
        <v>50</v>
      </c>
      <c r="G49" s="295">
        <f ca="1">VTLCOI!R48</f>
        <v>127.02910124845073</v>
      </c>
      <c r="H49" s="295">
        <f t="shared" ca="1" si="11"/>
        <v>22761.182482883753</v>
      </c>
      <c r="I49" s="948"/>
      <c r="J49" s="296">
        <f t="shared" ca="1" si="5"/>
        <v>22761.182482883753</v>
      </c>
      <c r="K49" s="1047"/>
      <c r="L49" s="1047"/>
      <c r="M49" s="1047"/>
      <c r="N49" s="1047"/>
      <c r="O49" s="1047"/>
      <c r="P49" s="298"/>
    </row>
    <row r="50" spans="2:16" ht="9.75" customHeight="1">
      <c r="B50" s="955"/>
      <c r="C50" s="946"/>
      <c r="D50" s="294">
        <f t="shared" ca="1" si="2"/>
        <v>47629</v>
      </c>
      <c r="E50" s="359">
        <f t="shared" si="6"/>
        <v>1000000</v>
      </c>
      <c r="F50" s="360">
        <f t="shared" ca="1" si="3"/>
        <v>50</v>
      </c>
      <c r="G50" s="295">
        <f ca="1">VTLCOI!R49</f>
        <v>127.04104627722512</v>
      </c>
      <c r="H50" s="295">
        <f t="shared" ca="1" si="11"/>
        <v>22668.940645973427</v>
      </c>
      <c r="I50" s="948"/>
      <c r="J50" s="296">
        <f t="shared" ca="1" si="5"/>
        <v>22668.940645973427</v>
      </c>
      <c r="K50" s="1047"/>
      <c r="L50" s="1047"/>
      <c r="M50" s="1047"/>
      <c r="N50" s="1047"/>
      <c r="O50" s="1047"/>
      <c r="P50" s="298"/>
    </row>
    <row r="51" spans="2:16" ht="9.75" customHeight="1">
      <c r="B51" s="955"/>
      <c r="C51" s="946"/>
      <c r="D51" s="294">
        <f t="shared" ca="1" si="2"/>
        <v>47660</v>
      </c>
      <c r="E51" s="359">
        <f t="shared" si="6"/>
        <v>1000000</v>
      </c>
      <c r="F51" s="360">
        <f t="shared" ca="1" si="3"/>
        <v>50</v>
      </c>
      <c r="G51" s="295">
        <f ca="1">VTLCOI!R50</f>
        <v>127.05303771602344</v>
      </c>
      <c r="H51" s="295">
        <f t="shared" ca="1" si="11"/>
        <v>22576.340421825858</v>
      </c>
      <c r="I51" s="948"/>
      <c r="J51" s="297">
        <f ca="1">H51+I40</f>
        <v>22576.340421825858</v>
      </c>
      <c r="K51" s="1047"/>
      <c r="L51" s="1047"/>
      <c r="M51" s="1047"/>
      <c r="N51" s="1047"/>
      <c r="O51" s="1047"/>
      <c r="P51" s="298"/>
    </row>
    <row r="52" spans="2:16" ht="9.75" customHeight="1">
      <c r="B52" s="954">
        <v>5</v>
      </c>
      <c r="C52" s="952">
        <f ca="1">C40+1</f>
        <v>34</v>
      </c>
      <c r="D52" s="287">
        <f t="shared" ca="1" si="2"/>
        <v>47690</v>
      </c>
      <c r="E52" s="288">
        <f t="shared" si="6"/>
        <v>1000000</v>
      </c>
      <c r="F52" s="289">
        <f t="shared" ca="1" si="3"/>
        <v>50</v>
      </c>
      <c r="G52" s="290">
        <f ca="1">VTLCOI!R51</f>
        <v>132.48790014235044</v>
      </c>
      <c r="H52" s="290">
        <f ca="1">(J51+VTLGTTKMH!F11-F52-G52)*(1+T3)</f>
        <v>30507.975729363883</v>
      </c>
      <c r="I52" s="953">
        <f>IF(COUNTIF(VTLGTTKMH!$E$7:E11,0)&gt;0,0,3%*'Tinh phi QL'!$H$13/1000)</f>
        <v>300</v>
      </c>
      <c r="J52" s="292">
        <f t="shared" ca="1" si="5"/>
        <v>30507.975729363883</v>
      </c>
      <c r="K52" s="1047">
        <f ca="1">J63</f>
        <v>30038.173342095895</v>
      </c>
      <c r="L52" s="1047"/>
      <c r="M52" s="1047"/>
      <c r="N52" s="1047">
        <f t="shared" ref="N52" ca="1" si="12">SUM(G52:G63)</f>
        <v>1590.4795217115789</v>
      </c>
      <c r="O52" s="1047"/>
      <c r="P52" s="298"/>
    </row>
    <row r="53" spans="2:16" ht="9.75" customHeight="1">
      <c r="B53" s="954"/>
      <c r="C53" s="951"/>
      <c r="D53" s="287">
        <f t="shared" ca="1" si="2"/>
        <v>47721</v>
      </c>
      <c r="E53" s="288">
        <f t="shared" si="6"/>
        <v>1000000</v>
      </c>
      <c r="F53" s="289">
        <f t="shared" ca="1" si="3"/>
        <v>50</v>
      </c>
      <c r="G53" s="290">
        <f ca="1">VTLCOI!R52</f>
        <v>132.49724331698692</v>
      </c>
      <c r="H53" s="290">
        <f ca="1">(H52-F53-G53)*(1+$T$3)</f>
        <v>30439.344962065392</v>
      </c>
      <c r="I53" s="953"/>
      <c r="J53" s="292">
        <f t="shared" ca="1" si="5"/>
        <v>30439.344962065392</v>
      </c>
      <c r="K53" s="1047"/>
      <c r="L53" s="1047"/>
      <c r="M53" s="1047"/>
      <c r="N53" s="1047"/>
      <c r="O53" s="1047"/>
      <c r="P53" s="298"/>
    </row>
    <row r="54" spans="2:16" ht="9.75" customHeight="1">
      <c r="B54" s="954"/>
      <c r="C54" s="951"/>
      <c r="D54" s="287">
        <f t="shared" ca="1" si="2"/>
        <v>47752</v>
      </c>
      <c r="E54" s="288">
        <f t="shared" si="6"/>
        <v>1000000</v>
      </c>
      <c r="F54" s="289">
        <f t="shared" ca="1" si="3"/>
        <v>50</v>
      </c>
      <c r="G54" s="290">
        <f ca="1">VTLCOI!R53</f>
        <v>132.50662285518439</v>
      </c>
      <c r="H54" s="290">
        <f t="shared" ref="H54:H63" ca="1" si="13">(H53-F54-G54)*(1+$T$3)</f>
        <v>30370.447084369243</v>
      </c>
      <c r="I54" s="953"/>
      <c r="J54" s="292">
        <f t="shared" ca="1" si="5"/>
        <v>30370.447084369243</v>
      </c>
      <c r="K54" s="1047"/>
      <c r="L54" s="1047"/>
      <c r="M54" s="1047"/>
      <c r="N54" s="1047"/>
      <c r="O54" s="1047"/>
      <c r="P54" s="298"/>
    </row>
    <row r="55" spans="2:16" ht="9.75" customHeight="1">
      <c r="B55" s="954"/>
      <c r="C55" s="951"/>
      <c r="D55" s="287">
        <f t="shared" ca="1" si="2"/>
        <v>47782</v>
      </c>
      <c r="E55" s="288">
        <f t="shared" si="6"/>
        <v>1000000</v>
      </c>
      <c r="F55" s="289">
        <f t="shared" ca="1" si="3"/>
        <v>50</v>
      </c>
      <c r="G55" s="290">
        <f ca="1">VTLCOI!R54</f>
        <v>132.51603889846953</v>
      </c>
      <c r="H55" s="290">
        <f t="shared" ca="1" si="13"/>
        <v>30301.281056683907</v>
      </c>
      <c r="I55" s="953"/>
      <c r="J55" s="292">
        <f t="shared" ca="1" si="5"/>
        <v>30301.281056683907</v>
      </c>
      <c r="K55" s="1047"/>
      <c r="L55" s="1047"/>
      <c r="M55" s="1047"/>
      <c r="N55" s="1047"/>
      <c r="O55" s="1047"/>
      <c r="P55" s="298"/>
    </row>
    <row r="56" spans="2:16" ht="9.75" customHeight="1">
      <c r="B56" s="954"/>
      <c r="C56" s="951"/>
      <c r="D56" s="287">
        <f t="shared" ca="1" si="2"/>
        <v>47813</v>
      </c>
      <c r="E56" s="288">
        <f t="shared" si="6"/>
        <v>1000000</v>
      </c>
      <c r="F56" s="289">
        <f t="shared" ca="1" si="3"/>
        <v>50</v>
      </c>
      <c r="G56" s="290">
        <f ca="1">VTLCOI!R55</f>
        <v>132.52549158891986</v>
      </c>
      <c r="H56" s="290">
        <f t="shared" ca="1" si="13"/>
        <v>30231.845835371769</v>
      </c>
      <c r="I56" s="953"/>
      <c r="J56" s="292">
        <f t="shared" ca="1" si="5"/>
        <v>30231.845835371769</v>
      </c>
      <c r="K56" s="1047"/>
      <c r="L56" s="1047"/>
      <c r="M56" s="1047"/>
      <c r="N56" s="1047"/>
      <c r="O56" s="1047"/>
      <c r="P56" s="298"/>
    </row>
    <row r="57" spans="2:16" ht="9.75" customHeight="1">
      <c r="B57" s="954"/>
      <c r="C57" s="951"/>
      <c r="D57" s="287">
        <f t="shared" ca="1" si="2"/>
        <v>47843</v>
      </c>
      <c r="E57" s="288">
        <f t="shared" si="6"/>
        <v>1000000</v>
      </c>
      <c r="F57" s="289">
        <f t="shared" ca="1" si="3"/>
        <v>50</v>
      </c>
      <c r="G57" s="290">
        <f ca="1">VTLCOI!R56</f>
        <v>132.53498106916584</v>
      </c>
      <c r="H57" s="290">
        <f t="shared" ca="1" si="13"/>
        <v>30162.140372733385</v>
      </c>
      <c r="I57" s="953"/>
      <c r="J57" s="292">
        <f t="shared" ca="1" si="5"/>
        <v>30162.140372733385</v>
      </c>
      <c r="K57" s="1047"/>
      <c r="L57" s="1047"/>
      <c r="M57" s="1047"/>
      <c r="N57" s="1047"/>
      <c r="O57" s="1047"/>
      <c r="P57" s="298"/>
    </row>
    <row r="58" spans="2:16" ht="9.75" customHeight="1">
      <c r="B58" s="954"/>
      <c r="C58" s="951"/>
      <c r="D58" s="287">
        <f t="shared" ca="1" si="2"/>
        <v>47874</v>
      </c>
      <c r="E58" s="288">
        <f t="shared" si="6"/>
        <v>1000000</v>
      </c>
      <c r="F58" s="289">
        <f t="shared" ca="1" si="3"/>
        <v>50</v>
      </c>
      <c r="G58" s="290">
        <f ca="1">VTLCOI!R57</f>
        <v>132.5445074823931</v>
      </c>
      <c r="H58" s="290">
        <f t="shared" ca="1" si="13"/>
        <v>30092.163616991675</v>
      </c>
      <c r="I58" s="953"/>
      <c r="J58" s="292">
        <f t="shared" ca="1" si="5"/>
        <v>30092.163616991675</v>
      </c>
      <c r="K58" s="1047"/>
      <c r="L58" s="1047"/>
      <c r="M58" s="1047"/>
      <c r="N58" s="1047"/>
      <c r="O58" s="1047"/>
      <c r="P58" s="298"/>
    </row>
    <row r="59" spans="2:16" ht="9.75" customHeight="1">
      <c r="B59" s="954"/>
      <c r="C59" s="951"/>
      <c r="D59" s="287">
        <f t="shared" ca="1" si="2"/>
        <v>47905</v>
      </c>
      <c r="E59" s="288">
        <f t="shared" si="6"/>
        <v>1000000</v>
      </c>
      <c r="F59" s="289">
        <f t="shared" ca="1" si="3"/>
        <v>50</v>
      </c>
      <c r="G59" s="290">
        <f ca="1">VTLCOI!R58</f>
        <v>132.55407097234445</v>
      </c>
      <c r="H59" s="290">
        <f t="shared" ca="1" si="13"/>
        <v>30021.914512276049</v>
      </c>
      <c r="I59" s="953"/>
      <c r="J59" s="292">
        <f t="shared" ca="1" si="5"/>
        <v>30021.914512276049</v>
      </c>
      <c r="K59" s="1047"/>
      <c r="L59" s="1047"/>
      <c r="M59" s="1047"/>
      <c r="N59" s="1047"/>
      <c r="O59" s="1047"/>
      <c r="P59" s="298"/>
    </row>
    <row r="60" spans="2:16" ht="9.75" customHeight="1">
      <c r="B60" s="954"/>
      <c r="C60" s="951"/>
      <c r="D60" s="287">
        <f t="shared" ca="1" si="2"/>
        <v>47933</v>
      </c>
      <c r="E60" s="288">
        <f t="shared" si="6"/>
        <v>1000000</v>
      </c>
      <c r="F60" s="289">
        <f t="shared" ca="1" si="3"/>
        <v>50</v>
      </c>
      <c r="G60" s="290">
        <f ca="1">VTLCOI!R59</f>
        <v>132.56367168332227</v>
      </c>
      <c r="H60" s="290">
        <f t="shared" ca="1" si="13"/>
        <v>29951.391998606479</v>
      </c>
      <c r="I60" s="953"/>
      <c r="J60" s="292">
        <f t="shared" ca="1" si="5"/>
        <v>29951.391998606479</v>
      </c>
      <c r="K60" s="1047"/>
      <c r="L60" s="1047"/>
      <c r="M60" s="1047"/>
      <c r="N60" s="1047"/>
      <c r="O60" s="1047"/>
      <c r="P60" s="298"/>
    </row>
    <row r="61" spans="2:16" ht="9.75" customHeight="1">
      <c r="B61" s="954"/>
      <c r="C61" s="951"/>
      <c r="D61" s="287">
        <f t="shared" ca="1" si="2"/>
        <v>47964</v>
      </c>
      <c r="E61" s="288">
        <f t="shared" si="6"/>
        <v>1000000</v>
      </c>
      <c r="F61" s="289">
        <f t="shared" ca="1" si="3"/>
        <v>50</v>
      </c>
      <c r="G61" s="290">
        <f ca="1">VTLCOI!R60</f>
        <v>132.57330976019043</v>
      </c>
      <c r="H61" s="290">
        <f t="shared" ca="1" si="13"/>
        <v>29880.5950118775</v>
      </c>
      <c r="I61" s="953"/>
      <c r="J61" s="292">
        <f t="shared" ca="1" si="5"/>
        <v>29880.5950118775</v>
      </c>
      <c r="K61" s="1047"/>
      <c r="L61" s="1047"/>
      <c r="M61" s="1047"/>
      <c r="N61" s="1047"/>
      <c r="O61" s="1047"/>
      <c r="P61" s="298"/>
    </row>
    <row r="62" spans="2:16" ht="9.75" customHeight="1">
      <c r="B62" s="954"/>
      <c r="C62" s="951"/>
      <c r="D62" s="287">
        <f t="shared" ca="1" si="2"/>
        <v>47994</v>
      </c>
      <c r="E62" s="288">
        <f t="shared" si="6"/>
        <v>1000000</v>
      </c>
      <c r="F62" s="289">
        <f t="shared" ca="1" si="3"/>
        <v>50</v>
      </c>
      <c r="G62" s="290">
        <f ca="1">VTLCOI!R61</f>
        <v>132.58298534837675</v>
      </c>
      <c r="H62" s="290">
        <f t="shared" ca="1" si="13"/>
        <v>29809.52248384216</v>
      </c>
      <c r="I62" s="953"/>
      <c r="J62" s="292">
        <f t="shared" ca="1" si="5"/>
        <v>29809.52248384216</v>
      </c>
      <c r="K62" s="1047"/>
      <c r="L62" s="1047"/>
      <c r="M62" s="1047"/>
      <c r="N62" s="1047"/>
      <c r="O62" s="1047"/>
      <c r="P62" s="298"/>
    </row>
    <row r="63" spans="2:16" ht="9.75" customHeight="1">
      <c r="B63" s="954"/>
      <c r="C63" s="951"/>
      <c r="D63" s="287">
        <f t="shared" ca="1" si="2"/>
        <v>48025</v>
      </c>
      <c r="E63" s="288">
        <f t="shared" si="6"/>
        <v>1000000</v>
      </c>
      <c r="F63" s="289">
        <f t="shared" ca="1" si="3"/>
        <v>50</v>
      </c>
      <c r="G63" s="290">
        <f ca="1">VTLCOI!R62</f>
        <v>132.59269859387487</v>
      </c>
      <c r="H63" s="290">
        <f t="shared" ca="1" si="13"/>
        <v>29738.173342095895</v>
      </c>
      <c r="I63" s="953"/>
      <c r="J63" s="293">
        <f ca="1">H63+I52</f>
        <v>30038.173342095895</v>
      </c>
      <c r="K63" s="1047"/>
      <c r="L63" s="1047"/>
      <c r="M63" s="1047"/>
      <c r="N63" s="1047"/>
      <c r="O63" s="1047"/>
      <c r="P63" s="298"/>
    </row>
    <row r="64" spans="2:16" ht="9.75" customHeight="1">
      <c r="B64" s="946">
        <f>B52+1</f>
        <v>6</v>
      </c>
      <c r="C64" s="947">
        <f ca="1">C52+1</f>
        <v>35</v>
      </c>
      <c r="D64" s="294">
        <f t="shared" ca="1" si="2"/>
        <v>48055</v>
      </c>
      <c r="E64" s="359">
        <f t="shared" si="6"/>
        <v>1000000</v>
      </c>
      <c r="F64" s="360">
        <f t="shared" ca="1" si="3"/>
        <v>50</v>
      </c>
      <c r="G64" s="295">
        <f ca="1">VTLCOI!R63</f>
        <v>138.90341092317678</v>
      </c>
      <c r="H64" s="295">
        <f ca="1">(J63+VTLGTTKMH!F12-F64-G64)*(1+U3)</f>
        <v>39798.145492883828</v>
      </c>
      <c r="I64" s="953">
        <f>IF(COUNTIF(VTLGTTKMH!$E$7:E12,0)&gt;0,0,3%*'Tinh phi QL'!$H$13/1000)</f>
        <v>300</v>
      </c>
      <c r="J64" s="296">
        <f t="shared" ca="1" si="5"/>
        <v>39798.145492883828</v>
      </c>
      <c r="K64" s="1047">
        <f ca="1">J75</f>
        <v>39647.400799502626</v>
      </c>
      <c r="L64" s="1047"/>
      <c r="M64" s="1047"/>
      <c r="N64" s="1047">
        <f t="shared" ref="N64" ca="1" si="14">SUM(G64:G75)</f>
        <v>1667.2281292988839</v>
      </c>
      <c r="O64" s="1047"/>
      <c r="P64" s="298"/>
    </row>
    <row r="65" spans="2:16" ht="9.75" customHeight="1">
      <c r="B65" s="946"/>
      <c r="C65" s="946"/>
      <c r="D65" s="294">
        <f t="shared" ca="1" si="2"/>
        <v>48086</v>
      </c>
      <c r="E65" s="359">
        <f t="shared" si="6"/>
        <v>1000000</v>
      </c>
      <c r="F65" s="360">
        <f t="shared" ca="1" si="3"/>
        <v>50</v>
      </c>
      <c r="G65" s="295">
        <f ca="1">VTLCOI!R64</f>
        <v>138.90920161869613</v>
      </c>
      <c r="H65" s="295">
        <f ca="1">(H64-F65-G65)*(1+$U$3)</f>
        <v>39757.96153417747</v>
      </c>
      <c r="I65" s="953"/>
      <c r="J65" s="296">
        <f t="shared" ca="1" si="5"/>
        <v>39757.96153417747</v>
      </c>
      <c r="K65" s="1047"/>
      <c r="L65" s="1047"/>
      <c r="M65" s="1047"/>
      <c r="N65" s="1047"/>
      <c r="O65" s="1047"/>
      <c r="P65" s="298"/>
    </row>
    <row r="66" spans="2:16" ht="9.75" customHeight="1">
      <c r="B66" s="946"/>
      <c r="C66" s="946"/>
      <c r="D66" s="294">
        <f t="shared" ca="1" si="2"/>
        <v>48117</v>
      </c>
      <c r="E66" s="359">
        <f t="shared" si="6"/>
        <v>1000000</v>
      </c>
      <c r="F66" s="360">
        <f t="shared" ca="1" si="3"/>
        <v>50</v>
      </c>
      <c r="G66" s="295">
        <f ca="1">VTLCOI!R65</f>
        <v>138.91501489805566</v>
      </c>
      <c r="H66" s="295">
        <f t="shared" ref="H66:H75" ca="1" si="15">(H65-F66-G66)*(1+$U$3)</f>
        <v>39717.620857146343</v>
      </c>
      <c r="I66" s="953"/>
      <c r="J66" s="296">
        <f t="shared" ca="1" si="5"/>
        <v>39717.620857146343</v>
      </c>
      <c r="K66" s="1047"/>
      <c r="L66" s="1047"/>
      <c r="M66" s="1047"/>
      <c r="N66" s="1047"/>
      <c r="O66" s="1047"/>
      <c r="P66" s="298"/>
    </row>
    <row r="67" spans="2:16" ht="9.75" customHeight="1">
      <c r="B67" s="946"/>
      <c r="C67" s="946"/>
      <c r="D67" s="294">
        <f t="shared" ca="1" si="2"/>
        <v>48147</v>
      </c>
      <c r="E67" s="359">
        <f t="shared" si="6"/>
        <v>1000000</v>
      </c>
      <c r="F67" s="360">
        <f t="shared" ca="1" si="3"/>
        <v>50</v>
      </c>
      <c r="G67" s="295">
        <f ca="1">VTLCOI!R66</f>
        <v>138.92085084933282</v>
      </c>
      <c r="H67" s="295">
        <f t="shared" ca="1" si="15"/>
        <v>39677.122850585525</v>
      </c>
      <c r="I67" s="953"/>
      <c r="J67" s="296">
        <f t="shared" ca="1" si="5"/>
        <v>39677.122850585525</v>
      </c>
      <c r="K67" s="1047"/>
      <c r="L67" s="1047"/>
      <c r="M67" s="1047"/>
      <c r="N67" s="1047"/>
      <c r="O67" s="1047"/>
      <c r="P67" s="298"/>
    </row>
    <row r="68" spans="2:16" ht="9.75" customHeight="1">
      <c r="B68" s="946"/>
      <c r="C68" s="946"/>
      <c r="D68" s="294">
        <f t="shared" ca="1" si="2"/>
        <v>48178</v>
      </c>
      <c r="E68" s="359">
        <f t="shared" si="6"/>
        <v>1000000</v>
      </c>
      <c r="F68" s="360">
        <f t="shared" ca="1" si="3"/>
        <v>50</v>
      </c>
      <c r="G68" s="295">
        <f ca="1">VTLCOI!R67</f>
        <v>138.92670956094864</v>
      </c>
      <c r="H68" s="295">
        <f t="shared" ca="1" si="15"/>
        <v>39636.466900906387</v>
      </c>
      <c r="I68" s="953"/>
      <c r="J68" s="296">
        <f t="shared" ca="1" si="5"/>
        <v>39636.466900906387</v>
      </c>
      <c r="K68" s="1047"/>
      <c r="L68" s="1047"/>
      <c r="M68" s="1047"/>
      <c r="N68" s="1047"/>
      <c r="O68" s="1047"/>
      <c r="P68" s="298"/>
    </row>
    <row r="69" spans="2:16" ht="9.75" customHeight="1">
      <c r="B69" s="946"/>
      <c r="C69" s="946"/>
      <c r="D69" s="294">
        <f t="shared" ref="D69:D132" ca="1" si="16">EDATE(D68,1)</f>
        <v>48208</v>
      </c>
      <c r="E69" s="359">
        <f t="shared" si="6"/>
        <v>1000000</v>
      </c>
      <c r="F69" s="360">
        <f t="shared" ref="F69:F132" ca="1" si="17">IF(YEAR(D69)=2025,40000,IF(YEAR(D69)=2026,40000,IF(YEAR(D69)=2027,40000,IF(YEAR(D69)=2028,40000,IF(YEAR(D69)=2029,40000,IF(YEAR(D69)=2030,50000,IF(YEAR(D69)=2031,50000,IF(YEAR(D69)=2032,50000,IF(YEAR(D69)=2033,50000,IF(YEAR(D69)=2034,50000,IF(YEAR(D69)&gt;=2035,60000,0)))))))))))/1000</f>
        <v>50</v>
      </c>
      <c r="G69" s="295">
        <f ca="1">VTLCOI!R68</f>
        <v>138.93259112166888</v>
      </c>
      <c r="H69" s="295">
        <f t="shared" ca="1" si="15"/>
        <v>39595.652392127282</v>
      </c>
      <c r="I69" s="953"/>
      <c r="J69" s="296">
        <f t="shared" ref="J69:J132" ca="1" si="18">H69</f>
        <v>39595.652392127282</v>
      </c>
      <c r="K69" s="1047"/>
      <c r="L69" s="1047"/>
      <c r="M69" s="1047"/>
      <c r="N69" s="1047"/>
      <c r="O69" s="1047"/>
      <c r="P69" s="298"/>
    </row>
    <row r="70" spans="2:16" ht="9.75" customHeight="1">
      <c r="B70" s="946"/>
      <c r="C70" s="946"/>
      <c r="D70" s="294">
        <f t="shared" ca="1" si="16"/>
        <v>48239</v>
      </c>
      <c r="E70" s="359">
        <f t="shared" ref="E70:E133" si="19">E69</f>
        <v>1000000</v>
      </c>
      <c r="F70" s="360">
        <f t="shared" ca="1" si="17"/>
        <v>50</v>
      </c>
      <c r="G70" s="295">
        <f ca="1">VTLCOI!R69</f>
        <v>138.93849562060558</v>
      </c>
      <c r="H70" s="295">
        <f t="shared" ca="1" si="15"/>
        <v>39554.678705864222</v>
      </c>
      <c r="I70" s="953"/>
      <c r="J70" s="296">
        <f t="shared" ca="1" si="18"/>
        <v>39554.678705864222</v>
      </c>
      <c r="K70" s="1047"/>
      <c r="L70" s="1047"/>
      <c r="M70" s="1047"/>
      <c r="N70" s="1047"/>
      <c r="O70" s="1047"/>
      <c r="P70" s="298"/>
    </row>
    <row r="71" spans="2:16" ht="9.75" customHeight="1">
      <c r="B71" s="946"/>
      <c r="C71" s="946"/>
      <c r="D71" s="294">
        <f t="shared" ca="1" si="16"/>
        <v>48270</v>
      </c>
      <c r="E71" s="359">
        <f t="shared" si="19"/>
        <v>1000000</v>
      </c>
      <c r="F71" s="360">
        <f t="shared" ca="1" si="17"/>
        <v>50</v>
      </c>
      <c r="G71" s="295">
        <f ca="1">VTLCOI!R70</f>
        <v>138.94442314721832</v>
      </c>
      <c r="H71" s="295">
        <f t="shared" ca="1" si="15"/>
        <v>39513.545221321518</v>
      </c>
      <c r="I71" s="953"/>
      <c r="J71" s="296">
        <f t="shared" ca="1" si="18"/>
        <v>39513.545221321518</v>
      </c>
      <c r="K71" s="1047"/>
      <c r="L71" s="1047"/>
      <c r="M71" s="1047"/>
      <c r="N71" s="1047"/>
      <c r="O71" s="1047"/>
      <c r="P71" s="298"/>
    </row>
    <row r="72" spans="2:16" ht="9.75" customHeight="1">
      <c r="B72" s="946"/>
      <c r="C72" s="946"/>
      <c r="D72" s="294">
        <f t="shared" ca="1" si="16"/>
        <v>48299</v>
      </c>
      <c r="E72" s="359">
        <f t="shared" si="19"/>
        <v>1000000</v>
      </c>
      <c r="F72" s="360">
        <f t="shared" ca="1" si="17"/>
        <v>50</v>
      </c>
      <c r="G72" s="295">
        <f ca="1">VTLCOI!R71</f>
        <v>138.95037379131551</v>
      </c>
      <c r="H72" s="295">
        <f t="shared" ca="1" si="15"/>
        <v>39472.251315282345</v>
      </c>
      <c r="I72" s="953"/>
      <c r="J72" s="296">
        <f t="shared" ca="1" si="18"/>
        <v>39472.251315282345</v>
      </c>
      <c r="K72" s="1047"/>
      <c r="L72" s="1047"/>
      <c r="M72" s="1047"/>
      <c r="N72" s="1047"/>
      <c r="O72" s="1047"/>
      <c r="P72" s="298"/>
    </row>
    <row r="73" spans="2:16" ht="9.75" customHeight="1">
      <c r="B73" s="946"/>
      <c r="C73" s="946"/>
      <c r="D73" s="294">
        <f t="shared" ca="1" si="16"/>
        <v>48330</v>
      </c>
      <c r="E73" s="359">
        <f t="shared" si="19"/>
        <v>1000000</v>
      </c>
      <c r="F73" s="360">
        <f t="shared" ca="1" si="17"/>
        <v>50</v>
      </c>
      <c r="G73" s="295">
        <f ca="1">VTLCOI!R72</f>
        <v>138.95634764305581</v>
      </c>
      <c r="H73" s="295">
        <f t="shared" ca="1" si="15"/>
        <v>39430.79636209934</v>
      </c>
      <c r="I73" s="953"/>
      <c r="J73" s="296">
        <f t="shared" ca="1" si="18"/>
        <v>39430.79636209934</v>
      </c>
      <c r="K73" s="1047"/>
      <c r="L73" s="1047"/>
      <c r="M73" s="1047"/>
      <c r="N73" s="1047"/>
      <c r="O73" s="1047"/>
      <c r="P73" s="298"/>
    </row>
    <row r="74" spans="2:16" ht="9.75" customHeight="1">
      <c r="B74" s="946"/>
      <c r="C74" s="946"/>
      <c r="D74" s="294">
        <f t="shared" ca="1" si="16"/>
        <v>48360</v>
      </c>
      <c r="E74" s="359">
        <f t="shared" si="19"/>
        <v>1000000</v>
      </c>
      <c r="F74" s="360">
        <f t="shared" ca="1" si="17"/>
        <v>50</v>
      </c>
      <c r="G74" s="295">
        <f ca="1">VTLCOI!R73</f>
        <v>138.96234479294961</v>
      </c>
      <c r="H74" s="295">
        <f t="shared" ca="1" si="15"/>
        <v>39389.179733685087</v>
      </c>
      <c r="I74" s="953"/>
      <c r="J74" s="296">
        <f t="shared" ca="1" si="18"/>
        <v>39389.179733685087</v>
      </c>
      <c r="K74" s="1047"/>
      <c r="L74" s="1047"/>
      <c r="M74" s="1047"/>
      <c r="N74" s="1047"/>
      <c r="O74" s="1047"/>
      <c r="P74" s="298"/>
    </row>
    <row r="75" spans="2:16" ht="9.75" customHeight="1">
      <c r="B75" s="946"/>
      <c r="C75" s="946"/>
      <c r="D75" s="294">
        <f t="shared" ca="1" si="16"/>
        <v>48391</v>
      </c>
      <c r="E75" s="359">
        <f t="shared" si="19"/>
        <v>1000000</v>
      </c>
      <c r="F75" s="360">
        <f t="shared" ca="1" si="17"/>
        <v>50</v>
      </c>
      <c r="G75" s="295">
        <f ca="1">VTLCOI!R74</f>
        <v>138.96836533186021</v>
      </c>
      <c r="H75" s="295">
        <f t="shared" ca="1" si="15"/>
        <v>39347.400799502626</v>
      </c>
      <c r="I75" s="953"/>
      <c r="J75" s="297">
        <f ca="1">H75+I64</f>
        <v>39647.400799502626</v>
      </c>
      <c r="K75" s="1047"/>
      <c r="L75" s="1047"/>
      <c r="M75" s="1047"/>
      <c r="N75" s="1047"/>
      <c r="O75" s="1047"/>
      <c r="P75" s="298"/>
    </row>
    <row r="76" spans="2:16" ht="9.75" customHeight="1">
      <c r="B76" s="951">
        <f>B64+1</f>
        <v>7</v>
      </c>
      <c r="C76" s="952">
        <f ca="1">C64+1</f>
        <v>36</v>
      </c>
      <c r="D76" s="287">
        <f t="shared" ca="1" si="16"/>
        <v>48421</v>
      </c>
      <c r="E76" s="288">
        <f t="shared" si="19"/>
        <v>1000000</v>
      </c>
      <c r="F76" s="289">
        <f t="shared" ca="1" si="17"/>
        <v>50</v>
      </c>
      <c r="G76" s="290">
        <f ca="1">VTLCOI!R75</f>
        <v>147.01880200967693</v>
      </c>
      <c r="H76" s="290">
        <f ca="1">(J75+VTLGTTKMH!F13-F76-G76)*(1+$U$3)</f>
        <v>49435.307931743235</v>
      </c>
      <c r="I76" s="953">
        <f>IF(COUNTIF(VTLGTTKMH!$E$7:E13,0)&gt;0,0,3%*'Tinh phi QL'!$H$13/1000)</f>
        <v>300</v>
      </c>
      <c r="J76" s="292">
        <f t="shared" ca="1" si="18"/>
        <v>49435.307931743235</v>
      </c>
      <c r="K76" s="1047">
        <f ca="1">J87</f>
        <v>49599.124619114817</v>
      </c>
      <c r="L76" s="1047"/>
      <c r="M76" s="1047"/>
      <c r="N76" s="1047">
        <f t="shared" ref="N76" ca="1" si="20">SUM(G76:G87)</f>
        <v>1764.3506912650253</v>
      </c>
      <c r="O76" s="1047"/>
      <c r="P76" s="298"/>
    </row>
    <row r="77" spans="2:16" ht="9.75" customHeight="1">
      <c r="B77" s="951"/>
      <c r="C77" s="951"/>
      <c r="D77" s="287">
        <f t="shared" ca="1" si="16"/>
        <v>48452</v>
      </c>
      <c r="E77" s="288">
        <f t="shared" si="19"/>
        <v>1000000</v>
      </c>
      <c r="F77" s="289">
        <f t="shared" ca="1" si="17"/>
        <v>50</v>
      </c>
      <c r="G77" s="290">
        <f ca="1">VTLCOI!R76</f>
        <v>147.02067237322373</v>
      </c>
      <c r="H77" s="290">
        <f ca="1">(H76-F77-G77)*(1+$U$3)</f>
        <v>49423.167780150266</v>
      </c>
      <c r="I77" s="953"/>
      <c r="J77" s="292">
        <f t="shared" ca="1" si="18"/>
        <v>49423.167780150266</v>
      </c>
      <c r="K77" s="1047"/>
      <c r="L77" s="1047"/>
      <c r="M77" s="1047"/>
      <c r="N77" s="1047"/>
      <c r="O77" s="1047"/>
      <c r="P77" s="298"/>
    </row>
    <row r="78" spans="2:16" ht="9.75" customHeight="1">
      <c r="B78" s="951"/>
      <c r="C78" s="951"/>
      <c r="D78" s="287">
        <f t="shared" ca="1" si="16"/>
        <v>48483</v>
      </c>
      <c r="E78" s="288">
        <f t="shared" si="19"/>
        <v>1000000</v>
      </c>
      <c r="F78" s="289">
        <f t="shared" ca="1" si="17"/>
        <v>50</v>
      </c>
      <c r="G78" s="290">
        <f ca="1">VTLCOI!R77</f>
        <v>147.02255005000345</v>
      </c>
      <c r="H78" s="290">
        <f t="shared" ref="H78:H87" ca="1" si="21">(H77-F78-G78)*(1+$U$3)</f>
        <v>49410.980159841114</v>
      </c>
      <c r="I78" s="953"/>
      <c r="J78" s="292">
        <f t="shared" ca="1" si="18"/>
        <v>49410.980159841114</v>
      </c>
      <c r="K78" s="1047"/>
      <c r="L78" s="1047"/>
      <c r="M78" s="1047"/>
      <c r="N78" s="1047"/>
      <c r="O78" s="1047"/>
      <c r="P78" s="298"/>
    </row>
    <row r="79" spans="2:16" ht="9.75" customHeight="1">
      <c r="B79" s="951"/>
      <c r="C79" s="951"/>
      <c r="D79" s="287">
        <f t="shared" ca="1" si="16"/>
        <v>48513</v>
      </c>
      <c r="E79" s="288">
        <f t="shared" si="19"/>
        <v>1000000</v>
      </c>
      <c r="F79" s="289">
        <f t="shared" ca="1" si="17"/>
        <v>50</v>
      </c>
      <c r="G79" s="290">
        <f ca="1">VTLCOI!R78</f>
        <v>147.02443506861127</v>
      </c>
      <c r="H79" s="290">
        <f t="shared" ca="1" si="21"/>
        <v>49398.744885210268</v>
      </c>
      <c r="I79" s="953"/>
      <c r="J79" s="292">
        <f t="shared" ca="1" si="18"/>
        <v>49398.744885210268</v>
      </c>
      <c r="K79" s="1047"/>
      <c r="L79" s="1047"/>
      <c r="M79" s="1047"/>
      <c r="N79" s="1047"/>
      <c r="O79" s="1047"/>
      <c r="P79" s="298"/>
    </row>
    <row r="80" spans="2:16" ht="9.75" customHeight="1">
      <c r="B80" s="951"/>
      <c r="C80" s="951"/>
      <c r="D80" s="287">
        <f t="shared" ca="1" si="16"/>
        <v>48544</v>
      </c>
      <c r="E80" s="288">
        <f t="shared" si="19"/>
        <v>1000000</v>
      </c>
      <c r="F80" s="289">
        <f t="shared" ca="1" si="17"/>
        <v>50</v>
      </c>
      <c r="G80" s="290">
        <f ca="1">VTLCOI!R79</f>
        <v>147.02632745775415</v>
      </c>
      <c r="H80" s="290">
        <f t="shared" ca="1" si="21"/>
        <v>49386.461769926493</v>
      </c>
      <c r="I80" s="953"/>
      <c r="J80" s="292">
        <f t="shared" ca="1" si="18"/>
        <v>49386.461769926493</v>
      </c>
      <c r="K80" s="1047"/>
      <c r="L80" s="1047"/>
      <c r="M80" s="1047"/>
      <c r="N80" s="1047"/>
      <c r="O80" s="1047"/>
      <c r="P80" s="298"/>
    </row>
    <row r="81" spans="2:16" ht="9.75" customHeight="1">
      <c r="B81" s="951"/>
      <c r="C81" s="951"/>
      <c r="D81" s="287">
        <f t="shared" ca="1" si="16"/>
        <v>48574</v>
      </c>
      <c r="E81" s="288">
        <f t="shared" si="19"/>
        <v>1000000</v>
      </c>
      <c r="F81" s="289">
        <f t="shared" ca="1" si="17"/>
        <v>50</v>
      </c>
      <c r="G81" s="290">
        <f ca="1">VTLCOI!R80</f>
        <v>147.02822724625139</v>
      </c>
      <c r="H81" s="290">
        <f t="shared" ca="1" si="21"/>
        <v>49374.130626929975</v>
      </c>
      <c r="I81" s="953"/>
      <c r="J81" s="292">
        <f t="shared" ca="1" si="18"/>
        <v>49374.130626929975</v>
      </c>
      <c r="K81" s="1047"/>
      <c r="L81" s="1047"/>
      <c r="M81" s="1047"/>
      <c r="N81" s="1047"/>
      <c r="O81" s="1047"/>
      <c r="P81" s="298"/>
    </row>
    <row r="82" spans="2:16" ht="9.75" customHeight="1">
      <c r="B82" s="951"/>
      <c r="C82" s="951"/>
      <c r="D82" s="287">
        <f t="shared" ca="1" si="16"/>
        <v>48605</v>
      </c>
      <c r="E82" s="288">
        <f t="shared" si="19"/>
        <v>1000000</v>
      </c>
      <c r="F82" s="289">
        <f t="shared" ca="1" si="17"/>
        <v>50</v>
      </c>
      <c r="G82" s="290">
        <f ca="1">VTLCOI!R81</f>
        <v>147.03013446303484</v>
      </c>
      <c r="H82" s="290">
        <f t="shared" ca="1" si="21"/>
        <v>49361.7512684295</v>
      </c>
      <c r="I82" s="953"/>
      <c r="J82" s="292">
        <f t="shared" ca="1" si="18"/>
        <v>49361.7512684295</v>
      </c>
      <c r="K82" s="1047"/>
      <c r="L82" s="1047"/>
      <c r="M82" s="1047"/>
      <c r="N82" s="1047"/>
      <c r="O82" s="1047"/>
      <c r="P82" s="298"/>
    </row>
    <row r="83" spans="2:16" ht="9.75" customHeight="1">
      <c r="B83" s="951"/>
      <c r="C83" s="951"/>
      <c r="D83" s="287">
        <f t="shared" ca="1" si="16"/>
        <v>48636</v>
      </c>
      <c r="E83" s="288">
        <f t="shared" si="19"/>
        <v>1000000</v>
      </c>
      <c r="F83" s="289">
        <f t="shared" ca="1" si="17"/>
        <v>50</v>
      </c>
      <c r="G83" s="290">
        <f ca="1">VTLCOI!R82</f>
        <v>147.03204913714958</v>
      </c>
      <c r="H83" s="290">
        <f t="shared" ca="1" si="21"/>
        <v>49349.323505899578</v>
      </c>
      <c r="I83" s="953"/>
      <c r="J83" s="292">
        <f t="shared" ca="1" si="18"/>
        <v>49349.323505899578</v>
      </c>
      <c r="K83" s="1047"/>
      <c r="L83" s="1047"/>
      <c r="M83" s="1047"/>
      <c r="N83" s="1047"/>
      <c r="O83" s="1047"/>
      <c r="P83" s="298"/>
    </row>
    <row r="84" spans="2:16" ht="9.75" customHeight="1">
      <c r="B84" s="951"/>
      <c r="C84" s="951"/>
      <c r="D84" s="287">
        <f t="shared" ca="1" si="16"/>
        <v>48664</v>
      </c>
      <c r="E84" s="288">
        <f t="shared" si="19"/>
        <v>1000000</v>
      </c>
      <c r="F84" s="289">
        <f t="shared" ca="1" si="17"/>
        <v>50</v>
      </c>
      <c r="G84" s="290">
        <f ca="1">VTLCOI!R83</f>
        <v>147.03397129775419</v>
      </c>
      <c r="H84" s="290">
        <f t="shared" ca="1" si="21"/>
        <v>49336.84715007757</v>
      </c>
      <c r="I84" s="953"/>
      <c r="J84" s="292">
        <f t="shared" ca="1" si="18"/>
        <v>49336.84715007757</v>
      </c>
      <c r="K84" s="1047"/>
      <c r="L84" s="1047"/>
      <c r="M84" s="1047"/>
      <c r="N84" s="1047"/>
      <c r="O84" s="1047"/>
      <c r="P84" s="298"/>
    </row>
    <row r="85" spans="2:16" ht="9.75" customHeight="1">
      <c r="B85" s="951"/>
      <c r="C85" s="951"/>
      <c r="D85" s="287">
        <f t="shared" ca="1" si="16"/>
        <v>48695</v>
      </c>
      <c r="E85" s="288">
        <f t="shared" si="19"/>
        <v>1000000</v>
      </c>
      <c r="F85" s="289">
        <f t="shared" ca="1" si="17"/>
        <v>50</v>
      </c>
      <c r="G85" s="290">
        <f ca="1">VTLCOI!R84</f>
        <v>147.03590097412135</v>
      </c>
      <c r="H85" s="290">
        <f t="shared" ca="1" si="21"/>
        <v>49324.322010960801</v>
      </c>
      <c r="I85" s="953"/>
      <c r="J85" s="292">
        <f t="shared" ca="1" si="18"/>
        <v>49324.322010960801</v>
      </c>
      <c r="K85" s="1047"/>
      <c r="L85" s="1047"/>
      <c r="M85" s="1047"/>
      <c r="N85" s="1047"/>
      <c r="O85" s="1047"/>
      <c r="P85" s="298"/>
    </row>
    <row r="86" spans="2:16" ht="9.75" customHeight="1">
      <c r="B86" s="951"/>
      <c r="C86" s="951"/>
      <c r="D86" s="287">
        <f t="shared" ca="1" si="16"/>
        <v>48725</v>
      </c>
      <c r="E86" s="288">
        <f t="shared" si="19"/>
        <v>1000000</v>
      </c>
      <c r="F86" s="289">
        <f t="shared" ca="1" si="17"/>
        <v>50</v>
      </c>
      <c r="G86" s="290">
        <f ca="1">VTLCOI!R85</f>
        <v>147.03783819563807</v>
      </c>
      <c r="H86" s="290">
        <f t="shared" ca="1" si="21"/>
        <v>49311.747897803689</v>
      </c>
      <c r="I86" s="953"/>
      <c r="J86" s="292">
        <f t="shared" ca="1" si="18"/>
        <v>49311.747897803689</v>
      </c>
      <c r="K86" s="1047"/>
      <c r="L86" s="1047"/>
      <c r="M86" s="1047"/>
      <c r="N86" s="1047"/>
      <c r="O86" s="1047"/>
      <c r="P86" s="298"/>
    </row>
    <row r="87" spans="2:16" ht="9.75" customHeight="1">
      <c r="B87" s="951"/>
      <c r="C87" s="951"/>
      <c r="D87" s="287">
        <f t="shared" ca="1" si="16"/>
        <v>48756</v>
      </c>
      <c r="E87" s="288">
        <f t="shared" si="19"/>
        <v>1000000</v>
      </c>
      <c r="F87" s="289">
        <f t="shared" ca="1" si="17"/>
        <v>50</v>
      </c>
      <c r="G87" s="290">
        <f ca="1">VTLCOI!R86</f>
        <v>147.03978299180639</v>
      </c>
      <c r="H87" s="290">
        <f t="shared" ca="1" si="21"/>
        <v>49299.124619114817</v>
      </c>
      <c r="I87" s="953"/>
      <c r="J87" s="293">
        <f ca="1">H87+I76</f>
        <v>49599.124619114817</v>
      </c>
      <c r="K87" s="1047"/>
      <c r="L87" s="1047"/>
      <c r="M87" s="1047"/>
      <c r="N87" s="1047"/>
      <c r="O87" s="1047"/>
      <c r="P87" s="298"/>
    </row>
    <row r="88" spans="2:16" ht="9.75" customHeight="1">
      <c r="B88" s="946">
        <f>B76+1</f>
        <v>8</v>
      </c>
      <c r="C88" s="947">
        <f ca="1">C76+1</f>
        <v>37</v>
      </c>
      <c r="D88" s="294">
        <f t="shared" ca="1" si="16"/>
        <v>48786</v>
      </c>
      <c r="E88" s="359">
        <f t="shared" si="19"/>
        <v>1000000</v>
      </c>
      <c r="F88" s="360">
        <f t="shared" ca="1" si="17"/>
        <v>50</v>
      </c>
      <c r="G88" s="295">
        <f ca="1">VTLCOI!R87</f>
        <v>156.13974531322694</v>
      </c>
      <c r="H88" s="295">
        <f ca="1">(J87+VTLGTTKMH!F14-F88-G88)*(1+U3)</f>
        <v>59415.243414444136</v>
      </c>
      <c r="I88" s="953">
        <f>IF(COUNTIF(VTLGTTKMH!$E$7:E14,0)&gt;0,0,3%*'Tinh phi QL'!$H$13/1000)</f>
        <v>300</v>
      </c>
      <c r="J88" s="296">
        <f t="shared" ca="1" si="18"/>
        <v>59415.243414444136</v>
      </c>
      <c r="K88" s="1047">
        <f ca="1">J99</f>
        <v>59896.776960334915</v>
      </c>
      <c r="L88" s="1047"/>
      <c r="M88" s="1047"/>
      <c r="N88" s="1047">
        <f t="shared" ref="N88" ca="1" si="22">SUM(G88:G99)</f>
        <v>1873.4980173553408</v>
      </c>
      <c r="O88" s="1047"/>
      <c r="P88" s="298"/>
    </row>
    <row r="89" spans="2:16" ht="9.75" customHeight="1">
      <c r="B89" s="946"/>
      <c r="C89" s="946"/>
      <c r="D89" s="294">
        <f t="shared" ca="1" si="16"/>
        <v>48817</v>
      </c>
      <c r="E89" s="359">
        <f t="shared" si="19"/>
        <v>1000000</v>
      </c>
      <c r="F89" s="360">
        <f t="shared" ca="1" si="17"/>
        <v>50</v>
      </c>
      <c r="G89" s="295">
        <f ca="1">VTLCOI!R88</f>
        <v>156.13706959320226</v>
      </c>
      <c r="H89" s="295">
        <f ca="1">(H88-F89-G89)*(1+$U$3)</f>
        <v>59431.425418589351</v>
      </c>
      <c r="I89" s="953"/>
      <c r="J89" s="296">
        <f t="shared" ca="1" si="18"/>
        <v>59431.425418589351</v>
      </c>
      <c r="K89" s="1047"/>
      <c r="L89" s="1047"/>
      <c r="M89" s="1047"/>
      <c r="N89" s="1047"/>
      <c r="O89" s="1047"/>
      <c r="P89" s="298"/>
    </row>
    <row r="90" spans="2:16" ht="9.75" customHeight="1">
      <c r="B90" s="946"/>
      <c r="C90" s="946"/>
      <c r="D90" s="294">
        <f t="shared" ca="1" si="16"/>
        <v>48848</v>
      </c>
      <c r="E90" s="359">
        <f t="shared" si="19"/>
        <v>1000000</v>
      </c>
      <c r="F90" s="360">
        <f t="shared" ca="1" si="17"/>
        <v>50</v>
      </c>
      <c r="G90" s="295">
        <f ca="1">VTLCOI!R89</f>
        <v>156.13438338051415</v>
      </c>
      <c r="H90" s="295">
        <f t="shared" ref="H90:H99" ca="1" si="23">(H89-F90-G90)*(1+$U$3)</f>
        <v>59447.670879419762</v>
      </c>
      <c r="I90" s="953"/>
      <c r="J90" s="296">
        <f t="shared" ca="1" si="18"/>
        <v>59447.670879419762</v>
      </c>
      <c r="K90" s="1047"/>
      <c r="L90" s="1047"/>
      <c r="M90" s="1047"/>
      <c r="N90" s="1047"/>
      <c r="O90" s="1047"/>
      <c r="P90" s="298"/>
    </row>
    <row r="91" spans="2:16" ht="9.75" customHeight="1">
      <c r="B91" s="946"/>
      <c r="C91" s="946"/>
      <c r="D91" s="294">
        <f t="shared" ca="1" si="16"/>
        <v>48878</v>
      </c>
      <c r="E91" s="359">
        <f t="shared" si="19"/>
        <v>1000000</v>
      </c>
      <c r="F91" s="360">
        <f t="shared" ca="1" si="17"/>
        <v>50</v>
      </c>
      <c r="G91" s="295">
        <f ca="1">VTLCOI!R90</f>
        <v>156.13168663401632</v>
      </c>
      <c r="H91" s="295">
        <f t="shared" ca="1" si="23"/>
        <v>59463.980045776669</v>
      </c>
      <c r="I91" s="953"/>
      <c r="J91" s="296">
        <f t="shared" ca="1" si="18"/>
        <v>59463.980045776669</v>
      </c>
      <c r="K91" s="1047"/>
      <c r="L91" s="1047"/>
      <c r="M91" s="1047"/>
      <c r="N91" s="1047"/>
      <c r="O91" s="1047"/>
      <c r="P91" s="298"/>
    </row>
    <row r="92" spans="2:16" ht="9.75" customHeight="1">
      <c r="B92" s="946"/>
      <c r="C92" s="946"/>
      <c r="D92" s="294">
        <f t="shared" ca="1" si="16"/>
        <v>48909</v>
      </c>
      <c r="E92" s="359">
        <f t="shared" si="19"/>
        <v>1000000</v>
      </c>
      <c r="F92" s="360">
        <f t="shared" ca="1" si="17"/>
        <v>50</v>
      </c>
      <c r="G92" s="295">
        <f ca="1">VTLCOI!R91</f>
        <v>156.12897931240107</v>
      </c>
      <c r="H92" s="295">
        <f t="shared" ca="1" si="23"/>
        <v>59480.353167477173</v>
      </c>
      <c r="I92" s="953"/>
      <c r="J92" s="296">
        <f t="shared" ca="1" si="18"/>
        <v>59480.353167477173</v>
      </c>
      <c r="K92" s="1047"/>
      <c r="L92" s="1047"/>
      <c r="M92" s="1047"/>
      <c r="N92" s="1047"/>
      <c r="O92" s="1047"/>
      <c r="P92" s="298"/>
    </row>
    <row r="93" spans="2:16" ht="9.75" customHeight="1">
      <c r="B93" s="946"/>
      <c r="C93" s="946"/>
      <c r="D93" s="294">
        <f t="shared" ca="1" si="16"/>
        <v>48939</v>
      </c>
      <c r="E93" s="359">
        <f t="shared" si="19"/>
        <v>1000000</v>
      </c>
      <c r="F93" s="360">
        <f t="shared" ca="1" si="17"/>
        <v>50</v>
      </c>
      <c r="G93" s="295">
        <f ca="1">VTLCOI!R92</f>
        <v>156.12626137419878</v>
      </c>
      <c r="H93" s="295">
        <f t="shared" ca="1" si="23"/>
        <v>59496.790495318026</v>
      </c>
      <c r="I93" s="953"/>
      <c r="J93" s="296">
        <f t="shared" ca="1" si="18"/>
        <v>59496.790495318026</v>
      </c>
      <c r="K93" s="1047"/>
      <c r="L93" s="1047"/>
      <c r="M93" s="1047"/>
      <c r="N93" s="1047"/>
      <c r="O93" s="1047"/>
      <c r="P93" s="298"/>
    </row>
    <row r="94" spans="2:16" ht="9.75" customHeight="1">
      <c r="B94" s="946"/>
      <c r="C94" s="946"/>
      <c r="D94" s="294">
        <f t="shared" ca="1" si="16"/>
        <v>48970</v>
      </c>
      <c r="E94" s="359">
        <f t="shared" si="19"/>
        <v>1000000</v>
      </c>
      <c r="F94" s="360">
        <f t="shared" ca="1" si="17"/>
        <v>50</v>
      </c>
      <c r="G94" s="295">
        <f ca="1">VTLCOI!R93</f>
        <v>156.12353277777723</v>
      </c>
      <c r="H94" s="295">
        <f t="shared" ca="1" si="23"/>
        <v>59513.292281079477</v>
      </c>
      <c r="I94" s="953"/>
      <c r="J94" s="296">
        <f t="shared" ca="1" si="18"/>
        <v>59513.292281079477</v>
      </c>
      <c r="K94" s="1047"/>
      <c r="L94" s="1047"/>
      <c r="M94" s="1047"/>
      <c r="N94" s="1047"/>
      <c r="O94" s="1047"/>
      <c r="P94" s="298"/>
    </row>
    <row r="95" spans="2:16" ht="9.75" customHeight="1">
      <c r="B95" s="946"/>
      <c r="C95" s="946"/>
      <c r="D95" s="294">
        <f t="shared" ca="1" si="16"/>
        <v>49001</v>
      </c>
      <c r="E95" s="359">
        <f t="shared" si="19"/>
        <v>1000000</v>
      </c>
      <c r="F95" s="360">
        <f t="shared" ca="1" si="17"/>
        <v>50</v>
      </c>
      <c r="G95" s="295">
        <f ca="1">VTLCOI!R94</f>
        <v>156.1207934813408</v>
      </c>
      <c r="H95" s="295">
        <f t="shared" ca="1" si="23"/>
        <v>59529.858777529094</v>
      </c>
      <c r="I95" s="953"/>
      <c r="J95" s="296">
        <f t="shared" ca="1" si="18"/>
        <v>59529.858777529094</v>
      </c>
      <c r="K95" s="1047"/>
      <c r="L95" s="1047"/>
      <c r="M95" s="1047"/>
      <c r="N95" s="1047"/>
      <c r="O95" s="1047"/>
      <c r="P95" s="298"/>
    </row>
    <row r="96" spans="2:16" ht="9.75" customHeight="1">
      <c r="B96" s="946"/>
      <c r="C96" s="946"/>
      <c r="D96" s="294">
        <f t="shared" ca="1" si="16"/>
        <v>49029</v>
      </c>
      <c r="E96" s="359">
        <f t="shared" si="19"/>
        <v>1000000</v>
      </c>
      <c r="F96" s="360">
        <f t="shared" ca="1" si="17"/>
        <v>50</v>
      </c>
      <c r="G96" s="295">
        <f ca="1">VTLCOI!R95</f>
        <v>156.11804344293017</v>
      </c>
      <c r="H96" s="295">
        <f t="shared" ca="1" si="23"/>
        <v>59546.490238425664</v>
      </c>
      <c r="I96" s="953"/>
      <c r="J96" s="296">
        <f t="shared" ca="1" si="18"/>
        <v>59546.490238425664</v>
      </c>
      <c r="K96" s="1047"/>
      <c r="L96" s="1047"/>
      <c r="M96" s="1047"/>
      <c r="N96" s="1047"/>
      <c r="O96" s="1047"/>
      <c r="P96" s="298"/>
    </row>
    <row r="97" spans="2:16" ht="9.75" customHeight="1">
      <c r="B97" s="946"/>
      <c r="C97" s="946"/>
      <c r="D97" s="294">
        <f t="shared" ca="1" si="16"/>
        <v>49060</v>
      </c>
      <c r="E97" s="359">
        <f t="shared" si="19"/>
        <v>1000000</v>
      </c>
      <c r="F97" s="360">
        <f t="shared" ca="1" si="17"/>
        <v>50</v>
      </c>
      <c r="G97" s="295">
        <f ca="1">VTLCOI!R96</f>
        <v>156.11528262042134</v>
      </c>
      <c r="H97" s="295">
        <f t="shared" ca="1" si="23"/>
        <v>59563.186918523083</v>
      </c>
      <c r="I97" s="953"/>
      <c r="J97" s="296">
        <f t="shared" ca="1" si="18"/>
        <v>59563.186918523083</v>
      </c>
      <c r="K97" s="1047"/>
      <c r="L97" s="1047"/>
      <c r="M97" s="1047"/>
      <c r="N97" s="1047"/>
      <c r="O97" s="1047"/>
      <c r="P97" s="298"/>
    </row>
    <row r="98" spans="2:16" ht="9.75" customHeight="1">
      <c r="B98" s="946"/>
      <c r="C98" s="946"/>
      <c r="D98" s="294">
        <f t="shared" ca="1" si="16"/>
        <v>49090</v>
      </c>
      <c r="E98" s="359">
        <f t="shared" si="19"/>
        <v>1000000</v>
      </c>
      <c r="F98" s="360">
        <f t="shared" ca="1" si="17"/>
        <v>50</v>
      </c>
      <c r="G98" s="295">
        <f ca="1">VTLCOI!R97</f>
        <v>156.11251097152518</v>
      </c>
      <c r="H98" s="295">
        <f t="shared" ca="1" si="23"/>
        <v>59579.949073574229</v>
      </c>
      <c r="I98" s="953"/>
      <c r="J98" s="296">
        <f t="shared" ca="1" si="18"/>
        <v>59579.949073574229</v>
      </c>
      <c r="K98" s="1047"/>
      <c r="L98" s="1047"/>
      <c r="M98" s="1047"/>
      <c r="N98" s="1047"/>
      <c r="O98" s="1047"/>
      <c r="P98" s="298"/>
    </row>
    <row r="99" spans="2:16" ht="9.75" customHeight="1">
      <c r="B99" s="946"/>
      <c r="C99" s="946"/>
      <c r="D99" s="294">
        <f t="shared" ca="1" si="16"/>
        <v>49121</v>
      </c>
      <c r="E99" s="359">
        <f t="shared" si="19"/>
        <v>1000000</v>
      </c>
      <c r="F99" s="360">
        <f t="shared" ca="1" si="17"/>
        <v>50</v>
      </c>
      <c r="G99" s="295">
        <f ca="1">VTLCOI!R98</f>
        <v>156.10972845378669</v>
      </c>
      <c r="H99" s="295">
        <f t="shared" ca="1" si="23"/>
        <v>59596.776960334915</v>
      </c>
      <c r="I99" s="953"/>
      <c r="J99" s="297">
        <f ca="1">H99+I88</f>
        <v>59896.776960334915</v>
      </c>
      <c r="K99" s="1047"/>
      <c r="L99" s="1047"/>
      <c r="M99" s="1047"/>
      <c r="N99" s="1047"/>
      <c r="O99" s="1047"/>
      <c r="P99" s="298"/>
    </row>
    <row r="100" spans="2:16" ht="9.75" customHeight="1">
      <c r="B100" s="951">
        <f>B88+1</f>
        <v>9</v>
      </c>
      <c r="C100" s="952">
        <f ca="1">C88+1</f>
        <v>38</v>
      </c>
      <c r="D100" s="287">
        <f t="shared" ca="1" si="16"/>
        <v>49151</v>
      </c>
      <c r="E100" s="288">
        <f t="shared" si="19"/>
        <v>1000000</v>
      </c>
      <c r="F100" s="289">
        <f t="shared" ca="1" si="17"/>
        <v>50</v>
      </c>
      <c r="G100" s="290">
        <f ca="1">VTLCOI!R99</f>
        <v>166.2141758497535</v>
      </c>
      <c r="H100" s="290">
        <f ca="1">(J99+VTLGTTKMH!F15-F100-G100)*(1+$U$3)</f>
        <v>69741.449247981232</v>
      </c>
      <c r="I100" s="953">
        <f>IF(COUNTIF(VTLGTTKMH!$E$7:E15,0)&gt;0,0,3%*'Tinh phi QL'!$H$13/1000)</f>
        <v>300</v>
      </c>
      <c r="J100" s="292">
        <f t="shared" ca="1" si="18"/>
        <v>69741.449247981232</v>
      </c>
      <c r="K100" s="1047">
        <f ca="1">J111</f>
        <v>70483.77646832871</v>
      </c>
      <c r="L100" s="1047"/>
      <c r="M100" s="1047"/>
      <c r="N100" s="1047">
        <f t="shared" ref="N100" ca="1" si="24">SUM(G100:G111)</f>
        <v>1994.0634071525226</v>
      </c>
      <c r="O100" s="1047"/>
      <c r="P100" s="298"/>
    </row>
    <row r="101" spans="2:16" ht="9.75" customHeight="1">
      <c r="B101" s="951"/>
      <c r="C101" s="951"/>
      <c r="D101" s="287">
        <f t="shared" ca="1" si="16"/>
        <v>49182</v>
      </c>
      <c r="E101" s="288">
        <f t="shared" si="19"/>
        <v>1000000</v>
      </c>
      <c r="F101" s="289">
        <f t="shared" ca="1" si="17"/>
        <v>50</v>
      </c>
      <c r="G101" s="290">
        <f ca="1">VTLCOI!R100</f>
        <v>166.20619440102737</v>
      </c>
      <c r="H101" s="290">
        <f ca="1">(H100-F101-G101)*(1+$U$3)</f>
        <v>69786.297283094944</v>
      </c>
      <c r="I101" s="953"/>
      <c r="J101" s="292">
        <f t="shared" ca="1" si="18"/>
        <v>69786.297283094944</v>
      </c>
      <c r="K101" s="1047"/>
      <c r="L101" s="1047"/>
      <c r="M101" s="1047"/>
      <c r="N101" s="1047"/>
      <c r="O101" s="1047"/>
      <c r="P101" s="298"/>
    </row>
    <row r="102" spans="2:16" ht="9.75" customHeight="1">
      <c r="B102" s="951"/>
      <c r="C102" s="951"/>
      <c r="D102" s="287">
        <f t="shared" ca="1" si="16"/>
        <v>49213</v>
      </c>
      <c r="E102" s="288">
        <f t="shared" si="19"/>
        <v>1000000</v>
      </c>
      <c r="F102" s="289">
        <f t="shared" ca="1" si="17"/>
        <v>50</v>
      </c>
      <c r="G102" s="290">
        <f ca="1">VTLCOI!R101</f>
        <v>166.19818155208705</v>
      </c>
      <c r="H102" s="290">
        <f t="shared" ref="H102:H111" ca="1" si="25">(H101-F102-G102)*(1+$U$3)</f>
        <v>69831.321757092883</v>
      </c>
      <c r="I102" s="953"/>
      <c r="J102" s="292">
        <f t="shared" ca="1" si="18"/>
        <v>69831.321757092883</v>
      </c>
      <c r="K102" s="1047"/>
      <c r="L102" s="1047"/>
      <c r="M102" s="1047"/>
      <c r="N102" s="1047"/>
      <c r="O102" s="1047"/>
      <c r="P102" s="298"/>
    </row>
    <row r="103" spans="2:16" ht="9.75" customHeight="1">
      <c r="B103" s="951"/>
      <c r="C103" s="951"/>
      <c r="D103" s="287">
        <f t="shared" ca="1" si="16"/>
        <v>49243</v>
      </c>
      <c r="E103" s="288">
        <f t="shared" si="19"/>
        <v>1000000</v>
      </c>
      <c r="F103" s="289">
        <f t="shared" ca="1" si="17"/>
        <v>50</v>
      </c>
      <c r="G103" s="290">
        <f ca="1">VTLCOI!R102</f>
        <v>166.19013717939941</v>
      </c>
      <c r="H103" s="290">
        <f t="shared" ca="1" si="25"/>
        <v>69876.523364112029</v>
      </c>
      <c r="I103" s="953"/>
      <c r="J103" s="292">
        <f t="shared" ca="1" si="18"/>
        <v>69876.523364112029</v>
      </c>
      <c r="K103" s="1047"/>
      <c r="L103" s="1047"/>
      <c r="M103" s="1047"/>
      <c r="N103" s="1047"/>
      <c r="O103" s="1047"/>
      <c r="P103" s="298"/>
    </row>
    <row r="104" spans="2:16" ht="9.75" customHeight="1">
      <c r="B104" s="951"/>
      <c r="C104" s="951"/>
      <c r="D104" s="287">
        <f t="shared" ca="1" si="16"/>
        <v>49274</v>
      </c>
      <c r="E104" s="288">
        <f t="shared" si="19"/>
        <v>1000000</v>
      </c>
      <c r="F104" s="289">
        <f t="shared" ca="1" si="17"/>
        <v>50</v>
      </c>
      <c r="G104" s="290">
        <f ca="1">VTLCOI!R103</f>
        <v>166.18206115894534</v>
      </c>
      <c r="H104" s="290">
        <f t="shared" ca="1" si="25"/>
        <v>69921.902801020202</v>
      </c>
      <c r="I104" s="953"/>
      <c r="J104" s="292">
        <f t="shared" ca="1" si="18"/>
        <v>69921.902801020202</v>
      </c>
      <c r="K104" s="1047"/>
      <c r="L104" s="1047"/>
      <c r="M104" s="1047"/>
      <c r="N104" s="1047"/>
      <c r="O104" s="1047"/>
      <c r="P104" s="298"/>
    </row>
    <row r="105" spans="2:16" ht="9.75" customHeight="1">
      <c r="B105" s="951"/>
      <c r="C105" s="951"/>
      <c r="D105" s="287">
        <f t="shared" ca="1" si="16"/>
        <v>49304</v>
      </c>
      <c r="E105" s="288">
        <f t="shared" si="19"/>
        <v>1000000</v>
      </c>
      <c r="F105" s="289">
        <f t="shared" ca="1" si="17"/>
        <v>50</v>
      </c>
      <c r="G105" s="290">
        <f ca="1">VTLCOI!R104</f>
        <v>166.17395336621772</v>
      </c>
      <c r="H105" s="290">
        <f t="shared" ca="1" si="25"/>
        <v>69967.460767426819</v>
      </c>
      <c r="I105" s="953"/>
      <c r="J105" s="292">
        <f t="shared" ca="1" si="18"/>
        <v>69967.460767426819</v>
      </c>
      <c r="K105" s="1047"/>
      <c r="L105" s="1047"/>
      <c r="M105" s="1047"/>
      <c r="N105" s="1047"/>
      <c r="O105" s="1047"/>
      <c r="P105" s="298"/>
    </row>
    <row r="106" spans="2:16" ht="9.75" customHeight="1">
      <c r="B106" s="951"/>
      <c r="C106" s="951"/>
      <c r="D106" s="287">
        <f t="shared" ca="1" si="16"/>
        <v>49335</v>
      </c>
      <c r="E106" s="288">
        <f t="shared" si="19"/>
        <v>1000000</v>
      </c>
      <c r="F106" s="289">
        <f t="shared" ca="1" si="17"/>
        <v>60</v>
      </c>
      <c r="G106" s="290">
        <f ca="1">VTLCOI!R105</f>
        <v>166.16581367621976</v>
      </c>
      <c r="H106" s="290">
        <f t="shared" ca="1" si="25"/>
        <v>70003.160417571853</v>
      </c>
      <c r="I106" s="953"/>
      <c r="J106" s="292">
        <f t="shared" ca="1" si="18"/>
        <v>70003.160417571853</v>
      </c>
      <c r="K106" s="1047"/>
      <c r="L106" s="1047"/>
      <c r="M106" s="1047"/>
      <c r="N106" s="1047"/>
      <c r="O106" s="1047"/>
      <c r="P106" s="298"/>
    </row>
    <row r="107" spans="2:16" ht="9.75" customHeight="1">
      <c r="B107" s="951"/>
      <c r="C107" s="951"/>
      <c r="D107" s="287">
        <f t="shared" ca="1" si="16"/>
        <v>49366</v>
      </c>
      <c r="E107" s="288">
        <f t="shared" si="19"/>
        <v>1000000</v>
      </c>
      <c r="F107" s="289">
        <f t="shared" ca="1" si="17"/>
        <v>60</v>
      </c>
      <c r="G107" s="290">
        <f ca="1">VTLCOI!R106</f>
        <v>166.15943533872715</v>
      </c>
      <c r="H107" s="290">
        <f t="shared" ca="1" si="25"/>
        <v>70039.000515485051</v>
      </c>
      <c r="I107" s="953"/>
      <c r="J107" s="292">
        <f t="shared" ca="1" si="18"/>
        <v>70039.000515485051</v>
      </c>
      <c r="K107" s="1047"/>
      <c r="L107" s="1047"/>
      <c r="M107" s="1047"/>
      <c r="N107" s="1047"/>
      <c r="O107" s="1047"/>
      <c r="P107" s="298"/>
    </row>
    <row r="108" spans="2:16" ht="9.75" customHeight="1">
      <c r="B108" s="951"/>
      <c r="C108" s="951"/>
      <c r="D108" s="287">
        <f t="shared" ca="1" si="16"/>
        <v>49394</v>
      </c>
      <c r="E108" s="288">
        <f t="shared" si="19"/>
        <v>1000000</v>
      </c>
      <c r="F108" s="289">
        <f t="shared" ca="1" si="17"/>
        <v>60</v>
      </c>
      <c r="G108" s="290">
        <f ca="1">VTLCOI!R107</f>
        <v>166.15303190789999</v>
      </c>
      <c r="H108" s="290">
        <f t="shared" ca="1" si="25"/>
        <v>70074.98161370898</v>
      </c>
      <c r="I108" s="953"/>
      <c r="J108" s="292">
        <f t="shared" ca="1" si="18"/>
        <v>70074.98161370898</v>
      </c>
      <c r="K108" s="1047"/>
      <c r="L108" s="1047"/>
      <c r="M108" s="1047"/>
      <c r="N108" s="1047"/>
      <c r="O108" s="1047"/>
      <c r="P108" s="298"/>
    </row>
    <row r="109" spans="2:16" ht="9.75" customHeight="1">
      <c r="B109" s="951"/>
      <c r="C109" s="951"/>
      <c r="D109" s="287">
        <f t="shared" ca="1" si="16"/>
        <v>49425</v>
      </c>
      <c r="E109" s="288">
        <f t="shared" si="19"/>
        <v>1000000</v>
      </c>
      <c r="F109" s="289">
        <f t="shared" ca="1" si="17"/>
        <v>60</v>
      </c>
      <c r="G109" s="290">
        <f ca="1">VTLCOI!R108</f>
        <v>166.14660328501733</v>
      </c>
      <c r="H109" s="290">
        <f t="shared" ca="1" si="25"/>
        <v>70111.10426695997</v>
      </c>
      <c r="I109" s="953"/>
      <c r="J109" s="292">
        <f t="shared" ca="1" si="18"/>
        <v>70111.10426695997</v>
      </c>
      <c r="K109" s="1047"/>
      <c r="L109" s="1047"/>
      <c r="M109" s="1047"/>
      <c r="N109" s="1047"/>
      <c r="O109" s="1047"/>
      <c r="P109" s="298"/>
    </row>
    <row r="110" spans="2:16" ht="9.75" customHeight="1">
      <c r="B110" s="951"/>
      <c r="C110" s="951"/>
      <c r="D110" s="287">
        <f t="shared" ca="1" si="16"/>
        <v>49455</v>
      </c>
      <c r="E110" s="288">
        <f t="shared" si="19"/>
        <v>1000000</v>
      </c>
      <c r="F110" s="289">
        <f t="shared" ca="1" si="17"/>
        <v>60</v>
      </c>
      <c r="G110" s="290">
        <f ca="1">VTLCOI!R109</f>
        <v>166.14014937096985</v>
      </c>
      <c r="H110" s="290">
        <f t="shared" ca="1" si="25"/>
        <v>70147.369032136688</v>
      </c>
      <c r="I110" s="953"/>
      <c r="J110" s="292">
        <f t="shared" ca="1" si="18"/>
        <v>70147.369032136688</v>
      </c>
      <c r="K110" s="1047"/>
      <c r="L110" s="1047"/>
      <c r="M110" s="1047"/>
      <c r="N110" s="1047"/>
      <c r="O110" s="1047"/>
      <c r="P110" s="298"/>
    </row>
    <row r="111" spans="2:16" ht="9.75" customHeight="1">
      <c r="B111" s="951"/>
      <c r="C111" s="951"/>
      <c r="D111" s="287">
        <f t="shared" ca="1" si="16"/>
        <v>49486</v>
      </c>
      <c r="E111" s="288">
        <f t="shared" si="19"/>
        <v>1000000</v>
      </c>
      <c r="F111" s="289">
        <f t="shared" ca="1" si="17"/>
        <v>60</v>
      </c>
      <c r="G111" s="290">
        <f ca="1">VTLCOI!R110</f>
        <v>166.13367006625828</v>
      </c>
      <c r="H111" s="290">
        <f t="shared" ca="1" si="25"/>
        <v>70183.77646832871</v>
      </c>
      <c r="I111" s="953"/>
      <c r="J111" s="293">
        <f ca="1">H111+I100</f>
        <v>70483.77646832871</v>
      </c>
      <c r="K111" s="1047"/>
      <c r="L111" s="1047"/>
      <c r="M111" s="1047"/>
      <c r="N111" s="1047"/>
      <c r="O111" s="1047"/>
      <c r="P111" s="298"/>
    </row>
    <row r="112" spans="2:16" ht="9.75" customHeight="1">
      <c r="B112" s="946">
        <f>B100+1</f>
        <v>10</v>
      </c>
      <c r="C112" s="947">
        <f ca="1">C100+1</f>
        <v>39</v>
      </c>
      <c r="D112" s="294">
        <f t="shared" ca="1" si="16"/>
        <v>49516</v>
      </c>
      <c r="E112" s="359">
        <f t="shared" si="19"/>
        <v>1000000</v>
      </c>
      <c r="F112" s="360">
        <f t="shared" ca="1" si="17"/>
        <v>60</v>
      </c>
      <c r="G112" s="295">
        <f ca="1">VTLCOI!R111</f>
        <v>177.81180321612308</v>
      </c>
      <c r="H112" s="295">
        <f ca="1">(J111+VTLGTTKMH!F16-F112-G112)*(1+$U$3)</f>
        <v>80346.522228288741</v>
      </c>
      <c r="I112" s="953">
        <f>IF(COUNTIF(VTLGTTKMH!$E$7:E16,0)&gt;0,0,3%*'Tinh phi QL'!$H$13/1000)</f>
        <v>300</v>
      </c>
      <c r="J112" s="296">
        <f t="shared" ca="1" si="18"/>
        <v>80346.522228288741</v>
      </c>
      <c r="K112" s="1047">
        <f ca="1">J123</f>
        <v>81353.295913450871</v>
      </c>
      <c r="L112" s="1047"/>
      <c r="M112" s="1047"/>
      <c r="N112" s="1047">
        <f t="shared" ref="N112" ca="1" si="26">SUM(G112:G123)</f>
        <v>2132.9303697720534</v>
      </c>
      <c r="O112" s="1047"/>
      <c r="P112" s="298"/>
    </row>
    <row r="113" spans="2:16" ht="9.75" customHeight="1">
      <c r="B113" s="946"/>
      <c r="C113" s="946"/>
      <c r="D113" s="294">
        <f t="shared" ca="1" si="16"/>
        <v>49547</v>
      </c>
      <c r="E113" s="359">
        <f t="shared" si="19"/>
        <v>1000000</v>
      </c>
      <c r="F113" s="360">
        <f t="shared" ca="1" si="17"/>
        <v>60</v>
      </c>
      <c r="G113" s="295">
        <f ca="1">VTLCOI!R112</f>
        <v>177.79967236919751</v>
      </c>
      <c r="H113" s="295">
        <f ca="1">(H112-F113-G113)*(1+$U$3)</f>
        <v>80409.515763188581</v>
      </c>
      <c r="I113" s="953"/>
      <c r="J113" s="296">
        <f t="shared" ca="1" si="18"/>
        <v>80409.515763188581</v>
      </c>
      <c r="K113" s="1047"/>
      <c r="L113" s="1047"/>
      <c r="M113" s="1047"/>
      <c r="N113" s="1047"/>
      <c r="O113" s="1047"/>
      <c r="P113" s="298"/>
    </row>
    <row r="114" spans="2:16" ht="9.75" customHeight="1">
      <c r="B114" s="946"/>
      <c r="C114" s="946"/>
      <c r="D114" s="294">
        <f t="shared" ca="1" si="16"/>
        <v>49578</v>
      </c>
      <c r="E114" s="359">
        <f t="shared" si="19"/>
        <v>1000000</v>
      </c>
      <c r="F114" s="360">
        <f t="shared" ca="1" si="17"/>
        <v>60</v>
      </c>
      <c r="G114" s="295">
        <f ca="1">VTLCOI!R113</f>
        <v>177.78749361911687</v>
      </c>
      <c r="H114" s="295">
        <f t="shared" ref="H114:H123" ca="1" si="27">(H113-F114-G114)*(1+$U$3)</f>
        <v>80472.758051459576</v>
      </c>
      <c r="I114" s="953"/>
      <c r="J114" s="296">
        <f t="shared" ca="1" si="18"/>
        <v>80472.758051459576</v>
      </c>
      <c r="K114" s="1047"/>
      <c r="L114" s="1047"/>
      <c r="M114" s="1047"/>
      <c r="N114" s="1047"/>
      <c r="O114" s="1047"/>
      <c r="P114" s="298"/>
    </row>
    <row r="115" spans="2:16" ht="9.75" customHeight="1">
      <c r="B115" s="946"/>
      <c r="C115" s="946"/>
      <c r="D115" s="294">
        <f t="shared" ca="1" si="16"/>
        <v>49608</v>
      </c>
      <c r="E115" s="359">
        <f t="shared" si="19"/>
        <v>1000000</v>
      </c>
      <c r="F115" s="360">
        <f t="shared" ca="1" si="17"/>
        <v>60</v>
      </c>
      <c r="G115" s="295">
        <f ca="1">VTLCOI!R114</f>
        <v>177.77526677671781</v>
      </c>
      <c r="H115" s="295">
        <f t="shared" ca="1" si="27"/>
        <v>80536.250075396834</v>
      </c>
      <c r="I115" s="953"/>
      <c r="J115" s="296">
        <f t="shared" ca="1" si="18"/>
        <v>80536.250075396834</v>
      </c>
      <c r="K115" s="1047"/>
      <c r="L115" s="1047"/>
      <c r="M115" s="1047"/>
      <c r="N115" s="1047"/>
      <c r="O115" s="1047"/>
      <c r="P115" s="298"/>
    </row>
    <row r="116" spans="2:16" ht="9.75" customHeight="1">
      <c r="B116" s="946"/>
      <c r="C116" s="946"/>
      <c r="D116" s="294">
        <f t="shared" ca="1" si="16"/>
        <v>49639</v>
      </c>
      <c r="E116" s="359">
        <f t="shared" si="19"/>
        <v>1000000</v>
      </c>
      <c r="F116" s="360">
        <f t="shared" ca="1" si="17"/>
        <v>60</v>
      </c>
      <c r="G116" s="295">
        <f ca="1">VTLCOI!R115</f>
        <v>177.76299165208994</v>
      </c>
      <c r="H116" s="295">
        <f t="shared" ca="1" si="27"/>
        <v>80599.992821174383</v>
      </c>
      <c r="I116" s="953"/>
      <c r="J116" s="296">
        <f t="shared" ca="1" si="18"/>
        <v>80599.992821174383</v>
      </c>
      <c r="K116" s="1047"/>
      <c r="L116" s="1047"/>
      <c r="M116" s="1047"/>
      <c r="N116" s="1047"/>
      <c r="O116" s="1047"/>
      <c r="P116" s="298"/>
    </row>
    <row r="117" spans="2:16" ht="9.75" customHeight="1">
      <c r="B117" s="946"/>
      <c r="C117" s="946"/>
      <c r="D117" s="294">
        <f t="shared" ca="1" si="16"/>
        <v>49669</v>
      </c>
      <c r="E117" s="359">
        <f t="shared" si="19"/>
        <v>1000000</v>
      </c>
      <c r="F117" s="360">
        <f t="shared" ca="1" si="17"/>
        <v>60</v>
      </c>
      <c r="G117" s="295">
        <f ca="1">VTLCOI!R116</f>
        <v>177.75066805457291</v>
      </c>
      <c r="H117" s="295">
        <f t="shared" ca="1" si="27"/>
        <v>80663.987278860557</v>
      </c>
      <c r="I117" s="953"/>
      <c r="J117" s="296">
        <f t="shared" ca="1" si="18"/>
        <v>80663.987278860557</v>
      </c>
      <c r="K117" s="1047"/>
      <c r="L117" s="1047"/>
      <c r="M117" s="1047"/>
      <c r="N117" s="1047"/>
      <c r="O117" s="1047"/>
      <c r="P117" s="298"/>
    </row>
    <row r="118" spans="2:16" ht="9.75" customHeight="1">
      <c r="B118" s="946"/>
      <c r="C118" s="946"/>
      <c r="D118" s="294">
        <f t="shared" ca="1" si="16"/>
        <v>49700</v>
      </c>
      <c r="E118" s="359">
        <f t="shared" si="19"/>
        <v>1000000</v>
      </c>
      <c r="F118" s="360">
        <f t="shared" ca="1" si="17"/>
        <v>60</v>
      </c>
      <c r="G118" s="295">
        <f ca="1">VTLCOI!R117</f>
        <v>177.73829579275363</v>
      </c>
      <c r="H118" s="295">
        <f t="shared" ca="1" si="27"/>
        <v>80728.234442433328</v>
      </c>
      <c r="I118" s="953"/>
      <c r="J118" s="296">
        <f t="shared" ca="1" si="18"/>
        <v>80728.234442433328</v>
      </c>
      <c r="K118" s="1047"/>
      <c r="L118" s="1047"/>
      <c r="M118" s="1047"/>
      <c r="N118" s="1047"/>
      <c r="O118" s="1047"/>
      <c r="P118" s="298"/>
    </row>
    <row r="119" spans="2:16" ht="9.75" customHeight="1">
      <c r="B119" s="946"/>
      <c r="C119" s="946"/>
      <c r="D119" s="294">
        <f t="shared" ca="1" si="16"/>
        <v>49731</v>
      </c>
      <c r="E119" s="359">
        <f t="shared" si="19"/>
        <v>1000000</v>
      </c>
      <c r="F119" s="360">
        <f t="shared" ca="1" si="17"/>
        <v>60</v>
      </c>
      <c r="G119" s="295">
        <f ca="1">VTLCOI!R118</f>
        <v>177.72587467446286</v>
      </c>
      <c r="H119" s="295">
        <f t="shared" ca="1" si="27"/>
        <v>80792.735309795738</v>
      </c>
      <c r="I119" s="953"/>
      <c r="J119" s="296">
        <f t="shared" ca="1" si="18"/>
        <v>80792.735309795738</v>
      </c>
      <c r="K119" s="1047"/>
      <c r="L119" s="1047"/>
      <c r="M119" s="1047"/>
      <c r="N119" s="1047"/>
      <c r="O119" s="1047"/>
      <c r="P119" s="298"/>
    </row>
    <row r="120" spans="2:16" ht="9.75" customHeight="1">
      <c r="B120" s="946"/>
      <c r="C120" s="946"/>
      <c r="D120" s="294">
        <f t="shared" ca="1" si="16"/>
        <v>49760</v>
      </c>
      <c r="E120" s="359">
        <f t="shared" si="19"/>
        <v>1000000</v>
      </c>
      <c r="F120" s="360">
        <f t="shared" ca="1" si="17"/>
        <v>60</v>
      </c>
      <c r="G120" s="295">
        <f ca="1">VTLCOI!R119</f>
        <v>177.71340450677283</v>
      </c>
      <c r="H120" s="295">
        <f t="shared" ca="1" si="27"/>
        <v>80857.490882791433</v>
      </c>
      <c r="I120" s="953"/>
      <c r="J120" s="296">
        <f t="shared" ca="1" si="18"/>
        <v>80857.490882791433</v>
      </c>
      <c r="K120" s="1047"/>
      <c r="L120" s="1047"/>
      <c r="M120" s="1047"/>
      <c r="N120" s="1047"/>
      <c r="O120" s="1047"/>
      <c r="P120" s="298"/>
    </row>
    <row r="121" spans="2:16" ht="9.75" customHeight="1">
      <c r="B121" s="946"/>
      <c r="C121" s="946"/>
      <c r="D121" s="294">
        <f t="shared" ca="1" si="16"/>
        <v>49791</v>
      </c>
      <c r="E121" s="359">
        <f t="shared" si="19"/>
        <v>1000000</v>
      </c>
      <c r="F121" s="360">
        <f t="shared" ca="1" si="17"/>
        <v>60</v>
      </c>
      <c r="G121" s="295">
        <f ca="1">VTLCOI!R120</f>
        <v>177.70088509599364</v>
      </c>
      <c r="H121" s="295">
        <f t="shared" ca="1" si="27"/>
        <v>80922.502167220227</v>
      </c>
      <c r="I121" s="953"/>
      <c r="J121" s="296">
        <f t="shared" ca="1" si="18"/>
        <v>80922.502167220227</v>
      </c>
      <c r="K121" s="1047"/>
      <c r="L121" s="1047"/>
      <c r="M121" s="1047"/>
      <c r="N121" s="1047"/>
      <c r="O121" s="1047"/>
      <c r="P121" s="298"/>
    </row>
    <row r="122" spans="2:16" ht="9.75" customHeight="1">
      <c r="B122" s="946"/>
      <c r="C122" s="946"/>
      <c r="D122" s="294">
        <f t="shared" ca="1" si="16"/>
        <v>49821</v>
      </c>
      <c r="E122" s="359">
        <f t="shared" si="19"/>
        <v>1000000</v>
      </c>
      <c r="F122" s="360">
        <f t="shared" ca="1" si="17"/>
        <v>60</v>
      </c>
      <c r="G122" s="295">
        <f ca="1">VTLCOI!R121</f>
        <v>177.68831624767074</v>
      </c>
      <c r="H122" s="295">
        <f t="shared" ca="1" si="27"/>
        <v>80987.770172853692</v>
      </c>
      <c r="I122" s="953"/>
      <c r="J122" s="296">
        <f t="shared" ca="1" si="18"/>
        <v>80987.770172853692</v>
      </c>
      <c r="K122" s="1047"/>
      <c r="L122" s="1047"/>
      <c r="M122" s="1047"/>
      <c r="N122" s="1047"/>
      <c r="O122" s="1047"/>
      <c r="P122" s="298"/>
    </row>
    <row r="123" spans="2:16" ht="9.75" customHeight="1">
      <c r="B123" s="946"/>
      <c r="C123" s="946"/>
      <c r="D123" s="294">
        <f t="shared" ca="1" si="16"/>
        <v>49852</v>
      </c>
      <c r="E123" s="359">
        <f t="shared" si="19"/>
        <v>1000000</v>
      </c>
      <c r="F123" s="360">
        <f t="shared" ca="1" si="17"/>
        <v>60</v>
      </c>
      <c r="G123" s="295">
        <f ca="1">VTLCOI!R122</f>
        <v>177.67569776658161</v>
      </c>
      <c r="H123" s="295">
        <f t="shared" ca="1" si="27"/>
        <v>81053.295913450871</v>
      </c>
      <c r="I123" s="953"/>
      <c r="J123" s="297">
        <f ca="1">H123+I112</f>
        <v>81353.295913450871</v>
      </c>
      <c r="K123" s="1047"/>
      <c r="L123" s="1047"/>
      <c r="M123" s="1047"/>
      <c r="N123" s="1047"/>
      <c r="O123" s="1047"/>
      <c r="P123" s="298"/>
    </row>
    <row r="124" spans="2:16" ht="9.75" customHeight="1">
      <c r="B124" s="951">
        <f>B112+1</f>
        <v>11</v>
      </c>
      <c r="C124" s="952">
        <f ca="1">C112+1</f>
        <v>40</v>
      </c>
      <c r="D124" s="287">
        <f t="shared" ca="1" si="16"/>
        <v>49882</v>
      </c>
      <c r="E124" s="288">
        <f t="shared" si="19"/>
        <v>1000000</v>
      </c>
      <c r="F124" s="289">
        <f t="shared" ca="1" si="17"/>
        <v>60</v>
      </c>
      <c r="G124" s="290">
        <f ca="1">VTLCOI!R123</f>
        <v>190.8158078581753</v>
      </c>
      <c r="H124" s="290">
        <f ca="1">(J123+VTLGTTKMH!F17-F124-G124)*(1+$V$3)</f>
        <v>91444.552807625805</v>
      </c>
      <c r="I124" s="953">
        <f>IF(COUNTIF(VTLGTTKMH!$E$7:E17,0)&gt;0,0,3%*'Tinh phi QL'!$H$13/1000)</f>
        <v>300</v>
      </c>
      <c r="J124" s="292">
        <f t="shared" ca="1" si="18"/>
        <v>91444.552807625805</v>
      </c>
      <c r="K124" s="1047">
        <f ca="1">J135</f>
        <v>92772.581836232173</v>
      </c>
      <c r="L124" s="1047"/>
      <c r="M124" s="1047"/>
      <c r="N124" s="1047">
        <f t="shared" ref="N124" ca="1" si="28">SUM(G124:G135)</f>
        <v>2288.508004370552</v>
      </c>
      <c r="O124" s="1047"/>
      <c r="P124" s="298"/>
    </row>
    <row r="125" spans="2:16" ht="9.75" customHeight="1">
      <c r="B125" s="951"/>
      <c r="C125" s="951"/>
      <c r="D125" s="287">
        <f t="shared" ca="1" si="16"/>
        <v>49913</v>
      </c>
      <c r="E125" s="288">
        <f t="shared" si="19"/>
        <v>1000000</v>
      </c>
      <c r="F125" s="289">
        <f t="shared" ca="1" si="17"/>
        <v>60</v>
      </c>
      <c r="G125" s="290">
        <f ca="1">VTLCOI!R124</f>
        <v>190.79664391039861</v>
      </c>
      <c r="H125" s="290">
        <f ca="1">(H124-F125-G125)*(1+$V$3)</f>
        <v>91536.17159020339</v>
      </c>
      <c r="I125" s="953"/>
      <c r="J125" s="292">
        <f t="shared" ca="1" si="18"/>
        <v>91536.17159020339</v>
      </c>
      <c r="K125" s="1047"/>
      <c r="L125" s="1047"/>
      <c r="M125" s="1047"/>
      <c r="N125" s="1047"/>
      <c r="O125" s="1047"/>
      <c r="P125" s="298"/>
    </row>
    <row r="126" spans="2:16" ht="9.75" customHeight="1">
      <c r="B126" s="951"/>
      <c r="C126" s="951"/>
      <c r="D126" s="287">
        <f t="shared" ca="1" si="16"/>
        <v>49944</v>
      </c>
      <c r="E126" s="288">
        <f t="shared" si="19"/>
        <v>1000000</v>
      </c>
      <c r="F126" s="289">
        <f t="shared" ca="1" si="17"/>
        <v>60</v>
      </c>
      <c r="G126" s="290">
        <f ca="1">VTLCOI!R125</f>
        <v>190.77740396605728</v>
      </c>
      <c r="H126" s="290">
        <f t="shared" ref="H126:H135" ca="1" si="29">(H125-F126-G126)*(1+$V$3)</f>
        <v>91628.153696288544</v>
      </c>
      <c r="I126" s="953"/>
      <c r="J126" s="292">
        <f t="shared" ca="1" si="18"/>
        <v>91628.153696288544</v>
      </c>
      <c r="K126" s="1047"/>
      <c r="L126" s="1047"/>
      <c r="M126" s="1047"/>
      <c r="N126" s="1047"/>
      <c r="O126" s="1047"/>
      <c r="P126" s="298"/>
    </row>
    <row r="127" spans="2:16" ht="9.75" customHeight="1">
      <c r="B127" s="951"/>
      <c r="C127" s="951"/>
      <c r="D127" s="287">
        <f t="shared" ca="1" si="16"/>
        <v>49974</v>
      </c>
      <c r="E127" s="288">
        <f t="shared" si="19"/>
        <v>1000000</v>
      </c>
      <c r="F127" s="289">
        <f t="shared" ca="1" si="17"/>
        <v>60</v>
      </c>
      <c r="G127" s="290">
        <f ca="1">VTLCOI!R126</f>
        <v>190.75808772377943</v>
      </c>
      <c r="H127" s="290">
        <f t="shared" ca="1" si="29"/>
        <v>91720.500566677219</v>
      </c>
      <c r="I127" s="953"/>
      <c r="J127" s="292">
        <f t="shared" ca="1" si="18"/>
        <v>91720.500566677219</v>
      </c>
      <c r="K127" s="1047"/>
      <c r="L127" s="1047"/>
      <c r="M127" s="1047"/>
      <c r="N127" s="1047"/>
      <c r="O127" s="1047"/>
      <c r="P127" s="298"/>
    </row>
    <row r="128" spans="2:16" ht="9.75" customHeight="1">
      <c r="B128" s="951"/>
      <c r="C128" s="951"/>
      <c r="D128" s="287">
        <f t="shared" ca="1" si="16"/>
        <v>50005</v>
      </c>
      <c r="E128" s="288">
        <f t="shared" si="19"/>
        <v>1000000</v>
      </c>
      <c r="F128" s="289">
        <f t="shared" ca="1" si="17"/>
        <v>60</v>
      </c>
      <c r="G128" s="290">
        <f ca="1">VTLCOI!R127</f>
        <v>190.73869488099783</v>
      </c>
      <c r="H128" s="290">
        <f t="shared" ca="1" si="29"/>
        <v>91813.213647878976</v>
      </c>
      <c r="I128" s="953"/>
      <c r="J128" s="292">
        <f t="shared" ca="1" si="18"/>
        <v>91813.213647878976</v>
      </c>
      <c r="K128" s="1047"/>
      <c r="L128" s="1047"/>
      <c r="M128" s="1047"/>
      <c r="N128" s="1047"/>
      <c r="O128" s="1047"/>
      <c r="P128" s="298"/>
    </row>
    <row r="129" spans="2:16" ht="9.75" customHeight="1">
      <c r="B129" s="951"/>
      <c r="C129" s="951"/>
      <c r="D129" s="287">
        <f t="shared" ca="1" si="16"/>
        <v>50035</v>
      </c>
      <c r="E129" s="288">
        <f t="shared" si="19"/>
        <v>1000000</v>
      </c>
      <c r="F129" s="289">
        <f t="shared" ca="1" si="17"/>
        <v>60</v>
      </c>
      <c r="G129" s="290">
        <f ca="1">VTLCOI!R128</f>
        <v>190.71922513394543</v>
      </c>
      <c r="H129" s="290">
        <f t="shared" ca="1" si="29"/>
        <v>91906.29439213968</v>
      </c>
      <c r="I129" s="953"/>
      <c r="J129" s="292">
        <f t="shared" ca="1" si="18"/>
        <v>91906.29439213968</v>
      </c>
      <c r="K129" s="1047"/>
      <c r="L129" s="1047"/>
      <c r="M129" s="1047"/>
      <c r="N129" s="1047"/>
      <c r="O129" s="1047"/>
      <c r="P129" s="298"/>
    </row>
    <row r="130" spans="2:16" ht="9.75" customHeight="1">
      <c r="B130" s="951"/>
      <c r="C130" s="951"/>
      <c r="D130" s="287">
        <f t="shared" ca="1" si="16"/>
        <v>50066</v>
      </c>
      <c r="E130" s="288">
        <f t="shared" si="19"/>
        <v>1000000</v>
      </c>
      <c r="F130" s="289">
        <f t="shared" ca="1" si="17"/>
        <v>60</v>
      </c>
      <c r="G130" s="290">
        <f ca="1">VTLCOI!R129</f>
        <v>190.69967817765067</v>
      </c>
      <c r="H130" s="290">
        <f t="shared" ca="1" si="29"/>
        <v>91999.744257464205</v>
      </c>
      <c r="I130" s="953"/>
      <c r="J130" s="292">
        <f t="shared" ca="1" si="18"/>
        <v>91999.744257464205</v>
      </c>
      <c r="K130" s="1047"/>
      <c r="L130" s="1047"/>
      <c r="M130" s="1047"/>
      <c r="N130" s="1047"/>
      <c r="O130" s="1047"/>
      <c r="P130" s="298"/>
    </row>
    <row r="131" spans="2:16" ht="9.75" customHeight="1">
      <c r="B131" s="951"/>
      <c r="C131" s="951"/>
      <c r="D131" s="287">
        <f t="shared" ca="1" si="16"/>
        <v>50097</v>
      </c>
      <c r="E131" s="288">
        <f t="shared" si="19"/>
        <v>1000000</v>
      </c>
      <c r="F131" s="289">
        <f t="shared" ca="1" si="17"/>
        <v>60</v>
      </c>
      <c r="G131" s="290">
        <f ca="1">VTLCOI!R130</f>
        <v>190.68005370593255</v>
      </c>
      <c r="H131" s="290">
        <f t="shared" ca="1" si="29"/>
        <v>92093.564707639307</v>
      </c>
      <c r="I131" s="953"/>
      <c r="J131" s="292">
        <f t="shared" ca="1" si="18"/>
        <v>92093.564707639307</v>
      </c>
      <c r="K131" s="1047"/>
      <c r="L131" s="1047"/>
      <c r="M131" s="1047"/>
      <c r="N131" s="1047"/>
      <c r="O131" s="1047"/>
      <c r="P131" s="298"/>
    </row>
    <row r="132" spans="2:16" ht="9.75" customHeight="1">
      <c r="B132" s="951"/>
      <c r="C132" s="951"/>
      <c r="D132" s="287">
        <f t="shared" ca="1" si="16"/>
        <v>50125</v>
      </c>
      <c r="E132" s="288">
        <f t="shared" si="19"/>
        <v>1000000</v>
      </c>
      <c r="F132" s="289">
        <f t="shared" ca="1" si="17"/>
        <v>60</v>
      </c>
      <c r="G132" s="290">
        <f ca="1">VTLCOI!R131</f>
        <v>190.66035141139574</v>
      </c>
      <c r="H132" s="290">
        <f t="shared" ca="1" si="29"/>
        <v>92187.757212256518</v>
      </c>
      <c r="I132" s="953"/>
      <c r="J132" s="292">
        <f t="shared" ca="1" si="18"/>
        <v>92187.757212256518</v>
      </c>
      <c r="K132" s="1047"/>
      <c r="L132" s="1047"/>
      <c r="M132" s="1047"/>
      <c r="N132" s="1047"/>
      <c r="O132" s="1047"/>
      <c r="P132" s="298"/>
    </row>
    <row r="133" spans="2:16" ht="9.75" customHeight="1">
      <c r="B133" s="951"/>
      <c r="C133" s="951"/>
      <c r="D133" s="287">
        <f t="shared" ref="D133:D196" ca="1" si="30">EDATE(D132,1)</f>
        <v>50156</v>
      </c>
      <c r="E133" s="288">
        <f t="shared" si="19"/>
        <v>1000000</v>
      </c>
      <c r="F133" s="289">
        <f t="shared" ref="F133:F196" ca="1" si="31">IF(YEAR(D133)=2025,40000,IF(YEAR(D133)=2026,40000,IF(YEAR(D133)=2027,40000,IF(YEAR(D133)=2028,40000,IF(YEAR(D133)=2029,40000,IF(YEAR(D133)=2030,50000,IF(YEAR(D133)=2031,50000,IF(YEAR(D133)=2032,50000,IF(YEAR(D133)=2033,50000,IF(YEAR(D133)=2034,50000,IF(YEAR(D133)&gt;=2035,60000,0)))))))))))/1000</f>
        <v>60</v>
      </c>
      <c r="G133" s="290">
        <f ca="1">VTLCOI!R132</f>
        <v>190.64057098542614</v>
      </c>
      <c r="H133" s="290">
        <f t="shared" ca="1" si="29"/>
        <v>92282.323246735192</v>
      </c>
      <c r="I133" s="953"/>
      <c r="J133" s="292">
        <f t="shared" ref="J133:J196" ca="1" si="32">H133</f>
        <v>92282.323246735192</v>
      </c>
      <c r="K133" s="1047"/>
      <c r="L133" s="1047"/>
      <c r="M133" s="1047"/>
      <c r="N133" s="1047"/>
      <c r="O133" s="1047"/>
      <c r="P133" s="298"/>
    </row>
    <row r="134" spans="2:16" ht="9.75" customHeight="1">
      <c r="B134" s="951"/>
      <c r="C134" s="951"/>
      <c r="D134" s="287">
        <f t="shared" ca="1" si="30"/>
        <v>50186</v>
      </c>
      <c r="E134" s="288">
        <f t="shared" ref="E134:E197" si="33">E133</f>
        <v>1000000</v>
      </c>
      <c r="F134" s="289">
        <f t="shared" ca="1" si="31"/>
        <v>60</v>
      </c>
      <c r="G134" s="290">
        <f ca="1">VTLCOI!R133</f>
        <v>190.62071211818565</v>
      </c>
      <c r="H134" s="290">
        <f t="shared" ca="1" si="29"/>
        <v>92377.264292345615</v>
      </c>
      <c r="I134" s="953"/>
      <c r="J134" s="292">
        <f t="shared" ca="1" si="32"/>
        <v>92377.264292345615</v>
      </c>
      <c r="K134" s="1047"/>
      <c r="L134" s="1047"/>
      <c r="M134" s="1047"/>
      <c r="N134" s="1047"/>
      <c r="O134" s="1047"/>
      <c r="P134" s="298"/>
    </row>
    <row r="135" spans="2:16" ht="9.75" customHeight="1">
      <c r="B135" s="951"/>
      <c r="C135" s="951"/>
      <c r="D135" s="287">
        <f t="shared" ca="1" si="30"/>
        <v>50217</v>
      </c>
      <c r="E135" s="288">
        <f t="shared" si="33"/>
        <v>1000000</v>
      </c>
      <c r="F135" s="289">
        <f t="shared" ca="1" si="31"/>
        <v>60</v>
      </c>
      <c r="G135" s="290">
        <f ca="1">VTLCOI!R134</f>
        <v>190.60077449860742</v>
      </c>
      <c r="H135" s="290">
        <f t="shared" ca="1" si="29"/>
        <v>92472.581836232173</v>
      </c>
      <c r="I135" s="953"/>
      <c r="J135" s="293">
        <f ca="1">H135+I124</f>
        <v>92772.581836232173</v>
      </c>
      <c r="K135" s="1047"/>
      <c r="L135" s="1047"/>
      <c r="M135" s="1047"/>
      <c r="N135" s="1047"/>
      <c r="O135" s="1047"/>
      <c r="P135" s="298"/>
    </row>
    <row r="136" spans="2:16" ht="9.75" customHeight="1">
      <c r="B136" s="946">
        <f>B124+1</f>
        <v>12</v>
      </c>
      <c r="C136" s="947">
        <f ca="1">C124+1</f>
        <v>41</v>
      </c>
      <c r="D136" s="294">
        <f t="shared" ca="1" si="30"/>
        <v>50247</v>
      </c>
      <c r="E136" s="359">
        <f t="shared" si="33"/>
        <v>1000000</v>
      </c>
      <c r="F136" s="360">
        <f t="shared" ca="1" si="31"/>
        <v>60</v>
      </c>
      <c r="G136" s="295">
        <f ca="1">VTLCOI!R135</f>
        <v>204.56785134133906</v>
      </c>
      <c r="H136" s="295">
        <f ca="1">(J135+VTLGTTKMH!F18-F136-G136)*(1+$V$3)</f>
        <v>102892.91232446639</v>
      </c>
      <c r="I136" s="953">
        <f>IF(COUNTIF(VTLGTTKMH!$E$7:E18,0)&gt;0,0,3%*'Tinh phi QL'!$H$13/1000)</f>
        <v>300</v>
      </c>
      <c r="J136" s="296">
        <f t="shared" ca="1" si="32"/>
        <v>102892.91232446639</v>
      </c>
      <c r="K136" s="1047">
        <f ca="1">J147</f>
        <v>104548.60914177049</v>
      </c>
      <c r="L136" s="1047"/>
      <c r="M136" s="1047"/>
      <c r="N136" s="1047">
        <f t="shared" ref="N136" ca="1" si="34">SUM(G136:G147)</f>
        <v>2452.9792214772492</v>
      </c>
      <c r="O136" s="1047"/>
      <c r="P136" s="298"/>
    </row>
    <row r="137" spans="2:16" ht="9.75" customHeight="1">
      <c r="B137" s="946"/>
      <c r="C137" s="946"/>
      <c r="D137" s="294">
        <f t="shared" ca="1" si="30"/>
        <v>50278</v>
      </c>
      <c r="E137" s="359">
        <f t="shared" si="33"/>
        <v>1000000</v>
      </c>
      <c r="F137" s="360">
        <f t="shared" ca="1" si="31"/>
        <v>60</v>
      </c>
      <c r="G137" s="295">
        <f ca="1">VTLCOI!R136</f>
        <v>204.54041599002167</v>
      </c>
      <c r="H137" s="295">
        <f ca="1">(H136-F137-G137)*(1+$V$3)</f>
        <v>103013.72216944952</v>
      </c>
      <c r="I137" s="953"/>
      <c r="J137" s="296">
        <f t="shared" ca="1" si="32"/>
        <v>103013.72216944952</v>
      </c>
      <c r="K137" s="1047"/>
      <c r="L137" s="1047"/>
      <c r="M137" s="1047"/>
      <c r="N137" s="1047"/>
      <c r="O137" s="1047"/>
      <c r="P137" s="298"/>
    </row>
    <row r="138" spans="2:16" ht="9.75" customHeight="1">
      <c r="B138" s="946"/>
      <c r="C138" s="946"/>
      <c r="D138" s="294">
        <f t="shared" ca="1" si="30"/>
        <v>50309</v>
      </c>
      <c r="E138" s="359">
        <f t="shared" si="33"/>
        <v>1000000</v>
      </c>
      <c r="F138" s="360">
        <f t="shared" ca="1" si="31"/>
        <v>60</v>
      </c>
      <c r="G138" s="295">
        <f ca="1">VTLCOI!R137</f>
        <v>204.51287134536554</v>
      </c>
      <c r="H138" s="295">
        <f t="shared" ref="H138:H147" ca="1" si="35">(H137-F138-G138)*(1+$V$3)</f>
        <v>103135.01328077982</v>
      </c>
      <c r="I138" s="953"/>
      <c r="J138" s="296">
        <f t="shared" ca="1" si="32"/>
        <v>103135.01328077982</v>
      </c>
      <c r="K138" s="1047"/>
      <c r="L138" s="1047"/>
      <c r="M138" s="1047"/>
      <c r="N138" s="1047"/>
      <c r="O138" s="1047"/>
      <c r="P138" s="298"/>
    </row>
    <row r="139" spans="2:16" ht="9.75" customHeight="1">
      <c r="B139" s="946"/>
      <c r="C139" s="946"/>
      <c r="D139" s="294">
        <f t="shared" ca="1" si="30"/>
        <v>50339</v>
      </c>
      <c r="E139" s="359">
        <f t="shared" si="33"/>
        <v>1000000</v>
      </c>
      <c r="F139" s="360">
        <f t="shared" ca="1" si="31"/>
        <v>60</v>
      </c>
      <c r="G139" s="295">
        <f ca="1">VTLCOI!R138</f>
        <v>204.48521697198223</v>
      </c>
      <c r="H139" s="295">
        <f t="shared" ca="1" si="35"/>
        <v>103256.78757566276</v>
      </c>
      <c r="I139" s="953"/>
      <c r="J139" s="296">
        <f t="shared" ca="1" si="32"/>
        <v>103256.78757566276</v>
      </c>
      <c r="K139" s="1047"/>
      <c r="L139" s="1047"/>
      <c r="M139" s="1047"/>
      <c r="N139" s="1047"/>
      <c r="O139" s="1047"/>
      <c r="P139" s="298"/>
    </row>
    <row r="140" spans="2:16" ht="9.75" customHeight="1">
      <c r="B140" s="946"/>
      <c r="C140" s="946"/>
      <c r="D140" s="294">
        <f t="shared" ca="1" si="30"/>
        <v>50370</v>
      </c>
      <c r="E140" s="359">
        <f t="shared" si="33"/>
        <v>1000000</v>
      </c>
      <c r="F140" s="360">
        <f t="shared" ca="1" si="31"/>
        <v>60</v>
      </c>
      <c r="G140" s="295">
        <f ca="1">VTLCOI!R139</f>
        <v>204.45745243274891</v>
      </c>
      <c r="H140" s="295">
        <f t="shared" ca="1" si="35"/>
        <v>103379.04697894135</v>
      </c>
      <c r="I140" s="953"/>
      <c r="J140" s="296">
        <f t="shared" ca="1" si="32"/>
        <v>103379.04697894135</v>
      </c>
      <c r="K140" s="1047"/>
      <c r="L140" s="1047"/>
      <c r="M140" s="1047"/>
      <c r="N140" s="1047"/>
      <c r="O140" s="1047"/>
      <c r="P140" s="298"/>
    </row>
    <row r="141" spans="2:16" ht="9.75" customHeight="1">
      <c r="B141" s="946"/>
      <c r="C141" s="946"/>
      <c r="D141" s="294">
        <f t="shared" ca="1" si="30"/>
        <v>50400</v>
      </c>
      <c r="E141" s="359">
        <f t="shared" si="33"/>
        <v>1000000</v>
      </c>
      <c r="F141" s="360">
        <f t="shared" ca="1" si="31"/>
        <v>60</v>
      </c>
      <c r="G141" s="295">
        <f ca="1">VTLCOI!R140</f>
        <v>204.4295772888014</v>
      </c>
      <c r="H141" s="295">
        <f t="shared" ca="1" si="35"/>
        <v>103501.7934231265</v>
      </c>
      <c r="I141" s="953"/>
      <c r="J141" s="296">
        <f t="shared" ca="1" si="32"/>
        <v>103501.7934231265</v>
      </c>
      <c r="K141" s="1047"/>
      <c r="L141" s="1047"/>
      <c r="M141" s="1047"/>
      <c r="N141" s="1047"/>
      <c r="O141" s="1047"/>
      <c r="P141" s="298"/>
    </row>
    <row r="142" spans="2:16" ht="9.75" customHeight="1">
      <c r="B142" s="946"/>
      <c r="C142" s="946"/>
      <c r="D142" s="294">
        <f t="shared" ca="1" si="30"/>
        <v>50431</v>
      </c>
      <c r="E142" s="359">
        <f t="shared" si="33"/>
        <v>1000000</v>
      </c>
      <c r="F142" s="360">
        <f t="shared" ca="1" si="31"/>
        <v>60</v>
      </c>
      <c r="G142" s="295">
        <f ca="1">VTLCOI!R141</f>
        <v>204.4015910995272</v>
      </c>
      <c r="H142" s="295">
        <f t="shared" ca="1" si="35"/>
        <v>103625.02884842762</v>
      </c>
      <c r="I142" s="953"/>
      <c r="J142" s="296">
        <f t="shared" ca="1" si="32"/>
        <v>103625.02884842762</v>
      </c>
      <c r="K142" s="1047"/>
      <c r="L142" s="1047"/>
      <c r="M142" s="1047"/>
      <c r="N142" s="1047"/>
      <c r="O142" s="1047"/>
      <c r="P142" s="298"/>
    </row>
    <row r="143" spans="2:16" ht="9.75" customHeight="1">
      <c r="B143" s="946"/>
      <c r="C143" s="946"/>
      <c r="D143" s="294">
        <f t="shared" ca="1" si="30"/>
        <v>50462</v>
      </c>
      <c r="E143" s="359">
        <f t="shared" si="33"/>
        <v>1000000</v>
      </c>
      <c r="F143" s="360">
        <f t="shared" ca="1" si="31"/>
        <v>60</v>
      </c>
      <c r="G143" s="295">
        <f ca="1">VTLCOI!R142</f>
        <v>204.37349342255854</v>
      </c>
      <c r="H143" s="295">
        <f t="shared" ca="1" si="35"/>
        <v>103748.75520278329</v>
      </c>
      <c r="I143" s="953"/>
      <c r="J143" s="296">
        <f t="shared" ca="1" si="32"/>
        <v>103748.75520278329</v>
      </c>
      <c r="K143" s="1047"/>
      <c r="L143" s="1047"/>
      <c r="M143" s="1047"/>
      <c r="N143" s="1047"/>
      <c r="O143" s="1047"/>
      <c r="P143" s="298"/>
    </row>
    <row r="144" spans="2:16" ht="9.75" customHeight="1">
      <c r="B144" s="946"/>
      <c r="C144" s="946"/>
      <c r="D144" s="294">
        <f t="shared" ca="1" si="30"/>
        <v>50490</v>
      </c>
      <c r="E144" s="359">
        <f t="shared" si="33"/>
        <v>1000000</v>
      </c>
      <c r="F144" s="360">
        <f t="shared" ca="1" si="31"/>
        <v>60</v>
      </c>
      <c r="G144" s="295">
        <f ca="1">VTLCOI!R143</f>
        <v>204.34528381376541</v>
      </c>
      <c r="H144" s="295">
        <f t="shared" ca="1" si="35"/>
        <v>103872.97444189199</v>
      </c>
      <c r="I144" s="953"/>
      <c r="J144" s="296">
        <f t="shared" ca="1" si="32"/>
        <v>103872.97444189199</v>
      </c>
      <c r="K144" s="1047"/>
      <c r="L144" s="1047"/>
      <c r="M144" s="1047"/>
      <c r="N144" s="1047"/>
      <c r="O144" s="1047"/>
      <c r="P144" s="298"/>
    </row>
    <row r="145" spans="2:16" ht="9.75" customHeight="1">
      <c r="B145" s="946"/>
      <c r="C145" s="946"/>
      <c r="D145" s="294">
        <f t="shared" ca="1" si="30"/>
        <v>50521</v>
      </c>
      <c r="E145" s="359">
        <f t="shared" si="33"/>
        <v>1000000</v>
      </c>
      <c r="F145" s="360">
        <f t="shared" ca="1" si="31"/>
        <v>60</v>
      </c>
      <c r="G145" s="295">
        <f ca="1">VTLCOI!R144</f>
        <v>204.31696182724863</v>
      </c>
      <c r="H145" s="295">
        <f t="shared" ca="1" si="35"/>
        <v>103997.68852924308</v>
      </c>
      <c r="I145" s="953"/>
      <c r="J145" s="296">
        <f t="shared" ca="1" si="32"/>
        <v>103997.68852924308</v>
      </c>
      <c r="K145" s="1047"/>
      <c r="L145" s="1047"/>
      <c r="M145" s="1047"/>
      <c r="N145" s="1047"/>
      <c r="O145" s="1047"/>
      <c r="P145" s="298"/>
    </row>
    <row r="146" spans="2:16" ht="9.75" customHeight="1">
      <c r="B146" s="946"/>
      <c r="C146" s="946"/>
      <c r="D146" s="294">
        <f t="shared" ca="1" si="30"/>
        <v>50551</v>
      </c>
      <c r="E146" s="359">
        <f t="shared" si="33"/>
        <v>1000000</v>
      </c>
      <c r="F146" s="360">
        <f t="shared" ca="1" si="31"/>
        <v>60</v>
      </c>
      <c r="G146" s="295">
        <f ca="1">VTLCOI!R145</f>
        <v>204.28852701533262</v>
      </c>
      <c r="H146" s="295">
        <f t="shared" ca="1" si="35"/>
        <v>104122.89943614781</v>
      </c>
      <c r="I146" s="953"/>
      <c r="J146" s="296">
        <f t="shared" ca="1" si="32"/>
        <v>104122.89943614781</v>
      </c>
      <c r="K146" s="1047"/>
      <c r="L146" s="1047"/>
      <c r="M146" s="1047"/>
      <c r="N146" s="1047"/>
      <c r="O146" s="1047"/>
      <c r="P146" s="298"/>
    </row>
    <row r="147" spans="2:16" ht="9.75" customHeight="1">
      <c r="B147" s="946"/>
      <c r="C147" s="946"/>
      <c r="D147" s="294">
        <f t="shared" ca="1" si="30"/>
        <v>50582</v>
      </c>
      <c r="E147" s="359">
        <f t="shared" si="33"/>
        <v>1000000</v>
      </c>
      <c r="F147" s="360">
        <f t="shared" ca="1" si="31"/>
        <v>60</v>
      </c>
      <c r="G147" s="295">
        <f ca="1">VTLCOI!R146</f>
        <v>204.25997892855833</v>
      </c>
      <c r="H147" s="295">
        <f t="shared" ca="1" si="35"/>
        <v>104248.60914177049</v>
      </c>
      <c r="I147" s="953"/>
      <c r="J147" s="297">
        <f ca="1">H147+I136</f>
        <v>104548.60914177049</v>
      </c>
      <c r="K147" s="1047"/>
      <c r="L147" s="1047"/>
      <c r="M147" s="1047"/>
      <c r="N147" s="1047"/>
      <c r="O147" s="1047"/>
      <c r="P147" s="298"/>
    </row>
    <row r="148" spans="2:16" ht="9.75" customHeight="1">
      <c r="B148" s="951">
        <f>B136+1</f>
        <v>13</v>
      </c>
      <c r="C148" s="952">
        <f ca="1">C136+1</f>
        <v>42</v>
      </c>
      <c r="D148" s="287">
        <f t="shared" ca="1" si="30"/>
        <v>50612</v>
      </c>
      <c r="E148" s="288">
        <f t="shared" si="33"/>
        <v>1000000</v>
      </c>
      <c r="F148" s="289">
        <f t="shared" ca="1" si="31"/>
        <v>60</v>
      </c>
      <c r="G148" s="290">
        <f ca="1">VTLCOI!R147</f>
        <v>219.00164400560212</v>
      </c>
      <c r="H148" s="290">
        <f ca="1">(J147+VTLGTTKMH!F19-F148-G148)*(1+$V$3)</f>
        <v>114698.66841193227</v>
      </c>
      <c r="I148" s="953">
        <f>IF(COUNTIF(VTLGTTKMH!$E$7:E19,0)&gt;0,0,3%*'Tinh phi QL'!$H$13/1000)</f>
        <v>300</v>
      </c>
      <c r="J148" s="292">
        <f t="shared" ca="1" si="32"/>
        <v>114698.66841193227</v>
      </c>
      <c r="K148" s="1047">
        <f ca="1">J159</f>
        <v>116689.50029404902</v>
      </c>
      <c r="L148" s="1047"/>
      <c r="M148" s="1047"/>
      <c r="N148" s="1047">
        <f t="shared" ref="N148" ca="1" si="36">SUM(G148:G159)</f>
        <v>2625.5371782446323</v>
      </c>
      <c r="O148" s="1047"/>
      <c r="P148" s="298"/>
    </row>
    <row r="149" spans="2:16" ht="9.75" customHeight="1">
      <c r="B149" s="951"/>
      <c r="C149" s="951"/>
      <c r="D149" s="287">
        <f t="shared" ca="1" si="30"/>
        <v>50643</v>
      </c>
      <c r="E149" s="288">
        <f t="shared" si="33"/>
        <v>1000000</v>
      </c>
      <c r="F149" s="289">
        <f t="shared" ca="1" si="31"/>
        <v>60</v>
      </c>
      <c r="G149" s="290">
        <f ca="1">VTLCOI!R148</f>
        <v>218.96452934611543</v>
      </c>
      <c r="H149" s="290">
        <f ca="1">(H148-F149-G149)*(1+$V$3)</f>
        <v>114849.32838048763</v>
      </c>
      <c r="I149" s="953"/>
      <c r="J149" s="292">
        <f t="shared" ca="1" si="32"/>
        <v>114849.32838048763</v>
      </c>
      <c r="K149" s="1047"/>
      <c r="L149" s="1047"/>
      <c r="M149" s="1047"/>
      <c r="N149" s="1047"/>
      <c r="O149" s="1047"/>
      <c r="P149" s="298"/>
    </row>
    <row r="150" spans="2:16" ht="9.75" customHeight="1">
      <c r="B150" s="951"/>
      <c r="C150" s="951"/>
      <c r="D150" s="287">
        <f t="shared" ca="1" si="30"/>
        <v>50674</v>
      </c>
      <c r="E150" s="288">
        <f t="shared" si="33"/>
        <v>1000000</v>
      </c>
      <c r="F150" s="289">
        <f t="shared" ca="1" si="31"/>
        <v>60</v>
      </c>
      <c r="G150" s="290">
        <f ca="1">VTLCOI!R149</f>
        <v>218.92726611389276</v>
      </c>
      <c r="H150" s="290">
        <f t="shared" ref="H150:H159" ca="1" si="37">(H149-F150-G150)*(1+$V$3)</f>
        <v>115000.59145207678</v>
      </c>
      <c r="I150" s="953"/>
      <c r="J150" s="292">
        <f t="shared" ca="1" si="32"/>
        <v>115000.59145207678</v>
      </c>
      <c r="K150" s="1047"/>
      <c r="L150" s="1047"/>
      <c r="M150" s="1047"/>
      <c r="N150" s="1047"/>
      <c r="O150" s="1047"/>
      <c r="P150" s="298"/>
    </row>
    <row r="151" spans="2:16" ht="9.75" customHeight="1">
      <c r="B151" s="951"/>
      <c r="C151" s="951"/>
      <c r="D151" s="287">
        <f t="shared" ca="1" si="30"/>
        <v>50704</v>
      </c>
      <c r="E151" s="288">
        <f t="shared" si="33"/>
        <v>1000000</v>
      </c>
      <c r="F151" s="289">
        <f t="shared" ca="1" si="31"/>
        <v>60</v>
      </c>
      <c r="G151" s="290">
        <f ca="1">VTLCOI!R150</f>
        <v>218.88985371418633</v>
      </c>
      <c r="H151" s="290">
        <f t="shared" ca="1" si="37"/>
        <v>115152.46004096595</v>
      </c>
      <c r="I151" s="953"/>
      <c r="J151" s="292">
        <f t="shared" ca="1" si="32"/>
        <v>115152.46004096595</v>
      </c>
      <c r="K151" s="1047"/>
      <c r="L151" s="1047"/>
      <c r="M151" s="1047"/>
      <c r="N151" s="1047"/>
      <c r="O151" s="1047"/>
      <c r="P151" s="298"/>
    </row>
    <row r="152" spans="2:16" ht="9.75" customHeight="1">
      <c r="B152" s="951"/>
      <c r="C152" s="951"/>
      <c r="D152" s="287">
        <f t="shared" ca="1" si="30"/>
        <v>50735</v>
      </c>
      <c r="E152" s="288">
        <f t="shared" si="33"/>
        <v>1000000</v>
      </c>
      <c r="F152" s="289">
        <f t="shared" ca="1" si="31"/>
        <v>60</v>
      </c>
      <c r="G152" s="290">
        <f ca="1">VTLCOI!R151</f>
        <v>218.85229154986777</v>
      </c>
      <c r="H152" s="290">
        <f t="shared" ca="1" si="37"/>
        <v>115304.9365710858</v>
      </c>
      <c r="I152" s="953"/>
      <c r="J152" s="292">
        <f t="shared" ca="1" si="32"/>
        <v>115304.9365710858</v>
      </c>
      <c r="K152" s="1047"/>
      <c r="L152" s="1047"/>
      <c r="M152" s="1047"/>
      <c r="N152" s="1047"/>
      <c r="O152" s="1047"/>
      <c r="P152" s="298"/>
    </row>
    <row r="153" spans="2:16" ht="9.75" customHeight="1">
      <c r="B153" s="951"/>
      <c r="C153" s="951"/>
      <c r="D153" s="287">
        <f t="shared" ca="1" si="30"/>
        <v>50765</v>
      </c>
      <c r="E153" s="288">
        <f t="shared" si="33"/>
        <v>1000000</v>
      </c>
      <c r="F153" s="289">
        <f t="shared" ca="1" si="31"/>
        <v>60</v>
      </c>
      <c r="G153" s="290">
        <f ca="1">VTLCOI!R152</f>
        <v>218.81457902141813</v>
      </c>
      <c r="H153" s="290">
        <f t="shared" ca="1" si="37"/>
        <v>115458.02347607019</v>
      </c>
      <c r="I153" s="953"/>
      <c r="J153" s="292">
        <f t="shared" ca="1" si="32"/>
        <v>115458.02347607019</v>
      </c>
      <c r="K153" s="1047"/>
      <c r="L153" s="1047"/>
      <c r="M153" s="1047"/>
      <c r="N153" s="1047"/>
      <c r="O153" s="1047"/>
      <c r="P153" s="298"/>
    </row>
    <row r="154" spans="2:16" ht="9.75" customHeight="1">
      <c r="B154" s="951"/>
      <c r="C154" s="951"/>
      <c r="D154" s="287">
        <f t="shared" ca="1" si="30"/>
        <v>50796</v>
      </c>
      <c r="E154" s="288">
        <f t="shared" si="33"/>
        <v>1000000</v>
      </c>
      <c r="F154" s="289">
        <f t="shared" ca="1" si="31"/>
        <v>60</v>
      </c>
      <c r="G154" s="290">
        <f ca="1">VTLCOI!R153</f>
        <v>218.77671552691865</v>
      </c>
      <c r="H154" s="290">
        <f t="shared" ca="1" si="37"/>
        <v>115611.72319929498</v>
      </c>
      <c r="I154" s="953"/>
      <c r="J154" s="292">
        <f t="shared" ca="1" si="32"/>
        <v>115611.72319929498</v>
      </c>
      <c r="K154" s="1047"/>
      <c r="L154" s="1047"/>
      <c r="M154" s="1047"/>
      <c r="N154" s="1047"/>
      <c r="O154" s="1047"/>
      <c r="P154" s="298"/>
    </row>
    <row r="155" spans="2:16" ht="9.75" customHeight="1">
      <c r="B155" s="951"/>
      <c r="C155" s="951"/>
      <c r="D155" s="287">
        <f t="shared" ca="1" si="30"/>
        <v>50827</v>
      </c>
      <c r="E155" s="288">
        <f t="shared" si="33"/>
        <v>1000000</v>
      </c>
      <c r="F155" s="289">
        <f t="shared" ca="1" si="31"/>
        <v>60</v>
      </c>
      <c r="G155" s="290">
        <f ca="1">VTLCOI!R154</f>
        <v>218.73870046204104</v>
      </c>
      <c r="H155" s="290">
        <f t="shared" ca="1" si="37"/>
        <v>115766.03819391711</v>
      </c>
      <c r="I155" s="953"/>
      <c r="J155" s="292">
        <f t="shared" ca="1" si="32"/>
        <v>115766.03819391711</v>
      </c>
      <c r="K155" s="1047"/>
      <c r="L155" s="1047"/>
      <c r="M155" s="1047"/>
      <c r="N155" s="1047"/>
      <c r="O155" s="1047"/>
      <c r="P155" s="298"/>
    </row>
    <row r="156" spans="2:16" ht="9.75" customHeight="1">
      <c r="B156" s="951"/>
      <c r="C156" s="951"/>
      <c r="D156" s="287">
        <f t="shared" ca="1" si="30"/>
        <v>50855</v>
      </c>
      <c r="E156" s="288">
        <f t="shared" si="33"/>
        <v>1000000</v>
      </c>
      <c r="F156" s="289">
        <f t="shared" ca="1" si="31"/>
        <v>60</v>
      </c>
      <c r="G156" s="290">
        <f ca="1">VTLCOI!R155</f>
        <v>218.70053322003784</v>
      </c>
      <c r="H156" s="290">
        <f t="shared" ca="1" si="37"/>
        <v>115920.97092291359</v>
      </c>
      <c r="I156" s="953"/>
      <c r="J156" s="292">
        <f t="shared" ca="1" si="32"/>
        <v>115920.97092291359</v>
      </c>
      <c r="K156" s="1047"/>
      <c r="L156" s="1047"/>
      <c r="M156" s="1047"/>
      <c r="N156" s="1047"/>
      <c r="O156" s="1047"/>
      <c r="P156" s="298"/>
    </row>
    <row r="157" spans="2:16" ht="9.75" customHeight="1">
      <c r="B157" s="951"/>
      <c r="C157" s="951"/>
      <c r="D157" s="287">
        <f t="shared" ca="1" si="30"/>
        <v>50886</v>
      </c>
      <c r="E157" s="288">
        <f t="shared" si="33"/>
        <v>1000000</v>
      </c>
      <c r="F157" s="289">
        <f t="shared" ca="1" si="31"/>
        <v>60</v>
      </c>
      <c r="G157" s="290">
        <f ca="1">VTLCOI!R156</f>
        <v>218.66221319173269</v>
      </c>
      <c r="H157" s="290">
        <f t="shared" ca="1" si="37"/>
        <v>116076.52385912098</v>
      </c>
      <c r="I157" s="953"/>
      <c r="J157" s="292">
        <f t="shared" ca="1" si="32"/>
        <v>116076.52385912098</v>
      </c>
      <c r="K157" s="1047"/>
      <c r="L157" s="1047"/>
      <c r="M157" s="1047"/>
      <c r="N157" s="1047"/>
      <c r="O157" s="1047"/>
      <c r="P157" s="298"/>
    </row>
    <row r="158" spans="2:16" ht="9.75" customHeight="1">
      <c r="B158" s="951"/>
      <c r="C158" s="951"/>
      <c r="D158" s="287">
        <f t="shared" ca="1" si="30"/>
        <v>50916</v>
      </c>
      <c r="E158" s="288">
        <f t="shared" si="33"/>
        <v>1000000</v>
      </c>
      <c r="F158" s="289">
        <f t="shared" ca="1" si="31"/>
        <v>60</v>
      </c>
      <c r="G158" s="290">
        <f ca="1">VTLCOI!R157</f>
        <v>218.62373976551075</v>
      </c>
      <c r="H158" s="290">
        <f t="shared" ca="1" si="37"/>
        <v>116232.69948527477</v>
      </c>
      <c r="I158" s="953"/>
      <c r="J158" s="292">
        <f t="shared" ca="1" si="32"/>
        <v>116232.69948527477</v>
      </c>
      <c r="K158" s="1047"/>
      <c r="L158" s="1047"/>
      <c r="M158" s="1047"/>
      <c r="N158" s="1047"/>
      <c r="O158" s="1047"/>
      <c r="P158" s="298"/>
    </row>
    <row r="159" spans="2:16" ht="9.75" customHeight="1">
      <c r="B159" s="951"/>
      <c r="C159" s="951"/>
      <c r="D159" s="287">
        <f t="shared" ca="1" si="30"/>
        <v>50947</v>
      </c>
      <c r="E159" s="288">
        <f t="shared" si="33"/>
        <v>1000000</v>
      </c>
      <c r="F159" s="289">
        <f t="shared" ca="1" si="31"/>
        <v>60</v>
      </c>
      <c r="G159" s="290">
        <f ca="1">VTLCOI!R158</f>
        <v>218.58511232730871</v>
      </c>
      <c r="H159" s="290">
        <f t="shared" ca="1" si="37"/>
        <v>116389.50029404902</v>
      </c>
      <c r="I159" s="953"/>
      <c r="J159" s="293">
        <f ca="1">H159+I148</f>
        <v>116689.50029404902</v>
      </c>
      <c r="K159" s="1047"/>
      <c r="L159" s="1047"/>
      <c r="M159" s="1047"/>
      <c r="N159" s="1047"/>
      <c r="O159" s="1047"/>
      <c r="P159" s="298"/>
    </row>
    <row r="160" spans="2:16" ht="9.75" customHeight="1">
      <c r="B160" s="946">
        <f>B148+1</f>
        <v>14</v>
      </c>
      <c r="C160" s="947">
        <f ca="1">C148+1</f>
        <v>43</v>
      </c>
      <c r="D160" s="294">
        <f t="shared" ca="1" si="30"/>
        <v>50977</v>
      </c>
      <c r="E160" s="359">
        <f t="shared" si="33"/>
        <v>1000000</v>
      </c>
      <c r="F160" s="360">
        <f t="shared" ca="1" si="31"/>
        <v>60</v>
      </c>
      <c r="G160" s="295">
        <f ca="1">VTLCOI!R159</f>
        <v>234.62942092099885</v>
      </c>
      <c r="H160" s="295">
        <f ca="1">(J159+VTLGTTKMH!F20-F160-G160)*(1+$V$3)</f>
        <v>126869.45987391684</v>
      </c>
      <c r="I160" s="953">
        <f>IF(COUNTIF(VTLGTTKMH!$E$7:E20,0)&gt;0,0,3%*'Tinh phi QL'!$H$13/1000)</f>
        <v>300</v>
      </c>
      <c r="J160" s="296">
        <f t="shared" ca="1" si="32"/>
        <v>126869.45987391684</v>
      </c>
      <c r="K160" s="1047">
        <f ca="1">J171</f>
        <v>129197.46251082919</v>
      </c>
      <c r="L160" s="1047"/>
      <c r="M160" s="1047"/>
      <c r="N160" s="1047">
        <f t="shared" ref="N160" ca="1" si="38">SUM(G160:G171)</f>
        <v>2812.3188099319864</v>
      </c>
      <c r="O160" s="1047"/>
      <c r="P160" s="298"/>
    </row>
    <row r="161" spans="2:16" ht="9.75" customHeight="1">
      <c r="B161" s="946"/>
      <c r="C161" s="946"/>
      <c r="D161" s="294">
        <f t="shared" ca="1" si="30"/>
        <v>51008</v>
      </c>
      <c r="E161" s="359">
        <f t="shared" si="33"/>
        <v>1000000</v>
      </c>
      <c r="F161" s="360">
        <f t="shared" ca="1" si="31"/>
        <v>60</v>
      </c>
      <c r="G161" s="295">
        <f ca="1">VTLCOI!R160</f>
        <v>234.58107178054104</v>
      </c>
      <c r="H161" s="295">
        <f ca="1">(H160-F161-G161)*(1+$V$3)</f>
        <v>127050.14369888966</v>
      </c>
      <c r="I161" s="953"/>
      <c r="J161" s="296">
        <f t="shared" ca="1" si="32"/>
        <v>127050.14369888966</v>
      </c>
      <c r="K161" s="1047"/>
      <c r="L161" s="1047"/>
      <c r="M161" s="1047"/>
      <c r="N161" s="1047"/>
      <c r="O161" s="1047"/>
      <c r="P161" s="298"/>
    </row>
    <row r="162" spans="2:16" ht="9.75" customHeight="1">
      <c r="B162" s="946"/>
      <c r="C162" s="946"/>
      <c r="D162" s="294">
        <f t="shared" ca="1" si="30"/>
        <v>51039</v>
      </c>
      <c r="E162" s="359">
        <f t="shared" si="33"/>
        <v>1000000</v>
      </c>
      <c r="F162" s="360">
        <f t="shared" ca="1" si="31"/>
        <v>60</v>
      </c>
      <c r="G162" s="295">
        <f ca="1">VTLCOI!R161</f>
        <v>234.53252805956501</v>
      </c>
      <c r="H162" s="295">
        <f t="shared" ref="H162:H171" ca="1" si="39">(H161-F162-G162)*(1+$V$3)</f>
        <v>127231.55468368295</v>
      </c>
      <c r="I162" s="953"/>
      <c r="J162" s="296">
        <f t="shared" ca="1" si="32"/>
        <v>127231.55468368295</v>
      </c>
      <c r="K162" s="1047"/>
      <c r="L162" s="1047"/>
      <c r="M162" s="1047"/>
      <c r="N162" s="1047"/>
      <c r="O162" s="1047"/>
      <c r="P162" s="298"/>
    </row>
    <row r="163" spans="2:16" ht="9.75" customHeight="1">
      <c r="B163" s="946"/>
      <c r="C163" s="946"/>
      <c r="D163" s="294">
        <f t="shared" ca="1" si="30"/>
        <v>51069</v>
      </c>
      <c r="E163" s="359">
        <f t="shared" si="33"/>
        <v>1000000</v>
      </c>
      <c r="F163" s="360">
        <f t="shared" ca="1" si="31"/>
        <v>60</v>
      </c>
      <c r="G163" s="295">
        <f ca="1">VTLCOI!R162</f>
        <v>234.48378897498387</v>
      </c>
      <c r="H163" s="295">
        <f t="shared" ca="1" si="39"/>
        <v>127413.69575474241</v>
      </c>
      <c r="I163" s="953"/>
      <c r="J163" s="296">
        <f t="shared" ca="1" si="32"/>
        <v>127413.69575474241</v>
      </c>
      <c r="K163" s="1047"/>
      <c r="L163" s="1047"/>
      <c r="M163" s="1047"/>
      <c r="N163" s="1047"/>
      <c r="O163" s="1047"/>
      <c r="P163" s="298"/>
    </row>
    <row r="164" spans="2:16" ht="9.75" customHeight="1">
      <c r="B164" s="946"/>
      <c r="C164" s="946"/>
      <c r="D164" s="294">
        <f t="shared" ca="1" si="30"/>
        <v>51100</v>
      </c>
      <c r="E164" s="359">
        <f t="shared" si="33"/>
        <v>1000000</v>
      </c>
      <c r="F164" s="360">
        <f t="shared" ca="1" si="31"/>
        <v>60</v>
      </c>
      <c r="G164" s="295">
        <f ca="1">VTLCOI!R163</f>
        <v>234.43485374055922</v>
      </c>
      <c r="H164" s="295">
        <f t="shared" ca="1" si="39"/>
        <v>127596.56985029123</v>
      </c>
      <c r="I164" s="953"/>
      <c r="J164" s="296">
        <f t="shared" ca="1" si="32"/>
        <v>127596.56985029123</v>
      </c>
      <c r="K164" s="1047"/>
      <c r="L164" s="1047"/>
      <c r="M164" s="1047"/>
      <c r="N164" s="1047"/>
      <c r="O164" s="1047"/>
      <c r="P164" s="298"/>
    </row>
    <row r="165" spans="2:16" ht="9.75" customHeight="1">
      <c r="B165" s="946"/>
      <c r="C165" s="946"/>
      <c r="D165" s="294">
        <f t="shared" ca="1" si="30"/>
        <v>51130</v>
      </c>
      <c r="E165" s="359">
        <f t="shared" si="33"/>
        <v>1000000</v>
      </c>
      <c r="F165" s="360">
        <f t="shared" ca="1" si="31"/>
        <v>60</v>
      </c>
      <c r="G165" s="295">
        <f ca="1">VTLCOI!R164</f>
        <v>234.38572156688841</v>
      </c>
      <c r="H165" s="295">
        <f t="shared" ca="1" si="39"/>
        <v>127780.17992037738</v>
      </c>
      <c r="I165" s="953"/>
      <c r="J165" s="296">
        <f t="shared" ca="1" si="32"/>
        <v>127780.17992037738</v>
      </c>
      <c r="K165" s="1047"/>
      <c r="L165" s="1047"/>
      <c r="M165" s="1047"/>
      <c r="N165" s="1047"/>
      <c r="O165" s="1047"/>
      <c r="P165" s="298"/>
    </row>
    <row r="166" spans="2:16" ht="9.75" customHeight="1">
      <c r="B166" s="946"/>
      <c r="C166" s="946"/>
      <c r="D166" s="294">
        <f t="shared" ca="1" si="30"/>
        <v>51161</v>
      </c>
      <c r="E166" s="359">
        <f t="shared" si="33"/>
        <v>1000000</v>
      </c>
      <c r="F166" s="360">
        <f t="shared" ca="1" si="31"/>
        <v>60</v>
      </c>
      <c r="G166" s="295">
        <f ca="1">VTLCOI!R165</f>
        <v>234.33639166139196</v>
      </c>
      <c r="H166" s="295">
        <f t="shared" ca="1" si="39"/>
        <v>127964.52892692131</v>
      </c>
      <c r="I166" s="953"/>
      <c r="J166" s="296">
        <f t="shared" ca="1" si="32"/>
        <v>127964.52892692131</v>
      </c>
      <c r="K166" s="1047"/>
      <c r="L166" s="1047"/>
      <c r="M166" s="1047"/>
      <c r="N166" s="1047"/>
      <c r="O166" s="1047"/>
      <c r="P166" s="298"/>
    </row>
    <row r="167" spans="2:16" ht="9.75" customHeight="1">
      <c r="B167" s="946"/>
      <c r="C167" s="946"/>
      <c r="D167" s="294">
        <f t="shared" ca="1" si="30"/>
        <v>51192</v>
      </c>
      <c r="E167" s="359">
        <f t="shared" si="33"/>
        <v>1000000</v>
      </c>
      <c r="F167" s="360">
        <f t="shared" ca="1" si="31"/>
        <v>60</v>
      </c>
      <c r="G167" s="295">
        <f ca="1">VTLCOI!R166</f>
        <v>234.28686322830046</v>
      </c>
      <c r="H167" s="295">
        <f t="shared" ca="1" si="39"/>
        <v>128149.61984376363</v>
      </c>
      <c r="I167" s="953"/>
      <c r="J167" s="296">
        <f t="shared" ca="1" si="32"/>
        <v>128149.61984376363</v>
      </c>
      <c r="K167" s="1047"/>
      <c r="L167" s="1047"/>
      <c r="M167" s="1047"/>
      <c r="N167" s="1047"/>
      <c r="O167" s="1047"/>
      <c r="P167" s="298"/>
    </row>
    <row r="168" spans="2:16" ht="9.75" customHeight="1">
      <c r="B168" s="946"/>
      <c r="C168" s="946"/>
      <c r="D168" s="294">
        <f t="shared" ca="1" si="30"/>
        <v>51221</v>
      </c>
      <c r="E168" s="359">
        <f t="shared" si="33"/>
        <v>1000000</v>
      </c>
      <c r="F168" s="360">
        <f t="shared" ca="1" si="31"/>
        <v>60</v>
      </c>
      <c r="G168" s="295">
        <f ca="1">VTLCOI!R167</f>
        <v>234.23713546864221</v>
      </c>
      <c r="H168" s="295">
        <f t="shared" ca="1" si="39"/>
        <v>128335.45565671319</v>
      </c>
      <c r="I168" s="953"/>
      <c r="J168" s="296">
        <f t="shared" ca="1" si="32"/>
        <v>128335.45565671319</v>
      </c>
      <c r="K168" s="1047"/>
      <c r="L168" s="1047"/>
      <c r="M168" s="1047"/>
      <c r="N168" s="1047"/>
      <c r="O168" s="1047"/>
      <c r="P168" s="298"/>
    </row>
    <row r="169" spans="2:16" ht="9.75" customHeight="1">
      <c r="B169" s="946"/>
      <c r="C169" s="946"/>
      <c r="D169" s="294">
        <f t="shared" ca="1" si="30"/>
        <v>51252</v>
      </c>
      <c r="E169" s="359">
        <f t="shared" si="33"/>
        <v>1000000</v>
      </c>
      <c r="F169" s="360">
        <f t="shared" ca="1" si="31"/>
        <v>60</v>
      </c>
      <c r="G169" s="295">
        <f ca="1">VTLCOI!R168</f>
        <v>234.18720758022974</v>
      </c>
      <c r="H169" s="295">
        <f t="shared" ca="1" si="39"/>
        <v>128522.03936359518</v>
      </c>
      <c r="I169" s="953"/>
      <c r="J169" s="296">
        <f t="shared" ca="1" si="32"/>
        <v>128522.03936359518</v>
      </c>
      <c r="K169" s="1047"/>
      <c r="L169" s="1047"/>
      <c r="M169" s="1047"/>
      <c r="N169" s="1047"/>
      <c r="O169" s="1047"/>
      <c r="P169" s="298"/>
    </row>
    <row r="170" spans="2:16" ht="9.75" customHeight="1">
      <c r="B170" s="946"/>
      <c r="C170" s="946"/>
      <c r="D170" s="294">
        <f t="shared" ca="1" si="30"/>
        <v>51282</v>
      </c>
      <c r="E170" s="359">
        <f t="shared" si="33"/>
        <v>1000000</v>
      </c>
      <c r="F170" s="360">
        <f t="shared" ca="1" si="31"/>
        <v>60</v>
      </c>
      <c r="G170" s="295">
        <f ca="1">VTLCOI!R169</f>
        <v>234.1370787576474</v>
      </c>
      <c r="H170" s="295">
        <f t="shared" ca="1" si="39"/>
        <v>128709.37397429945</v>
      </c>
      <c r="I170" s="953"/>
      <c r="J170" s="296">
        <f t="shared" ca="1" si="32"/>
        <v>128709.37397429945</v>
      </c>
      <c r="K170" s="1047"/>
      <c r="L170" s="1047"/>
      <c r="M170" s="1047"/>
      <c r="N170" s="1047"/>
      <c r="O170" s="1047"/>
      <c r="P170" s="298"/>
    </row>
    <row r="171" spans="2:16" ht="9.75" customHeight="1">
      <c r="B171" s="946"/>
      <c r="C171" s="946"/>
      <c r="D171" s="294">
        <f t="shared" ca="1" si="30"/>
        <v>51313</v>
      </c>
      <c r="E171" s="359">
        <f t="shared" si="33"/>
        <v>1000000</v>
      </c>
      <c r="F171" s="360">
        <f t="shared" ca="1" si="31"/>
        <v>60</v>
      </c>
      <c r="G171" s="295">
        <f ca="1">VTLCOI!R170</f>
        <v>234.08674819223825</v>
      </c>
      <c r="H171" s="295">
        <f t="shared" ca="1" si="39"/>
        <v>128897.46251082919</v>
      </c>
      <c r="I171" s="953"/>
      <c r="J171" s="297">
        <f ca="1">H171+I160</f>
        <v>129197.46251082919</v>
      </c>
      <c r="K171" s="1047"/>
      <c r="L171" s="1047"/>
      <c r="M171" s="1047"/>
      <c r="N171" s="1047"/>
      <c r="O171" s="1047"/>
      <c r="P171" s="298"/>
    </row>
    <row r="172" spans="2:16" ht="9.75" customHeight="1">
      <c r="B172" s="951">
        <f>B160+1</f>
        <v>15</v>
      </c>
      <c r="C172" s="952">
        <f ca="1">C160+1</f>
        <v>44</v>
      </c>
      <c r="D172" s="287">
        <f t="shared" ca="1" si="30"/>
        <v>51343</v>
      </c>
      <c r="E172" s="288">
        <f t="shared" si="33"/>
        <v>1000000</v>
      </c>
      <c r="F172" s="289">
        <f t="shared" ca="1" si="31"/>
        <v>60</v>
      </c>
      <c r="G172" s="290">
        <f ca="1">VTLCOI!R171</f>
        <v>250.78047258851177</v>
      </c>
      <c r="H172" s="290">
        <f ca="1">(J171+VTLGTTKMH!F20-F172-G172)*(1+$V$3)</f>
        <v>139408.17544375686</v>
      </c>
      <c r="I172" s="953">
        <f>IF(COUNTIF(VTLGTTKMH!$E$7:E21,0)&gt;0,0,3%*'Tinh phi QL'!$H$13/1000)</f>
        <v>300</v>
      </c>
      <c r="J172" s="292">
        <f t="shared" ca="1" si="32"/>
        <v>139408.17544375686</v>
      </c>
      <c r="K172" s="1047">
        <f ca="1">J183</f>
        <v>142083.06917296819</v>
      </c>
      <c r="L172" s="1047"/>
      <c r="M172" s="1047"/>
      <c r="N172" s="1047">
        <f t="shared" ref="N172" ca="1" si="40">SUM(G172:G183)</f>
        <v>3005.2589226480727</v>
      </c>
      <c r="O172" s="1047"/>
      <c r="P172" s="298"/>
    </row>
    <row r="173" spans="2:16" ht="9.75" customHeight="1">
      <c r="B173" s="951"/>
      <c r="C173" s="951"/>
      <c r="D173" s="287">
        <f t="shared" ca="1" si="30"/>
        <v>51374</v>
      </c>
      <c r="E173" s="288">
        <f t="shared" si="33"/>
        <v>1000000</v>
      </c>
      <c r="F173" s="289">
        <f t="shared" ca="1" si="31"/>
        <v>60</v>
      </c>
      <c r="G173" s="290">
        <f ca="1">VTLCOI!R172</f>
        <v>250.71908488738549</v>
      </c>
      <c r="H173" s="290">
        <f ca="1">(H172-F173-G173)*(1+$V$3)</f>
        <v>139619.74118237221</v>
      </c>
      <c r="I173" s="953"/>
      <c r="J173" s="292">
        <f t="shared" ca="1" si="32"/>
        <v>139619.74118237221</v>
      </c>
      <c r="K173" s="1047"/>
      <c r="L173" s="1047"/>
      <c r="M173" s="1047"/>
      <c r="N173" s="1047"/>
      <c r="O173" s="1047"/>
      <c r="P173" s="298"/>
    </row>
    <row r="174" spans="2:16" ht="9.75" customHeight="1">
      <c r="B174" s="951"/>
      <c r="C174" s="951"/>
      <c r="D174" s="287">
        <f t="shared" ca="1" si="30"/>
        <v>51405</v>
      </c>
      <c r="E174" s="288">
        <f t="shared" si="33"/>
        <v>1000000</v>
      </c>
      <c r="F174" s="289">
        <f t="shared" ca="1" si="31"/>
        <v>60</v>
      </c>
      <c r="G174" s="290">
        <f ca="1">VTLCOI!R173</f>
        <v>250.65744873553558</v>
      </c>
      <c r="H174" s="290">
        <f t="shared" ref="H174:H183" ca="1" si="41">(H173-F174-G174)*(1+$V$3)</f>
        <v>139832.16317818404</v>
      </c>
      <c r="I174" s="953"/>
      <c r="J174" s="292">
        <f t="shared" ca="1" si="32"/>
        <v>139832.16317818404</v>
      </c>
      <c r="K174" s="1047"/>
      <c r="L174" s="1047"/>
      <c r="M174" s="1047"/>
      <c r="N174" s="1047"/>
      <c r="O174" s="1047"/>
      <c r="P174" s="298"/>
    </row>
    <row r="175" spans="2:16" ht="9.75" customHeight="1">
      <c r="B175" s="951"/>
      <c r="C175" s="951"/>
      <c r="D175" s="287">
        <f t="shared" ca="1" si="30"/>
        <v>51435</v>
      </c>
      <c r="E175" s="288">
        <f t="shared" si="33"/>
        <v>1000000</v>
      </c>
      <c r="F175" s="289">
        <f t="shared" ca="1" si="31"/>
        <v>60</v>
      </c>
      <c r="G175" s="290">
        <f ca="1">VTLCOI!R174</f>
        <v>250.59556312742234</v>
      </c>
      <c r="H175" s="290">
        <f t="shared" ca="1" si="41"/>
        <v>140045.44489667023</v>
      </c>
      <c r="I175" s="953"/>
      <c r="J175" s="292">
        <f t="shared" ca="1" si="32"/>
        <v>140045.44489667023</v>
      </c>
      <c r="K175" s="1047"/>
      <c r="L175" s="1047"/>
      <c r="M175" s="1047"/>
      <c r="N175" s="1047"/>
      <c r="O175" s="1047"/>
      <c r="P175" s="298"/>
    </row>
    <row r="176" spans="2:16" ht="9.75" customHeight="1">
      <c r="B176" s="951"/>
      <c r="C176" s="951"/>
      <c r="D176" s="287">
        <f t="shared" ca="1" si="30"/>
        <v>51466</v>
      </c>
      <c r="E176" s="288">
        <f t="shared" si="33"/>
        <v>1000000</v>
      </c>
      <c r="F176" s="289">
        <f t="shared" ca="1" si="31"/>
        <v>60</v>
      </c>
      <c r="G176" s="290">
        <f ca="1">VTLCOI!R175</f>
        <v>250.53342705343672</v>
      </c>
      <c r="H176" s="290">
        <f t="shared" ca="1" si="41"/>
        <v>140259.58981733432</v>
      </c>
      <c r="I176" s="953"/>
      <c r="J176" s="292">
        <f t="shared" ca="1" si="32"/>
        <v>140259.58981733432</v>
      </c>
      <c r="K176" s="1047"/>
      <c r="L176" s="1047"/>
      <c r="M176" s="1047"/>
      <c r="N176" s="1047"/>
      <c r="O176" s="1047"/>
      <c r="P176" s="298"/>
    </row>
    <row r="177" spans="2:16" ht="9.75" customHeight="1">
      <c r="B177" s="951"/>
      <c r="C177" s="951"/>
      <c r="D177" s="287">
        <f t="shared" ca="1" si="30"/>
        <v>51496</v>
      </c>
      <c r="E177" s="288">
        <f t="shared" si="33"/>
        <v>1000000</v>
      </c>
      <c r="F177" s="289">
        <f t="shared" ca="1" si="31"/>
        <v>60</v>
      </c>
      <c r="G177" s="290">
        <f ca="1">VTLCOI!R176</f>
        <v>250.47103949988329</v>
      </c>
      <c r="H177" s="290">
        <f t="shared" ca="1" si="41"/>
        <v>140474.60143376212</v>
      </c>
      <c r="I177" s="953"/>
      <c r="J177" s="292">
        <f t="shared" ca="1" si="32"/>
        <v>140474.60143376212</v>
      </c>
      <c r="K177" s="1047"/>
      <c r="L177" s="1047"/>
      <c r="M177" s="1047"/>
      <c r="N177" s="1047"/>
      <c r="O177" s="1047"/>
      <c r="P177" s="298"/>
    </row>
    <row r="178" spans="2:16" ht="9.75" customHeight="1">
      <c r="B178" s="951"/>
      <c r="C178" s="951"/>
      <c r="D178" s="287">
        <f t="shared" ca="1" si="30"/>
        <v>51527</v>
      </c>
      <c r="E178" s="288">
        <f t="shared" si="33"/>
        <v>1000000</v>
      </c>
      <c r="F178" s="289">
        <f t="shared" ca="1" si="31"/>
        <v>60</v>
      </c>
      <c r="G178" s="290">
        <f ca="1">VTLCOI!R177</f>
        <v>250.40839944896399</v>
      </c>
      <c r="H178" s="290">
        <f t="shared" ca="1" si="41"/>
        <v>140690.48325367892</v>
      </c>
      <c r="I178" s="953"/>
      <c r="J178" s="292">
        <f t="shared" ca="1" si="32"/>
        <v>140690.48325367892</v>
      </c>
      <c r="K178" s="1047"/>
      <c r="L178" s="1047"/>
      <c r="M178" s="1047"/>
      <c r="N178" s="1047"/>
      <c r="O178" s="1047"/>
      <c r="P178" s="298"/>
    </row>
    <row r="179" spans="2:16" ht="9.75" customHeight="1">
      <c r="B179" s="951"/>
      <c r="C179" s="951"/>
      <c r="D179" s="287">
        <f t="shared" ca="1" si="30"/>
        <v>51558</v>
      </c>
      <c r="E179" s="288">
        <f t="shared" si="33"/>
        <v>1000000</v>
      </c>
      <c r="F179" s="289">
        <f t="shared" ca="1" si="31"/>
        <v>60</v>
      </c>
      <c r="G179" s="290">
        <f ca="1">VTLCOI!R178</f>
        <v>250.34550587876154</v>
      </c>
      <c r="H179" s="290">
        <f t="shared" ca="1" si="41"/>
        <v>140907.23879900656</v>
      </c>
      <c r="I179" s="953"/>
      <c r="J179" s="292">
        <f t="shared" ca="1" si="32"/>
        <v>140907.23879900656</v>
      </c>
      <c r="K179" s="1047"/>
      <c r="L179" s="1047"/>
      <c r="M179" s="1047"/>
      <c r="N179" s="1047"/>
      <c r="O179" s="1047"/>
      <c r="P179" s="298"/>
    </row>
    <row r="180" spans="2:16" ht="9.75" customHeight="1">
      <c r="B180" s="951"/>
      <c r="C180" s="951"/>
      <c r="D180" s="287">
        <f t="shared" ca="1" si="30"/>
        <v>51586</v>
      </c>
      <c r="E180" s="288">
        <f t="shared" si="33"/>
        <v>1000000</v>
      </c>
      <c r="F180" s="289">
        <f t="shared" ca="1" si="31"/>
        <v>60</v>
      </c>
      <c r="G180" s="290">
        <f ca="1">VTLCOI!R179</f>
        <v>250.28235776322276</v>
      </c>
      <c r="H180" s="290">
        <f t="shared" ca="1" si="41"/>
        <v>141124.87160592098</v>
      </c>
      <c r="I180" s="953"/>
      <c r="J180" s="292">
        <f t="shared" ca="1" si="32"/>
        <v>141124.87160592098</v>
      </c>
      <c r="K180" s="1047"/>
      <c r="L180" s="1047"/>
      <c r="M180" s="1047"/>
      <c r="N180" s="1047"/>
      <c r="O180" s="1047"/>
      <c r="P180" s="298"/>
    </row>
    <row r="181" spans="2:16" ht="9.75" customHeight="1">
      <c r="B181" s="951"/>
      <c r="C181" s="951"/>
      <c r="D181" s="287">
        <f t="shared" ca="1" si="30"/>
        <v>51617</v>
      </c>
      <c r="E181" s="288">
        <f t="shared" si="33"/>
        <v>1000000</v>
      </c>
      <c r="F181" s="289">
        <f t="shared" ca="1" si="31"/>
        <v>60</v>
      </c>
      <c r="G181" s="290">
        <f ca="1">VTLCOI!R180</f>
        <v>250.21895407214171</v>
      </c>
      <c r="H181" s="290">
        <f t="shared" ca="1" si="41"/>
        <v>141343.38522490987</v>
      </c>
      <c r="I181" s="953"/>
      <c r="J181" s="292">
        <f t="shared" ca="1" si="32"/>
        <v>141343.38522490987</v>
      </c>
      <c r="K181" s="1047"/>
      <c r="L181" s="1047"/>
      <c r="M181" s="1047"/>
      <c r="N181" s="1047"/>
      <c r="O181" s="1047"/>
      <c r="P181" s="298"/>
    </row>
    <row r="182" spans="2:16" ht="9.75" customHeight="1">
      <c r="B182" s="951"/>
      <c r="C182" s="951"/>
      <c r="D182" s="287">
        <f t="shared" ca="1" si="30"/>
        <v>51647</v>
      </c>
      <c r="E182" s="288">
        <f t="shared" si="33"/>
        <v>1000000</v>
      </c>
      <c r="F182" s="289">
        <f t="shared" ca="1" si="31"/>
        <v>60</v>
      </c>
      <c r="G182" s="290">
        <f ca="1">VTLCOI!R181</f>
        <v>250.15529377114294</v>
      </c>
      <c r="H182" s="290">
        <f t="shared" ca="1" si="41"/>
        <v>141562.78322083055</v>
      </c>
      <c r="I182" s="953"/>
      <c r="J182" s="292">
        <f t="shared" ca="1" si="32"/>
        <v>141562.78322083055</v>
      </c>
      <c r="K182" s="1047"/>
      <c r="L182" s="1047"/>
      <c r="M182" s="1047"/>
      <c r="N182" s="1047"/>
      <c r="O182" s="1047"/>
      <c r="P182" s="298"/>
    </row>
    <row r="183" spans="2:16" ht="9.75" customHeight="1">
      <c r="B183" s="951"/>
      <c r="C183" s="951"/>
      <c r="D183" s="287">
        <f t="shared" ca="1" si="30"/>
        <v>51678</v>
      </c>
      <c r="E183" s="288">
        <f t="shared" si="33"/>
        <v>1000000</v>
      </c>
      <c r="F183" s="289">
        <f t="shared" ca="1" si="31"/>
        <v>60</v>
      </c>
      <c r="G183" s="290">
        <f ca="1">VTLCOI!R182</f>
        <v>250.09137582166468</v>
      </c>
      <c r="H183" s="290">
        <f t="shared" ca="1" si="41"/>
        <v>141783.06917296819</v>
      </c>
      <c r="I183" s="953"/>
      <c r="J183" s="293">
        <f ca="1">H183+I172</f>
        <v>142083.06917296819</v>
      </c>
      <c r="K183" s="1047"/>
      <c r="L183" s="1047"/>
      <c r="M183" s="1047"/>
      <c r="N183" s="1047"/>
      <c r="O183" s="1047"/>
      <c r="P183" s="298"/>
    </row>
    <row r="184" spans="2:16" ht="9.75" customHeight="1">
      <c r="B184" s="946">
        <f>B172+1</f>
        <v>16</v>
      </c>
      <c r="C184" s="947">
        <f ca="1">C172+1</f>
        <v>45</v>
      </c>
      <c r="D184" s="294">
        <f t="shared" ca="1" si="30"/>
        <v>51708</v>
      </c>
      <c r="E184" s="359">
        <f t="shared" si="33"/>
        <v>1000000</v>
      </c>
      <c r="F184" s="360">
        <f t="shared" ca="1" si="31"/>
        <v>60</v>
      </c>
      <c r="G184" s="295">
        <f ca="1">VTLCOI!R183</f>
        <v>267.37647218745741</v>
      </c>
      <c r="H184" s="295">
        <f ca="1">(J183+VTLGTTKMH!F21-F184-G184)*(1+$W$3)</f>
        <v>152325.50682429189</v>
      </c>
      <c r="I184" s="953">
        <f>IF(COUNTIF(VTLGTTKMH!$E$7:E22,0)&gt;0,0,3%*'Tinh phi QL'!$H$13/1000)</f>
        <v>300</v>
      </c>
      <c r="J184" s="296">
        <f t="shared" ca="1" si="32"/>
        <v>152325.50682429189</v>
      </c>
      <c r="K184" s="1047">
        <f ca="1">J195</f>
        <v>155358.35810364143</v>
      </c>
      <c r="L184" s="1047"/>
      <c r="M184" s="1047"/>
      <c r="N184" s="1047">
        <f t="shared" ref="N184" ca="1" si="42">SUM(G184:G195)</f>
        <v>3203.402947981956</v>
      </c>
      <c r="O184" s="1047"/>
      <c r="P184" s="298"/>
    </row>
    <row r="185" spans="2:16" ht="9.75" customHeight="1">
      <c r="B185" s="946"/>
      <c r="C185" s="946"/>
      <c r="D185" s="294">
        <f t="shared" ca="1" si="30"/>
        <v>51739</v>
      </c>
      <c r="E185" s="359">
        <f t="shared" si="33"/>
        <v>1000000</v>
      </c>
      <c r="F185" s="360">
        <f t="shared" ca="1" si="31"/>
        <v>60</v>
      </c>
      <c r="G185" s="295">
        <f ca="1">VTLCOI!R184</f>
        <v>267.30002351473996</v>
      </c>
      <c r="H185" s="295">
        <f ca="1">(H184-F185-G185)*(1+$W$3)</f>
        <v>152568.93151918508</v>
      </c>
      <c r="I185" s="953"/>
      <c r="J185" s="296">
        <f t="shared" ca="1" si="32"/>
        <v>152568.93151918508</v>
      </c>
      <c r="K185" s="1047"/>
      <c r="L185" s="1047"/>
      <c r="M185" s="1047"/>
      <c r="N185" s="1047"/>
      <c r="O185" s="1047"/>
      <c r="P185" s="298"/>
    </row>
    <row r="186" spans="2:16" ht="9.75" customHeight="1">
      <c r="B186" s="946"/>
      <c r="C186" s="946"/>
      <c r="D186" s="294">
        <f t="shared" ca="1" si="30"/>
        <v>51770</v>
      </c>
      <c r="E186" s="359">
        <f t="shared" si="33"/>
        <v>1000000</v>
      </c>
      <c r="F186" s="360">
        <f t="shared" ca="1" si="31"/>
        <v>60</v>
      </c>
      <c r="G186" s="295">
        <f ca="1">VTLCOI!R185</f>
        <v>267.22326359428365</v>
      </c>
      <c r="H186" s="295">
        <f t="shared" ref="H186:H243" ca="1" si="43">(H185-F186-G186)*(1+$W$3)</f>
        <v>152813.34727622737</v>
      </c>
      <c r="I186" s="953"/>
      <c r="J186" s="296">
        <f t="shared" ca="1" si="32"/>
        <v>152813.34727622737</v>
      </c>
      <c r="K186" s="1047"/>
      <c r="L186" s="1047"/>
      <c r="M186" s="1047"/>
      <c r="N186" s="1047"/>
      <c r="O186" s="1047"/>
      <c r="P186" s="298"/>
    </row>
    <row r="187" spans="2:16" ht="9.75" customHeight="1">
      <c r="B187" s="946"/>
      <c r="C187" s="946"/>
      <c r="D187" s="294">
        <f t="shared" ca="1" si="30"/>
        <v>51800</v>
      </c>
      <c r="E187" s="359">
        <f t="shared" si="33"/>
        <v>1000000</v>
      </c>
      <c r="F187" s="360">
        <f t="shared" ca="1" si="31"/>
        <v>60</v>
      </c>
      <c r="G187" s="295">
        <f ca="1">VTLCOI!R186</f>
        <v>267.14619115889633</v>
      </c>
      <c r="H187" s="295">
        <f t="shared" ca="1" si="43"/>
        <v>153058.75813035941</v>
      </c>
      <c r="I187" s="953"/>
      <c r="J187" s="296">
        <f t="shared" ca="1" si="32"/>
        <v>153058.75813035941</v>
      </c>
      <c r="K187" s="1047"/>
      <c r="L187" s="1047"/>
      <c r="M187" s="1047"/>
      <c r="N187" s="1047"/>
      <c r="O187" s="1047"/>
      <c r="P187" s="298"/>
    </row>
    <row r="188" spans="2:16" ht="9.75" customHeight="1">
      <c r="B188" s="946"/>
      <c r="C188" s="946"/>
      <c r="D188" s="294">
        <f t="shared" ca="1" si="30"/>
        <v>51831</v>
      </c>
      <c r="E188" s="359">
        <f t="shared" si="33"/>
        <v>1000000</v>
      </c>
      <c r="F188" s="360">
        <f t="shared" ca="1" si="31"/>
        <v>60</v>
      </c>
      <c r="G188" s="295">
        <f ca="1">VTLCOI!R187</f>
        <v>267.06880493622663</v>
      </c>
      <c r="H188" s="295">
        <f t="shared" ca="1" si="43"/>
        <v>153305.1681329493</v>
      </c>
      <c r="I188" s="953"/>
      <c r="J188" s="296">
        <f t="shared" ca="1" si="32"/>
        <v>153305.1681329493</v>
      </c>
      <c r="K188" s="1047"/>
      <c r="L188" s="1047"/>
      <c r="M188" s="1047"/>
      <c r="N188" s="1047"/>
      <c r="O188" s="1047"/>
      <c r="P188" s="298"/>
    </row>
    <row r="189" spans="2:16" ht="9.75" customHeight="1">
      <c r="B189" s="946"/>
      <c r="C189" s="946"/>
      <c r="D189" s="294">
        <f t="shared" ca="1" si="30"/>
        <v>51861</v>
      </c>
      <c r="E189" s="359">
        <f t="shared" si="33"/>
        <v>1000000</v>
      </c>
      <c r="F189" s="360">
        <f t="shared" ca="1" si="31"/>
        <v>60</v>
      </c>
      <c r="G189" s="295">
        <f ca="1">VTLCOI!R188</f>
        <v>266.99110364874332</v>
      </c>
      <c r="H189" s="295">
        <f t="shared" ca="1" si="43"/>
        <v>153552.58135185973</v>
      </c>
      <c r="I189" s="953"/>
      <c r="J189" s="296">
        <f t="shared" ca="1" si="32"/>
        <v>153552.58135185973</v>
      </c>
      <c r="K189" s="1047"/>
      <c r="L189" s="1047"/>
      <c r="M189" s="1047"/>
      <c r="N189" s="1047"/>
      <c r="O189" s="1047"/>
      <c r="P189" s="298"/>
    </row>
    <row r="190" spans="2:16" ht="9.75" customHeight="1">
      <c r="B190" s="946"/>
      <c r="C190" s="946"/>
      <c r="D190" s="294">
        <f t="shared" ca="1" si="30"/>
        <v>51892</v>
      </c>
      <c r="E190" s="359">
        <f t="shared" si="33"/>
        <v>1000000</v>
      </c>
      <c r="F190" s="360">
        <f t="shared" ca="1" si="31"/>
        <v>60</v>
      </c>
      <c r="G190" s="295">
        <f ca="1">VTLCOI!R189</f>
        <v>266.91308601371355</v>
      </c>
      <c r="H190" s="295">
        <f t="shared" ca="1" si="43"/>
        <v>153801.00187151486</v>
      </c>
      <c r="I190" s="953"/>
      <c r="J190" s="296">
        <f t="shared" ca="1" si="32"/>
        <v>153801.00187151486</v>
      </c>
      <c r="K190" s="1047"/>
      <c r="L190" s="1047"/>
      <c r="M190" s="1047"/>
      <c r="N190" s="1047"/>
      <c r="O190" s="1047"/>
      <c r="P190" s="298"/>
    </row>
    <row r="191" spans="2:16" ht="9.75" customHeight="1">
      <c r="B191" s="946"/>
      <c r="C191" s="946"/>
      <c r="D191" s="294">
        <f t="shared" ca="1" si="30"/>
        <v>51923</v>
      </c>
      <c r="E191" s="359">
        <f t="shared" si="33"/>
        <v>1000000</v>
      </c>
      <c r="F191" s="360">
        <f t="shared" ca="1" si="31"/>
        <v>60</v>
      </c>
      <c r="G191" s="295">
        <f ca="1">VTLCOI!R190</f>
        <v>266.83475074318227</v>
      </c>
      <c r="H191" s="295">
        <f t="shared" ca="1" si="43"/>
        <v>154050.43379296802</v>
      </c>
      <c r="I191" s="953"/>
      <c r="J191" s="296">
        <f t="shared" ca="1" si="32"/>
        <v>154050.43379296802</v>
      </c>
      <c r="K191" s="1047"/>
      <c r="L191" s="1047"/>
      <c r="M191" s="1047"/>
      <c r="N191" s="1047"/>
      <c r="O191" s="1047"/>
      <c r="P191" s="298"/>
    </row>
    <row r="192" spans="2:16" ht="9.75" customHeight="1">
      <c r="B192" s="946"/>
      <c r="C192" s="946"/>
      <c r="D192" s="294">
        <f t="shared" ca="1" si="30"/>
        <v>51951</v>
      </c>
      <c r="E192" s="359">
        <f t="shared" si="33"/>
        <v>1000000</v>
      </c>
      <c r="F192" s="360">
        <f t="shared" ca="1" si="31"/>
        <v>60</v>
      </c>
      <c r="G192" s="295">
        <f ca="1">VTLCOI!R191</f>
        <v>266.75609654395072</v>
      </c>
      <c r="H192" s="295">
        <f t="shared" ca="1" si="43"/>
        <v>154300.88123396918</v>
      </c>
      <c r="I192" s="953"/>
      <c r="J192" s="296">
        <f t="shared" ca="1" si="32"/>
        <v>154300.88123396918</v>
      </c>
      <c r="K192" s="1047"/>
      <c r="L192" s="1047"/>
      <c r="M192" s="1047"/>
      <c r="N192" s="1047"/>
      <c r="O192" s="1047"/>
      <c r="P192" s="298"/>
    </row>
    <row r="193" spans="2:16" ht="9.75" customHeight="1">
      <c r="B193" s="946"/>
      <c r="C193" s="946"/>
      <c r="D193" s="294">
        <f t="shared" ca="1" si="30"/>
        <v>51982</v>
      </c>
      <c r="E193" s="359">
        <f t="shared" si="33"/>
        <v>1000000</v>
      </c>
      <c r="F193" s="360">
        <f t="shared" ca="1" si="31"/>
        <v>60</v>
      </c>
      <c r="G193" s="295">
        <f ca="1">VTLCOI!R192</f>
        <v>266.67712211755503</v>
      </c>
      <c r="H193" s="295">
        <f t="shared" ca="1" si="43"/>
        <v>154552.34832903309</v>
      </c>
      <c r="I193" s="953"/>
      <c r="J193" s="296">
        <f t="shared" ca="1" si="32"/>
        <v>154552.34832903309</v>
      </c>
      <c r="K193" s="1047"/>
      <c r="L193" s="1047"/>
      <c r="M193" s="1047"/>
      <c r="N193" s="1047"/>
      <c r="O193" s="1047"/>
      <c r="P193" s="298"/>
    </row>
    <row r="194" spans="2:16" ht="9.75" customHeight="1">
      <c r="B194" s="946"/>
      <c r="C194" s="946"/>
      <c r="D194" s="294">
        <f t="shared" ca="1" si="30"/>
        <v>52012</v>
      </c>
      <c r="E194" s="359">
        <f t="shared" si="33"/>
        <v>1000000</v>
      </c>
      <c r="F194" s="360">
        <f t="shared" ca="1" si="31"/>
        <v>60</v>
      </c>
      <c r="G194" s="295">
        <f ca="1">VTLCOI!R193</f>
        <v>266.59782616024489</v>
      </c>
      <c r="H194" s="295">
        <f t="shared" ca="1" si="43"/>
        <v>154804.83922950743</v>
      </c>
      <c r="I194" s="953"/>
      <c r="J194" s="296">
        <f t="shared" ca="1" si="32"/>
        <v>154804.83922950743</v>
      </c>
      <c r="K194" s="1047"/>
      <c r="L194" s="1047"/>
      <c r="M194" s="1047"/>
      <c r="N194" s="1047"/>
      <c r="O194" s="1047"/>
      <c r="P194" s="298"/>
    </row>
    <row r="195" spans="2:16" ht="9.75" customHeight="1">
      <c r="B195" s="946"/>
      <c r="C195" s="946"/>
      <c r="D195" s="294">
        <f t="shared" ca="1" si="30"/>
        <v>52043</v>
      </c>
      <c r="E195" s="359">
        <f t="shared" si="33"/>
        <v>1000000</v>
      </c>
      <c r="F195" s="360">
        <f t="shared" ca="1" si="31"/>
        <v>60</v>
      </c>
      <c r="G195" s="295">
        <f ca="1">VTLCOI!R194</f>
        <v>266.51820736296196</v>
      </c>
      <c r="H195" s="295">
        <f t="shared" ca="1" si="43"/>
        <v>155058.35810364143</v>
      </c>
      <c r="I195" s="953"/>
      <c r="J195" s="297">
        <f ca="1">H195+I184</f>
        <v>155358.35810364143</v>
      </c>
      <c r="K195" s="1047"/>
      <c r="L195" s="1047"/>
      <c r="M195" s="1047"/>
      <c r="N195" s="1047"/>
      <c r="O195" s="1047"/>
      <c r="P195" s="298"/>
    </row>
    <row r="196" spans="2:16" ht="9.75" customHeight="1">
      <c r="B196" s="951">
        <f>B184+1</f>
        <v>17</v>
      </c>
      <c r="C196" s="952">
        <f ca="1">C184+1</f>
        <v>46</v>
      </c>
      <c r="D196" s="287">
        <f t="shared" ca="1" si="30"/>
        <v>52073</v>
      </c>
      <c r="E196" s="288">
        <f t="shared" si="33"/>
        <v>1000000</v>
      </c>
      <c r="F196" s="289">
        <f t="shared" ca="1" si="31"/>
        <v>60</v>
      </c>
      <c r="G196" s="290">
        <f ca="1">VTLCOI!R195</f>
        <v>284.89101376729042</v>
      </c>
      <c r="H196" s="290">
        <f ca="1">(J195+VTLGTTKMH!F23-F196-G196)*(1+$W$3)</f>
        <v>165633.06166615637</v>
      </c>
      <c r="I196" s="953">
        <f>IF(COUNTIF(VTLGTTKMH!$E$7:E23,0)&gt;0,0,3%*'Tinh phi QL'!$H$13/1000)</f>
        <v>300</v>
      </c>
      <c r="J196" s="292">
        <f t="shared" ca="1" si="32"/>
        <v>165633.06166615637</v>
      </c>
      <c r="K196" s="1047">
        <f ca="1">J207</f>
        <v>169030.11304092294</v>
      </c>
      <c r="L196" s="1047"/>
      <c r="M196" s="1047"/>
      <c r="N196" s="1047">
        <f t="shared" ref="N196" ca="1" si="44">SUM(G196:G207)</f>
        <v>3412.4183355873297</v>
      </c>
      <c r="O196" s="1047"/>
      <c r="P196" s="298"/>
    </row>
    <row r="197" spans="2:16" ht="9.75" customHeight="1">
      <c r="B197" s="951"/>
      <c r="C197" s="951"/>
      <c r="D197" s="287">
        <f t="shared" ref="D197:D243" ca="1" si="45">EDATE(D196,1)</f>
        <v>52104</v>
      </c>
      <c r="E197" s="288">
        <f t="shared" si="33"/>
        <v>1000000</v>
      </c>
      <c r="F197" s="289">
        <f t="shared" ref="F197:F243" ca="1" si="46">IF(YEAR(D197)=2025,40000,IF(YEAR(D197)=2026,40000,IF(YEAR(D197)=2027,40000,IF(YEAR(D197)=2028,40000,IF(YEAR(D197)=2029,40000,IF(YEAR(D197)=2030,50000,IF(YEAR(D197)=2031,50000,IF(YEAR(D197)=2032,50000,IF(YEAR(D197)=2033,50000,IF(YEAR(D197)=2034,50000,IF(YEAR(D197)&gt;=2035,60000,0)))))))))))/1000</f>
        <v>60</v>
      </c>
      <c r="G197" s="290">
        <f ca="1">VTLCOI!R196</f>
        <v>284.7972482846186</v>
      </c>
      <c r="H197" s="290">
        <f t="shared" ca="1" si="43"/>
        <v>165908.89080650848</v>
      </c>
      <c r="I197" s="953"/>
      <c r="J197" s="292">
        <f t="shared" ref="J197:J242" ca="1" si="47">H197</f>
        <v>165908.89080650848</v>
      </c>
      <c r="K197" s="1047"/>
      <c r="L197" s="1047"/>
      <c r="M197" s="1047"/>
      <c r="N197" s="1047"/>
      <c r="O197" s="1047"/>
      <c r="P197" s="298"/>
    </row>
    <row r="198" spans="2:16" ht="9.75" customHeight="1">
      <c r="B198" s="951"/>
      <c r="C198" s="951"/>
      <c r="D198" s="287">
        <f t="shared" ca="1" si="45"/>
        <v>52135</v>
      </c>
      <c r="E198" s="288">
        <f t="shared" ref="E198:E243" si="48">E197</f>
        <v>1000000</v>
      </c>
      <c r="F198" s="289">
        <f t="shared" ca="1" si="46"/>
        <v>60</v>
      </c>
      <c r="G198" s="290">
        <f ca="1">VTLCOI!R197</f>
        <v>284.70309860471178</v>
      </c>
      <c r="H198" s="290">
        <f t="shared" ca="1" si="43"/>
        <v>166185.85013667098</v>
      </c>
      <c r="I198" s="953"/>
      <c r="J198" s="292">
        <f t="shared" ca="1" si="47"/>
        <v>166185.85013667098</v>
      </c>
      <c r="K198" s="1047"/>
      <c r="L198" s="1047"/>
      <c r="M198" s="1047"/>
      <c r="N198" s="1047"/>
      <c r="O198" s="1047"/>
      <c r="P198" s="298"/>
    </row>
    <row r="199" spans="2:16" ht="9.75" customHeight="1">
      <c r="B199" s="951"/>
      <c r="C199" s="951"/>
      <c r="D199" s="287">
        <f t="shared" ca="1" si="45"/>
        <v>52165</v>
      </c>
      <c r="E199" s="288">
        <f t="shared" si="48"/>
        <v>1000000</v>
      </c>
      <c r="F199" s="289">
        <f t="shared" ca="1" si="46"/>
        <v>60</v>
      </c>
      <c r="G199" s="290">
        <f ca="1">VTLCOI!R198</f>
        <v>284.60856315334962</v>
      </c>
      <c r="H199" s="290">
        <f t="shared" ca="1" si="43"/>
        <v>166463.94428751428</v>
      </c>
      <c r="I199" s="953"/>
      <c r="J199" s="292">
        <f t="shared" ca="1" si="47"/>
        <v>166463.94428751428</v>
      </c>
      <c r="K199" s="1047"/>
      <c r="L199" s="1047"/>
      <c r="M199" s="1047"/>
      <c r="N199" s="1047"/>
      <c r="O199" s="1047"/>
      <c r="P199" s="298"/>
    </row>
    <row r="200" spans="2:16" ht="9.75" customHeight="1">
      <c r="B200" s="951"/>
      <c r="C200" s="951"/>
      <c r="D200" s="287">
        <f t="shared" ca="1" si="45"/>
        <v>52196</v>
      </c>
      <c r="E200" s="288">
        <f t="shared" si="48"/>
        <v>1000000</v>
      </c>
      <c r="F200" s="289">
        <f t="shared" ca="1" si="46"/>
        <v>60</v>
      </c>
      <c r="G200" s="290">
        <f ca="1">VTLCOI!R199</f>
        <v>284.51364034986176</v>
      </c>
      <c r="H200" s="290">
        <f t="shared" ca="1" si="43"/>
        <v>166743.17790888349</v>
      </c>
      <c r="I200" s="953"/>
      <c r="J200" s="292">
        <f t="shared" ca="1" si="47"/>
        <v>166743.17790888349</v>
      </c>
      <c r="K200" s="1047"/>
      <c r="L200" s="1047"/>
      <c r="M200" s="1047"/>
      <c r="N200" s="1047"/>
      <c r="O200" s="1047"/>
      <c r="P200" s="298"/>
    </row>
    <row r="201" spans="2:16" ht="9.75" customHeight="1">
      <c r="B201" s="951"/>
      <c r="C201" s="951"/>
      <c r="D201" s="287">
        <f t="shared" ca="1" si="45"/>
        <v>52226</v>
      </c>
      <c r="E201" s="288">
        <f t="shared" si="48"/>
        <v>1000000</v>
      </c>
      <c r="F201" s="289">
        <f t="shared" ca="1" si="46"/>
        <v>60</v>
      </c>
      <c r="G201" s="290">
        <f ca="1">VTLCOI!R200</f>
        <v>284.4183286071011</v>
      </c>
      <c r="H201" s="290">
        <f t="shared" ca="1" si="43"/>
        <v>167023.55566967602</v>
      </c>
      <c r="I201" s="953"/>
      <c r="J201" s="292">
        <f t="shared" ca="1" si="47"/>
        <v>167023.55566967602</v>
      </c>
      <c r="K201" s="1047"/>
      <c r="L201" s="1047"/>
      <c r="M201" s="1047"/>
      <c r="N201" s="1047"/>
      <c r="O201" s="1047"/>
      <c r="P201" s="298"/>
    </row>
    <row r="202" spans="2:16" ht="9.75" customHeight="1">
      <c r="B202" s="951"/>
      <c r="C202" s="951"/>
      <c r="D202" s="287">
        <f t="shared" ca="1" si="45"/>
        <v>52257</v>
      </c>
      <c r="E202" s="288">
        <f t="shared" si="48"/>
        <v>1000000</v>
      </c>
      <c r="F202" s="289">
        <f t="shared" ca="1" si="46"/>
        <v>60</v>
      </c>
      <c r="G202" s="290">
        <f ca="1">VTLCOI!R201</f>
        <v>284.32262633141721</v>
      </c>
      <c r="H202" s="290">
        <f t="shared" ca="1" si="43"/>
        <v>167305.08225791986</v>
      </c>
      <c r="I202" s="953"/>
      <c r="J202" s="292">
        <f t="shared" ca="1" si="47"/>
        <v>167305.08225791986</v>
      </c>
      <c r="K202" s="1047"/>
      <c r="L202" s="1047"/>
      <c r="M202" s="1047"/>
      <c r="N202" s="1047"/>
      <c r="O202" s="1047"/>
      <c r="P202" s="298"/>
    </row>
    <row r="203" spans="2:16" ht="9.75" customHeight="1">
      <c r="B203" s="951"/>
      <c r="C203" s="951"/>
      <c r="D203" s="287">
        <f t="shared" ca="1" si="45"/>
        <v>52288</v>
      </c>
      <c r="E203" s="288">
        <f t="shared" si="48"/>
        <v>1000000</v>
      </c>
      <c r="F203" s="289">
        <f t="shared" ca="1" si="46"/>
        <v>60</v>
      </c>
      <c r="G203" s="290">
        <f ca="1">VTLCOI!R202</f>
        <v>284.22653192263004</v>
      </c>
      <c r="H203" s="290">
        <f t="shared" ca="1" si="43"/>
        <v>167587.76238085178</v>
      </c>
      <c r="I203" s="953"/>
      <c r="J203" s="292">
        <f t="shared" ca="1" si="47"/>
        <v>167587.76238085178</v>
      </c>
      <c r="K203" s="1047"/>
      <c r="L203" s="1047"/>
      <c r="M203" s="1047"/>
      <c r="N203" s="1047"/>
      <c r="O203" s="1047"/>
      <c r="P203" s="298"/>
    </row>
    <row r="204" spans="2:16" ht="9.75" customHeight="1">
      <c r="B204" s="951"/>
      <c r="C204" s="951"/>
      <c r="D204" s="287">
        <f t="shared" ca="1" si="45"/>
        <v>52316</v>
      </c>
      <c r="E204" s="288">
        <f t="shared" si="48"/>
        <v>1000000</v>
      </c>
      <c r="F204" s="289">
        <f t="shared" ca="1" si="46"/>
        <v>60</v>
      </c>
      <c r="G204" s="290">
        <f ca="1">VTLCOI!R203</f>
        <v>284.13004377400256</v>
      </c>
      <c r="H204" s="290">
        <f t="shared" ca="1" si="43"/>
        <v>167871.60076499617</v>
      </c>
      <c r="I204" s="953"/>
      <c r="J204" s="292">
        <f t="shared" ca="1" si="47"/>
        <v>167871.60076499617</v>
      </c>
      <c r="K204" s="1047"/>
      <c r="L204" s="1047"/>
      <c r="M204" s="1047"/>
      <c r="N204" s="1047"/>
      <c r="O204" s="1047"/>
      <c r="P204" s="298"/>
    </row>
    <row r="205" spans="2:16" ht="9.75" customHeight="1">
      <c r="B205" s="951"/>
      <c r="C205" s="951"/>
      <c r="D205" s="287">
        <f t="shared" ca="1" si="45"/>
        <v>52347</v>
      </c>
      <c r="E205" s="288">
        <f t="shared" si="48"/>
        <v>1000000</v>
      </c>
      <c r="F205" s="289">
        <f t="shared" ca="1" si="46"/>
        <v>60</v>
      </c>
      <c r="G205" s="290">
        <f ca="1">VTLCOI!R204</f>
        <v>284.03316027221462</v>
      </c>
      <c r="H205" s="290">
        <f t="shared" ca="1" si="43"/>
        <v>168156.60215624396</v>
      </c>
      <c r="I205" s="953"/>
      <c r="J205" s="292">
        <f t="shared" ca="1" si="47"/>
        <v>168156.60215624396</v>
      </c>
      <c r="K205" s="1047"/>
      <c r="L205" s="1047"/>
      <c r="M205" s="1047"/>
      <c r="N205" s="1047"/>
      <c r="O205" s="1047"/>
      <c r="P205" s="298"/>
    </row>
    <row r="206" spans="2:16" ht="9.75" customHeight="1">
      <c r="B206" s="951"/>
      <c r="C206" s="951"/>
      <c r="D206" s="287">
        <f t="shared" ca="1" si="45"/>
        <v>52377</v>
      </c>
      <c r="E206" s="288">
        <f t="shared" si="48"/>
        <v>1000000</v>
      </c>
      <c r="F206" s="289">
        <f t="shared" ca="1" si="46"/>
        <v>60</v>
      </c>
      <c r="G206" s="290">
        <f ca="1">VTLCOI!R205</f>
        <v>283.93587979733542</v>
      </c>
      <c r="H206" s="290">
        <f t="shared" ca="1" si="43"/>
        <v>168442.77131993204</v>
      </c>
      <c r="I206" s="953"/>
      <c r="J206" s="292">
        <f t="shared" ca="1" si="47"/>
        <v>168442.77131993204</v>
      </c>
      <c r="K206" s="1047"/>
      <c r="L206" s="1047"/>
      <c r="M206" s="1047"/>
      <c r="N206" s="1047"/>
      <c r="O206" s="1047"/>
      <c r="P206" s="298"/>
    </row>
    <row r="207" spans="2:16" ht="9.75" customHeight="1">
      <c r="B207" s="951"/>
      <c r="C207" s="951"/>
      <c r="D207" s="287">
        <f t="shared" ca="1" si="45"/>
        <v>52408</v>
      </c>
      <c r="E207" s="288">
        <f t="shared" si="48"/>
        <v>1000000</v>
      </c>
      <c r="F207" s="289">
        <f t="shared" ca="1" si="46"/>
        <v>60</v>
      </c>
      <c r="G207" s="290">
        <f ca="1">VTLCOI!R206</f>
        <v>283.83820072279656</v>
      </c>
      <c r="H207" s="290">
        <f t="shared" ca="1" si="43"/>
        <v>168730.11304092294</v>
      </c>
      <c r="I207" s="953"/>
      <c r="J207" s="293">
        <f ca="1">H207+I196</f>
        <v>169030.11304092294</v>
      </c>
      <c r="K207" s="1047"/>
      <c r="L207" s="1047"/>
      <c r="M207" s="1047"/>
      <c r="N207" s="1047"/>
      <c r="O207" s="1047"/>
      <c r="P207" s="298"/>
    </row>
    <row r="208" spans="2:16" ht="9.75" customHeight="1">
      <c r="B208" s="946">
        <f>B196+1</f>
        <v>18</v>
      </c>
      <c r="C208" s="947">
        <f ca="1">C196+1</f>
        <v>47</v>
      </c>
      <c r="D208" s="294">
        <f t="shared" ca="1" si="45"/>
        <v>52438</v>
      </c>
      <c r="E208" s="359">
        <f t="shared" si="48"/>
        <v>1000000</v>
      </c>
      <c r="F208" s="360">
        <f t="shared" ca="1" si="46"/>
        <v>60</v>
      </c>
      <c r="G208" s="295">
        <f ca="1">VTLCOI!R207</f>
        <v>302.66423165891314</v>
      </c>
      <c r="H208" s="295">
        <f ca="1">(J207+VTLGTTKMH!F24-F208-G208)*(1+$W$3)</f>
        <v>179338.31152242736</v>
      </c>
      <c r="I208" s="953">
        <f>IF(COUNTIF(VTLGTTKMH!$E$7:E24,0)&gt;0,0,3%*'Tinh phi QL'!$H$13/1000)</f>
        <v>300</v>
      </c>
      <c r="J208" s="296">
        <f t="shared" ca="1" si="47"/>
        <v>179338.31152242736</v>
      </c>
      <c r="K208" s="1047">
        <f ca="1">J219</f>
        <v>183113.56349442061</v>
      </c>
      <c r="L208" s="1047"/>
      <c r="M208" s="1047"/>
      <c r="N208" s="1047">
        <f t="shared" ref="N208" ca="1" si="49">SUM(G208:G219)</f>
        <v>3624.3676221567271</v>
      </c>
      <c r="O208" s="1047"/>
      <c r="P208" s="298"/>
    </row>
    <row r="209" spans="2:16" ht="9.75" customHeight="1">
      <c r="B209" s="946"/>
      <c r="C209" s="946"/>
      <c r="D209" s="294">
        <f t="shared" ca="1" si="45"/>
        <v>52469</v>
      </c>
      <c r="E209" s="359">
        <f t="shared" si="48"/>
        <v>1000000</v>
      </c>
      <c r="F209" s="360">
        <f t="shared" ca="1" si="46"/>
        <v>60</v>
      </c>
      <c r="G209" s="295">
        <f ca="1">VTLCOI!R208</f>
        <v>302.55060915206514</v>
      </c>
      <c r="H209" s="295">
        <f t="shared" ca="1" si="43"/>
        <v>179647.78128048236</v>
      </c>
      <c r="I209" s="953"/>
      <c r="J209" s="296">
        <f t="shared" ca="1" si="47"/>
        <v>179647.78128048236</v>
      </c>
      <c r="K209" s="1047"/>
      <c r="L209" s="1047"/>
      <c r="M209" s="1047"/>
      <c r="N209" s="1047"/>
      <c r="O209" s="1047"/>
      <c r="P209" s="298"/>
    </row>
    <row r="210" spans="2:16" ht="9.75" customHeight="1">
      <c r="B210" s="946"/>
      <c r="C210" s="946"/>
      <c r="D210" s="294">
        <f t="shared" ca="1" si="45"/>
        <v>52500</v>
      </c>
      <c r="E210" s="359">
        <f t="shared" si="48"/>
        <v>1000000</v>
      </c>
      <c r="F210" s="360">
        <f t="shared" ca="1" si="46"/>
        <v>60</v>
      </c>
      <c r="G210" s="295">
        <f ca="1">VTLCOI!R209</f>
        <v>302.43651796792881</v>
      </c>
      <c r="H210" s="295">
        <f t="shared" ca="1" si="43"/>
        <v>179958.52755892972</v>
      </c>
      <c r="I210" s="953"/>
      <c r="J210" s="296">
        <f t="shared" ca="1" si="47"/>
        <v>179958.52755892972</v>
      </c>
      <c r="K210" s="1047"/>
      <c r="L210" s="1047"/>
      <c r="M210" s="1047"/>
      <c r="N210" s="1047"/>
      <c r="O210" s="1047"/>
      <c r="P210" s="298"/>
    </row>
    <row r="211" spans="2:16" ht="9.75" customHeight="1">
      <c r="B211" s="946"/>
      <c r="C211" s="946"/>
      <c r="D211" s="294">
        <f t="shared" ca="1" si="45"/>
        <v>52530</v>
      </c>
      <c r="E211" s="359">
        <f t="shared" si="48"/>
        <v>1000000</v>
      </c>
      <c r="F211" s="360">
        <f t="shared" ca="1" si="46"/>
        <v>60</v>
      </c>
      <c r="G211" s="295">
        <f ca="1">VTLCOI!R210</f>
        <v>302.3219561732746</v>
      </c>
      <c r="H211" s="295">
        <f t="shared" ca="1" si="43"/>
        <v>180270.55562324129</v>
      </c>
      <c r="I211" s="953"/>
      <c r="J211" s="296">
        <f t="shared" ca="1" si="47"/>
        <v>180270.55562324129</v>
      </c>
      <c r="K211" s="1047"/>
      <c r="L211" s="1047"/>
      <c r="M211" s="1047"/>
      <c r="N211" s="1047"/>
      <c r="O211" s="1047"/>
      <c r="P211" s="298"/>
    </row>
    <row r="212" spans="2:16" ht="9.75" customHeight="1">
      <c r="B212" s="946"/>
      <c r="C212" s="946"/>
      <c r="D212" s="294">
        <f t="shared" ca="1" si="45"/>
        <v>52561</v>
      </c>
      <c r="E212" s="359">
        <f t="shared" si="48"/>
        <v>1000000</v>
      </c>
      <c r="F212" s="360">
        <f t="shared" ca="1" si="46"/>
        <v>60</v>
      </c>
      <c r="G212" s="295">
        <f ca="1">VTLCOI!R211</f>
        <v>302.20692182689839</v>
      </c>
      <c r="H212" s="295">
        <f t="shared" ca="1" si="43"/>
        <v>180583.87076060835</v>
      </c>
      <c r="I212" s="953"/>
      <c r="J212" s="296">
        <f t="shared" ca="1" si="47"/>
        <v>180583.87076060835</v>
      </c>
      <c r="K212" s="1047"/>
      <c r="L212" s="1047"/>
      <c r="M212" s="1047"/>
      <c r="N212" s="1047"/>
      <c r="O212" s="1047"/>
      <c r="P212" s="298"/>
    </row>
    <row r="213" spans="2:16" ht="9.75" customHeight="1">
      <c r="B213" s="946"/>
      <c r="C213" s="946"/>
      <c r="D213" s="294">
        <f t="shared" ca="1" si="45"/>
        <v>52591</v>
      </c>
      <c r="E213" s="359">
        <f t="shared" si="48"/>
        <v>1000000</v>
      </c>
      <c r="F213" s="360">
        <f t="shared" ca="1" si="46"/>
        <v>60</v>
      </c>
      <c r="G213" s="295">
        <f ca="1">VTLCOI!R212</f>
        <v>302.09141297958905</v>
      </c>
      <c r="H213" s="295">
        <f t="shared" ca="1" si="43"/>
        <v>180898.47828003106</v>
      </c>
      <c r="I213" s="953"/>
      <c r="J213" s="296">
        <f t="shared" ca="1" si="47"/>
        <v>180898.47828003106</v>
      </c>
      <c r="K213" s="1047"/>
      <c r="L213" s="1047"/>
      <c r="M213" s="1047"/>
      <c r="N213" s="1047"/>
      <c r="O213" s="1047"/>
      <c r="P213" s="298"/>
    </row>
    <row r="214" spans="2:16" ht="9.75" customHeight="1">
      <c r="B214" s="946"/>
      <c r="C214" s="946"/>
      <c r="D214" s="294">
        <f t="shared" ca="1" si="45"/>
        <v>52622</v>
      </c>
      <c r="E214" s="359">
        <f t="shared" si="48"/>
        <v>1000000</v>
      </c>
      <c r="F214" s="360">
        <f t="shared" ca="1" si="46"/>
        <v>60</v>
      </c>
      <c r="G214" s="295">
        <f ca="1">VTLCOI!R213</f>
        <v>301.97542767409522</v>
      </c>
      <c r="H214" s="295">
        <f t="shared" ca="1" si="43"/>
        <v>181214.38351240853</v>
      </c>
      <c r="I214" s="953"/>
      <c r="J214" s="296">
        <f t="shared" ca="1" si="47"/>
        <v>181214.38351240853</v>
      </c>
      <c r="K214" s="1047"/>
      <c r="L214" s="1047"/>
      <c r="M214" s="1047"/>
      <c r="N214" s="1047"/>
      <c r="O214" s="1047"/>
      <c r="P214" s="298"/>
    </row>
    <row r="215" spans="2:16" ht="9.75" customHeight="1">
      <c r="B215" s="946"/>
      <c r="C215" s="946"/>
      <c r="D215" s="294">
        <f t="shared" ca="1" si="45"/>
        <v>52653</v>
      </c>
      <c r="E215" s="359">
        <f t="shared" si="48"/>
        <v>1000000</v>
      </c>
      <c r="F215" s="360">
        <f t="shared" ca="1" si="46"/>
        <v>60</v>
      </c>
      <c r="G215" s="295">
        <f ca="1">VTLCOI!R214</f>
        <v>301.85896394509206</v>
      </c>
      <c r="H215" s="295">
        <f t="shared" ca="1" si="43"/>
        <v>181531.59181062903</v>
      </c>
      <c r="I215" s="953"/>
      <c r="J215" s="296">
        <f t="shared" ca="1" si="47"/>
        <v>181531.59181062903</v>
      </c>
      <c r="K215" s="1047"/>
      <c r="L215" s="1047"/>
      <c r="M215" s="1047"/>
      <c r="N215" s="1047"/>
      <c r="O215" s="1047"/>
      <c r="P215" s="298"/>
    </row>
    <row r="216" spans="2:16" ht="9.75" customHeight="1">
      <c r="B216" s="946"/>
      <c r="C216" s="946"/>
      <c r="D216" s="294">
        <f t="shared" ca="1" si="45"/>
        <v>52682</v>
      </c>
      <c r="E216" s="359">
        <f t="shared" si="48"/>
        <v>1000000</v>
      </c>
      <c r="F216" s="360">
        <f t="shared" ca="1" si="46"/>
        <v>60</v>
      </c>
      <c r="G216" s="295">
        <f ca="1">VTLCOI!R215</f>
        <v>301.74201981914808</v>
      </c>
      <c r="H216" s="295">
        <f t="shared" ca="1" si="43"/>
        <v>181850.10854966083</v>
      </c>
      <c r="I216" s="953"/>
      <c r="J216" s="296">
        <f t="shared" ca="1" si="47"/>
        <v>181850.10854966083</v>
      </c>
      <c r="K216" s="1047"/>
      <c r="L216" s="1047"/>
      <c r="M216" s="1047"/>
      <c r="N216" s="1047"/>
      <c r="O216" s="1047"/>
      <c r="P216" s="298"/>
    </row>
    <row r="217" spans="2:16" ht="9.75" customHeight="1">
      <c r="B217" s="946"/>
      <c r="C217" s="946"/>
      <c r="D217" s="294">
        <f t="shared" ca="1" si="45"/>
        <v>52713</v>
      </c>
      <c r="E217" s="359">
        <f t="shared" si="48"/>
        <v>1000000</v>
      </c>
      <c r="F217" s="360">
        <f t="shared" ca="1" si="46"/>
        <v>60</v>
      </c>
      <c r="G217" s="295">
        <f ca="1">VTLCOI!R216</f>
        <v>301.62459331469177</v>
      </c>
      <c r="H217" s="295">
        <f t="shared" ca="1" si="43"/>
        <v>182169.93912664318</v>
      </c>
      <c r="I217" s="953"/>
      <c r="J217" s="296">
        <f t="shared" ca="1" si="47"/>
        <v>182169.93912664318</v>
      </c>
      <c r="K217" s="1047"/>
      <c r="L217" s="1047"/>
      <c r="M217" s="1047"/>
      <c r="N217" s="1047"/>
      <c r="O217" s="1047"/>
      <c r="P217" s="298"/>
    </row>
    <row r="218" spans="2:16" ht="9.75" customHeight="1">
      <c r="B218" s="946"/>
      <c r="C218" s="946"/>
      <c r="D218" s="294">
        <f t="shared" ca="1" si="45"/>
        <v>52743</v>
      </c>
      <c r="E218" s="359">
        <f t="shared" si="48"/>
        <v>1000000</v>
      </c>
      <c r="F218" s="360">
        <f t="shared" ca="1" si="46"/>
        <v>60</v>
      </c>
      <c r="G218" s="295">
        <f ca="1">VTLCOI!R217</f>
        <v>301.5066824419776</v>
      </c>
      <c r="H218" s="295">
        <f t="shared" ca="1" si="43"/>
        <v>182491.08896097777</v>
      </c>
      <c r="I218" s="953"/>
      <c r="J218" s="296">
        <f t="shared" ca="1" si="47"/>
        <v>182491.08896097777</v>
      </c>
      <c r="K218" s="1047"/>
      <c r="L218" s="1047"/>
      <c r="M218" s="1047"/>
      <c r="N218" s="1047"/>
      <c r="O218" s="1047"/>
      <c r="P218" s="298"/>
    </row>
    <row r="219" spans="2:16" ht="9.75" customHeight="1">
      <c r="B219" s="946"/>
      <c r="C219" s="946"/>
      <c r="D219" s="294">
        <f t="shared" ca="1" si="45"/>
        <v>52774</v>
      </c>
      <c r="E219" s="359">
        <f t="shared" si="48"/>
        <v>1000000</v>
      </c>
      <c r="F219" s="360">
        <f t="shared" ca="1" si="46"/>
        <v>60</v>
      </c>
      <c r="G219" s="295">
        <f ca="1">VTLCOI!R218</f>
        <v>301.38828520305293</v>
      </c>
      <c r="H219" s="295">
        <f t="shared" ca="1" si="43"/>
        <v>182813.56349442061</v>
      </c>
      <c r="I219" s="953"/>
      <c r="J219" s="297">
        <f ca="1">H219+I208</f>
        <v>183113.56349442061</v>
      </c>
      <c r="K219" s="1047"/>
      <c r="L219" s="1047"/>
      <c r="M219" s="1047"/>
      <c r="N219" s="1047"/>
      <c r="O219" s="1047"/>
      <c r="P219" s="298"/>
    </row>
    <row r="220" spans="2:16" ht="9.75" customHeight="1">
      <c r="B220" s="951">
        <f>B208+1</f>
        <v>19</v>
      </c>
      <c r="C220" s="952">
        <f ca="1">C208+1</f>
        <v>48</v>
      </c>
      <c r="D220" s="287">
        <f t="shared" ca="1" si="45"/>
        <v>52804</v>
      </c>
      <c r="E220" s="288">
        <f t="shared" si="48"/>
        <v>1000000</v>
      </c>
      <c r="F220" s="289">
        <f t="shared" ca="1" si="46"/>
        <v>60</v>
      </c>
      <c r="G220" s="290">
        <f ca="1">VTLCOI!R219</f>
        <v>321.14080172922058</v>
      </c>
      <c r="H220" s="290">
        <f ca="1">(J219+VTLGTTKMH!F25-F220-G220)*(1+$W$3)</f>
        <v>193456.09674111972</v>
      </c>
      <c r="I220" s="953">
        <f>IF(COUNTIF(VTLGTTKMH!$E$7:E25,0)&gt;0,0,3%*'Tinh phi QL'!$H$13/1000)</f>
        <v>300</v>
      </c>
      <c r="J220" s="292">
        <f t="shared" ca="1" si="47"/>
        <v>193456.09674111972</v>
      </c>
      <c r="K220" s="1047">
        <f ca="1">J231</f>
        <v>197619.19244506856</v>
      </c>
      <c r="L220" s="1047"/>
      <c r="M220" s="1047"/>
      <c r="N220" s="1047">
        <f t="shared" ref="N220" ca="1" si="50">SUM(G220:G231)</f>
        <v>3844.5661881768769</v>
      </c>
      <c r="O220" s="1047"/>
      <c r="P220" s="298"/>
    </row>
    <row r="221" spans="2:16" ht="9.75" customHeight="1">
      <c r="B221" s="951"/>
      <c r="C221" s="951"/>
      <c r="D221" s="287">
        <f t="shared" ca="1" si="45"/>
        <v>52835</v>
      </c>
      <c r="E221" s="288">
        <f t="shared" si="48"/>
        <v>1000000</v>
      </c>
      <c r="F221" s="289">
        <f t="shared" ca="1" si="46"/>
        <v>60</v>
      </c>
      <c r="G221" s="290">
        <f ca="1">VTLCOI!R220</f>
        <v>321.00447349703433</v>
      </c>
      <c r="H221" s="290">
        <f t="shared" ca="1" si="43"/>
        <v>193800.05297594506</v>
      </c>
      <c r="I221" s="953"/>
      <c r="J221" s="292">
        <f t="shared" ca="1" si="47"/>
        <v>193800.05297594506</v>
      </c>
      <c r="K221" s="1047"/>
      <c r="L221" s="1047"/>
      <c r="M221" s="1047"/>
      <c r="N221" s="1047"/>
      <c r="O221" s="1047"/>
      <c r="P221" s="298"/>
    </row>
    <row r="222" spans="2:16" ht="9.75" customHeight="1">
      <c r="B222" s="951"/>
      <c r="C222" s="951"/>
      <c r="D222" s="287">
        <f t="shared" ca="1" si="45"/>
        <v>52866</v>
      </c>
      <c r="E222" s="288">
        <f t="shared" si="48"/>
        <v>1000000</v>
      </c>
      <c r="F222" s="289">
        <f t="shared" ca="1" si="46"/>
        <v>60</v>
      </c>
      <c r="G222" s="290">
        <f ca="1">VTLCOI!R221</f>
        <v>320.86757891557386</v>
      </c>
      <c r="H222" s="290">
        <f t="shared" ca="1" si="43"/>
        <v>194145.4381104256</v>
      </c>
      <c r="I222" s="953"/>
      <c r="J222" s="292">
        <f t="shared" ca="1" si="47"/>
        <v>194145.4381104256</v>
      </c>
      <c r="K222" s="1047"/>
      <c r="L222" s="1047"/>
      <c r="M222" s="1047"/>
      <c r="N222" s="1047"/>
      <c r="O222" s="1047"/>
      <c r="P222" s="298"/>
    </row>
    <row r="223" spans="2:16" ht="9.75" customHeight="1">
      <c r="B223" s="951"/>
      <c r="C223" s="951"/>
      <c r="D223" s="287">
        <f t="shared" ca="1" si="45"/>
        <v>52896</v>
      </c>
      <c r="E223" s="288">
        <f t="shared" si="48"/>
        <v>1000000</v>
      </c>
      <c r="F223" s="289">
        <f t="shared" ca="1" si="46"/>
        <v>60</v>
      </c>
      <c r="G223" s="290">
        <f ca="1">VTLCOI!R222</f>
        <v>320.73011563205063</v>
      </c>
      <c r="H223" s="290">
        <f t="shared" ca="1" si="43"/>
        <v>194492.25808064861</v>
      </c>
      <c r="I223" s="953"/>
      <c r="J223" s="292">
        <f t="shared" ca="1" si="47"/>
        <v>194492.25808064861</v>
      </c>
      <c r="K223" s="1047"/>
      <c r="L223" s="1047"/>
      <c r="M223" s="1047"/>
      <c r="N223" s="1047"/>
      <c r="O223" s="1047"/>
      <c r="P223" s="298"/>
    </row>
    <row r="224" spans="2:16" ht="9.75" customHeight="1">
      <c r="B224" s="951"/>
      <c r="C224" s="951"/>
      <c r="D224" s="287">
        <f t="shared" ca="1" si="45"/>
        <v>52927</v>
      </c>
      <c r="E224" s="288">
        <f t="shared" si="48"/>
        <v>1000000</v>
      </c>
      <c r="F224" s="289">
        <f t="shared" ca="1" si="46"/>
        <v>60</v>
      </c>
      <c r="G224" s="290">
        <f ca="1">VTLCOI!R223</f>
        <v>320.59208128390185</v>
      </c>
      <c r="H224" s="290">
        <f t="shared" ca="1" si="43"/>
        <v>194840.5188473617</v>
      </c>
      <c r="I224" s="953"/>
      <c r="J224" s="292">
        <f t="shared" ca="1" si="47"/>
        <v>194840.5188473617</v>
      </c>
      <c r="K224" s="1047"/>
      <c r="L224" s="1047"/>
      <c r="M224" s="1047"/>
      <c r="N224" s="1047"/>
      <c r="O224" s="1047"/>
      <c r="P224" s="298"/>
    </row>
    <row r="225" spans="2:16" ht="9.75" customHeight="1">
      <c r="B225" s="951"/>
      <c r="C225" s="951"/>
      <c r="D225" s="287">
        <f t="shared" ca="1" si="45"/>
        <v>52957</v>
      </c>
      <c r="E225" s="288">
        <f t="shared" si="48"/>
        <v>1000000</v>
      </c>
      <c r="F225" s="289">
        <f t="shared" ca="1" si="46"/>
        <v>60</v>
      </c>
      <c r="G225" s="290">
        <f ca="1">VTLCOI!R224</f>
        <v>320.45347349875004</v>
      </c>
      <c r="H225" s="290">
        <f t="shared" ca="1" si="43"/>
        <v>195190.22639607522</v>
      </c>
      <c r="I225" s="953"/>
      <c r="J225" s="292">
        <f t="shared" ca="1" si="47"/>
        <v>195190.22639607522</v>
      </c>
      <c r="K225" s="1047"/>
      <c r="L225" s="1047"/>
      <c r="M225" s="1047"/>
      <c r="N225" s="1047"/>
      <c r="O225" s="1047"/>
      <c r="P225" s="298"/>
    </row>
    <row r="226" spans="2:16" ht="9.75" customHeight="1">
      <c r="B226" s="951"/>
      <c r="C226" s="951"/>
      <c r="D226" s="287">
        <f t="shared" ca="1" si="45"/>
        <v>52988</v>
      </c>
      <c r="E226" s="288">
        <f t="shared" si="48"/>
        <v>1000000</v>
      </c>
      <c r="F226" s="289">
        <f t="shared" ca="1" si="46"/>
        <v>60</v>
      </c>
      <c r="G226" s="290">
        <f ca="1">VTLCOI!R225</f>
        <v>320.31428989436205</v>
      </c>
      <c r="H226" s="290">
        <f t="shared" ca="1" si="43"/>
        <v>195541.38673716516</v>
      </c>
      <c r="I226" s="953"/>
      <c r="J226" s="292">
        <f t="shared" ca="1" si="47"/>
        <v>195541.38673716516</v>
      </c>
      <c r="K226" s="1047"/>
      <c r="L226" s="1047"/>
      <c r="M226" s="1047"/>
      <c r="N226" s="1047"/>
      <c r="O226" s="1047"/>
      <c r="P226" s="298"/>
    </row>
    <row r="227" spans="2:16" ht="9.75" customHeight="1">
      <c r="B227" s="951"/>
      <c r="C227" s="951"/>
      <c r="D227" s="287">
        <f t="shared" ca="1" si="45"/>
        <v>53019</v>
      </c>
      <c r="E227" s="288">
        <f t="shared" si="48"/>
        <v>1000000</v>
      </c>
      <c r="F227" s="289">
        <f t="shared" ca="1" si="46"/>
        <v>60</v>
      </c>
      <c r="G227" s="290">
        <f ca="1">VTLCOI!R226</f>
        <v>320.17452807860826</v>
      </c>
      <c r="H227" s="290">
        <f t="shared" ca="1" si="43"/>
        <v>195894.00590597646</v>
      </c>
      <c r="I227" s="953"/>
      <c r="J227" s="292">
        <f t="shared" ca="1" si="47"/>
        <v>195894.00590597646</v>
      </c>
      <c r="K227" s="1047"/>
      <c r="L227" s="1047"/>
      <c r="M227" s="1047"/>
      <c r="N227" s="1047"/>
      <c r="O227" s="1047"/>
      <c r="P227" s="298"/>
    </row>
    <row r="228" spans="2:16" ht="9.75" customHeight="1">
      <c r="B228" s="951"/>
      <c r="C228" s="951"/>
      <c r="D228" s="287">
        <f t="shared" ca="1" si="45"/>
        <v>53047</v>
      </c>
      <c r="E228" s="288">
        <f t="shared" si="48"/>
        <v>1000000</v>
      </c>
      <c r="F228" s="289">
        <f t="shared" ca="1" si="46"/>
        <v>60</v>
      </c>
      <c r="G228" s="290">
        <f ca="1">VTLCOI!R227</f>
        <v>320.03418564942132</v>
      </c>
      <c r="H228" s="290">
        <f t="shared" ca="1" si="43"/>
        <v>196248.08996292678</v>
      </c>
      <c r="I228" s="953"/>
      <c r="J228" s="292">
        <f t="shared" ca="1" si="47"/>
        <v>196248.08996292678</v>
      </c>
      <c r="K228" s="1047"/>
      <c r="L228" s="1047"/>
      <c r="M228" s="1047"/>
      <c r="N228" s="1047"/>
      <c r="O228" s="1047"/>
      <c r="P228" s="298"/>
    </row>
    <row r="229" spans="2:16" ht="9.75" customHeight="1">
      <c r="B229" s="951"/>
      <c r="C229" s="951"/>
      <c r="D229" s="287">
        <f t="shared" ca="1" si="45"/>
        <v>53078</v>
      </c>
      <c r="E229" s="288">
        <f t="shared" si="48"/>
        <v>1000000</v>
      </c>
      <c r="F229" s="289">
        <f t="shared" ca="1" si="46"/>
        <v>60</v>
      </c>
      <c r="G229" s="290">
        <f ca="1">VTLCOI!R228</f>
        <v>319.8932601947551</v>
      </c>
      <c r="H229" s="290">
        <f t="shared" ca="1" si="43"/>
        <v>196603.64499361059</v>
      </c>
      <c r="I229" s="953"/>
      <c r="J229" s="292">
        <f t="shared" ca="1" si="47"/>
        <v>196603.64499361059</v>
      </c>
      <c r="K229" s="1047"/>
      <c r="L229" s="1047"/>
      <c r="M229" s="1047"/>
      <c r="N229" s="1047"/>
      <c r="O229" s="1047"/>
      <c r="P229" s="298"/>
    </row>
    <row r="230" spans="2:16" ht="9.75" customHeight="1">
      <c r="B230" s="951"/>
      <c r="C230" s="951"/>
      <c r="D230" s="287">
        <f t="shared" ca="1" si="45"/>
        <v>53108</v>
      </c>
      <c r="E230" s="288">
        <f t="shared" si="48"/>
        <v>1000000</v>
      </c>
      <c r="F230" s="289">
        <f t="shared" ca="1" si="46"/>
        <v>60</v>
      </c>
      <c r="G230" s="290">
        <f ca="1">VTLCOI!R229</f>
        <v>319.75174929254297</v>
      </c>
      <c r="H230" s="290">
        <f t="shared" ca="1" si="43"/>
        <v>196960.67710890374</v>
      </c>
      <c r="I230" s="953"/>
      <c r="J230" s="292">
        <f t="shared" ca="1" si="47"/>
        <v>196960.67710890374</v>
      </c>
      <c r="K230" s="1047"/>
      <c r="L230" s="1047"/>
      <c r="M230" s="1047"/>
      <c r="N230" s="1047"/>
      <c r="O230" s="1047"/>
      <c r="P230" s="298"/>
    </row>
    <row r="231" spans="2:16" ht="9.75" customHeight="1">
      <c r="B231" s="951"/>
      <c r="C231" s="951"/>
      <c r="D231" s="287">
        <f t="shared" ca="1" si="45"/>
        <v>53139</v>
      </c>
      <c r="E231" s="288">
        <f t="shared" si="48"/>
        <v>1000000</v>
      </c>
      <c r="F231" s="289">
        <f t="shared" ca="1" si="46"/>
        <v>60</v>
      </c>
      <c r="G231" s="290">
        <f ca="1">VTLCOI!R230</f>
        <v>319.60965051065631</v>
      </c>
      <c r="H231" s="290">
        <f t="shared" ca="1" si="43"/>
        <v>197319.19244506856</v>
      </c>
      <c r="I231" s="953"/>
      <c r="J231" s="293">
        <f ca="1">H231+I220</f>
        <v>197619.19244506856</v>
      </c>
      <c r="K231" s="1047"/>
      <c r="L231" s="1047"/>
      <c r="M231" s="1047"/>
      <c r="N231" s="1047"/>
      <c r="O231" s="1047"/>
      <c r="P231" s="298"/>
    </row>
    <row r="232" spans="2:16" ht="9.75" customHeight="1">
      <c r="B232" s="946">
        <f>B220+1</f>
        <v>20</v>
      </c>
      <c r="C232" s="947">
        <f ca="1">C220+1</f>
        <v>49</v>
      </c>
      <c r="D232" s="294">
        <f t="shared" ca="1" si="45"/>
        <v>53169</v>
      </c>
      <c r="E232" s="359">
        <f t="shared" si="48"/>
        <v>1000000</v>
      </c>
      <c r="F232" s="360">
        <f t="shared" ca="1" si="46"/>
        <v>60</v>
      </c>
      <c r="G232" s="295">
        <f ca="1">VTLCOI!R231</f>
        <v>341.25200112032377</v>
      </c>
      <c r="H232" s="295">
        <f ca="1">(J231+VTLGTTKMH!F26-F232-G232)*(1+$W$3)</f>
        <v>207996.00489087918</v>
      </c>
      <c r="I232" s="953">
        <f>IF(COUNTIF(VTLGTTKMH!$E$7:E26,0)&gt;0,0,3%*'Tinh phi QL'!$H$13/1000)</f>
        <v>300</v>
      </c>
      <c r="J232" s="296">
        <f t="shared" ca="1" si="47"/>
        <v>207996.00489087918</v>
      </c>
      <c r="K232" s="1047">
        <f ca="1">J243</f>
        <v>212546.54043124177</v>
      </c>
      <c r="L232" s="1047"/>
      <c r="M232" s="1047"/>
      <c r="N232" s="1047">
        <f ca="1">SUM(G232:G243)</f>
        <v>4084.1625921560267</v>
      </c>
      <c r="O232" s="1047"/>
      <c r="P232" s="298"/>
    </row>
    <row r="233" spans="2:16" ht="9.75" customHeight="1">
      <c r="B233" s="946"/>
      <c r="C233" s="946"/>
      <c r="D233" s="294">
        <f t="shared" ca="1" si="45"/>
        <v>53200</v>
      </c>
      <c r="E233" s="359">
        <f t="shared" si="48"/>
        <v>1000000</v>
      </c>
      <c r="F233" s="360">
        <f t="shared" ca="1" si="46"/>
        <v>60</v>
      </c>
      <c r="G233" s="295">
        <f ca="1">VTLCOI!R232</f>
        <v>341.08972056032809</v>
      </c>
      <c r="H233" s="295">
        <f t="shared" ca="1" si="43"/>
        <v>208374.39508654436</v>
      </c>
      <c r="I233" s="953"/>
      <c r="J233" s="296">
        <f t="shared" ca="1" si="47"/>
        <v>208374.39508654436</v>
      </c>
      <c r="K233" s="1047"/>
      <c r="L233" s="1047"/>
      <c r="M233" s="1047"/>
      <c r="N233" s="1047"/>
      <c r="O233" s="1047"/>
      <c r="P233" s="298"/>
    </row>
    <row r="234" spans="2:16" ht="9.75" customHeight="1">
      <c r="B234" s="946"/>
      <c r="C234" s="946"/>
      <c r="D234" s="294">
        <f t="shared" ca="1" si="45"/>
        <v>53231</v>
      </c>
      <c r="E234" s="359">
        <f t="shared" si="48"/>
        <v>1000000</v>
      </c>
      <c r="F234" s="360">
        <f t="shared" ca="1" si="46"/>
        <v>60</v>
      </c>
      <c r="G234" s="295">
        <f ca="1">VTLCOI!R233</f>
        <v>340.92676051606162</v>
      </c>
      <c r="H234" s="295">
        <f t="shared" ca="1" si="43"/>
        <v>208754.36963825408</v>
      </c>
      <c r="I234" s="953"/>
      <c r="J234" s="296">
        <f t="shared" ca="1" si="47"/>
        <v>208754.36963825408</v>
      </c>
      <c r="K234" s="1047"/>
      <c r="L234" s="1047"/>
      <c r="M234" s="1047"/>
      <c r="N234" s="1047"/>
      <c r="O234" s="1047"/>
      <c r="P234" s="298"/>
    </row>
    <row r="235" spans="2:16" ht="9.75" customHeight="1">
      <c r="B235" s="946"/>
      <c r="C235" s="946"/>
      <c r="D235" s="294">
        <f t="shared" ca="1" si="45"/>
        <v>53261</v>
      </c>
      <c r="E235" s="359">
        <f t="shared" si="48"/>
        <v>1000000</v>
      </c>
      <c r="F235" s="360">
        <f t="shared" ca="1" si="46"/>
        <v>60</v>
      </c>
      <c r="G235" s="295">
        <f ca="1">VTLCOI!R234</f>
        <v>340.76311814245861</v>
      </c>
      <c r="H235" s="295">
        <f t="shared" ca="1" si="43"/>
        <v>209135.93517985905</v>
      </c>
      <c r="I235" s="953"/>
      <c r="J235" s="296">
        <f t="shared" ca="1" si="47"/>
        <v>209135.93517985905</v>
      </c>
      <c r="K235" s="1047"/>
      <c r="L235" s="1047"/>
      <c r="M235" s="1047"/>
      <c r="N235" s="1047"/>
      <c r="O235" s="1047"/>
      <c r="P235" s="298"/>
    </row>
    <row r="236" spans="2:16" ht="9.75" customHeight="1">
      <c r="B236" s="946"/>
      <c r="C236" s="946"/>
      <c r="D236" s="294">
        <f t="shared" ca="1" si="45"/>
        <v>53292</v>
      </c>
      <c r="E236" s="359">
        <f t="shared" si="48"/>
        <v>1000000</v>
      </c>
      <c r="F236" s="360">
        <f t="shared" ca="1" si="46"/>
        <v>60</v>
      </c>
      <c r="G236" s="295">
        <f ca="1">VTLCOI!R235</f>
        <v>340.59879058254074</v>
      </c>
      <c r="H236" s="295">
        <f t="shared" ca="1" si="43"/>
        <v>209519.09837298663</v>
      </c>
      <c r="I236" s="953"/>
      <c r="J236" s="296">
        <f t="shared" ca="1" si="47"/>
        <v>209519.09837298663</v>
      </c>
      <c r="K236" s="1047"/>
      <c r="L236" s="1047"/>
      <c r="M236" s="1047"/>
      <c r="N236" s="1047"/>
      <c r="O236" s="1047"/>
      <c r="P236" s="298"/>
    </row>
    <row r="237" spans="2:16" ht="9.75" customHeight="1">
      <c r="B237" s="946"/>
      <c r="C237" s="946"/>
      <c r="D237" s="294">
        <f t="shared" ca="1" si="45"/>
        <v>53322</v>
      </c>
      <c r="E237" s="359">
        <f t="shared" si="48"/>
        <v>1000000</v>
      </c>
      <c r="F237" s="360">
        <f t="shared" ca="1" si="46"/>
        <v>60</v>
      </c>
      <c r="G237" s="295">
        <f ca="1">VTLCOI!R236</f>
        <v>340.43377496736713</v>
      </c>
      <c r="H237" s="295">
        <f t="shared" ca="1" si="43"/>
        <v>209903.86590715693</v>
      </c>
      <c r="I237" s="953"/>
      <c r="J237" s="296">
        <f t="shared" ca="1" si="47"/>
        <v>209903.86590715693</v>
      </c>
      <c r="K237" s="1047"/>
      <c r="L237" s="1047"/>
      <c r="M237" s="1047"/>
      <c r="N237" s="1047"/>
      <c r="O237" s="1047"/>
      <c r="P237" s="298"/>
    </row>
    <row r="238" spans="2:16" ht="9.75" customHeight="1">
      <c r="B238" s="946"/>
      <c r="C238" s="946"/>
      <c r="D238" s="294">
        <f t="shared" ca="1" si="45"/>
        <v>53353</v>
      </c>
      <c r="E238" s="359">
        <f t="shared" si="48"/>
        <v>1000000</v>
      </c>
      <c r="F238" s="360">
        <f t="shared" ca="1" si="46"/>
        <v>60</v>
      </c>
      <c r="G238" s="295">
        <f ca="1">VTLCOI!R237</f>
        <v>340.26806841598437</v>
      </c>
      <c r="H238" s="295">
        <f t="shared" ca="1" si="43"/>
        <v>210290.2444998998</v>
      </c>
      <c r="I238" s="953"/>
      <c r="J238" s="296">
        <f t="shared" ca="1" si="47"/>
        <v>210290.2444998998</v>
      </c>
      <c r="K238" s="1047"/>
      <c r="L238" s="1047"/>
      <c r="M238" s="1047"/>
      <c r="N238" s="1047"/>
      <c r="O238" s="1047"/>
      <c r="P238" s="298"/>
    </row>
    <row r="239" spans="2:16" ht="9.75" customHeight="1">
      <c r="B239" s="946"/>
      <c r="C239" s="946"/>
      <c r="D239" s="294">
        <f t="shared" ca="1" si="45"/>
        <v>53384</v>
      </c>
      <c r="E239" s="359">
        <f t="shared" si="48"/>
        <v>1000000</v>
      </c>
      <c r="F239" s="360">
        <f t="shared" ca="1" si="46"/>
        <v>60</v>
      </c>
      <c r="G239" s="295">
        <f ca="1">VTLCOI!R238</f>
        <v>340.10166803537652</v>
      </c>
      <c r="H239" s="295">
        <f t="shared" ca="1" si="43"/>
        <v>210678.24089687201</v>
      </c>
      <c r="I239" s="953"/>
      <c r="J239" s="296">
        <f t="shared" ca="1" si="47"/>
        <v>210678.24089687201</v>
      </c>
      <c r="K239" s="1047"/>
      <c r="L239" s="1047"/>
      <c r="M239" s="1047"/>
      <c r="N239" s="1047"/>
      <c r="O239" s="1047"/>
      <c r="P239" s="298"/>
    </row>
    <row r="240" spans="2:16" ht="9.75" customHeight="1">
      <c r="B240" s="946"/>
      <c r="C240" s="946"/>
      <c r="D240" s="294">
        <f t="shared" ca="1" si="45"/>
        <v>53412</v>
      </c>
      <c r="E240" s="359">
        <f t="shared" si="48"/>
        <v>1000000</v>
      </c>
      <c r="F240" s="360">
        <f t="shared" ca="1" si="46"/>
        <v>60</v>
      </c>
      <c r="G240" s="295">
        <f ca="1">VTLCOI!R239</f>
        <v>339.93457092041382</v>
      </c>
      <c r="H240" s="295">
        <f t="shared" ca="1" si="43"/>
        <v>211067.86187197507</v>
      </c>
      <c r="I240" s="953"/>
      <c r="J240" s="296">
        <f t="shared" ca="1" si="47"/>
        <v>211067.86187197507</v>
      </c>
      <c r="K240" s="1047"/>
      <c r="L240" s="1047"/>
      <c r="M240" s="1047"/>
      <c r="N240" s="1047"/>
      <c r="O240" s="1047"/>
      <c r="P240" s="298"/>
    </row>
    <row r="241" spans="2:16" ht="9.75" customHeight="1">
      <c r="B241" s="946"/>
      <c r="C241" s="946"/>
      <c r="D241" s="294">
        <f t="shared" ca="1" si="45"/>
        <v>53443</v>
      </c>
      <c r="E241" s="359">
        <f t="shared" si="48"/>
        <v>1000000</v>
      </c>
      <c r="F241" s="360">
        <f t="shared" ca="1" si="46"/>
        <v>60</v>
      </c>
      <c r="G241" s="295">
        <f ca="1">VTLCOI!R240</f>
        <v>339.76677415380277</v>
      </c>
      <c r="H241" s="295">
        <f t="shared" ca="1" si="43"/>
        <v>211459.11422747342</v>
      </c>
      <c r="I241" s="953"/>
      <c r="J241" s="296">
        <f t="shared" ca="1" si="47"/>
        <v>211459.11422747342</v>
      </c>
      <c r="K241" s="1047"/>
      <c r="L241" s="1047"/>
      <c r="M241" s="1047"/>
      <c r="N241" s="1047"/>
      <c r="O241" s="1047"/>
      <c r="P241" s="298"/>
    </row>
    <row r="242" spans="2:16" ht="9.75" customHeight="1">
      <c r="B242" s="946"/>
      <c r="C242" s="946"/>
      <c r="D242" s="294">
        <f t="shared" ca="1" si="45"/>
        <v>53473</v>
      </c>
      <c r="E242" s="359">
        <f t="shared" si="48"/>
        <v>1000000</v>
      </c>
      <c r="F242" s="360">
        <f t="shared" ca="1" si="46"/>
        <v>60</v>
      </c>
      <c r="G242" s="295">
        <f ca="1">VTLCOI!R241</f>
        <v>339.59827480603479</v>
      </c>
      <c r="H242" s="295">
        <f t="shared" ca="1" si="43"/>
        <v>211852.00479411325</v>
      </c>
      <c r="I242" s="953"/>
      <c r="J242" s="296">
        <f t="shared" ca="1" si="47"/>
        <v>211852.00479411325</v>
      </c>
      <c r="K242" s="1047"/>
      <c r="L242" s="1047"/>
      <c r="M242" s="1047"/>
      <c r="N242" s="1047"/>
      <c r="O242" s="1047"/>
      <c r="P242" s="298"/>
    </row>
    <row r="243" spans="2:16" ht="9.75" customHeight="1">
      <c r="B243" s="946"/>
      <c r="C243" s="946"/>
      <c r="D243" s="294">
        <f t="shared" ca="1" si="45"/>
        <v>53504</v>
      </c>
      <c r="E243" s="359">
        <f t="shared" si="48"/>
        <v>1000000</v>
      </c>
      <c r="F243" s="360">
        <f t="shared" ca="1" si="46"/>
        <v>60</v>
      </c>
      <c r="G243" s="295">
        <f ca="1">VTLCOI!R242</f>
        <v>339.42906993533524</v>
      </c>
      <c r="H243" s="295">
        <f t="shared" ca="1" si="43"/>
        <v>212246.54043124177</v>
      </c>
      <c r="I243" s="953"/>
      <c r="J243" s="297">
        <f ca="1">H243+I232</f>
        <v>212546.54043124177</v>
      </c>
      <c r="K243" s="1047"/>
      <c r="L243" s="1047"/>
      <c r="M243" s="1047"/>
      <c r="N243" s="1047"/>
      <c r="O243" s="1047"/>
      <c r="P243" s="298"/>
    </row>
    <row r="244" spans="2:16" ht="9.75" customHeight="1">
      <c r="K244" s="361"/>
      <c r="L244" s="361"/>
      <c r="M244" s="362"/>
      <c r="P244" s="298"/>
    </row>
    <row r="245" spans="2:16" ht="9.75" customHeight="1">
      <c r="K245" s="361"/>
      <c r="L245" s="361"/>
      <c r="M245" s="362"/>
      <c r="P245" s="298"/>
    </row>
    <row r="246" spans="2:16" ht="9.75" customHeight="1">
      <c r="K246" s="361"/>
      <c r="L246" s="361"/>
      <c r="M246" s="362"/>
      <c r="P246" s="298"/>
    </row>
    <row r="247" spans="2:16" ht="9.75" customHeight="1">
      <c r="K247" s="361"/>
      <c r="L247" s="361"/>
      <c r="M247" s="362"/>
      <c r="P247" s="298"/>
    </row>
    <row r="248" spans="2:16" ht="9.75" customHeight="1">
      <c r="K248" s="361"/>
      <c r="L248" s="361"/>
      <c r="M248" s="362"/>
      <c r="P248" s="298"/>
    </row>
    <row r="249" spans="2:16" ht="9.75" customHeight="1">
      <c r="K249" s="361"/>
      <c r="L249" s="361"/>
      <c r="M249" s="362"/>
      <c r="P249" s="298"/>
    </row>
    <row r="250" spans="2:16" ht="9.75" customHeight="1">
      <c r="K250" s="361"/>
      <c r="L250" s="361"/>
      <c r="M250" s="362"/>
      <c r="P250" s="298"/>
    </row>
    <row r="251" spans="2:16" ht="9.75" customHeight="1">
      <c r="K251" s="361"/>
      <c r="L251" s="361"/>
      <c r="M251" s="362"/>
      <c r="P251" s="298"/>
    </row>
    <row r="252" spans="2:16" ht="9.75" customHeight="1">
      <c r="K252" s="361"/>
      <c r="L252" s="361"/>
      <c r="M252" s="362"/>
      <c r="P252" s="298"/>
    </row>
    <row r="253" spans="2:16" ht="9.75" customHeight="1">
      <c r="K253" s="361"/>
      <c r="L253" s="361"/>
      <c r="M253" s="362"/>
      <c r="P253" s="298"/>
    </row>
    <row r="254" spans="2:16" ht="9.75" customHeight="1">
      <c r="K254" s="361"/>
      <c r="L254" s="361"/>
      <c r="M254" s="362"/>
      <c r="P254" s="298"/>
    </row>
    <row r="255" spans="2:16" ht="9.75" customHeight="1">
      <c r="K255" s="361"/>
      <c r="L255" s="361"/>
      <c r="M255" s="362"/>
      <c r="P255" s="298"/>
    </row>
    <row r="256" spans="2:16" ht="9.75" customHeight="1">
      <c r="K256" s="361"/>
      <c r="L256" s="361"/>
      <c r="M256" s="362"/>
      <c r="P256" s="298"/>
    </row>
    <row r="257" spans="11:16" ht="9.75" customHeight="1">
      <c r="K257" s="361"/>
      <c r="L257" s="361"/>
      <c r="M257" s="362"/>
      <c r="P257" s="298"/>
    </row>
    <row r="258" spans="11:16" ht="9.75" customHeight="1">
      <c r="K258" s="361"/>
      <c r="L258" s="361"/>
      <c r="M258" s="362"/>
      <c r="P258" s="298"/>
    </row>
    <row r="259" spans="11:16" ht="9.75" customHeight="1">
      <c r="K259" s="361"/>
      <c r="L259" s="361"/>
      <c r="M259" s="362"/>
      <c r="P259" s="298"/>
    </row>
    <row r="260" spans="11:16" ht="9.75" customHeight="1">
      <c r="K260" s="361"/>
      <c r="L260" s="361"/>
      <c r="M260" s="362"/>
      <c r="P260" s="298"/>
    </row>
    <row r="261" spans="11:16" ht="9.75" customHeight="1">
      <c r="K261" s="361"/>
      <c r="L261" s="361"/>
      <c r="M261" s="362"/>
      <c r="P261" s="298"/>
    </row>
    <row r="262" spans="11:16" ht="9.75" customHeight="1">
      <c r="K262" s="361"/>
      <c r="L262" s="361"/>
      <c r="M262" s="362"/>
      <c r="P262" s="298"/>
    </row>
    <row r="263" spans="11:16" ht="9.75" customHeight="1">
      <c r="K263" s="361"/>
      <c r="L263" s="361"/>
      <c r="M263" s="362"/>
      <c r="P263" s="298"/>
    </row>
    <row r="264" spans="11:16" ht="9.75" customHeight="1">
      <c r="K264" s="361"/>
      <c r="L264" s="361"/>
      <c r="M264" s="362"/>
      <c r="P264" s="298"/>
    </row>
    <row r="265" spans="11:16" ht="9.75" customHeight="1">
      <c r="K265" s="361"/>
      <c r="L265" s="361"/>
      <c r="M265" s="362"/>
      <c r="P265" s="298"/>
    </row>
    <row r="266" spans="11:16" ht="9.75" customHeight="1">
      <c r="K266" s="361"/>
      <c r="L266" s="361"/>
      <c r="M266" s="362"/>
      <c r="P266" s="298"/>
    </row>
    <row r="267" spans="11:16" ht="9.75" customHeight="1">
      <c r="K267" s="361"/>
      <c r="L267" s="361"/>
      <c r="M267" s="362"/>
      <c r="P267" s="298"/>
    </row>
    <row r="268" spans="11:16" ht="9.75" customHeight="1">
      <c r="K268" s="361"/>
      <c r="L268" s="361"/>
      <c r="M268" s="362"/>
      <c r="P268" s="298"/>
    </row>
    <row r="269" spans="11:16" ht="9.75" customHeight="1">
      <c r="K269" s="361"/>
      <c r="L269" s="361"/>
      <c r="M269" s="362"/>
      <c r="P269" s="298"/>
    </row>
    <row r="270" spans="11:16" ht="9.75" customHeight="1">
      <c r="K270" s="361"/>
      <c r="L270" s="361"/>
      <c r="M270" s="362"/>
      <c r="P270" s="298"/>
    </row>
    <row r="271" spans="11:16" ht="9.75" customHeight="1">
      <c r="K271" s="361"/>
      <c r="L271" s="361"/>
      <c r="M271" s="362"/>
      <c r="P271" s="298"/>
    </row>
    <row r="272" spans="11:16" ht="9.75" customHeight="1">
      <c r="K272" s="361"/>
      <c r="L272" s="361"/>
      <c r="M272" s="362"/>
      <c r="P272" s="298"/>
    </row>
    <row r="273" spans="11:16" ht="9.75" customHeight="1">
      <c r="K273" s="361"/>
      <c r="L273" s="361"/>
      <c r="M273" s="362"/>
      <c r="P273" s="298"/>
    </row>
    <row r="274" spans="11:16" ht="9.75" customHeight="1">
      <c r="K274" s="361"/>
      <c r="L274" s="361"/>
      <c r="M274" s="362"/>
      <c r="P274" s="298"/>
    </row>
    <row r="275" spans="11:16" ht="9.75" customHeight="1">
      <c r="K275" s="361"/>
      <c r="L275" s="361"/>
      <c r="M275" s="362"/>
      <c r="P275" s="298"/>
    </row>
    <row r="276" spans="11:16" ht="9.75" customHeight="1">
      <c r="K276" s="361"/>
      <c r="L276" s="361"/>
      <c r="M276" s="362"/>
      <c r="P276" s="298"/>
    </row>
    <row r="277" spans="11:16" ht="9.75" customHeight="1">
      <c r="K277" s="361"/>
      <c r="L277" s="361"/>
      <c r="M277" s="362"/>
      <c r="P277" s="298"/>
    </row>
    <row r="278" spans="11:16" ht="9.75" customHeight="1">
      <c r="K278" s="361"/>
      <c r="L278" s="361"/>
      <c r="M278" s="362"/>
      <c r="P278" s="298"/>
    </row>
    <row r="279" spans="11:16" ht="9.75" customHeight="1">
      <c r="K279" s="361"/>
      <c r="L279" s="361"/>
      <c r="M279" s="362"/>
      <c r="P279" s="298"/>
    </row>
    <row r="280" spans="11:16" ht="9.75" customHeight="1">
      <c r="K280" s="361"/>
      <c r="L280" s="361"/>
      <c r="M280" s="362"/>
      <c r="P280" s="298"/>
    </row>
    <row r="281" spans="11:16" ht="9.75" customHeight="1">
      <c r="K281" s="361"/>
      <c r="L281" s="361"/>
      <c r="M281" s="362"/>
      <c r="P281" s="298"/>
    </row>
    <row r="282" spans="11:16" ht="9.75" customHeight="1">
      <c r="K282" s="361"/>
      <c r="L282" s="361"/>
      <c r="M282" s="362"/>
      <c r="P282" s="298"/>
    </row>
    <row r="283" spans="11:16" ht="9.75" customHeight="1">
      <c r="K283" s="361"/>
      <c r="L283" s="361"/>
      <c r="M283" s="362"/>
      <c r="P283" s="298"/>
    </row>
    <row r="284" spans="11:16" ht="9.75" customHeight="1">
      <c r="K284" s="361"/>
      <c r="L284" s="361"/>
      <c r="M284" s="362"/>
      <c r="P284" s="298"/>
    </row>
    <row r="285" spans="11:16" ht="9.75" customHeight="1">
      <c r="K285" s="361"/>
      <c r="L285" s="361"/>
      <c r="M285" s="362"/>
      <c r="P285" s="298"/>
    </row>
    <row r="286" spans="11:16" ht="9.75" customHeight="1">
      <c r="K286" s="361"/>
      <c r="L286" s="361"/>
      <c r="M286" s="362"/>
      <c r="P286" s="298"/>
    </row>
    <row r="287" spans="11:16" ht="9.75" customHeight="1">
      <c r="K287" s="361"/>
      <c r="L287" s="361"/>
      <c r="M287" s="362"/>
      <c r="P287" s="298"/>
    </row>
    <row r="288" spans="11:16" ht="9.75" customHeight="1">
      <c r="K288" s="361"/>
      <c r="L288" s="361"/>
      <c r="M288" s="362"/>
      <c r="P288" s="298"/>
    </row>
    <row r="289" spans="11:16" ht="9.75" customHeight="1">
      <c r="K289" s="361"/>
      <c r="L289" s="361"/>
      <c r="M289" s="362"/>
      <c r="P289" s="298"/>
    </row>
    <row r="290" spans="11:16" ht="9.75" customHeight="1">
      <c r="K290" s="361"/>
      <c r="L290" s="361"/>
      <c r="M290" s="362"/>
      <c r="P290" s="298"/>
    </row>
    <row r="291" spans="11:16" ht="9.75" customHeight="1">
      <c r="K291" s="361"/>
      <c r="L291" s="361"/>
      <c r="M291" s="362"/>
      <c r="P291" s="298"/>
    </row>
    <row r="292" spans="11:16" ht="9.75" customHeight="1">
      <c r="K292" s="361"/>
      <c r="L292" s="361"/>
      <c r="M292" s="362"/>
      <c r="P292" s="298"/>
    </row>
    <row r="293" spans="11:16" ht="9.75" customHeight="1">
      <c r="K293" s="361"/>
      <c r="L293" s="361"/>
      <c r="M293" s="362"/>
      <c r="P293" s="298"/>
    </row>
    <row r="294" spans="11:16" ht="9.75" customHeight="1">
      <c r="K294" s="361"/>
      <c r="L294" s="361"/>
      <c r="M294" s="362"/>
      <c r="P294" s="298"/>
    </row>
    <row r="295" spans="11:16" ht="9.75" customHeight="1">
      <c r="K295" s="361"/>
      <c r="L295" s="361"/>
      <c r="M295" s="362"/>
      <c r="P295" s="298"/>
    </row>
    <row r="296" spans="11:16" ht="9.75" customHeight="1">
      <c r="K296" s="361"/>
      <c r="L296" s="361"/>
      <c r="M296" s="362"/>
      <c r="P296" s="298"/>
    </row>
    <row r="297" spans="11:16" ht="9.75" customHeight="1">
      <c r="K297" s="361"/>
      <c r="L297" s="361"/>
      <c r="M297" s="362"/>
      <c r="P297" s="298"/>
    </row>
    <row r="298" spans="11:16" ht="9.75" customHeight="1">
      <c r="K298" s="361"/>
      <c r="L298" s="361"/>
      <c r="M298" s="362"/>
      <c r="P298" s="298"/>
    </row>
    <row r="299" spans="11:16" ht="9.75" customHeight="1">
      <c r="K299" s="361"/>
      <c r="L299" s="361"/>
      <c r="M299" s="362"/>
      <c r="P299" s="298"/>
    </row>
    <row r="300" spans="11:16" ht="9.75" customHeight="1">
      <c r="K300" s="361"/>
      <c r="L300" s="361"/>
      <c r="M300" s="362"/>
      <c r="P300" s="298"/>
    </row>
    <row r="301" spans="11:16" ht="9.75" customHeight="1">
      <c r="K301" s="361"/>
      <c r="L301" s="361"/>
      <c r="M301" s="362"/>
      <c r="P301" s="298"/>
    </row>
    <row r="302" spans="11:16" ht="9.75" customHeight="1">
      <c r="K302" s="361"/>
      <c r="L302" s="361"/>
      <c r="M302" s="362"/>
      <c r="P302" s="298"/>
    </row>
    <row r="303" spans="11:16" ht="9.75" customHeight="1">
      <c r="K303" s="361"/>
      <c r="L303" s="361"/>
      <c r="M303" s="362"/>
      <c r="P303" s="298"/>
    </row>
    <row r="304" spans="11:16" ht="9.75" customHeight="1">
      <c r="K304" s="361"/>
      <c r="L304" s="361"/>
      <c r="M304" s="362"/>
      <c r="P304" s="298"/>
    </row>
    <row r="305" spans="11:16" ht="9.75" customHeight="1">
      <c r="K305" s="361"/>
      <c r="L305" s="361"/>
      <c r="M305" s="362"/>
      <c r="P305" s="298"/>
    </row>
    <row r="306" spans="11:16" ht="9.75" customHeight="1">
      <c r="K306" s="361"/>
      <c r="L306" s="361"/>
      <c r="M306" s="362"/>
      <c r="P306" s="298"/>
    </row>
    <row r="307" spans="11:16" ht="9.75" customHeight="1">
      <c r="K307" s="361"/>
      <c r="L307" s="361"/>
      <c r="M307" s="362"/>
      <c r="P307" s="298"/>
    </row>
    <row r="308" spans="11:16" ht="9.75" customHeight="1">
      <c r="K308" s="361"/>
      <c r="L308" s="361"/>
      <c r="M308" s="362"/>
      <c r="P308" s="298"/>
    </row>
    <row r="309" spans="11:16" ht="9.75" customHeight="1">
      <c r="K309" s="361"/>
      <c r="L309" s="361"/>
      <c r="M309" s="362"/>
      <c r="P309" s="298"/>
    </row>
    <row r="310" spans="11:16" ht="9.75" customHeight="1">
      <c r="K310" s="361"/>
      <c r="L310" s="361"/>
      <c r="M310" s="362"/>
      <c r="P310" s="298"/>
    </row>
    <row r="311" spans="11:16" ht="9.75" customHeight="1">
      <c r="K311" s="361"/>
      <c r="L311" s="361"/>
      <c r="M311" s="362"/>
      <c r="P311" s="298"/>
    </row>
    <row r="312" spans="11:16" ht="9.75" customHeight="1">
      <c r="K312" s="361"/>
      <c r="L312" s="361"/>
      <c r="M312" s="362"/>
      <c r="P312" s="298"/>
    </row>
    <row r="313" spans="11:16" ht="9.75" customHeight="1">
      <c r="K313" s="361"/>
      <c r="L313" s="361"/>
      <c r="M313" s="362"/>
      <c r="P313" s="298"/>
    </row>
    <row r="314" spans="11:16" ht="9.75" customHeight="1">
      <c r="K314" s="361"/>
      <c r="L314" s="361"/>
      <c r="M314" s="362"/>
      <c r="P314" s="298"/>
    </row>
    <row r="315" spans="11:16" ht="9.75" customHeight="1">
      <c r="K315" s="361"/>
      <c r="L315" s="361"/>
      <c r="M315" s="362"/>
      <c r="P315" s="298"/>
    </row>
  </sheetData>
  <sheetProtection selectLockedCells="1"/>
  <mergeCells count="98">
    <mergeCell ref="B2:H2"/>
    <mergeCell ref="B4:B15"/>
    <mergeCell ref="C4:C15"/>
    <mergeCell ref="K4:M15"/>
    <mergeCell ref="N4:O15"/>
    <mergeCell ref="B16:B27"/>
    <mergeCell ref="C16:C27"/>
    <mergeCell ref="K16:M27"/>
    <mergeCell ref="N16:O27"/>
    <mergeCell ref="B28:B39"/>
    <mergeCell ref="C28:C39"/>
    <mergeCell ref="K28:M39"/>
    <mergeCell ref="N28:O39"/>
    <mergeCell ref="B40:B51"/>
    <mergeCell ref="C40:C51"/>
    <mergeCell ref="I40:I51"/>
    <mergeCell ref="K40:M51"/>
    <mergeCell ref="N40:O51"/>
    <mergeCell ref="B64:B75"/>
    <mergeCell ref="C64:C75"/>
    <mergeCell ref="I64:I75"/>
    <mergeCell ref="K64:M75"/>
    <mergeCell ref="N64:O75"/>
    <mergeCell ref="B52:B63"/>
    <mergeCell ref="C52:C63"/>
    <mergeCell ref="I52:I63"/>
    <mergeCell ref="K52:M63"/>
    <mergeCell ref="N52:O63"/>
    <mergeCell ref="B88:B99"/>
    <mergeCell ref="C88:C99"/>
    <mergeCell ref="I88:I99"/>
    <mergeCell ref="K88:M99"/>
    <mergeCell ref="N88:O99"/>
    <mergeCell ref="B76:B87"/>
    <mergeCell ref="C76:C87"/>
    <mergeCell ref="I76:I87"/>
    <mergeCell ref="K76:M87"/>
    <mergeCell ref="N76:O87"/>
    <mergeCell ref="B112:B123"/>
    <mergeCell ref="C112:C123"/>
    <mergeCell ref="I112:I123"/>
    <mergeCell ref="K112:M123"/>
    <mergeCell ref="N112:O123"/>
    <mergeCell ref="B100:B111"/>
    <mergeCell ref="C100:C111"/>
    <mergeCell ref="I100:I111"/>
    <mergeCell ref="K100:M111"/>
    <mergeCell ref="N100:O111"/>
    <mergeCell ref="B136:B147"/>
    <mergeCell ref="C136:C147"/>
    <mergeCell ref="I136:I147"/>
    <mergeCell ref="K136:M147"/>
    <mergeCell ref="N136:O147"/>
    <mergeCell ref="B124:B135"/>
    <mergeCell ref="C124:C135"/>
    <mergeCell ref="I124:I135"/>
    <mergeCell ref="K124:M135"/>
    <mergeCell ref="N124:O135"/>
    <mergeCell ref="B160:B171"/>
    <mergeCell ref="C160:C171"/>
    <mergeCell ref="I160:I171"/>
    <mergeCell ref="K160:M171"/>
    <mergeCell ref="N160:O171"/>
    <mergeCell ref="B148:B159"/>
    <mergeCell ref="C148:C159"/>
    <mergeCell ref="I148:I159"/>
    <mergeCell ref="K148:M159"/>
    <mergeCell ref="N148:O159"/>
    <mergeCell ref="B184:B195"/>
    <mergeCell ref="C184:C195"/>
    <mergeCell ref="I184:I195"/>
    <mergeCell ref="K184:M195"/>
    <mergeCell ref="N184:O195"/>
    <mergeCell ref="B172:B183"/>
    <mergeCell ref="C172:C183"/>
    <mergeCell ref="I172:I183"/>
    <mergeCell ref="K172:M183"/>
    <mergeCell ref="N172:O183"/>
    <mergeCell ref="B208:B219"/>
    <mergeCell ref="C208:C219"/>
    <mergeCell ref="I208:I219"/>
    <mergeCell ref="K208:M219"/>
    <mergeCell ref="N208:O219"/>
    <mergeCell ref="B196:B207"/>
    <mergeCell ref="C196:C207"/>
    <mergeCell ref="I196:I207"/>
    <mergeCell ref="K196:M207"/>
    <mergeCell ref="N196:O207"/>
    <mergeCell ref="B232:B243"/>
    <mergeCell ref="C232:C243"/>
    <mergeCell ref="I232:I243"/>
    <mergeCell ref="K232:M243"/>
    <mergeCell ref="N232:O243"/>
    <mergeCell ref="B220:B231"/>
    <mergeCell ref="C220:C231"/>
    <mergeCell ref="I220:I231"/>
    <mergeCell ref="K220:M231"/>
    <mergeCell ref="N220:O231"/>
  </mergeCells>
  <conditionalFormatting sqref="H1:J1 I2:J2 H3:J51 H52:H243 J52:J243 H244:J1048576">
    <cfRule type="cellIs" dxfId="128" priority="2" operator="lessThan">
      <formula>0</formula>
    </cfRule>
  </conditionalFormatting>
  <conditionalFormatting sqref="I52 I64 I76 I88 I100 I112 I124 I136 I148 I160 I172 I184 I196 I208 I220 I232">
    <cfRule type="cellIs" dxfId="127" priority="1" operator="lessThan">
      <formula>0</formula>
    </cfRule>
  </conditionalFormatting>
  <pageMargins left="0.75" right="0.75" top="1" bottom="1" header="0.5" footer="0.5"/>
  <drawing r:id="rId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A4EAF7-F1A9-4039-A76E-FCCB9E7645EA}">
  <dimension ref="B1:V242"/>
  <sheetViews>
    <sheetView showGridLines="0" topLeftCell="C1" zoomScaleNormal="100" workbookViewId="0">
      <pane ySplit="2" topLeftCell="A3" activePane="bottomLeft" state="frozen"/>
      <selection activeCell="C1" sqref="C1"/>
      <selection pane="bottomLeft" activeCell="L3" sqref="L3:L14 N3:P50 R3:T50 C2:C5 K15:L242 V3:V50 N51:V242 I3:I103"/>
    </sheetView>
  </sheetViews>
  <sheetFormatPr defaultColWidth="9.296875" defaultRowHeight="9.75" customHeight="1"/>
  <cols>
    <col min="1" max="1" width="0.19921875" style="252" customWidth="1"/>
    <col min="2" max="2" width="18.296875" style="252" customWidth="1"/>
    <col min="3" max="3" width="12.19921875" style="252" customWidth="1"/>
    <col min="4" max="6" width="9.296875" style="252"/>
    <col min="7" max="7" width="1.19921875" style="252" customWidth="1"/>
    <col min="8" max="8" width="7.796875" style="252" customWidth="1"/>
    <col min="9" max="9" width="9.296875" style="252" customWidth="1"/>
    <col min="10" max="10" width="4.5" style="252" hidden="1" customWidth="1"/>
    <col min="11" max="12" width="5.296875" style="252" customWidth="1"/>
    <col min="13" max="13" width="9" style="252" customWidth="1"/>
    <col min="14" max="15" width="14.796875" style="252" customWidth="1"/>
    <col min="16" max="16" width="14.796875" style="454" customWidth="1"/>
    <col min="17" max="17" width="10.19921875" style="454" customWidth="1"/>
    <col min="18" max="19" width="14.796875" style="252" customWidth="1"/>
    <col min="20" max="20" width="16.296875" style="252" customWidth="1"/>
    <col min="21" max="21" width="10.796875" style="325" customWidth="1"/>
    <col min="22" max="22" width="19.796875" style="252" customWidth="1"/>
    <col min="23" max="16384" width="9.296875" style="252"/>
  </cols>
  <sheetData>
    <row r="1" spans="2:22" ht="9.75" customHeight="1">
      <c r="M1" s="252" t="s">
        <v>665</v>
      </c>
    </row>
    <row r="2" spans="2:22" ht="54" customHeight="1">
      <c r="B2" s="253" t="s">
        <v>666</v>
      </c>
      <c r="C2" s="546">
        <f ca="1">'Hoach dinh tai chinh'!J3</f>
        <v>46229</v>
      </c>
      <c r="D2" s="351" t="s">
        <v>667</v>
      </c>
      <c r="E2" s="351" t="s">
        <v>668</v>
      </c>
      <c r="F2" s="351" t="s">
        <v>669</v>
      </c>
      <c r="H2" s="252" t="s">
        <v>670</v>
      </c>
      <c r="I2" s="252" t="s">
        <v>1</v>
      </c>
      <c r="K2" s="252" t="s">
        <v>34</v>
      </c>
      <c r="L2" s="252" t="s">
        <v>1</v>
      </c>
      <c r="M2" s="252" t="s">
        <v>671</v>
      </c>
      <c r="N2" s="450" t="s">
        <v>672</v>
      </c>
      <c r="O2" s="252" t="s">
        <v>673</v>
      </c>
      <c r="P2" s="254" t="s">
        <v>674</v>
      </c>
      <c r="Q2" s="254" t="s">
        <v>675</v>
      </c>
      <c r="R2" s="450" t="s">
        <v>706</v>
      </c>
      <c r="S2" s="450" t="s">
        <v>707</v>
      </c>
      <c r="T2" s="450" t="s">
        <v>676</v>
      </c>
      <c r="U2" s="255" t="s">
        <v>708</v>
      </c>
      <c r="V2" s="450" t="s">
        <v>709</v>
      </c>
    </row>
    <row r="3" spans="2:22" ht="9.75" customHeight="1">
      <c r="B3" s="253" t="s">
        <v>677</v>
      </c>
      <c r="C3" s="546">
        <f>'Hoach dinh tai chinh'!J5</f>
        <v>34926</v>
      </c>
      <c r="D3" s="351">
        <v>0</v>
      </c>
      <c r="E3" s="351">
        <v>2.0779999999999998</v>
      </c>
      <c r="F3" s="351">
        <v>1.504</v>
      </c>
      <c r="H3" s="252">
        <v>1</v>
      </c>
      <c r="I3" s="548">
        <f ca="1">C5</f>
        <v>30</v>
      </c>
      <c r="K3" s="961">
        <v>1</v>
      </c>
      <c r="L3" s="1045">
        <f ca="1">I3</f>
        <v>30</v>
      </c>
      <c r="M3" s="252">
        <v>1</v>
      </c>
      <c r="N3" s="538">
        <f>C4-VTLGTTKcamket!F7</f>
        <v>995000</v>
      </c>
      <c r="O3" s="538">
        <f ca="1">VTL20namcamket!F4</f>
        <v>40</v>
      </c>
      <c r="P3" s="539">
        <f ca="1">IF('Tinh phi QL'!$H$9="Nam",VLOOKUP(VTLCOI!$I$3,VTLCOI!$D$3:$F$103,2,0)*N3/1000/12,IF('Tinh phi QL'!$H$9="Nữ",VLOOKUP(VTLCOI!$I$3,VTLCOI!$D$3:$F$103,3,0)*N3/1000/12,0))</f>
        <v>116.08333333333333</v>
      </c>
      <c r="R3" s="539">
        <f ca="1">IF('Tinh phi QL'!$H$9="Nam",VLOOKUP(VTLCOI!$I$3,VTLCOI!$D$3:$F$103,2,0)*S3/1000/12,IF('Tinh phi QL'!$H$9="Nữ",VLOOKUP(VTLCOI!$I$3,VTLCOI!$D$3:$F$103,3,0)*S3/1000/12,0))</f>
        <v>116.08333333333333</v>
      </c>
      <c r="S3" s="539">
        <f>C4-VTLGTTKMH!F7</f>
        <v>995000</v>
      </c>
      <c r="T3" s="542">
        <f ca="1">(VTLGTTKcamket!F7-O3-P3)*(1+VTL20namcamket!P3)</f>
        <v>4857.8230608203139</v>
      </c>
      <c r="V3" s="542">
        <f ca="1">(VTLGTTKMH!F7-O3-R3)*(1+VTL20namMH!P3)</f>
        <v>4862.104663971124</v>
      </c>
    </row>
    <row r="4" spans="2:22" ht="9.75" customHeight="1">
      <c r="B4" s="253" t="s">
        <v>678</v>
      </c>
      <c r="C4" s="547">
        <f>'Tinh phi QL'!E13/1000</f>
        <v>1000000</v>
      </c>
      <c r="D4" s="351">
        <v>1</v>
      </c>
      <c r="E4" s="351">
        <v>0.82399999999999995</v>
      </c>
      <c r="F4" s="351">
        <v>0.67200000000000004</v>
      </c>
      <c r="H4" s="252">
        <v>2</v>
      </c>
      <c r="I4" s="548">
        <f ca="1">I3+1</f>
        <v>31</v>
      </c>
      <c r="K4" s="961"/>
      <c r="L4" s="1045"/>
      <c r="M4" s="252">
        <v>2</v>
      </c>
      <c r="N4" s="538">
        <f t="shared" ref="N4:N14" ca="1" si="0">$C$4-T3</f>
        <v>995142.17693917966</v>
      </c>
      <c r="O4" s="538">
        <f ca="1">VTL20namcamket!F5</f>
        <v>40</v>
      </c>
      <c r="P4" s="539">
        <f ca="1">IF('Tinh phi QL'!$H$9="Nam",VLOOKUP(VTLCOI!$I$3,VTLCOI!$D$3:$F$103,2,0)*N4/1000/12,IF('Tinh phi QL'!$H$9="Nữ",VLOOKUP(VTLCOI!$I$3,VTLCOI!$D$3:$F$103,3,0)*N4/1000/12,0))</f>
        <v>116.09992064290428</v>
      </c>
      <c r="R4" s="539">
        <f ca="1">IF('Tinh phi QL'!$H$9="Nam",VLOOKUP(VTLCOI!$I$3,VTLCOI!$D$3:$F$103,2,0)*S4/1000/12,IF('Tinh phi QL'!$H$9="Nữ",VLOOKUP(VTLCOI!$I$3,VTLCOI!$D$3:$F$103,3,0)*S4/1000/12,0))</f>
        <v>116.0994211225367</v>
      </c>
      <c r="S4" s="539">
        <f ca="1">$C$4-V3</f>
        <v>995137.89533602889</v>
      </c>
      <c r="T4" s="542">
        <f ca="1">(T3-O4-P4)*(1+VTL20namcamket!$P$3)</f>
        <v>4715.2213111179981</v>
      </c>
      <c r="V4" s="542">
        <f ca="1">(V3-O4-R4)*(1+VTL20namMH!$P$3)</f>
        <v>4723.6754086589726</v>
      </c>
    </row>
    <row r="5" spans="2:22" ht="9.75" customHeight="1">
      <c r="B5" s="252" t="s">
        <v>679</v>
      </c>
      <c r="C5" s="548">
        <f ca="1">'Hoach dinh tai chinh'!J7</f>
        <v>30</v>
      </c>
      <c r="D5" s="351">
        <v>2</v>
      </c>
      <c r="E5" s="351">
        <v>0.79200000000000004</v>
      </c>
      <c r="F5" s="351">
        <v>0.64</v>
      </c>
      <c r="H5" s="252">
        <v>3</v>
      </c>
      <c r="I5" s="548">
        <f t="shared" ref="I5:I68" ca="1" si="1">I4+1</f>
        <v>32</v>
      </c>
      <c r="K5" s="961"/>
      <c r="L5" s="1045"/>
      <c r="M5" s="252">
        <v>3</v>
      </c>
      <c r="N5" s="538">
        <f t="shared" ca="1" si="0"/>
        <v>995284.77868888201</v>
      </c>
      <c r="O5" s="538">
        <f ca="1">VTL20namcamket!F6</f>
        <v>40</v>
      </c>
      <c r="P5" s="539">
        <f ca="1">IF('Tinh phi QL'!$H$9="Nam",VLOOKUP(VTLCOI!$I$3,VTLCOI!$D$3:$F$103,2,0)*N5/1000/12,IF('Tinh phi QL'!$H$9="Nữ",VLOOKUP(VTLCOI!$I$3,VTLCOI!$D$3:$F$103,3,0)*N5/1000/12,0))</f>
        <v>116.1165575137029</v>
      </c>
      <c r="R5" s="539">
        <f ca="1">IF('Tinh phi QL'!$H$9="Nam",VLOOKUP(VTLCOI!$I$3,VTLCOI!$D$3:$F$103,2,0)*S5/1000/12,IF('Tinh phi QL'!$H$9="Nữ",VLOOKUP(VTLCOI!$I$3,VTLCOI!$D$3:$F$103,3,0)*S5/1000/12,0))</f>
        <v>116.11557120232311</v>
      </c>
      <c r="S5" s="539">
        <f t="shared" ref="S5:S68" ca="1" si="2">$C$4-V4</f>
        <v>995276.32459134108</v>
      </c>
      <c r="T5" s="542">
        <f ca="1">(T4-O5-P5)*(1+VTL20namcamket!$P$3)</f>
        <v>4572.1934816015537</v>
      </c>
      <c r="V5" s="542">
        <f ca="1">(V4-O5-R5)*(1+VTL20namMH!$P$3)</f>
        <v>4584.7101667724455</v>
      </c>
    </row>
    <row r="6" spans="2:22" ht="9.75" customHeight="1">
      <c r="C6" s="417"/>
      <c r="D6" s="351">
        <v>3</v>
      </c>
      <c r="E6" s="351">
        <v>0.77600000000000002</v>
      </c>
      <c r="F6" s="351">
        <v>0.624</v>
      </c>
      <c r="H6" s="252">
        <v>4</v>
      </c>
      <c r="I6" s="548">
        <f t="shared" ca="1" si="1"/>
        <v>33</v>
      </c>
      <c r="K6" s="961"/>
      <c r="L6" s="1045"/>
      <c r="M6" s="252">
        <v>4</v>
      </c>
      <c r="N6" s="538">
        <f t="shared" ca="1" si="0"/>
        <v>995427.80651839846</v>
      </c>
      <c r="O6" s="538">
        <f ca="1">VTL20namcamket!F7</f>
        <v>40</v>
      </c>
      <c r="P6" s="539">
        <f ca="1">IF('Tinh phi QL'!$H$9="Nam",VLOOKUP(VTLCOI!$I$3,VTLCOI!$D$3:$F$103,2,0)*N6/1000/12,IF('Tinh phi QL'!$H$9="Nữ",VLOOKUP(VTLCOI!$I$3,VTLCOI!$D$3:$F$103,3,0)*N6/1000/12,0))</f>
        <v>116.13324409381313</v>
      </c>
      <c r="R6" s="539">
        <f ca="1">IF('Tinh phi QL'!$H$9="Nam",VLOOKUP(VTLCOI!$I$3,VTLCOI!$D$3:$F$103,2,0)*S6/1000/12,IF('Tinh phi QL'!$H$9="Nữ",VLOOKUP(VTLCOI!$I$3,VTLCOI!$D$3:$F$103,3,0)*S6/1000/12,0))</f>
        <v>116.13178381387655</v>
      </c>
      <c r="S6" s="539">
        <f t="shared" ca="1" si="2"/>
        <v>995415.28983322752</v>
      </c>
      <c r="T6" s="542">
        <f ca="1">(T5-O6-P6)*(1+VTL20namcamket!$P$3)</f>
        <v>4428.7382991869672</v>
      </c>
      <c r="V6" s="542">
        <f ca="1">(V5-O6-R6)*(1+VTL20namMH!$P$3)</f>
        <v>4445.206863016062</v>
      </c>
    </row>
    <row r="7" spans="2:22" ht="9.75" customHeight="1">
      <c r="C7" s="258"/>
      <c r="D7" s="351">
        <v>4</v>
      </c>
      <c r="E7" s="351">
        <v>0.74399999999999999</v>
      </c>
      <c r="F7" s="351">
        <v>0.61599999999999999</v>
      </c>
      <c r="H7" s="252">
        <v>5</v>
      </c>
      <c r="I7" s="548">
        <f t="shared" ca="1" si="1"/>
        <v>34</v>
      </c>
      <c r="K7" s="961"/>
      <c r="L7" s="1045"/>
      <c r="M7" s="252">
        <v>5</v>
      </c>
      <c r="N7" s="538">
        <f t="shared" ca="1" si="0"/>
        <v>995571.26170081308</v>
      </c>
      <c r="O7" s="538">
        <f ca="1">VTL20namcamket!F8</f>
        <v>40</v>
      </c>
      <c r="P7" s="539">
        <f ca="1">IF('Tinh phi QL'!$H$9="Nam",VLOOKUP(VTLCOI!$I$3,VTLCOI!$D$3:$F$103,2,0)*N7/1000/12,IF('Tinh phi QL'!$H$9="Nữ",VLOOKUP(VTLCOI!$I$3,VTLCOI!$D$3:$F$103,3,0)*N7/1000/12,0))</f>
        <v>116.14998053176151</v>
      </c>
      <c r="R7" s="539">
        <f ca="1">IF('Tinh phi QL'!$H$9="Nam",VLOOKUP(VTLCOI!$I$3,VTLCOI!$D$3:$F$103,2,0)*S7/1000/12,IF('Tinh phi QL'!$H$9="Nữ",VLOOKUP(VTLCOI!$I$3,VTLCOI!$D$3:$F$103,3,0)*S7/1000/12,0))</f>
        <v>116.1480591993148</v>
      </c>
      <c r="S7" s="539">
        <f t="shared" ca="1" si="2"/>
        <v>995554.79313698399</v>
      </c>
      <c r="T7" s="542">
        <f ca="1">(T6-O7-P7)*(1+VTL20namcamket!$P$3)</f>
        <v>4284.8544869863745</v>
      </c>
      <c r="V7" s="542">
        <f ca="1">(V6-O7-R7)*(1+VTL20namMH!$P$3)</f>
        <v>4305.1634140589704</v>
      </c>
    </row>
    <row r="8" spans="2:22" ht="9.75" customHeight="1">
      <c r="C8" s="258"/>
      <c r="D8" s="351">
        <v>5</v>
      </c>
      <c r="E8" s="351">
        <v>0.70399999999999996</v>
      </c>
      <c r="F8" s="351">
        <v>0.6</v>
      </c>
      <c r="H8" s="252">
        <v>6</v>
      </c>
      <c r="I8" s="548">
        <f t="shared" ca="1" si="1"/>
        <v>35</v>
      </c>
      <c r="K8" s="961"/>
      <c r="L8" s="1045"/>
      <c r="M8" s="252">
        <v>6</v>
      </c>
      <c r="N8" s="538">
        <f t="shared" ca="1" si="0"/>
        <v>995715.14551301359</v>
      </c>
      <c r="O8" s="538">
        <f ca="1">VTL20namcamket!F9</f>
        <v>40</v>
      </c>
      <c r="P8" s="539">
        <f ca="1">IF('Tinh phi QL'!$H$9="Nam",VLOOKUP(VTLCOI!$I$3,VTLCOI!$D$3:$F$103,2,0)*N8/1000/12,IF('Tinh phi QL'!$H$9="Nữ",VLOOKUP(VTLCOI!$I$3,VTLCOI!$D$3:$F$103,3,0)*N8/1000/12,0))</f>
        <v>116.16676697651825</v>
      </c>
      <c r="R8" s="539">
        <f ca="1">IF('Tinh phi QL'!$H$9="Nam",VLOOKUP(VTLCOI!$I$3,VTLCOI!$D$3:$F$103,2,0)*S8/1000/12,IF('Tinh phi QL'!$H$9="Nữ",VLOOKUP(VTLCOI!$I$3,VTLCOI!$D$3:$F$103,3,0)*S8/1000/12,0))</f>
        <v>116.16439760169311</v>
      </c>
      <c r="S8" s="539">
        <f t="shared" ca="1" si="2"/>
        <v>995694.83658594103</v>
      </c>
      <c r="T8" s="542">
        <f ca="1">(T7-O8-P8)*(1+VTL20namcamket!$P$3)</f>
        <v>4140.5407642967002</v>
      </c>
      <c r="V8" s="542">
        <f ca="1">(V7-O8-R8)*(1+VTL20namMH!$P$3)</f>
        <v>4164.5777285038348</v>
      </c>
    </row>
    <row r="9" spans="2:22" ht="9.75" customHeight="1">
      <c r="B9" s="253"/>
      <c r="C9" s="253"/>
      <c r="D9" s="351">
        <v>6</v>
      </c>
      <c r="E9" s="351">
        <v>0.66400000000000003</v>
      </c>
      <c r="F9" s="351">
        <v>0.58399999999999996</v>
      </c>
      <c r="H9" s="252">
        <v>7</v>
      </c>
      <c r="I9" s="548">
        <f t="shared" ca="1" si="1"/>
        <v>36</v>
      </c>
      <c r="K9" s="961"/>
      <c r="L9" s="1045"/>
      <c r="M9" s="252">
        <v>7</v>
      </c>
      <c r="N9" s="538">
        <f t="shared" ca="1" si="0"/>
        <v>995859.45923570334</v>
      </c>
      <c r="O9" s="538">
        <f ca="1">VTL20namcamket!F10</f>
        <v>40</v>
      </c>
      <c r="P9" s="539">
        <f ca="1">IF('Tinh phi QL'!$H$9="Nam",VLOOKUP(VTLCOI!$I$3,VTLCOI!$D$3:$F$103,2,0)*N9/1000/12,IF('Tinh phi QL'!$H$9="Nữ",VLOOKUP(VTLCOI!$I$3,VTLCOI!$D$3:$F$103,3,0)*N9/1000/12,0))</f>
        <v>116.18360357749872</v>
      </c>
      <c r="R9" s="539">
        <f ca="1">IF('Tinh phi QL'!$H$9="Nam",VLOOKUP(VTLCOI!$I$3,VTLCOI!$D$3:$F$103,2,0)*S9/1000/12,IF('Tinh phi QL'!$H$9="Nữ",VLOOKUP(VTLCOI!$I$3,VTLCOI!$D$3:$F$103,3,0)*S9/1000/12,0))</f>
        <v>116.18079926500788</v>
      </c>
      <c r="S9" s="539">
        <f t="shared" ca="1" si="2"/>
        <v>995835.42227149615</v>
      </c>
      <c r="T9" s="542">
        <f ca="1">(T8-O9-P9)*(1+VTL20namcamket!$P$3)</f>
        <v>3995.7958465882543</v>
      </c>
      <c r="V9" s="542">
        <f ca="1">(V8-O9-R9)*(1+VTL20namMH!$P$3)</f>
        <v>4023.4477068556016</v>
      </c>
    </row>
    <row r="10" spans="2:22" ht="9.75" customHeight="1">
      <c r="D10" s="351">
        <v>7</v>
      </c>
      <c r="E10" s="351">
        <v>0.624</v>
      </c>
      <c r="F10" s="351">
        <v>0.56799999999999995</v>
      </c>
      <c r="H10" s="252">
        <v>8</v>
      </c>
      <c r="I10" s="548">
        <f t="shared" ca="1" si="1"/>
        <v>37</v>
      </c>
      <c r="K10" s="961"/>
      <c r="L10" s="1045"/>
      <c r="M10" s="252">
        <v>8</v>
      </c>
      <c r="N10" s="538">
        <f t="shared" ca="1" si="0"/>
        <v>996004.20415341179</v>
      </c>
      <c r="O10" s="538">
        <f ca="1">VTL20namcamket!F11</f>
        <v>40</v>
      </c>
      <c r="P10" s="539">
        <f ca="1">IF('Tinh phi QL'!$H$9="Nam",VLOOKUP(VTLCOI!$I$3,VTLCOI!$D$3:$F$103,2,0)*N10/1000/12,IF('Tinh phi QL'!$H$9="Nữ",VLOOKUP(VTLCOI!$I$3,VTLCOI!$D$3:$F$103,3,0)*N10/1000/12,0))</f>
        <v>116.2004904845647</v>
      </c>
      <c r="R10" s="539">
        <f ca="1">IF('Tinh phi QL'!$H$9="Nam",VLOOKUP(VTLCOI!$I$3,VTLCOI!$D$3:$F$103,2,0)*S10/1000/12,IF('Tinh phi QL'!$H$9="Nữ",VLOOKUP(VTLCOI!$I$3,VTLCOI!$D$3:$F$103,3,0)*S10/1000/12,0))</f>
        <v>116.19726443420016</v>
      </c>
      <c r="S10" s="539">
        <f t="shared" ca="1" si="2"/>
        <v>995976.5522931444</v>
      </c>
      <c r="T10" s="542">
        <f ca="1">(T9-O10-P10)*(1+VTL20namcamket!$P$3)</f>
        <v>3850.6184454933</v>
      </c>
      <c r="V10" s="542">
        <f ca="1">(V9-O10-R10)*(1+VTL20namMH!$P$3)</f>
        <v>3881.7712414901484</v>
      </c>
    </row>
    <row r="11" spans="2:22" ht="9.75" customHeight="1">
      <c r="B11" s="259"/>
      <c r="C11" s="260"/>
      <c r="D11" s="351">
        <v>8</v>
      </c>
      <c r="E11" s="351">
        <v>0.6</v>
      </c>
      <c r="F11" s="351">
        <v>0.56000000000000005</v>
      </c>
      <c r="H11" s="252">
        <v>9</v>
      </c>
      <c r="I11" s="548">
        <f t="shared" ca="1" si="1"/>
        <v>38</v>
      </c>
      <c r="K11" s="961"/>
      <c r="L11" s="1045"/>
      <c r="M11" s="252">
        <v>9</v>
      </c>
      <c r="N11" s="538">
        <f t="shared" ca="1" si="0"/>
        <v>996149.38155450672</v>
      </c>
      <c r="O11" s="538">
        <f ca="1">VTL20namcamket!F12</f>
        <v>40</v>
      </c>
      <c r="P11" s="539">
        <f ca="1">IF('Tinh phi QL'!$H$9="Nam",VLOOKUP(VTLCOI!$I$3,VTLCOI!$D$3:$F$103,2,0)*N11/1000/12,IF('Tinh phi QL'!$H$9="Nữ",VLOOKUP(VTLCOI!$I$3,VTLCOI!$D$3:$F$103,3,0)*N11/1000/12,0))</f>
        <v>116.21742784802576</v>
      </c>
      <c r="R11" s="539">
        <f ca="1">IF('Tinh phi QL'!$H$9="Nam",VLOOKUP(VTLCOI!$I$3,VTLCOI!$D$3:$F$103,2,0)*S11/1000/12,IF('Tinh phi QL'!$H$9="Nữ",VLOOKUP(VTLCOI!$I$3,VTLCOI!$D$3:$F$103,3,0)*S11/1000/12,0))</f>
        <v>116.21379335515947</v>
      </c>
      <c r="S11" s="539">
        <f t="shared" ca="1" si="2"/>
        <v>996118.22875850985</v>
      </c>
      <c r="T11" s="542">
        <f ca="1">(T10-O11-P11)*(1+VTL20namcamket!$P$3)</f>
        <v>3705.0072687945876</v>
      </c>
      <c r="V11" s="542">
        <f ca="1">(V10-O11-R11)*(1+VTL20namMH!$P$3)</f>
        <v>3739.5462166228062</v>
      </c>
    </row>
    <row r="12" spans="2:22" ht="9.75" customHeight="1">
      <c r="C12" s="261"/>
      <c r="D12" s="351">
        <v>9</v>
      </c>
      <c r="E12" s="351">
        <v>0.59199999999999997</v>
      </c>
      <c r="F12" s="351">
        <v>0.55200000000000005</v>
      </c>
      <c r="H12" s="252">
        <v>10</v>
      </c>
      <c r="I12" s="548">
        <f t="shared" ca="1" si="1"/>
        <v>39</v>
      </c>
      <c r="K12" s="961"/>
      <c r="L12" s="1045"/>
      <c r="M12" s="252">
        <v>10</v>
      </c>
      <c r="N12" s="538">
        <f t="shared" ca="1" si="0"/>
        <v>996294.99273120542</v>
      </c>
      <c r="O12" s="538">
        <f ca="1">VTL20namcamket!F13</f>
        <v>40</v>
      </c>
      <c r="P12" s="539">
        <f ca="1">IF('Tinh phi QL'!$H$9="Nam",VLOOKUP(VTLCOI!$I$3,VTLCOI!$D$3:$F$103,2,0)*N12/1000/12,IF('Tinh phi QL'!$H$9="Nữ",VLOOKUP(VTLCOI!$I$3,VTLCOI!$D$3:$F$103,3,0)*N12/1000/12,0))</f>
        <v>116.23441581864063</v>
      </c>
      <c r="R12" s="539">
        <f ca="1">IF('Tinh phi QL'!$H$9="Nam",VLOOKUP(VTLCOI!$I$3,VTLCOI!$D$3:$F$103,2,0)*S12/1000/12,IF('Tinh phi QL'!$H$9="Nữ",VLOOKUP(VTLCOI!$I$3,VTLCOI!$D$3:$F$103,3,0)*S12/1000/12,0))</f>
        <v>116.23038627472734</v>
      </c>
      <c r="S12" s="539">
        <f t="shared" ca="1" si="2"/>
        <v>996260.45378337719</v>
      </c>
      <c r="T12" s="542">
        <f ca="1">(T11-O12-P12)*(1+VTL20namcamket!$P$3)</f>
        <v>3558.9610204138494</v>
      </c>
      <c r="V12" s="542">
        <f ca="1">(V11-O12-R12)*(1+VTL20namMH!$P$3)</f>
        <v>3596.7705082767638</v>
      </c>
    </row>
    <row r="13" spans="2:22" ht="9.75" customHeight="1">
      <c r="D13" s="351">
        <v>10</v>
      </c>
      <c r="E13" s="351">
        <v>0.6</v>
      </c>
      <c r="F13" s="351">
        <v>0.54400000000000004</v>
      </c>
      <c r="H13" s="252">
        <v>11</v>
      </c>
      <c r="I13" s="548">
        <f t="shared" ca="1" si="1"/>
        <v>40</v>
      </c>
      <c r="K13" s="961"/>
      <c r="L13" s="1045"/>
      <c r="M13" s="252">
        <v>11</v>
      </c>
      <c r="N13" s="538">
        <f t="shared" ca="1" si="0"/>
        <v>996441.0389795861</v>
      </c>
      <c r="O13" s="538">
        <f ca="1">VTL20namcamket!F14</f>
        <v>40</v>
      </c>
      <c r="P13" s="539">
        <f ca="1">IF('Tinh phi QL'!$H$9="Nam",VLOOKUP(VTLCOI!$I$3,VTLCOI!$D$3:$F$103,2,0)*N13/1000/12,IF('Tinh phi QL'!$H$9="Nữ",VLOOKUP(VTLCOI!$I$3,VTLCOI!$D$3:$F$103,3,0)*N13/1000/12,0))</f>
        <v>116.25145454761838</v>
      </c>
      <c r="R13" s="539">
        <f ca="1">IF('Tinh phi QL'!$H$9="Nam",VLOOKUP(VTLCOI!$I$3,VTLCOI!$D$3:$F$103,2,0)*S13/1000/12,IF('Tinh phi QL'!$H$9="Nữ",VLOOKUP(VTLCOI!$I$3,VTLCOI!$D$3:$F$103,3,0)*S13/1000/12,0))</f>
        <v>116.24704344070103</v>
      </c>
      <c r="S13" s="539">
        <f t="shared" ca="1" si="2"/>
        <v>996403.22949172324</v>
      </c>
      <c r="T13" s="542">
        <f ca="1">(T12-O13-P13)*(1+VTL20namcamket!$P$3)</f>
        <v>3412.4784004002663</v>
      </c>
      <c r="V13" s="542">
        <f ca="1">(V12-O13-R13)*(1+VTL20namMH!$P$3)</f>
        <v>3453.4419842513485</v>
      </c>
    </row>
    <row r="14" spans="2:22" ht="9.75" customHeight="1">
      <c r="D14" s="351">
        <v>11</v>
      </c>
      <c r="E14" s="351">
        <v>0.64800000000000002</v>
      </c>
      <c r="F14" s="351">
        <v>0.56000000000000005</v>
      </c>
      <c r="H14" s="252">
        <v>12</v>
      </c>
      <c r="I14" s="548">
        <f t="shared" ca="1" si="1"/>
        <v>41</v>
      </c>
      <c r="K14" s="961"/>
      <c r="L14" s="1045"/>
      <c r="M14" s="252">
        <v>12</v>
      </c>
      <c r="N14" s="538">
        <f t="shared" ca="1" si="0"/>
        <v>996587.52159959974</v>
      </c>
      <c r="O14" s="538">
        <f ca="1">VTL20namcamket!F15</f>
        <v>40</v>
      </c>
      <c r="P14" s="539">
        <f ca="1">IF('Tinh phi QL'!$H$9="Nam",VLOOKUP(VTLCOI!$I$3,VTLCOI!$D$3:$F$103,2,0)*N14/1000/12,IF('Tinh phi QL'!$H$9="Nữ",VLOOKUP(VTLCOI!$I$3,VTLCOI!$D$3:$F$103,3,0)*N14/1000/12,0))</f>
        <v>116.26854418661996</v>
      </c>
      <c r="R14" s="539">
        <f ca="1">IF('Tinh phi QL'!$H$9="Nam",VLOOKUP(VTLCOI!$I$3,VTLCOI!$D$3:$F$103,2,0)*S14/1000/12,IF('Tinh phi QL'!$H$9="Nữ",VLOOKUP(VTLCOI!$I$3,VTLCOI!$D$3:$F$103,3,0)*S14/1000/12,0))</f>
        <v>116.26376510183734</v>
      </c>
      <c r="S14" s="539">
        <f t="shared" ca="1" si="2"/>
        <v>996546.55801574863</v>
      </c>
      <c r="T14" s="543">
        <f ca="1">(T13-O14-P14)*(1+VTL20namcamket!$P$3)</f>
        <v>3265.5581049188945</v>
      </c>
      <c r="V14" s="543">
        <f ca="1">(V13-O14-R14)*(1+VTL20namMH!$P$3)</f>
        <v>3309.5585040901838</v>
      </c>
    </row>
    <row r="15" spans="2:22" ht="9.75" customHeight="1">
      <c r="D15" s="351">
        <v>12</v>
      </c>
      <c r="E15" s="351">
        <v>0.73599999999999999</v>
      </c>
      <c r="F15" s="351">
        <v>0.58399999999999996</v>
      </c>
      <c r="H15" s="252">
        <v>13</v>
      </c>
      <c r="I15" s="548">
        <f t="shared" ca="1" si="1"/>
        <v>42</v>
      </c>
      <c r="K15" s="1043">
        <f>K3+1</f>
        <v>2</v>
      </c>
      <c r="L15" s="1045">
        <f ca="1">L3+1</f>
        <v>31</v>
      </c>
      <c r="M15" s="262">
        <v>13</v>
      </c>
      <c r="N15" s="540">
        <f ca="1">$C$4-T14-VTLGTTKcamket!F8</f>
        <v>989734.44189508108</v>
      </c>
      <c r="O15" s="538">
        <f ca="1">VTL20namcamket!F16</f>
        <v>40</v>
      </c>
      <c r="P15" s="541">
        <f ca="1">IF('Tinh phi QL'!$H$9="Nam",VLOOKUP(VTLCOI!$I$4,VTLCOI!$D$3:$F$103,2,0)*N15/1000/12,IF('Tinh phi QL'!$H$9="Nữ",VLOOKUP(VTLCOI!$I$4,VTLCOI!$D$3:$F$103,3,0)*N15/1000/12,0))</f>
        <v>118.76813302740972</v>
      </c>
      <c r="Q15" s="455"/>
      <c r="R15" s="539">
        <f ca="1">IF('Tinh phi QL'!$H$9="Nam",VLOOKUP(VTLCOI!$I$4,VTLCOI!$D$3:$F$103,2,0)*S15/1000/12,IF('Tinh phi QL'!$H$9="Nữ",VLOOKUP(VTLCOI!$I$4,VTLCOI!$D$3:$F$103,3,0)*S15/1000/12,0))</f>
        <v>118.76285297950919</v>
      </c>
      <c r="S15" s="541">
        <f ca="1">$C$4-V14-VTLGTTKMH!F8</f>
        <v>989690.44149590982</v>
      </c>
      <c r="T15" s="544">
        <f ca="1">(T14+VTLGTTKcamket!F8-O15-P15)*(1+VTL20namcamket!Q3)</f>
        <v>10131.716042494183</v>
      </c>
      <c r="U15" s="264"/>
      <c r="V15" s="542">
        <f ca="1">(V14+VTLGTTKMH!F8-O15-R15)*(1+VTL20namMH!$P$3)</f>
        <v>10188.90998226979</v>
      </c>
    </row>
    <row r="16" spans="2:22" ht="9.75" customHeight="1">
      <c r="D16" s="351">
        <v>13</v>
      </c>
      <c r="E16" s="351">
        <v>0.85599999999999998</v>
      </c>
      <c r="F16" s="351">
        <v>0.61599999999999999</v>
      </c>
      <c r="H16" s="252">
        <v>14</v>
      </c>
      <c r="I16" s="548">
        <f t="shared" ca="1" si="1"/>
        <v>43</v>
      </c>
      <c r="K16" s="1043"/>
      <c r="L16" s="1045"/>
      <c r="M16" s="262">
        <v>14</v>
      </c>
      <c r="N16" s="540">
        <f ca="1">$C$4-T15</f>
        <v>989868.28395750583</v>
      </c>
      <c r="O16" s="538">
        <f ca="1">VTL20namcamket!F17</f>
        <v>40</v>
      </c>
      <c r="P16" s="541">
        <f ca="1">IF('Tinh phi QL'!$H$9="Nam",VLOOKUP(VTLCOI!$I$4,VTLCOI!$D$3:$F$103,2,0)*N16/1000/12,IF('Tinh phi QL'!$H$9="Nữ",VLOOKUP(VTLCOI!$I$4,VTLCOI!$D$3:$F$103,3,0)*N16/1000/12,0))</f>
        <v>118.78419407490071</v>
      </c>
      <c r="Q16" s="455"/>
      <c r="R16" s="539">
        <f ca="1">IF('Tinh phi QL'!$H$9="Nam",VLOOKUP(VTLCOI!$I$4,VTLCOI!$D$3:$F$103,2,0)*S16/1000/12,IF('Tinh phi QL'!$H$9="Nữ",VLOOKUP(VTLCOI!$I$4,VTLCOI!$D$3:$F$103,3,0)*S16/1000/12,0))</f>
        <v>118.77733080212762</v>
      </c>
      <c r="S16" s="541">
        <f ca="1">$C$4-V15</f>
        <v>989811.09001773025</v>
      </c>
      <c r="T16" s="544">
        <f ca="1">(T15-O16-P16)*(1+VTL20namcamket!$Q$3)</f>
        <v>9997.5277887782831</v>
      </c>
      <c r="U16" s="264"/>
      <c r="V16" s="542">
        <f ca="1">(V15-O16-R16)*(1+VTL20namMH!$P$3)</f>
        <v>10067.793915725904</v>
      </c>
    </row>
    <row r="17" spans="4:22" ht="9.75" customHeight="1">
      <c r="D17" s="351">
        <v>14</v>
      </c>
      <c r="E17" s="351">
        <v>0.99199999999999999</v>
      </c>
      <c r="F17" s="351">
        <v>0.65600000000000003</v>
      </c>
      <c r="H17" s="252">
        <v>15</v>
      </c>
      <c r="I17" s="548">
        <f t="shared" ca="1" si="1"/>
        <v>44</v>
      </c>
      <c r="K17" s="1043"/>
      <c r="L17" s="1045"/>
      <c r="M17" s="262">
        <v>15</v>
      </c>
      <c r="N17" s="540">
        <f t="shared" ref="N17:N26" ca="1" si="3">$C$4-T16</f>
        <v>990002.4722112217</v>
      </c>
      <c r="O17" s="538">
        <f ca="1">VTL20namcamket!F18</f>
        <v>40</v>
      </c>
      <c r="P17" s="541">
        <f ca="1">IF('Tinh phi QL'!$H$9="Nam",VLOOKUP(VTLCOI!$I$4,VTLCOI!$D$3:$F$103,2,0)*N17/1000/12,IF('Tinh phi QL'!$H$9="Nữ",VLOOKUP(VTLCOI!$I$4,VTLCOI!$D$3:$F$103,3,0)*N17/1000/12,0))</f>
        <v>118.80029666534659</v>
      </c>
      <c r="Q17" s="455"/>
      <c r="R17" s="539">
        <f ca="1">IF('Tinh phi QL'!$H$9="Nam",VLOOKUP(VTLCOI!$I$4,VTLCOI!$D$3:$F$103,2,0)*S17/1000/12,IF('Tinh phi QL'!$H$9="Nữ",VLOOKUP(VTLCOI!$I$4,VTLCOI!$D$3:$F$103,3,0)*S17/1000/12,0))</f>
        <v>118.79186473011289</v>
      </c>
      <c r="S17" s="541">
        <f t="shared" ca="1" si="2"/>
        <v>989932.2060842741</v>
      </c>
      <c r="T17" s="544">
        <f ca="1">(T16-O17-P17)*(1+VTL20namcamket!$Q$3)</f>
        <v>9862.9924483246687</v>
      </c>
      <c r="U17" s="264"/>
      <c r="V17" s="542">
        <f ca="1">(V16-O17-R17)*(1+VTL20namMH!$P$3)</f>
        <v>9946.2084925998734</v>
      </c>
    </row>
    <row r="18" spans="4:22" ht="9.75" customHeight="1">
      <c r="D18" s="351">
        <v>15</v>
      </c>
      <c r="E18" s="351">
        <v>1.1359999999999999</v>
      </c>
      <c r="F18" s="351">
        <v>0.69599999999999995</v>
      </c>
      <c r="H18" s="252">
        <v>16</v>
      </c>
      <c r="I18" s="548">
        <f t="shared" ca="1" si="1"/>
        <v>45</v>
      </c>
      <c r="K18" s="1043"/>
      <c r="L18" s="1045"/>
      <c r="M18" s="262">
        <v>16</v>
      </c>
      <c r="N18" s="540">
        <f t="shared" ca="1" si="3"/>
        <v>990137.00755167531</v>
      </c>
      <c r="O18" s="538">
        <f ca="1">VTL20namcamket!F19</f>
        <v>40</v>
      </c>
      <c r="P18" s="541">
        <f ca="1">IF('Tinh phi QL'!$H$9="Nam",VLOOKUP(VTLCOI!$I$4,VTLCOI!$D$3:$F$103,2,0)*N18/1000/12,IF('Tinh phi QL'!$H$9="Nữ",VLOOKUP(VTLCOI!$I$4,VTLCOI!$D$3:$F$103,3,0)*N18/1000/12,0))</f>
        <v>118.81644090620102</v>
      </c>
      <c r="Q18" s="455"/>
      <c r="R18" s="539">
        <f ca="1">IF('Tinh phi QL'!$H$9="Nam",VLOOKUP(VTLCOI!$I$4,VTLCOI!$D$3:$F$103,2,0)*S18/1000/12,IF('Tinh phi QL'!$H$9="Nữ",VLOOKUP(VTLCOI!$I$4,VTLCOI!$D$3:$F$103,3,0)*S18/1000/12,0))</f>
        <v>118.80645498088802</v>
      </c>
      <c r="S18" s="541">
        <f t="shared" ca="1" si="2"/>
        <v>990053.79150740011</v>
      </c>
      <c r="T18" s="544">
        <f ca="1">(T17-O18-P18)*(1+VTL20namcamket!$Q$3)</f>
        <v>9728.1091233706793</v>
      </c>
      <c r="U18" s="264"/>
      <c r="V18" s="542">
        <f ca="1">(V17-O18-R18)*(1+VTL20namMH!$P$3)</f>
        <v>9824.1518940116111</v>
      </c>
    </row>
    <row r="19" spans="4:22" ht="9.75" customHeight="1">
      <c r="D19" s="351">
        <v>16</v>
      </c>
      <c r="E19" s="351">
        <v>1.272</v>
      </c>
      <c r="F19" s="351">
        <v>0.73599999999999999</v>
      </c>
      <c r="H19" s="252">
        <v>17</v>
      </c>
      <c r="I19" s="548">
        <f t="shared" ca="1" si="1"/>
        <v>46</v>
      </c>
      <c r="K19" s="1043"/>
      <c r="L19" s="1045"/>
      <c r="M19" s="262">
        <v>17</v>
      </c>
      <c r="N19" s="540">
        <f t="shared" ca="1" si="3"/>
        <v>990271.89087662927</v>
      </c>
      <c r="O19" s="538">
        <f ca="1">VTL20namcamket!F20</f>
        <v>40</v>
      </c>
      <c r="P19" s="541">
        <f ca="1">IF('Tinh phi QL'!$H$9="Nam",VLOOKUP(VTLCOI!$I$4,VTLCOI!$D$3:$F$103,2,0)*N19/1000/12,IF('Tinh phi QL'!$H$9="Nữ",VLOOKUP(VTLCOI!$I$4,VTLCOI!$D$3:$F$103,3,0)*N19/1000/12,0))</f>
        <v>118.83262690519551</v>
      </c>
      <c r="Q19" s="455"/>
      <c r="R19" s="539">
        <f ca="1">IF('Tinh phi QL'!$H$9="Nam",VLOOKUP(VTLCOI!$I$4,VTLCOI!$D$3:$F$103,2,0)*S19/1000/12,IF('Tinh phi QL'!$H$9="Nữ",VLOOKUP(VTLCOI!$I$4,VTLCOI!$D$3:$F$103,3,0)*S19/1000/12,0))</f>
        <v>118.82110177271859</v>
      </c>
      <c r="S19" s="541">
        <f t="shared" ca="1" si="2"/>
        <v>990175.84810598835</v>
      </c>
      <c r="T19" s="544">
        <f ca="1">(T18-O19-P19)*(1+VTL20namcamket!$Q$3)</f>
        <v>9592.8769138315329</v>
      </c>
      <c r="U19" s="264"/>
      <c r="V19" s="542">
        <f ca="1">(V18-O19-R19)*(1+VTL20namMH!$P$3)</f>
        <v>9701.6222940323969</v>
      </c>
    </row>
    <row r="20" spans="4:22" ht="9.75" customHeight="1">
      <c r="D20" s="351">
        <v>17</v>
      </c>
      <c r="E20" s="351">
        <v>1.3759999999999999</v>
      </c>
      <c r="F20" s="351">
        <v>0.76800000000000002</v>
      </c>
      <c r="H20" s="252">
        <v>18</v>
      </c>
      <c r="I20" s="548">
        <f t="shared" ca="1" si="1"/>
        <v>47</v>
      </c>
      <c r="K20" s="1043"/>
      <c r="L20" s="1045"/>
      <c r="M20" s="262">
        <v>18</v>
      </c>
      <c r="N20" s="540">
        <f t="shared" ca="1" si="3"/>
        <v>990407.12308616843</v>
      </c>
      <c r="O20" s="538">
        <f ca="1">VTL20namcamket!F21</f>
        <v>40</v>
      </c>
      <c r="P20" s="541">
        <f ca="1">IF('Tinh phi QL'!$H$9="Nam",VLOOKUP(VTLCOI!$I$4,VTLCOI!$D$3:$F$103,2,0)*N20/1000/12,IF('Tinh phi QL'!$H$9="Nữ",VLOOKUP(VTLCOI!$I$4,VTLCOI!$D$3:$F$103,3,0)*N20/1000/12,0))</f>
        <v>118.8488547703402</v>
      </c>
      <c r="Q20" s="455"/>
      <c r="R20" s="539">
        <f ca="1">IF('Tinh phi QL'!$H$9="Nam",VLOOKUP(VTLCOI!$I$4,VTLCOI!$D$3:$F$103,2,0)*S20/1000/12,IF('Tinh phi QL'!$H$9="Nữ",VLOOKUP(VTLCOI!$I$4,VTLCOI!$D$3:$F$103,3,0)*S20/1000/12,0))</f>
        <v>118.83580532471611</v>
      </c>
      <c r="S20" s="541">
        <f t="shared" ca="1" si="2"/>
        <v>990298.37770596764</v>
      </c>
      <c r="T20" s="544">
        <f ca="1">(T19-O20-P20)*(1+VTL20namcamket!$Q$3)</f>
        <v>9457.2949172943208</v>
      </c>
      <c r="U20" s="264"/>
      <c r="V20" s="542">
        <f ca="1">(V19-O20-R20)*(1+VTL20namMH!$P$3)</f>
        <v>9578.6178596575573</v>
      </c>
    </row>
    <row r="21" spans="4:22" ht="9.75" customHeight="1">
      <c r="D21" s="351">
        <v>18</v>
      </c>
      <c r="E21" s="351">
        <v>1.456</v>
      </c>
      <c r="F21" s="351">
        <v>0.8</v>
      </c>
      <c r="H21" s="252">
        <v>19</v>
      </c>
      <c r="I21" s="548">
        <f t="shared" ca="1" si="1"/>
        <v>48</v>
      </c>
      <c r="K21" s="1043"/>
      <c r="L21" s="1045"/>
      <c r="M21" s="262">
        <v>19</v>
      </c>
      <c r="N21" s="540">
        <f t="shared" ca="1" si="3"/>
        <v>990542.70508270571</v>
      </c>
      <c r="O21" s="538">
        <f ca="1">VTL20namcamket!F22</f>
        <v>40</v>
      </c>
      <c r="P21" s="541">
        <f ca="1">IF('Tinh phi QL'!$H$9="Nam",VLOOKUP(VTLCOI!$I$4,VTLCOI!$D$3:$F$103,2,0)*N21/1000/12,IF('Tinh phi QL'!$H$9="Nữ",VLOOKUP(VTLCOI!$I$4,VTLCOI!$D$3:$F$103,3,0)*N21/1000/12,0))</f>
        <v>118.86512460992468</v>
      </c>
      <c r="Q21" s="455"/>
      <c r="R21" s="539">
        <f ca="1">IF('Tinh phi QL'!$H$9="Nam",VLOOKUP(VTLCOI!$I$4,VTLCOI!$D$3:$F$103,2,0)*S21/1000/12,IF('Tinh phi QL'!$H$9="Nữ",VLOOKUP(VTLCOI!$I$4,VTLCOI!$D$3:$F$103,3,0)*S21/1000/12,0))</f>
        <v>118.8505658568411</v>
      </c>
      <c r="S21" s="541">
        <f t="shared" ca="1" si="2"/>
        <v>990421.3821403425</v>
      </c>
      <c r="T21" s="544">
        <f ca="1">(T20-O21-P21)*(1+VTL20namcamket!$Q$3)</f>
        <v>9321.362229011982</v>
      </c>
      <c r="U21" s="264"/>
      <c r="V21" s="542">
        <f ca="1">(V20-O21-R21)*(1+VTL20namMH!$P$3)</f>
        <v>9455.1367507790419</v>
      </c>
    </row>
    <row r="22" spans="4:22" ht="9.75" customHeight="1">
      <c r="D22" s="351">
        <v>19</v>
      </c>
      <c r="E22" s="351">
        <v>1.504</v>
      </c>
      <c r="F22" s="351">
        <v>0.82399999999999995</v>
      </c>
      <c r="H22" s="252">
        <v>20</v>
      </c>
      <c r="I22" s="548">
        <f t="shared" ca="1" si="1"/>
        <v>49</v>
      </c>
      <c r="K22" s="1043"/>
      <c r="L22" s="1045"/>
      <c r="M22" s="262">
        <v>20</v>
      </c>
      <c r="N22" s="540">
        <f t="shared" ca="1" si="3"/>
        <v>990678.63777098805</v>
      </c>
      <c r="O22" s="538">
        <f ca="1">VTL20namcamket!F23</f>
        <v>40</v>
      </c>
      <c r="P22" s="541">
        <f ca="1">IF('Tinh phi QL'!$H$9="Nam",VLOOKUP(VTLCOI!$I$4,VTLCOI!$D$3:$F$103,2,0)*N22/1000/12,IF('Tinh phi QL'!$H$9="Nữ",VLOOKUP(VTLCOI!$I$4,VTLCOI!$D$3:$F$103,3,0)*N22/1000/12,0))</f>
        <v>118.88143653251855</v>
      </c>
      <c r="Q22" s="455"/>
      <c r="R22" s="539">
        <f ca="1">IF('Tinh phi QL'!$H$9="Nam",VLOOKUP(VTLCOI!$I$4,VTLCOI!$D$3:$F$103,2,0)*S22/1000/12,IF('Tinh phi QL'!$H$9="Nữ",VLOOKUP(VTLCOI!$I$4,VTLCOI!$D$3:$F$103,3,0)*S22/1000/12,0))</f>
        <v>118.86538358990651</v>
      </c>
      <c r="S22" s="541">
        <f t="shared" ca="1" si="2"/>
        <v>990544.863249221</v>
      </c>
      <c r="T22" s="544">
        <f ca="1">(T21-O22-P22)*(1+VTL20namcamket!$Q$3)</f>
        <v>9185.0779418972688</v>
      </c>
      <c r="U22" s="264"/>
      <c r="V22" s="542">
        <f ca="1">(V21-O22-R22)*(1+VTL20namMH!$P$3)</f>
        <v>9331.1771201578977</v>
      </c>
    </row>
    <row r="23" spans="4:22" ht="9.75" customHeight="1">
      <c r="D23" s="351">
        <v>20</v>
      </c>
      <c r="E23" s="351">
        <v>1.52</v>
      </c>
      <c r="F23" s="351">
        <v>0.84799999999999998</v>
      </c>
      <c r="H23" s="252">
        <v>21</v>
      </c>
      <c r="I23" s="548">
        <f t="shared" ca="1" si="1"/>
        <v>50</v>
      </c>
      <c r="K23" s="1043"/>
      <c r="L23" s="1045"/>
      <c r="M23" s="262">
        <v>21</v>
      </c>
      <c r="N23" s="540">
        <f t="shared" ca="1" si="3"/>
        <v>990814.92205810267</v>
      </c>
      <c r="O23" s="538">
        <f ca="1">VTL20namcamket!F24</f>
        <v>40</v>
      </c>
      <c r="P23" s="541">
        <f ca="1">IF('Tinh phi QL'!$H$9="Nam",VLOOKUP(VTLCOI!$I$4,VTLCOI!$D$3:$F$103,2,0)*N23/1000/12,IF('Tinh phi QL'!$H$9="Nữ",VLOOKUP(VTLCOI!$I$4,VTLCOI!$D$3:$F$103,3,0)*N23/1000/12,0))</f>
        <v>118.8977906469723</v>
      </c>
      <c r="Q23" s="455"/>
      <c r="R23" s="539">
        <f ca="1">IF('Tinh phi QL'!$H$9="Nam",VLOOKUP(VTLCOI!$I$4,VTLCOI!$D$3:$F$103,2,0)*S23/1000/12,IF('Tinh phi QL'!$H$9="Nữ",VLOOKUP(VTLCOI!$I$4,VTLCOI!$D$3:$F$103,3,0)*S23/1000/12,0))</f>
        <v>118.88025874558105</v>
      </c>
      <c r="S23" s="541">
        <f t="shared" ca="1" si="2"/>
        <v>990668.82287984213</v>
      </c>
      <c r="T23" s="544">
        <f ca="1">(T22-O23-P23)*(1+VTL20namcamket!$Q$3)</f>
        <v>9048.4411465166941</v>
      </c>
      <c r="U23" s="264"/>
      <c r="V23" s="542">
        <f ca="1">(V22-O23-R23)*(1+VTL20namMH!$P$3)</f>
        <v>9206.7371133966353</v>
      </c>
    </row>
    <row r="24" spans="4:22" ht="9.75" customHeight="1">
      <c r="D24" s="351">
        <v>21</v>
      </c>
      <c r="E24" s="351">
        <v>1.52</v>
      </c>
      <c r="F24" s="351">
        <v>0.86399999999999999</v>
      </c>
      <c r="H24" s="252">
        <v>22</v>
      </c>
      <c r="I24" s="548">
        <f t="shared" ca="1" si="1"/>
        <v>51</v>
      </c>
      <c r="K24" s="1043"/>
      <c r="L24" s="1045"/>
      <c r="M24" s="262">
        <v>22</v>
      </c>
      <c r="N24" s="540">
        <f t="shared" ca="1" si="3"/>
        <v>990951.55885348329</v>
      </c>
      <c r="O24" s="538">
        <f ca="1">VTL20namcamket!F25</f>
        <v>40</v>
      </c>
      <c r="P24" s="541">
        <f ca="1">IF('Tinh phi QL'!$H$9="Nam",VLOOKUP(VTLCOI!$I$4,VTLCOI!$D$3:$F$103,2,0)*N24/1000/12,IF('Tinh phi QL'!$H$9="Nữ",VLOOKUP(VTLCOI!$I$4,VTLCOI!$D$3:$F$103,3,0)*N24/1000/12,0))</f>
        <v>118.91418706241798</v>
      </c>
      <c r="Q24" s="455"/>
      <c r="R24" s="539">
        <f ca="1">IF('Tinh phi QL'!$H$9="Nam",VLOOKUP(VTLCOI!$I$4,VTLCOI!$D$3:$F$103,2,0)*S24/1000/12,IF('Tinh phi QL'!$H$9="Nữ",VLOOKUP(VTLCOI!$I$4,VTLCOI!$D$3:$F$103,3,0)*S24/1000/12,0))</f>
        <v>118.89519154639238</v>
      </c>
      <c r="S24" s="541">
        <f t="shared" ca="1" si="2"/>
        <v>990793.26288660336</v>
      </c>
      <c r="T24" s="544">
        <f ca="1">(T23-O24-P24)*(1+VTL20namcamket!$Q$3)</f>
        <v>8911.4509310844569</v>
      </c>
      <c r="U24" s="264"/>
      <c r="V24" s="542">
        <f ca="1">(V23-O24-R24)*(1+VTL20namMH!$P$3)</f>
        <v>9081.8148689114896</v>
      </c>
    </row>
    <row r="25" spans="4:22" ht="9.75" customHeight="1">
      <c r="D25" s="351">
        <v>22</v>
      </c>
      <c r="E25" s="351">
        <v>1.504</v>
      </c>
      <c r="F25" s="351">
        <v>0.88</v>
      </c>
      <c r="H25" s="252">
        <v>23</v>
      </c>
      <c r="I25" s="548">
        <f t="shared" ca="1" si="1"/>
        <v>52</v>
      </c>
      <c r="K25" s="1043"/>
      <c r="L25" s="1045"/>
      <c r="M25" s="262">
        <v>23</v>
      </c>
      <c r="N25" s="540">
        <f t="shared" ca="1" si="3"/>
        <v>991088.54906891554</v>
      </c>
      <c r="O25" s="538">
        <f ca="1">VTL20namcamket!F26</f>
        <v>40</v>
      </c>
      <c r="P25" s="541">
        <f ca="1">IF('Tinh phi QL'!$H$9="Nam",VLOOKUP(VTLCOI!$I$4,VTLCOI!$D$3:$F$103,2,0)*N25/1000/12,IF('Tinh phi QL'!$H$9="Nữ",VLOOKUP(VTLCOI!$I$4,VTLCOI!$D$3:$F$103,3,0)*N25/1000/12,0))</f>
        <v>118.93062588826986</v>
      </c>
      <c r="Q25" s="455"/>
      <c r="R25" s="539">
        <f ca="1">IF('Tinh phi QL'!$H$9="Nam",VLOOKUP(VTLCOI!$I$4,VTLCOI!$D$3:$F$103,2,0)*S25/1000/12,IF('Tinh phi QL'!$H$9="Nữ",VLOOKUP(VTLCOI!$I$4,VTLCOI!$D$3:$F$103,3,0)*S25/1000/12,0))</f>
        <v>118.91018221573063</v>
      </c>
      <c r="S25" s="541">
        <f t="shared" ca="1" si="2"/>
        <v>990918.18513108848</v>
      </c>
      <c r="T25" s="544">
        <f ca="1">(T24-O25-P25)*(1+VTL20namcamket!$Q$3)</f>
        <v>8774.1063814563659</v>
      </c>
      <c r="U25" s="264"/>
      <c r="V25" s="542">
        <f ca="1">(V24-O25-R25)*(1+VTL20namMH!$P$3)</f>
        <v>8956.4085179045705</v>
      </c>
    </row>
    <row r="26" spans="4:22" ht="9.75" customHeight="1">
      <c r="D26" s="351">
        <v>23</v>
      </c>
      <c r="E26" s="351">
        <v>1.472</v>
      </c>
      <c r="F26" s="351">
        <v>0.89600000000000002</v>
      </c>
      <c r="H26" s="252">
        <v>24</v>
      </c>
      <c r="I26" s="548">
        <f t="shared" ca="1" si="1"/>
        <v>53</v>
      </c>
      <c r="K26" s="1043"/>
      <c r="L26" s="1045"/>
      <c r="M26" s="262">
        <v>24</v>
      </c>
      <c r="N26" s="540">
        <f t="shared" ca="1" si="3"/>
        <v>991225.89361854363</v>
      </c>
      <c r="O26" s="538">
        <f ca="1">VTL20namcamket!F27</f>
        <v>40</v>
      </c>
      <c r="P26" s="541">
        <f ca="1">IF('Tinh phi QL'!$H$9="Nam",VLOOKUP(VTLCOI!$I$4,VTLCOI!$D$3:$F$103,2,0)*N26/1000/12,IF('Tinh phi QL'!$H$9="Nữ",VLOOKUP(VTLCOI!$I$4,VTLCOI!$D$3:$F$103,3,0)*N26/1000/12,0))</f>
        <v>118.94710723422524</v>
      </c>
      <c r="Q26" s="455"/>
      <c r="R26" s="539">
        <f ca="1">IF('Tinh phi QL'!$H$9="Nam",VLOOKUP(VTLCOI!$I$4,VTLCOI!$D$3:$F$103,2,0)*S26/1000/12,IF('Tinh phi QL'!$H$9="Nữ",VLOOKUP(VTLCOI!$I$4,VTLCOI!$D$3:$F$103,3,0)*S26/1000/12,0))</f>
        <v>118.92523097785146</v>
      </c>
      <c r="S26" s="541">
        <f t="shared" ca="1" si="2"/>
        <v>991043.59148209542</v>
      </c>
      <c r="T26" s="545">
        <f ca="1">(T25-O26-P26)*(1+VTL20namcamket!$Q$3)</f>
        <v>8636.406581123736</v>
      </c>
      <c r="U26" s="264"/>
      <c r="V26" s="543">
        <f ca="1">(V25-O26-R26)*(1+VTL20namMH!$P$3)</f>
        <v>8830.5161843359019</v>
      </c>
    </row>
    <row r="27" spans="4:22" ht="9.75" customHeight="1">
      <c r="D27" s="351">
        <v>24</v>
      </c>
      <c r="E27" s="351">
        <v>1.44</v>
      </c>
      <c r="F27" s="351">
        <v>0.92</v>
      </c>
      <c r="H27" s="252">
        <v>25</v>
      </c>
      <c r="I27" s="548">
        <f t="shared" ca="1" si="1"/>
        <v>54</v>
      </c>
      <c r="K27" s="1045">
        <f>K15+1</f>
        <v>3</v>
      </c>
      <c r="L27" s="1045">
        <f t="shared" ref="L27" ca="1" si="4">L15+1</f>
        <v>32</v>
      </c>
      <c r="M27" s="252">
        <v>25</v>
      </c>
      <c r="N27" s="538">
        <f ca="1">$C$4-T26-VTLGTTKcamket!F9</f>
        <v>983363.59341887629</v>
      </c>
      <c r="O27" s="538">
        <f ca="1">VTL20namcamket!F28</f>
        <v>40</v>
      </c>
      <c r="P27" s="539">
        <f ca="1">IF('Tinh phi QL'!$H$9="Nam",VLOOKUP(VTLCOI!$I$5,VTLCOI!$D$3:$F$103,2,0)*N27/1000/12,IF('Tinh phi QL'!$H$9="Nữ",VLOOKUP(VTLCOI!$I$5,VTLCOI!$D$3:$F$103,3,0)*N27/1000/12,0))</f>
        <v>122.59266131288656</v>
      </c>
      <c r="R27" s="539">
        <f ca="1">IF('Tinh phi QL'!$H$9="Nam",VLOOKUP(VTLCOI!$I$5,VTLCOI!$D$3:$F$103,2,0)*S27/1000/12,IF('Tinh phi QL'!$H$9="Nữ",VLOOKUP(VTLCOI!$I$5,VTLCOI!$D$3:$F$103,3,0)*S27/1000/12,0))</f>
        <v>122.56846231568613</v>
      </c>
      <c r="S27" s="541">
        <f ca="1">$C$4-V26-VTLGTTKMH!F9</f>
        <v>983169.48381566408</v>
      </c>
      <c r="T27" s="544">
        <f ca="1">(T26+VTLGTTKcamket!F9-O27-P27)*(1+VTL20namcamket!Q3)</f>
        <v>16514.442789115838</v>
      </c>
      <c r="U27" s="264"/>
      <c r="V27" s="542">
        <f ca="1">(V26+VTLGTTKMH!F9-O27-R27)*(1+VTL20namMH!$P$3)</f>
        <v>16730.532735161567</v>
      </c>
    </row>
    <row r="28" spans="4:22" ht="9.75" customHeight="1">
      <c r="D28" s="351">
        <v>25</v>
      </c>
      <c r="E28" s="351">
        <v>1.4</v>
      </c>
      <c r="F28" s="351">
        <v>0.93600000000000005</v>
      </c>
      <c r="H28" s="252">
        <v>26</v>
      </c>
      <c r="I28" s="548">
        <f t="shared" ca="1" si="1"/>
        <v>55</v>
      </c>
      <c r="K28" s="1045"/>
      <c r="L28" s="1045"/>
      <c r="M28" s="252">
        <v>26</v>
      </c>
      <c r="N28" s="538">
        <f t="shared" ref="N28:N38" ca="1" si="5">$C$4-T27</f>
        <v>983485.55721088417</v>
      </c>
      <c r="O28" s="538">
        <f ca="1">VTL20namcamket!F29</f>
        <v>40</v>
      </c>
      <c r="P28" s="539">
        <f ca="1">IF('Tinh phi QL'!$H$9="Nam",VLOOKUP(VTLCOI!$I$5,VTLCOI!$D$3:$F$103,2,0)*N28/1000/12,IF('Tinh phi QL'!$H$9="Nữ",VLOOKUP(VTLCOI!$I$5,VTLCOI!$D$3:$F$103,3,0)*N28/1000/12,0))</f>
        <v>122.60786613229021</v>
      </c>
      <c r="R28" s="539">
        <f ca="1">IF('Tinh phi QL'!$H$9="Nam",VLOOKUP(VTLCOI!$I$5,VTLCOI!$D$3:$F$103,2,0)*S28/1000/12,IF('Tinh phi QL'!$H$9="Nữ",VLOOKUP(VTLCOI!$I$5,VTLCOI!$D$3:$F$103,3,0)*S28/1000/12,0))</f>
        <v>122.58092691901652</v>
      </c>
      <c r="S28" s="541">
        <f ca="1">$C$4-V27</f>
        <v>983269.4672648384</v>
      </c>
      <c r="T28" s="544">
        <f ca="1">(T27-O28-P28)*(1+VTL20namcamket!$Q$3)</f>
        <v>16392.162959175803</v>
      </c>
      <c r="U28" s="264"/>
      <c r="V28" s="542">
        <f ca="1">(V27-O28-R28)*(1+VTL20namMH!$P$3)</f>
        <v>16630.161355508782</v>
      </c>
    </row>
    <row r="29" spans="4:22" ht="9.75" customHeight="1">
      <c r="D29" s="351">
        <v>26</v>
      </c>
      <c r="E29" s="351">
        <v>1.3759999999999999</v>
      </c>
      <c r="F29" s="351">
        <v>0.96</v>
      </c>
      <c r="H29" s="252">
        <v>27</v>
      </c>
      <c r="I29" s="548">
        <f t="shared" ca="1" si="1"/>
        <v>56</v>
      </c>
      <c r="K29" s="1045"/>
      <c r="L29" s="1045"/>
      <c r="M29" s="252">
        <v>27</v>
      </c>
      <c r="N29" s="538">
        <f t="shared" ca="1" si="5"/>
        <v>983607.83704082423</v>
      </c>
      <c r="O29" s="538">
        <f ca="1">VTL20namcamket!F30</f>
        <v>40</v>
      </c>
      <c r="P29" s="539">
        <f ca="1">IF('Tinh phi QL'!$H$9="Nam",VLOOKUP(VTLCOI!$I$5,VTLCOI!$D$3:$F$103,2,0)*N29/1000/12,IF('Tinh phi QL'!$H$9="Nữ",VLOOKUP(VTLCOI!$I$5,VTLCOI!$D$3:$F$103,3,0)*N29/1000/12,0))</f>
        <v>122.62311035108944</v>
      </c>
      <c r="R29" s="539">
        <f ca="1">IF('Tinh phi QL'!$H$9="Nam",VLOOKUP(VTLCOI!$I$5,VTLCOI!$D$3:$F$103,2,0)*S29/1000/12,IF('Tinh phi QL'!$H$9="Nữ",VLOOKUP(VTLCOI!$I$5,VTLCOI!$D$3:$F$103,3,0)*S29/1000/12,0))</f>
        <v>122.59343988434658</v>
      </c>
      <c r="S29" s="541">
        <f t="shared" ref="S29:S38" ca="1" si="6">$C$4-V28</f>
        <v>983369.83864449128</v>
      </c>
      <c r="T29" s="544">
        <f ca="1">(T28-O29-P29)*(1+VTL20namcamket!$Q$3)</f>
        <v>16269.566272372269</v>
      </c>
      <c r="U29" s="264"/>
      <c r="V29" s="542">
        <f ca="1">(V28-O29-R29)*(1+VTL20namMH!$P$3)</f>
        <v>16529.400540227874</v>
      </c>
    </row>
    <row r="30" spans="4:22" ht="9.75" customHeight="1">
      <c r="D30" s="351">
        <v>27</v>
      </c>
      <c r="E30" s="351">
        <v>1.3680000000000001</v>
      </c>
      <c r="F30" s="351">
        <v>0.99199999999999999</v>
      </c>
      <c r="H30" s="252">
        <v>28</v>
      </c>
      <c r="I30" s="548">
        <f t="shared" ca="1" si="1"/>
        <v>57</v>
      </c>
      <c r="K30" s="1045"/>
      <c r="L30" s="1045"/>
      <c r="M30" s="252">
        <v>28</v>
      </c>
      <c r="N30" s="538">
        <f t="shared" ca="1" si="5"/>
        <v>983730.43372762774</v>
      </c>
      <c r="O30" s="538">
        <f ca="1">VTL20namcamket!F31</f>
        <v>40</v>
      </c>
      <c r="P30" s="539">
        <f ca="1">IF('Tinh phi QL'!$H$9="Nam",VLOOKUP(VTLCOI!$I$5,VTLCOI!$D$3:$F$103,2,0)*N30/1000/12,IF('Tinh phi QL'!$H$9="Nữ",VLOOKUP(VTLCOI!$I$5,VTLCOI!$D$3:$F$103,3,0)*N30/1000/12,0))</f>
        <v>122.6383940713776</v>
      </c>
      <c r="R30" s="539">
        <f ca="1">IF('Tinh phi QL'!$H$9="Nam",VLOOKUP(VTLCOI!$I$5,VTLCOI!$D$3:$F$103,2,0)*S30/1000/12,IF('Tinh phi QL'!$H$9="Nữ",VLOOKUP(VTLCOI!$I$5,VTLCOI!$D$3:$F$103,3,0)*S30/1000/12,0))</f>
        <v>122.60600139931826</v>
      </c>
      <c r="S30" s="541">
        <f t="shared" ca="1" si="6"/>
        <v>983470.59945977211</v>
      </c>
      <c r="T30" s="544">
        <f ca="1">(T29-O30-P30)*(1+VTL20namcamket!$Q$3)</f>
        <v>16146.651907651822</v>
      </c>
      <c r="U30" s="264"/>
      <c r="V30" s="542">
        <f ca="1">(V29-O30-R30)*(1+VTL20namMH!$P$3)</f>
        <v>16428.248778329267</v>
      </c>
    </row>
    <row r="31" spans="4:22" ht="9.75" customHeight="1">
      <c r="D31" s="351">
        <v>28</v>
      </c>
      <c r="E31" s="351">
        <v>1.36</v>
      </c>
      <c r="F31" s="351">
        <v>1.024</v>
      </c>
      <c r="H31" s="252">
        <v>29</v>
      </c>
      <c r="I31" s="548">
        <f t="shared" ca="1" si="1"/>
        <v>58</v>
      </c>
      <c r="K31" s="1045"/>
      <c r="L31" s="1045"/>
      <c r="M31" s="252">
        <v>29</v>
      </c>
      <c r="N31" s="538">
        <f t="shared" ca="1" si="5"/>
        <v>983853.3480923482</v>
      </c>
      <c r="O31" s="538">
        <f ca="1">VTL20namcamket!F32</f>
        <v>40</v>
      </c>
      <c r="P31" s="539">
        <f ca="1">IF('Tinh phi QL'!$H$9="Nam",VLOOKUP(VTLCOI!$I$5,VTLCOI!$D$3:$F$103,2,0)*N31/1000/12,IF('Tinh phi QL'!$H$9="Nữ",VLOOKUP(VTLCOI!$I$5,VTLCOI!$D$3:$F$103,3,0)*N31/1000/12,0))</f>
        <v>122.65371739551273</v>
      </c>
      <c r="R31" s="539">
        <f ca="1">IF('Tinh phi QL'!$H$9="Nam",VLOOKUP(VTLCOI!$I$5,VTLCOI!$D$3:$F$103,2,0)*S31/1000/12,IF('Tinh phi QL'!$H$9="Nữ",VLOOKUP(VTLCOI!$I$5,VTLCOI!$D$3:$F$103,3,0)*S31/1000/12,0))</f>
        <v>122.61861165230162</v>
      </c>
      <c r="S31" s="541">
        <f t="shared" ca="1" si="6"/>
        <v>983571.75122167077</v>
      </c>
      <c r="T31" s="544">
        <f ca="1">(T30-O31-P31)*(1+VTL20namcamket!$Q$3)</f>
        <v>16023.419041833495</v>
      </c>
      <c r="U31" s="264"/>
      <c r="V31" s="542">
        <f ca="1">(V30-O31-R31)*(1+VTL20namMH!$P$3)</f>
        <v>16326.704552960822</v>
      </c>
    </row>
    <row r="32" spans="4:22" ht="9.75" customHeight="1">
      <c r="D32" s="351">
        <v>29</v>
      </c>
      <c r="E32" s="351">
        <v>1.3759999999999999</v>
      </c>
      <c r="F32" s="351">
        <v>1.056</v>
      </c>
      <c r="H32" s="252">
        <v>30</v>
      </c>
      <c r="I32" s="548">
        <f t="shared" ca="1" si="1"/>
        <v>59</v>
      </c>
      <c r="K32" s="1045"/>
      <c r="L32" s="1045"/>
      <c r="M32" s="252">
        <v>30</v>
      </c>
      <c r="N32" s="538">
        <f t="shared" ca="1" si="5"/>
        <v>983976.58095816651</v>
      </c>
      <c r="O32" s="538">
        <f ca="1">VTL20namcamket!F33</f>
        <v>40</v>
      </c>
      <c r="P32" s="539">
        <f ca="1">IF('Tinh phi QL'!$H$9="Nam",VLOOKUP(VTLCOI!$I$5,VTLCOI!$D$3:$F$103,2,0)*N32/1000/12,IF('Tinh phi QL'!$H$9="Nữ",VLOOKUP(VTLCOI!$I$5,VTLCOI!$D$3:$F$103,3,0)*N32/1000/12,0))</f>
        <v>122.66908042611807</v>
      </c>
      <c r="R32" s="539">
        <f ca="1">IF('Tinh phi QL'!$H$9="Nam",VLOOKUP(VTLCOI!$I$5,VTLCOI!$D$3:$F$103,2,0)*S32/1000/12,IF('Tinh phi QL'!$H$9="Nữ",VLOOKUP(VTLCOI!$I$5,VTLCOI!$D$3:$F$103,3,0)*S32/1000/12,0))</f>
        <v>122.63127083239755</v>
      </c>
      <c r="S32" s="541">
        <f t="shared" ca="1" si="6"/>
        <v>983673.29544703919</v>
      </c>
      <c r="T32" s="544">
        <f ca="1">(T31-O32-P32)*(1+VTL20namcamket!$Q$3)</f>
        <v>15899.866849603262</v>
      </c>
      <c r="U32" s="264"/>
      <c r="V32" s="542">
        <f ca="1">(V31-O32-R32)*(1+VTL20namMH!$P$3)</f>
        <v>16224.766341385101</v>
      </c>
    </row>
    <row r="33" spans="4:22" ht="9.75" customHeight="1">
      <c r="D33" s="351">
        <v>30</v>
      </c>
      <c r="E33" s="351">
        <v>1.4</v>
      </c>
      <c r="F33" s="351">
        <v>1.0960000000000001</v>
      </c>
      <c r="H33" s="252">
        <v>31</v>
      </c>
      <c r="I33" s="548">
        <f t="shared" ca="1" si="1"/>
        <v>60</v>
      </c>
      <c r="K33" s="1045"/>
      <c r="L33" s="1045"/>
      <c r="M33" s="252">
        <v>31</v>
      </c>
      <c r="N33" s="538">
        <f t="shared" ca="1" si="5"/>
        <v>984100.13315039675</v>
      </c>
      <c r="O33" s="538">
        <f ca="1">VTL20namcamket!F34</f>
        <v>40</v>
      </c>
      <c r="P33" s="539">
        <f ca="1">IF('Tinh phi QL'!$H$9="Nam",VLOOKUP(VTLCOI!$I$5,VTLCOI!$D$3:$F$103,2,0)*N33/1000/12,IF('Tinh phi QL'!$H$9="Nữ",VLOOKUP(VTLCOI!$I$5,VTLCOI!$D$3:$F$103,3,0)*N33/1000/12,0))</f>
        <v>122.68448326608279</v>
      </c>
      <c r="R33" s="539">
        <f ca="1">IF('Tinh phi QL'!$H$9="Nam",VLOOKUP(VTLCOI!$I$5,VTLCOI!$D$3:$F$103,2,0)*S33/1000/12,IF('Tinh phi QL'!$H$9="Nữ",VLOOKUP(VTLCOI!$I$5,VTLCOI!$D$3:$F$103,3,0)*S33/1000/12,0))</f>
        <v>122.64397912944065</v>
      </c>
      <c r="S33" s="541">
        <f t="shared" ca="1" si="6"/>
        <v>983775.23365861492</v>
      </c>
      <c r="T33" s="544">
        <f ca="1">(T32-O33-P33)*(1+VTL20namcamket!$Q$3)</f>
        <v>15775.994503508507</v>
      </c>
      <c r="U33" s="264"/>
      <c r="V33" s="542">
        <f ca="1">(V32-O33-R33)*(1+VTL20namMH!$P$3)</f>
        <v>16122.432614956517</v>
      </c>
    </row>
    <row r="34" spans="4:22" ht="9.75" customHeight="1">
      <c r="D34" s="351">
        <v>31</v>
      </c>
      <c r="E34" s="351">
        <v>1.44</v>
      </c>
      <c r="F34" s="351">
        <v>1.1359999999999999</v>
      </c>
      <c r="H34" s="252">
        <v>32</v>
      </c>
      <c r="I34" s="548">
        <f t="shared" ca="1" si="1"/>
        <v>61</v>
      </c>
      <c r="K34" s="1045"/>
      <c r="L34" s="1045"/>
      <c r="M34" s="252">
        <v>32</v>
      </c>
      <c r="N34" s="538">
        <f t="shared" ca="1" si="5"/>
        <v>984224.00549649145</v>
      </c>
      <c r="O34" s="538">
        <f ca="1">VTL20namcamket!F35</f>
        <v>40</v>
      </c>
      <c r="P34" s="539">
        <f ca="1">IF('Tinh phi QL'!$H$9="Nam",VLOOKUP(VTLCOI!$I$5,VTLCOI!$D$3:$F$103,2,0)*N34/1000/12,IF('Tinh phi QL'!$H$9="Nữ",VLOOKUP(VTLCOI!$I$5,VTLCOI!$D$3:$F$103,3,0)*N34/1000/12,0))</f>
        <v>122.69992601856261</v>
      </c>
      <c r="R34" s="539">
        <f ca="1">IF('Tinh phi QL'!$H$9="Nam",VLOOKUP(VTLCOI!$I$5,VTLCOI!$D$3:$F$103,2,0)*S34/1000/12,IF('Tinh phi QL'!$H$9="Nữ",VLOOKUP(VTLCOI!$I$5,VTLCOI!$D$3:$F$103,3,0)*S34/1000/12,0))</f>
        <v>122.6567367340021</v>
      </c>
      <c r="S34" s="541">
        <f t="shared" ca="1" si="6"/>
        <v>983877.56738504348</v>
      </c>
      <c r="T34" s="544">
        <f ca="1">(T33-O34-P34)*(1+VTL20namcamket!$Q$3)</f>
        <v>15651.801173952483</v>
      </c>
      <c r="U34" s="264"/>
      <c r="V34" s="542">
        <f ca="1">(V33-O34-R34)*(1+VTL20namMH!$P$3)</f>
        <v>16019.701839098429</v>
      </c>
    </row>
    <row r="35" spans="4:22" ht="9.75" customHeight="1">
      <c r="D35" s="351">
        <v>32</v>
      </c>
      <c r="E35" s="351">
        <v>1.496</v>
      </c>
      <c r="F35" s="351">
        <v>1.1759999999999999</v>
      </c>
      <c r="H35" s="252">
        <v>33</v>
      </c>
      <c r="I35" s="548">
        <f t="shared" ca="1" si="1"/>
        <v>62</v>
      </c>
      <c r="K35" s="1045"/>
      <c r="L35" s="1045"/>
      <c r="M35" s="252">
        <v>33</v>
      </c>
      <c r="N35" s="538">
        <f t="shared" ca="1" si="5"/>
        <v>984348.19882604748</v>
      </c>
      <c r="O35" s="538">
        <f ca="1">VTL20namcamket!F36</f>
        <v>40</v>
      </c>
      <c r="P35" s="539">
        <f ca="1">IF('Tinh phi QL'!$H$9="Nam",VLOOKUP(VTLCOI!$I$5,VTLCOI!$D$3:$F$103,2,0)*N35/1000/12,IF('Tinh phi QL'!$H$9="Nữ",VLOOKUP(VTLCOI!$I$5,VTLCOI!$D$3:$F$103,3,0)*N35/1000/12,0))</f>
        <v>122.7154087869806</v>
      </c>
      <c r="R35" s="539">
        <f ca="1">IF('Tinh phi QL'!$H$9="Nam",VLOOKUP(VTLCOI!$I$5,VTLCOI!$D$3:$F$103,2,0)*S35/1000/12,IF('Tinh phi QL'!$H$9="Nữ",VLOOKUP(VTLCOI!$I$5,VTLCOI!$D$3:$F$103,3,0)*S35/1000/12,0))</f>
        <v>122.6695438373924</v>
      </c>
      <c r="S35" s="541">
        <f t="shared" ca="1" si="6"/>
        <v>983980.29816090153</v>
      </c>
      <c r="T35" s="544">
        <f ca="1">(T34-O35-P35)*(1+VTL20namcamket!$Q$3)</f>
        <v>15527.28602918875</v>
      </c>
      <c r="U35" s="264"/>
      <c r="V35" s="542">
        <f ca="1">(V34-O35-R35)*(1+VTL20namMH!$P$3)</f>
        <v>15916.57247328011</v>
      </c>
    </row>
    <row r="36" spans="4:22" ht="9.75" customHeight="1">
      <c r="D36" s="351">
        <v>33</v>
      </c>
      <c r="E36" s="351">
        <v>1.56</v>
      </c>
      <c r="F36" s="351">
        <v>1.232</v>
      </c>
      <c r="H36" s="252">
        <v>34</v>
      </c>
      <c r="I36" s="548">
        <f t="shared" ca="1" si="1"/>
        <v>63</v>
      </c>
      <c r="K36" s="1045"/>
      <c r="L36" s="1045"/>
      <c r="M36" s="252">
        <v>34</v>
      </c>
      <c r="N36" s="538">
        <f t="shared" ca="1" si="5"/>
        <v>984472.71397081122</v>
      </c>
      <c r="O36" s="538">
        <f ca="1">VTL20namcamket!F37</f>
        <v>40</v>
      </c>
      <c r="P36" s="539">
        <f ca="1">IF('Tinh phi QL'!$H$9="Nam",VLOOKUP(VTLCOI!$I$5,VTLCOI!$D$3:$F$103,2,0)*N36/1000/12,IF('Tinh phi QL'!$H$9="Nữ",VLOOKUP(VTLCOI!$I$5,VTLCOI!$D$3:$F$103,3,0)*N36/1000/12,0))</f>
        <v>122.7309316750278</v>
      </c>
      <c r="R36" s="539">
        <f ca="1">IF('Tinh phi QL'!$H$9="Nam",VLOOKUP(VTLCOI!$I$5,VTLCOI!$D$3:$F$103,2,0)*S36/1000/12,IF('Tinh phi QL'!$H$9="Nữ",VLOOKUP(VTLCOI!$I$5,VTLCOI!$D$3:$F$103,3,0)*S36/1000/12,0))</f>
        <v>122.68240063166441</v>
      </c>
      <c r="S36" s="541">
        <f t="shared" ca="1" si="6"/>
        <v>984083.42752671987</v>
      </c>
      <c r="T36" s="544">
        <f ca="1">(T35-O36-P36)*(1+VTL20namcamket!$Q$3)</f>
        <v>15402.448235315616</v>
      </c>
      <c r="U36" s="264"/>
      <c r="V36" s="542">
        <f ca="1">(V35-O36-R36)*(1+VTL20namMH!$P$3)</f>
        <v>15813.042970993663</v>
      </c>
    </row>
    <row r="37" spans="4:22" ht="9.75" customHeight="1">
      <c r="D37" s="351">
        <v>34</v>
      </c>
      <c r="E37" s="351">
        <v>1.64</v>
      </c>
      <c r="F37" s="351">
        <v>1.288</v>
      </c>
      <c r="H37" s="252">
        <v>35</v>
      </c>
      <c r="I37" s="548">
        <f t="shared" ca="1" si="1"/>
        <v>64</v>
      </c>
      <c r="K37" s="1045"/>
      <c r="L37" s="1045"/>
      <c r="M37" s="252">
        <v>35</v>
      </c>
      <c r="N37" s="538">
        <f t="shared" ca="1" si="5"/>
        <v>984597.55176468438</v>
      </c>
      <c r="O37" s="538">
        <f ca="1">VTL20namcamket!F38</f>
        <v>40</v>
      </c>
      <c r="P37" s="539">
        <f ca="1">IF('Tinh phi QL'!$H$9="Nam",VLOOKUP(VTLCOI!$I$5,VTLCOI!$D$3:$F$103,2,0)*N37/1000/12,IF('Tinh phi QL'!$H$9="Nữ",VLOOKUP(VTLCOI!$I$5,VTLCOI!$D$3:$F$103,3,0)*N37/1000/12,0))</f>
        <v>122.746494786664</v>
      </c>
      <c r="R37" s="539">
        <f ca="1">IF('Tinh phi QL'!$H$9="Nam",VLOOKUP(VTLCOI!$I$5,VTLCOI!$D$3:$F$103,2,0)*S37/1000/12,IF('Tinh phi QL'!$H$9="Nữ",VLOOKUP(VTLCOI!$I$5,VTLCOI!$D$3:$F$103,3,0)*S37/1000/12,0))</f>
        <v>122.69530730961613</v>
      </c>
      <c r="S37" s="541">
        <f t="shared" ca="1" si="6"/>
        <v>984186.95702900633</v>
      </c>
      <c r="T37" s="544">
        <f ca="1">(T36-O37-P37)*(1+VTL20namcamket!$Q$3)</f>
        <v>15277.286956270542</v>
      </c>
      <c r="U37" s="264"/>
      <c r="V37" s="542">
        <f ca="1">(V36-O37-R37)*(1+VTL20namMH!$P$3)</f>
        <v>15709.111779730822</v>
      </c>
    </row>
    <row r="38" spans="4:22" ht="9.75" customHeight="1">
      <c r="D38" s="351">
        <v>35</v>
      </c>
      <c r="E38" s="351">
        <v>1.736</v>
      </c>
      <c r="F38" s="351">
        <v>1.36</v>
      </c>
      <c r="H38" s="252">
        <v>36</v>
      </c>
      <c r="I38" s="548">
        <f t="shared" ca="1" si="1"/>
        <v>65</v>
      </c>
      <c r="K38" s="1045"/>
      <c r="L38" s="1045"/>
      <c r="M38" s="252">
        <v>36</v>
      </c>
      <c r="N38" s="538">
        <f t="shared" ca="1" si="5"/>
        <v>984722.71304372943</v>
      </c>
      <c r="O38" s="538">
        <f ca="1">VTL20namcamket!F39</f>
        <v>40</v>
      </c>
      <c r="P38" s="539">
        <f ca="1">IF('Tinh phi QL'!$H$9="Nam",VLOOKUP(VTLCOI!$I$5,VTLCOI!$D$3:$F$103,2,0)*N38/1000/12,IF('Tinh phi QL'!$H$9="Nữ",VLOOKUP(VTLCOI!$I$5,VTLCOI!$D$3:$F$103,3,0)*N38/1000/12,0))</f>
        <v>122.76209822611827</v>
      </c>
      <c r="R38" s="539">
        <f ca="1">IF('Tinh phi QL'!$H$9="Nam",VLOOKUP(VTLCOI!$I$5,VTLCOI!$D$3:$F$103,2,0)*S38/1000/12,IF('Tinh phi QL'!$H$9="Nữ",VLOOKUP(VTLCOI!$I$5,VTLCOI!$D$3:$F$103,3,0)*S38/1000/12,0))</f>
        <v>122.70826406479357</v>
      </c>
      <c r="S38" s="541">
        <f t="shared" ca="1" si="6"/>
        <v>984290.88822026923</v>
      </c>
      <c r="T38" s="545">
        <f ca="1">(T37-O38-P38)*(1+VTL20namcamket!$Q$3)</f>
        <v>15151.801353824552</v>
      </c>
      <c r="U38" s="264"/>
      <c r="V38" s="543">
        <f ca="1">(V37-O38-R38)*(1+VTL20namMH!$P$3)</f>
        <v>15604.777340959665</v>
      </c>
    </row>
    <row r="39" spans="4:22" ht="9.75" customHeight="1">
      <c r="D39" s="351">
        <v>36</v>
      </c>
      <c r="E39" s="351">
        <v>1.8560000000000001</v>
      </c>
      <c r="F39" s="351">
        <v>1.456</v>
      </c>
      <c r="H39" s="252">
        <v>37</v>
      </c>
      <c r="I39" s="548">
        <f t="shared" ca="1" si="1"/>
        <v>66</v>
      </c>
      <c r="K39" s="1043">
        <f>K27+1</f>
        <v>4</v>
      </c>
      <c r="L39" s="1045">
        <f t="shared" ref="L39" ca="1" si="7">L27+1</f>
        <v>33</v>
      </c>
      <c r="M39" s="262">
        <v>37</v>
      </c>
      <c r="N39" s="540">
        <f ca="1">$C$4-T38-VTLGTTKcamket!F10</f>
        <v>976848.19864617544</v>
      </c>
      <c r="O39" s="538">
        <f ca="1">VTL20namcamket!F40</f>
        <v>40</v>
      </c>
      <c r="P39" s="541">
        <f ca="1">IF('Tinh phi QL'!$H$9="Nam",VLOOKUP(VTLCOI!$I$6,VTLCOI!$D$3:$F$103,2,0)*N39/1000/12,IF('Tinh phi QL'!$H$9="Nữ",VLOOKUP(VTLCOI!$I$6,VTLCOI!$D$3:$F$103,3,0)*N39/1000/12,0))</f>
        <v>126.9902658240028</v>
      </c>
      <c r="Q39" s="962"/>
      <c r="R39" s="539">
        <f ca="1">IF('Tinh phi QL'!$H$9="Nam",VLOOKUP(VTLCOI!$I$6,VTLCOI!$D$3:$F$103,2,0)*S39/1000/12,IF('Tinh phi QL'!$H$9="Nữ",VLOOKUP(VTLCOI!$I$6,VTLCOI!$D$3:$F$103,3,0)*S39/1000/12,0))</f>
        <v>126.93137894567525</v>
      </c>
      <c r="S39" s="541">
        <f ca="1">$C$4-V38-VTLGTTKMH!F10</f>
        <v>976395.22265904036</v>
      </c>
      <c r="T39" s="544">
        <f ca="1">(T38+VTLGTTKcamket!F10-O39-P39)*(1+VTL20namcamket!S3)</f>
        <v>23022.772372221658</v>
      </c>
      <c r="U39" s="264"/>
      <c r="V39" s="542">
        <f ca="1">(V38+VTLGTTKMH!F10-O39-R39)*(1+VTL20namMH!$P$3)</f>
        <v>23525.850671531985</v>
      </c>
    </row>
    <row r="40" spans="4:22" ht="9.75" customHeight="1">
      <c r="D40" s="351">
        <v>37</v>
      </c>
      <c r="E40" s="351">
        <v>1.992</v>
      </c>
      <c r="F40" s="351">
        <v>1.5680000000000001</v>
      </c>
      <c r="H40" s="252">
        <v>38</v>
      </c>
      <c r="I40" s="548">
        <f t="shared" ca="1" si="1"/>
        <v>67</v>
      </c>
      <c r="K40" s="1043"/>
      <c r="L40" s="1045"/>
      <c r="M40" s="262">
        <v>38</v>
      </c>
      <c r="N40" s="540">
        <f t="shared" ref="N40:N50" ca="1" si="8">$C$4-T39</f>
        <v>976977.22762777831</v>
      </c>
      <c r="O40" s="538">
        <f ca="1">VTL20namcamket!F41</f>
        <v>40</v>
      </c>
      <c r="P40" s="541">
        <f ca="1">IF('Tinh phi QL'!$H$9="Nam",VLOOKUP(VTLCOI!$I$6,VTLCOI!$D$3:$F$103,2,0)*N40/1000/12,IF('Tinh phi QL'!$H$9="Nữ",VLOOKUP(VTLCOI!$I$6,VTLCOI!$D$3:$F$103,3,0)*N40/1000/12,0))</f>
        <v>127.00703959161119</v>
      </c>
      <c r="Q40" s="962"/>
      <c r="R40" s="539">
        <f ca="1">IF('Tinh phi QL'!$H$9="Nam",VLOOKUP(VTLCOI!$I$6,VTLCOI!$D$3:$F$103,2,0)*S40/1000/12,IF('Tinh phi QL'!$H$9="Nữ",VLOOKUP(VTLCOI!$I$6,VTLCOI!$D$3:$F$103,3,0)*S40/1000/12,0))</f>
        <v>126.94163941270084</v>
      </c>
      <c r="S40" s="541">
        <f ca="1">$C$4-V39</f>
        <v>976474.14932846802</v>
      </c>
      <c r="T40" s="544">
        <f ca="1">(T39-O40-P40)*(1+VTL20namcamket!$S$3)</f>
        <v>22893.513487294495</v>
      </c>
      <c r="U40" s="264"/>
      <c r="V40" s="542">
        <f ca="1">(V39-O40-R40)*(1+VTL20namMH!$P$3)</f>
        <v>23446.617348291373</v>
      </c>
    </row>
    <row r="41" spans="4:22" ht="9.75" customHeight="1">
      <c r="D41" s="351">
        <v>38</v>
      </c>
      <c r="E41" s="351">
        <v>2.1440000000000001</v>
      </c>
      <c r="F41" s="351">
        <v>1.704</v>
      </c>
      <c r="H41" s="252">
        <v>39</v>
      </c>
      <c r="I41" s="548">
        <f t="shared" ca="1" si="1"/>
        <v>68</v>
      </c>
      <c r="K41" s="1043"/>
      <c r="L41" s="1045"/>
      <c r="M41" s="262">
        <v>39</v>
      </c>
      <c r="N41" s="540">
        <f t="shared" ca="1" si="8"/>
        <v>977106.48651270545</v>
      </c>
      <c r="O41" s="538">
        <f ca="1">VTL20namcamket!F42</f>
        <v>40</v>
      </c>
      <c r="P41" s="541">
        <f ca="1">IF('Tinh phi QL'!$H$9="Nam",VLOOKUP(VTLCOI!$I$6,VTLCOI!$D$3:$F$103,2,0)*N41/1000/12,IF('Tinh phi QL'!$H$9="Nữ",VLOOKUP(VTLCOI!$I$6,VTLCOI!$D$3:$F$103,3,0)*N41/1000/12,0))</f>
        <v>127.02384324665172</v>
      </c>
      <c r="Q41" s="962"/>
      <c r="R41" s="539">
        <f ca="1">IF('Tinh phi QL'!$H$9="Nam",VLOOKUP(VTLCOI!$I$6,VTLCOI!$D$3:$F$103,2,0)*S41/1000/12,IF('Tinh phi QL'!$H$9="Nữ",VLOOKUP(VTLCOI!$I$6,VTLCOI!$D$3:$F$103,3,0)*S41/1000/12,0))</f>
        <v>126.95193974472214</v>
      </c>
      <c r="S41" s="541">
        <f t="shared" ref="S41:S50" ca="1" si="9">$C$4-V40</f>
        <v>976553.38265170867</v>
      </c>
      <c r="T41" s="544">
        <f ca="1">(T40-O41-P41)*(1+VTL20namcamket!$S$3)</f>
        <v>22764.024289402238</v>
      </c>
      <c r="U41" s="264"/>
      <c r="V41" s="542">
        <f ca="1">(V40-O41-R41)*(1+VTL20namMH!$P$3)</f>
        <v>23367.076179795669</v>
      </c>
    </row>
    <row r="42" spans="4:22" ht="9.75" customHeight="1">
      <c r="D42" s="351">
        <v>39</v>
      </c>
      <c r="E42" s="351">
        <v>2.3199999999999998</v>
      </c>
      <c r="F42" s="351">
        <v>1.8560000000000001</v>
      </c>
      <c r="H42" s="252">
        <v>40</v>
      </c>
      <c r="I42" s="548">
        <f t="shared" ca="1" si="1"/>
        <v>69</v>
      </c>
      <c r="K42" s="1043"/>
      <c r="L42" s="1045"/>
      <c r="M42" s="262">
        <v>40</v>
      </c>
      <c r="N42" s="540">
        <f t="shared" ca="1" si="8"/>
        <v>977235.97571059782</v>
      </c>
      <c r="O42" s="538">
        <f ca="1">VTL20namcamket!F43</f>
        <v>40</v>
      </c>
      <c r="P42" s="541">
        <f ca="1">IF('Tinh phi QL'!$H$9="Nam",VLOOKUP(VTLCOI!$I$6,VTLCOI!$D$3:$F$103,2,0)*N42/1000/12,IF('Tinh phi QL'!$H$9="Nữ",VLOOKUP(VTLCOI!$I$6,VTLCOI!$D$3:$F$103,3,0)*N42/1000/12,0))</f>
        <v>127.04067684237771</v>
      </c>
      <c r="Q42" s="962"/>
      <c r="R42" s="539">
        <f ca="1">IF('Tinh phi QL'!$H$9="Nam",VLOOKUP(VTLCOI!$I$6,VTLCOI!$D$3:$F$103,2,0)*S42/1000/12,IF('Tinh phi QL'!$H$9="Nữ",VLOOKUP(VTLCOI!$I$6,VTLCOI!$D$3:$F$103,3,0)*S42/1000/12,0))</f>
        <v>126.96228009662657</v>
      </c>
      <c r="S42" s="541">
        <f t="shared" ca="1" si="9"/>
        <v>976632.92382020433</v>
      </c>
      <c r="T42" s="544">
        <f ca="1">(T41-O42-P42)*(1+VTL20namcamket!$S$3)</f>
        <v>22634.304368174162</v>
      </c>
      <c r="U42" s="264"/>
      <c r="V42" s="542">
        <f ca="1">(V41-O42-R42)*(1+VTL20namMH!$P$3)</f>
        <v>23287.22596997361</v>
      </c>
    </row>
    <row r="43" spans="4:22" ht="9.75" customHeight="1">
      <c r="D43" s="351">
        <v>40</v>
      </c>
      <c r="E43" s="351">
        <v>2.52</v>
      </c>
      <c r="F43" s="351">
        <v>2.024</v>
      </c>
      <c r="H43" s="252">
        <v>41</v>
      </c>
      <c r="I43" s="548">
        <f t="shared" ca="1" si="1"/>
        <v>70</v>
      </c>
      <c r="K43" s="1043"/>
      <c r="L43" s="1045"/>
      <c r="M43" s="262">
        <v>41</v>
      </c>
      <c r="N43" s="540">
        <f t="shared" ca="1" si="8"/>
        <v>977365.69563182583</v>
      </c>
      <c r="O43" s="538">
        <f ca="1">VTL20namcamket!F44</f>
        <v>40</v>
      </c>
      <c r="P43" s="541">
        <f ca="1">IF('Tinh phi QL'!$H$9="Nam",VLOOKUP(VTLCOI!$I$6,VTLCOI!$D$3:$F$103,2,0)*N43/1000/12,IF('Tinh phi QL'!$H$9="Nữ",VLOOKUP(VTLCOI!$I$6,VTLCOI!$D$3:$F$103,3,0)*N43/1000/12,0))</f>
        <v>127.05754043213737</v>
      </c>
      <c r="Q43" s="962"/>
      <c r="R43" s="539">
        <f ca="1">IF('Tinh phi QL'!$H$9="Nam",VLOOKUP(VTLCOI!$I$6,VTLCOI!$D$3:$F$103,2,0)*S43/1000/12,IF('Tinh phi QL'!$H$9="Nữ",VLOOKUP(VTLCOI!$I$6,VTLCOI!$D$3:$F$103,3,0)*S43/1000/12,0))</f>
        <v>126.97266062390344</v>
      </c>
      <c r="S43" s="541">
        <f t="shared" ca="1" si="9"/>
        <v>976712.7740300264</v>
      </c>
      <c r="T43" s="544">
        <f ca="1">(T42-O43-P43)*(1+VTL20namcamket!$S$3)</f>
        <v>22504.353312508349</v>
      </c>
      <c r="U43" s="264"/>
      <c r="V43" s="542">
        <f ca="1">(V42-O43-R43)*(1+VTL20namMH!$P$3)</f>
        <v>23207.06551810684</v>
      </c>
    </row>
    <row r="44" spans="4:22" ht="9.75" customHeight="1">
      <c r="D44" s="351">
        <v>41</v>
      </c>
      <c r="E44" s="351">
        <v>2.7360000000000002</v>
      </c>
      <c r="F44" s="351">
        <v>2.2000000000000002</v>
      </c>
      <c r="H44" s="252">
        <v>42</v>
      </c>
      <c r="I44" s="548">
        <f t="shared" ca="1" si="1"/>
        <v>71</v>
      </c>
      <c r="K44" s="1043"/>
      <c r="L44" s="1045"/>
      <c r="M44" s="262">
        <v>42</v>
      </c>
      <c r="N44" s="540">
        <f t="shared" ca="1" si="8"/>
        <v>977495.64668749168</v>
      </c>
      <c r="O44" s="538">
        <f ca="1">VTL20namcamket!F45</f>
        <v>40</v>
      </c>
      <c r="P44" s="541">
        <f ca="1">IF('Tinh phi QL'!$H$9="Nam",VLOOKUP(VTLCOI!$I$6,VTLCOI!$D$3:$F$103,2,0)*N44/1000/12,IF('Tinh phi QL'!$H$9="Nữ",VLOOKUP(VTLCOI!$I$6,VTLCOI!$D$3:$F$103,3,0)*N44/1000/12,0))</f>
        <v>127.07443406937392</v>
      </c>
      <c r="Q44" s="962"/>
      <c r="R44" s="539">
        <f ca="1">IF('Tinh phi QL'!$H$9="Nam",VLOOKUP(VTLCOI!$I$6,VTLCOI!$D$3:$F$103,2,0)*S44/1000/12,IF('Tinh phi QL'!$H$9="Nữ",VLOOKUP(VTLCOI!$I$6,VTLCOI!$D$3:$F$103,3,0)*S44/1000/12,0))</f>
        <v>126.98308148264611</v>
      </c>
      <c r="S44" s="541">
        <f t="shared" ca="1" si="9"/>
        <v>976792.9344818932</v>
      </c>
      <c r="T44" s="544">
        <f ca="1">(T43-O44-P44)*(1+VTL20namcamket!$S$3)</f>
        <v>22374.170710570383</v>
      </c>
      <c r="U44" s="264"/>
      <c r="V44" s="542">
        <f ca="1">(V43-O44-R44)*(1+VTL20namMH!$P$3)</f>
        <v>23126.593618811843</v>
      </c>
    </row>
    <row r="45" spans="4:22" ht="9.75" customHeight="1">
      <c r="D45" s="351">
        <v>42</v>
      </c>
      <c r="E45" s="351">
        <v>2.968</v>
      </c>
      <c r="F45" s="351">
        <v>2.3839999999999999</v>
      </c>
      <c r="H45" s="252">
        <v>43</v>
      </c>
      <c r="I45" s="548">
        <f t="shared" ca="1" si="1"/>
        <v>72</v>
      </c>
      <c r="K45" s="1043"/>
      <c r="L45" s="1045"/>
      <c r="M45" s="262">
        <v>43</v>
      </c>
      <c r="N45" s="540">
        <f t="shared" ca="1" si="8"/>
        <v>977625.82928942959</v>
      </c>
      <c r="O45" s="538">
        <f ca="1">VTL20namcamket!F46</f>
        <v>50</v>
      </c>
      <c r="P45" s="541">
        <f ca="1">IF('Tinh phi QL'!$H$9="Nam",VLOOKUP(VTLCOI!$I$6,VTLCOI!$D$3:$F$103,2,0)*N45/1000/12,IF('Tinh phi QL'!$H$9="Nữ",VLOOKUP(VTLCOI!$I$6,VTLCOI!$D$3:$F$103,3,0)*N45/1000/12,0))</f>
        <v>127.09135780762584</v>
      </c>
      <c r="Q45" s="962"/>
      <c r="R45" s="539">
        <f ca="1">IF('Tinh phi QL'!$H$9="Nam",VLOOKUP(VTLCOI!$I$6,VTLCOI!$D$3:$F$103,2,0)*S45/1000/12,IF('Tinh phi QL'!$H$9="Nữ",VLOOKUP(VTLCOI!$I$6,VTLCOI!$D$3:$F$103,3,0)*S45/1000/12,0))</f>
        <v>126.99354282955447</v>
      </c>
      <c r="S45" s="541">
        <f t="shared" ca="1" si="9"/>
        <v>976873.40638118819</v>
      </c>
      <c r="T45" s="544">
        <f ca="1">(T44-O45-P45)*(1+VTL20namcamket!$S$3)</f>
        <v>22233.739633979021</v>
      </c>
      <c r="U45" s="264"/>
      <c r="V45" s="542">
        <f ca="1">(V44-O45-R45)*(1+VTL20namMH!$P$3)</f>
        <v>23035.771513900021</v>
      </c>
    </row>
    <row r="46" spans="4:22" ht="9.75" customHeight="1">
      <c r="D46" s="351">
        <v>43</v>
      </c>
      <c r="E46" s="351">
        <v>3.2240000000000002</v>
      </c>
      <c r="F46" s="351">
        <v>2.56</v>
      </c>
      <c r="H46" s="252">
        <v>44</v>
      </c>
      <c r="I46" s="548">
        <f t="shared" ca="1" si="1"/>
        <v>73</v>
      </c>
      <c r="K46" s="1043"/>
      <c r="L46" s="1045"/>
      <c r="M46" s="262">
        <v>44</v>
      </c>
      <c r="N46" s="540">
        <f t="shared" ca="1" si="8"/>
        <v>977766.26036602096</v>
      </c>
      <c r="O46" s="538">
        <f ca="1">VTL20namcamket!F47</f>
        <v>50</v>
      </c>
      <c r="P46" s="541">
        <f ca="1">IF('Tinh phi QL'!$H$9="Nam",VLOOKUP(VTLCOI!$I$6,VTLCOI!$D$3:$F$103,2,0)*N46/1000/12,IF('Tinh phi QL'!$H$9="Nữ",VLOOKUP(VTLCOI!$I$6,VTLCOI!$D$3:$F$103,3,0)*N46/1000/12,0))</f>
        <v>127.10961384758274</v>
      </c>
      <c r="Q46" s="962"/>
      <c r="R46" s="539">
        <f ca="1">IF('Tinh phi QL'!$H$9="Nam",VLOOKUP(VTLCOI!$I$6,VTLCOI!$D$3:$F$103,2,0)*S46/1000/12,IF('Tinh phi QL'!$H$9="Nữ",VLOOKUP(VTLCOI!$I$6,VTLCOI!$D$3:$F$103,3,0)*S46/1000/12,0))</f>
        <v>127.005349703193</v>
      </c>
      <c r="S46" s="541">
        <f t="shared" ca="1" si="9"/>
        <v>976964.22848609998</v>
      </c>
      <c r="T46" s="544">
        <f ca="1">(T45-O46-P46)*(1+VTL20namcamket!$S$3)</f>
        <v>22093.058337856059</v>
      </c>
      <c r="U46" s="264"/>
      <c r="V46" s="542">
        <f ca="1">(V45-O46-R46)*(1+VTL20namMH!$P$3)</f>
        <v>22944.596537836129</v>
      </c>
    </row>
    <row r="47" spans="4:22" ht="9.75" customHeight="1">
      <c r="D47" s="351">
        <v>44</v>
      </c>
      <c r="E47" s="351">
        <v>3.496</v>
      </c>
      <c r="F47" s="351">
        <v>2.7519999999999998</v>
      </c>
      <c r="H47" s="252">
        <v>45</v>
      </c>
      <c r="I47" s="548">
        <f t="shared" ca="1" si="1"/>
        <v>74</v>
      </c>
      <c r="K47" s="1043"/>
      <c r="L47" s="1045"/>
      <c r="M47" s="262">
        <v>45</v>
      </c>
      <c r="N47" s="540">
        <f t="shared" ca="1" si="8"/>
        <v>977906.94166214392</v>
      </c>
      <c r="O47" s="538">
        <f ca="1">VTL20namcamket!F48</f>
        <v>50</v>
      </c>
      <c r="P47" s="541">
        <f ca="1">IF('Tinh phi QL'!$H$9="Nam",VLOOKUP(VTLCOI!$I$6,VTLCOI!$D$3:$F$103,2,0)*N47/1000/12,IF('Tinh phi QL'!$H$9="Nữ",VLOOKUP(VTLCOI!$I$6,VTLCOI!$D$3:$F$103,3,0)*N47/1000/12,0))</f>
        <v>127.12790241607873</v>
      </c>
      <c r="Q47" s="962"/>
      <c r="R47" s="539">
        <f ca="1">IF('Tinh phi QL'!$H$9="Nam",VLOOKUP(VTLCOI!$I$6,VTLCOI!$D$3:$F$103,2,0)*S47/1000/12,IF('Tinh phi QL'!$H$9="Nữ",VLOOKUP(VTLCOI!$I$6,VTLCOI!$D$3:$F$103,3,0)*S47/1000/12,0))</f>
        <v>127.0172024500813</v>
      </c>
      <c r="S47" s="541">
        <f t="shared" ca="1" si="9"/>
        <v>977055.40346216387</v>
      </c>
      <c r="T47" s="544">
        <f ca="1">(T46-O47-P47)*(1+VTL20namcamket!$S$3)</f>
        <v>21952.126376361335</v>
      </c>
      <c r="U47" s="264"/>
      <c r="V47" s="542">
        <f ca="1">(V46-O47-R47)*(1+VTL20namMH!$P$3)</f>
        <v>22853.067319609767</v>
      </c>
    </row>
    <row r="48" spans="4:22" ht="9.75" customHeight="1">
      <c r="D48" s="351">
        <v>45</v>
      </c>
      <c r="E48" s="351">
        <v>3.7839999999999998</v>
      </c>
      <c r="F48" s="351">
        <v>2.944</v>
      </c>
      <c r="H48" s="252">
        <v>46</v>
      </c>
      <c r="I48" s="548">
        <f t="shared" ca="1" si="1"/>
        <v>75</v>
      </c>
      <c r="K48" s="1043"/>
      <c r="L48" s="1045"/>
      <c r="M48" s="262">
        <v>46</v>
      </c>
      <c r="N48" s="540">
        <f t="shared" ca="1" si="8"/>
        <v>978047.87362363865</v>
      </c>
      <c r="O48" s="538">
        <f ca="1">VTL20namcamket!F49</f>
        <v>50</v>
      </c>
      <c r="P48" s="541">
        <f ca="1">IF('Tinh phi QL'!$H$9="Nam",VLOOKUP(VTLCOI!$I$6,VTLCOI!$D$3:$F$103,2,0)*N48/1000/12,IF('Tinh phi QL'!$H$9="Nữ",VLOOKUP(VTLCOI!$I$6,VTLCOI!$D$3:$F$103,3,0)*N48/1000/12,0))</f>
        <v>127.14622357107304</v>
      </c>
      <c r="Q48" s="962"/>
      <c r="R48" s="539">
        <f ca="1">IF('Tinh phi QL'!$H$9="Nam",VLOOKUP(VTLCOI!$I$6,VTLCOI!$D$3:$F$103,2,0)*S48/1000/12,IF('Tinh phi QL'!$H$9="Nữ",VLOOKUP(VTLCOI!$I$6,VTLCOI!$D$3:$F$103,3,0)*S48/1000/12,0))</f>
        <v>127.02910124845073</v>
      </c>
      <c r="S48" s="541">
        <f t="shared" ca="1" si="9"/>
        <v>977146.93268039019</v>
      </c>
      <c r="T48" s="544">
        <f ca="1">(T47-O48-P48)*(1+VTL20namcamket!$S$3)</f>
        <v>21810.943302860294</v>
      </c>
      <c r="U48" s="264"/>
      <c r="V48" s="542">
        <f ca="1">(V47-O48-R48)*(1+VTL20namMH!$P$3)</f>
        <v>22761.182482883753</v>
      </c>
    </row>
    <row r="49" spans="4:22" ht="9.75" customHeight="1">
      <c r="D49" s="351">
        <v>46</v>
      </c>
      <c r="E49" s="351">
        <v>4.0960000000000001</v>
      </c>
      <c r="F49" s="351">
        <v>3.1360000000000001</v>
      </c>
      <c r="H49" s="252">
        <v>47</v>
      </c>
      <c r="I49" s="548">
        <f t="shared" ca="1" si="1"/>
        <v>76</v>
      </c>
      <c r="K49" s="1043"/>
      <c r="L49" s="1045"/>
      <c r="M49" s="262">
        <v>47</v>
      </c>
      <c r="N49" s="540">
        <f t="shared" ca="1" si="8"/>
        <v>978189.05669713975</v>
      </c>
      <c r="O49" s="538">
        <f ca="1">VTL20namcamket!F50</f>
        <v>50</v>
      </c>
      <c r="P49" s="541">
        <f ca="1">IF('Tinh phi QL'!$H$9="Nam",VLOOKUP(VTLCOI!$I$6,VTLCOI!$D$3:$F$103,2,0)*N49/1000/12,IF('Tinh phi QL'!$H$9="Nữ",VLOOKUP(VTLCOI!$I$6,VTLCOI!$D$3:$F$103,3,0)*N49/1000/12,0))</f>
        <v>127.16457737062818</v>
      </c>
      <c r="Q49" s="962"/>
      <c r="R49" s="539">
        <f ca="1">IF('Tinh phi QL'!$H$9="Nam",VLOOKUP(VTLCOI!$I$6,VTLCOI!$D$3:$F$103,2,0)*S49/1000/12,IF('Tinh phi QL'!$H$9="Nữ",VLOOKUP(VTLCOI!$I$6,VTLCOI!$D$3:$F$103,3,0)*S49/1000/12,0))</f>
        <v>127.04104627722512</v>
      </c>
      <c r="S49" s="541">
        <f t="shared" ca="1" si="9"/>
        <v>977238.8175171162</v>
      </c>
      <c r="T49" s="544">
        <f ca="1">(T48-O49-P49)*(1+VTL20namcamket!$S$3)</f>
        <v>21669.508669922565</v>
      </c>
      <c r="U49" s="264"/>
      <c r="V49" s="542">
        <f ca="1">(V48-O49-R49)*(1+VTL20namMH!$P$3)</f>
        <v>22668.940645973427</v>
      </c>
    </row>
    <row r="50" spans="4:22" ht="9.75" customHeight="1">
      <c r="D50" s="351">
        <v>47</v>
      </c>
      <c r="E50" s="351">
        <v>4.4240000000000004</v>
      </c>
      <c r="F50" s="351">
        <v>3.3519999999999999</v>
      </c>
      <c r="H50" s="252">
        <v>48</v>
      </c>
      <c r="I50" s="548">
        <f t="shared" ca="1" si="1"/>
        <v>77</v>
      </c>
      <c r="K50" s="1043"/>
      <c r="L50" s="1045"/>
      <c r="M50" s="262">
        <v>48</v>
      </c>
      <c r="N50" s="540">
        <f t="shared" ca="1" si="8"/>
        <v>978330.49133007741</v>
      </c>
      <c r="O50" s="538">
        <f ca="1">VTL20namcamket!F51</f>
        <v>50</v>
      </c>
      <c r="P50" s="541">
        <f ca="1">IF('Tinh phi QL'!$H$9="Nam",VLOOKUP(VTLCOI!$I$6,VTLCOI!$D$3:$F$103,2,0)*N50/1000/12,IF('Tinh phi QL'!$H$9="Nữ",VLOOKUP(VTLCOI!$I$6,VTLCOI!$D$3:$F$103,3,0)*N50/1000/12,0))</f>
        <v>127.18296387291007</v>
      </c>
      <c r="Q50" s="962"/>
      <c r="R50" s="539">
        <f ca="1">IF('Tinh phi QL'!$H$9="Nam",VLOOKUP(VTLCOI!$I$6,VTLCOI!$D$3:$F$103,2,0)*S50/1000/12,IF('Tinh phi QL'!$H$9="Nữ",VLOOKUP(VTLCOI!$I$6,VTLCOI!$D$3:$F$103,3,0)*S50/1000/12,0))</f>
        <v>127.05303771602344</v>
      </c>
      <c r="S50" s="541">
        <f t="shared" ca="1" si="9"/>
        <v>977331.05935402657</v>
      </c>
      <c r="T50" s="545">
        <f ca="1">(T49-O50-P50)*(1+VTL20namcamket!$S$3)</f>
        <v>21527.822029320545</v>
      </c>
      <c r="U50" s="264"/>
      <c r="V50" s="543">
        <f ca="1">(V49-O50-R50)*(1+VTL20namMH!$P$3)</f>
        <v>22576.340421825858</v>
      </c>
    </row>
    <row r="51" spans="4:22" ht="9.75" customHeight="1">
      <c r="D51" s="351">
        <v>48</v>
      </c>
      <c r="E51" s="351">
        <v>4.7759999999999998</v>
      </c>
      <c r="F51" s="351">
        <v>3.5840000000000001</v>
      </c>
      <c r="H51" s="252">
        <v>49</v>
      </c>
      <c r="I51" s="548">
        <f t="shared" ca="1" si="1"/>
        <v>78</v>
      </c>
      <c r="K51" s="1045">
        <f>K39+1</f>
        <v>5</v>
      </c>
      <c r="L51" s="1045">
        <f t="shared" ref="L51" ca="1" si="10">L39+1</f>
        <v>34</v>
      </c>
      <c r="M51" s="252">
        <v>49</v>
      </c>
      <c r="N51" s="538">
        <f ca="1">$C$4-T50-VTLGTTKcamket!F11</f>
        <v>970472.17797067948</v>
      </c>
      <c r="O51" s="538">
        <f ca="1">VTL20namcamket!F52</f>
        <v>50</v>
      </c>
      <c r="P51" s="539">
        <f ca="1">IF('Tinh phi QL'!$H$9="Nam",VLOOKUP(VTLCOI!$I$7,VTLCOI!$D$3:$F$103,2,0)*N51/1000/12,IF('Tinh phi QL'!$H$9="Nữ",VLOOKUP(VTLCOI!$I$7,VTLCOI!$D$3:$F$103,3,0)*N51/1000/12,0))</f>
        <v>132.63119765599285</v>
      </c>
      <c r="Q51" s="1045">
        <f>VTL20namcamket!I52</f>
        <v>300</v>
      </c>
      <c r="R51" s="539">
        <f ca="1">IF('Tinh phi QL'!$H$9="Nam",VLOOKUP(VTLCOI!$I$7,VTLCOI!$D$3:$F$103,2,0)*S51/1000/12,IF('Tinh phi QL'!$H$9="Nữ",VLOOKUP(VTLCOI!$I$7,VTLCOI!$D$3:$F$103,3,0)*S51/1000/12,0))</f>
        <v>132.48790014235044</v>
      </c>
      <c r="S51" s="539">
        <f ca="1">$C$4-V50-VTLGTTKMH!F11</f>
        <v>969423.65957817412</v>
      </c>
      <c r="T51" s="542">
        <f ca="1">(T50+VTLGTTKcamket!F11-O51-P51)*(1+VTL20namcamket!$T$3)</f>
        <v>29393.65680014341</v>
      </c>
      <c r="U51" s="1044">
        <f>Q51</f>
        <v>300</v>
      </c>
      <c r="V51" s="542">
        <f ca="1">(V50+VTLGTTKMH!F11-O51-R51)*(1+VTL20namMH!$P$3)</f>
        <v>30507.975729363883</v>
      </c>
    </row>
    <row r="52" spans="4:22" ht="9.75" customHeight="1">
      <c r="D52" s="351">
        <v>49</v>
      </c>
      <c r="E52" s="351">
        <v>5.1680000000000001</v>
      </c>
      <c r="F52" s="351">
        <v>3.8319999999999999</v>
      </c>
      <c r="H52" s="252">
        <v>50</v>
      </c>
      <c r="I52" s="548">
        <f t="shared" ca="1" si="1"/>
        <v>79</v>
      </c>
      <c r="K52" s="1045"/>
      <c r="L52" s="1045"/>
      <c r="M52" s="252">
        <v>50</v>
      </c>
      <c r="N52" s="538">
        <f t="shared" ref="N52:N62" ca="1" si="11">$C$4-T51</f>
        <v>970606.34319985658</v>
      </c>
      <c r="O52" s="538">
        <f ca="1">VTL20namcamket!F53</f>
        <v>50</v>
      </c>
      <c r="P52" s="539">
        <f ca="1">IF('Tinh phi QL'!$H$9="Nam",VLOOKUP(VTLCOI!$I$7,VTLCOI!$D$3:$F$103,2,0)*N52/1000/12,IF('Tinh phi QL'!$H$9="Nữ",VLOOKUP(VTLCOI!$I$7,VTLCOI!$D$3:$F$103,3,0)*N52/1000/12,0))</f>
        <v>132.64953357064707</v>
      </c>
      <c r="Q52" s="1045"/>
      <c r="R52" s="539">
        <f ca="1">IF('Tinh phi QL'!$H$9="Nam",VLOOKUP(VTLCOI!$I$7,VTLCOI!$D$3:$F$103,2,0)*S52/1000/12,IF('Tinh phi QL'!$H$9="Nữ",VLOOKUP(VTLCOI!$I$7,VTLCOI!$D$3:$F$103,3,0)*S52/1000/12,0))</f>
        <v>132.49724331698692</v>
      </c>
      <c r="S52" s="539">
        <f t="shared" ca="1" si="2"/>
        <v>969492.02427063615</v>
      </c>
      <c r="T52" s="542">
        <f ca="1">(T51-O52-P52)*(1+VTL20namcamket!$T$3)</f>
        <v>29259.25161998449</v>
      </c>
      <c r="U52" s="1044"/>
      <c r="V52" s="542">
        <f ca="1">(V51-O52-R52)*(1+VTL20namMH!$P$3)</f>
        <v>30439.344962065392</v>
      </c>
    </row>
    <row r="53" spans="4:22" ht="9.75" customHeight="1">
      <c r="D53" s="351">
        <v>50</v>
      </c>
      <c r="E53" s="351">
        <v>5.6</v>
      </c>
      <c r="F53" s="351">
        <v>4.1040000000000001</v>
      </c>
      <c r="H53" s="252">
        <v>51</v>
      </c>
      <c r="I53" s="548">
        <f t="shared" ca="1" si="1"/>
        <v>80</v>
      </c>
      <c r="K53" s="1045"/>
      <c r="L53" s="1045"/>
      <c r="M53" s="252">
        <v>51</v>
      </c>
      <c r="N53" s="538">
        <f t="shared" ca="1" si="11"/>
        <v>970740.74838001549</v>
      </c>
      <c r="O53" s="538">
        <f ca="1">VTL20namcamket!F54</f>
        <v>50</v>
      </c>
      <c r="P53" s="539">
        <f ca="1">IF('Tinh phi QL'!$H$9="Nam",VLOOKUP(VTLCOI!$I$7,VTLCOI!$D$3:$F$103,2,0)*N53/1000/12,IF('Tinh phi QL'!$H$9="Nữ",VLOOKUP(VTLCOI!$I$7,VTLCOI!$D$3:$F$103,3,0)*N53/1000/12,0))</f>
        <v>132.6679022786021</v>
      </c>
      <c r="Q53" s="1045"/>
      <c r="R53" s="539">
        <f ca="1">IF('Tinh phi QL'!$H$9="Nam",VLOOKUP(VTLCOI!$I$7,VTLCOI!$D$3:$F$103,2,0)*S53/1000/12,IF('Tinh phi QL'!$H$9="Nữ",VLOOKUP(VTLCOI!$I$7,VTLCOI!$D$3:$F$103,3,0)*S53/1000/12,0))</f>
        <v>132.50662285518439</v>
      </c>
      <c r="S53" s="539">
        <f t="shared" ca="1" si="2"/>
        <v>969560.65503793466</v>
      </c>
      <c r="T53" s="542">
        <f ca="1">(T52-O53-P53)*(1+VTL20namcamket!$T$3)</f>
        <v>29124.60605969777</v>
      </c>
      <c r="U53" s="1044"/>
      <c r="V53" s="542">
        <f ca="1">(V52-O53-R53)*(1+VTL20namMH!$P$3)</f>
        <v>30370.447084369243</v>
      </c>
    </row>
    <row r="54" spans="4:22" ht="9.75" customHeight="1">
      <c r="D54" s="351">
        <v>51</v>
      </c>
      <c r="E54" s="351">
        <v>6.1040000000000001</v>
      </c>
      <c r="F54" s="351">
        <v>4.4000000000000004</v>
      </c>
      <c r="H54" s="252">
        <v>52</v>
      </c>
      <c r="I54" s="548">
        <f t="shared" ca="1" si="1"/>
        <v>81</v>
      </c>
      <c r="K54" s="1045"/>
      <c r="L54" s="1045"/>
      <c r="M54" s="252">
        <v>52</v>
      </c>
      <c r="N54" s="538">
        <f t="shared" ca="1" si="11"/>
        <v>970875.39394030219</v>
      </c>
      <c r="O54" s="538">
        <f ca="1">VTL20namcamket!F55</f>
        <v>50</v>
      </c>
      <c r="P54" s="539">
        <f ca="1">IF('Tinh phi QL'!$H$9="Nam",VLOOKUP(VTLCOI!$I$7,VTLCOI!$D$3:$F$103,2,0)*N54/1000/12,IF('Tinh phi QL'!$H$9="Nữ",VLOOKUP(VTLCOI!$I$7,VTLCOI!$D$3:$F$103,3,0)*N54/1000/12,0))</f>
        <v>132.68630383850794</v>
      </c>
      <c r="Q54" s="1045"/>
      <c r="R54" s="539">
        <f ca="1">IF('Tinh phi QL'!$H$9="Nam",VLOOKUP(VTLCOI!$I$7,VTLCOI!$D$3:$F$103,2,0)*S54/1000/12,IF('Tinh phi QL'!$H$9="Nữ",VLOOKUP(VTLCOI!$I$7,VTLCOI!$D$3:$F$103,3,0)*S54/1000/12,0))</f>
        <v>132.51603889846953</v>
      </c>
      <c r="S54" s="539">
        <f t="shared" ca="1" si="2"/>
        <v>969629.55291563075</v>
      </c>
      <c r="T54" s="542">
        <f ca="1">(T53-O54-P54)*(1+VTL20namcamket!$T$3)</f>
        <v>28989.719689369715</v>
      </c>
      <c r="U54" s="1044"/>
      <c r="V54" s="542">
        <f ca="1">(V53-O54-R54)*(1+VTL20namMH!$P$3)</f>
        <v>30301.281056683907</v>
      </c>
    </row>
    <row r="55" spans="4:22" ht="9.75" customHeight="1">
      <c r="D55" s="351">
        <v>52</v>
      </c>
      <c r="E55" s="351">
        <v>6.6639999999999997</v>
      </c>
      <c r="F55" s="351">
        <v>4.7359999999999998</v>
      </c>
      <c r="H55" s="252">
        <v>53</v>
      </c>
      <c r="I55" s="548">
        <f t="shared" ca="1" si="1"/>
        <v>82</v>
      </c>
      <c r="K55" s="1045"/>
      <c r="L55" s="1045"/>
      <c r="M55" s="252">
        <v>53</v>
      </c>
      <c r="N55" s="538">
        <f t="shared" ca="1" si="11"/>
        <v>971010.28031063033</v>
      </c>
      <c r="O55" s="538">
        <f ca="1">VTL20namcamket!F56</f>
        <v>50</v>
      </c>
      <c r="P55" s="539">
        <f ca="1">IF('Tinh phi QL'!$H$9="Nam",VLOOKUP(VTLCOI!$I$7,VTLCOI!$D$3:$F$103,2,0)*N55/1000/12,IF('Tinh phi QL'!$H$9="Nữ",VLOOKUP(VTLCOI!$I$7,VTLCOI!$D$3:$F$103,3,0)*N55/1000/12,0))</f>
        <v>132.70473830911948</v>
      </c>
      <c r="Q55" s="1045"/>
      <c r="R55" s="539">
        <f ca="1">IF('Tinh phi QL'!$H$9="Nam",VLOOKUP(VTLCOI!$I$7,VTLCOI!$D$3:$F$103,2,0)*S55/1000/12,IF('Tinh phi QL'!$H$9="Nữ",VLOOKUP(VTLCOI!$I$7,VTLCOI!$D$3:$F$103,3,0)*S55/1000/12,0))</f>
        <v>132.52549158891986</v>
      </c>
      <c r="S55" s="539">
        <f t="shared" ca="1" si="2"/>
        <v>969698.71894331614</v>
      </c>
      <c r="T55" s="542">
        <f ca="1">(T54-O55-P55)*(1+VTL20namcamket!$T$3)</f>
        <v>28854.592078317903</v>
      </c>
      <c r="U55" s="1044"/>
      <c r="V55" s="542">
        <f ca="1">(V54-O55-R55)*(1+VTL20namMH!$P$3)</f>
        <v>30231.845835371769</v>
      </c>
    </row>
    <row r="56" spans="4:22" ht="9.75" customHeight="1">
      <c r="D56" s="351">
        <v>53</v>
      </c>
      <c r="E56" s="351">
        <v>7.3040000000000003</v>
      </c>
      <c r="F56" s="351">
        <v>5.1040000000000001</v>
      </c>
      <c r="H56" s="252">
        <v>54</v>
      </c>
      <c r="I56" s="548">
        <f t="shared" ca="1" si="1"/>
        <v>83</v>
      </c>
      <c r="K56" s="1045"/>
      <c r="L56" s="1045"/>
      <c r="M56" s="252">
        <v>54</v>
      </c>
      <c r="N56" s="538">
        <f t="shared" ca="1" si="11"/>
        <v>971145.40792168211</v>
      </c>
      <c r="O56" s="538">
        <f ca="1">VTL20namcamket!F57</f>
        <v>50</v>
      </c>
      <c r="P56" s="539">
        <f ca="1">IF('Tinh phi QL'!$H$9="Nam",VLOOKUP(VTLCOI!$I$7,VTLCOI!$D$3:$F$103,2,0)*N56/1000/12,IF('Tinh phi QL'!$H$9="Nữ",VLOOKUP(VTLCOI!$I$7,VTLCOI!$D$3:$F$103,3,0)*N56/1000/12,0))</f>
        <v>132.72320574929654</v>
      </c>
      <c r="Q56" s="1045"/>
      <c r="R56" s="539">
        <f ca="1">IF('Tinh phi QL'!$H$9="Nam",VLOOKUP(VTLCOI!$I$7,VTLCOI!$D$3:$F$103,2,0)*S56/1000/12,IF('Tinh phi QL'!$H$9="Nữ",VLOOKUP(VTLCOI!$I$7,VTLCOI!$D$3:$F$103,3,0)*S56/1000/12,0))</f>
        <v>132.53498106916584</v>
      </c>
      <c r="S56" s="539">
        <f t="shared" ca="1" si="2"/>
        <v>969768.15416462824</v>
      </c>
      <c r="T56" s="542">
        <f ca="1">(T55-O56-P56)*(1+VTL20namcamket!$T$3)</f>
        <v>28719.222795089652</v>
      </c>
      <c r="U56" s="1044"/>
      <c r="V56" s="542">
        <f ca="1">(V55-O56-R56)*(1+VTL20namMH!$P$3)</f>
        <v>30162.140372733385</v>
      </c>
    </row>
    <row r="57" spans="4:22" ht="9.75" customHeight="1">
      <c r="D57" s="351">
        <v>54</v>
      </c>
      <c r="E57" s="351">
        <v>8.0079999999999991</v>
      </c>
      <c r="F57" s="351">
        <v>5.48</v>
      </c>
      <c r="H57" s="252">
        <v>55</v>
      </c>
      <c r="I57" s="548">
        <f t="shared" ca="1" si="1"/>
        <v>84</v>
      </c>
      <c r="K57" s="1045"/>
      <c r="L57" s="1045"/>
      <c r="M57" s="252">
        <v>55</v>
      </c>
      <c r="N57" s="538">
        <f t="shared" ca="1" si="11"/>
        <v>971280.77720491029</v>
      </c>
      <c r="O57" s="538">
        <f ca="1">VTL20namcamket!F58</f>
        <v>50</v>
      </c>
      <c r="P57" s="539">
        <f ca="1">IF('Tinh phi QL'!$H$9="Nam",VLOOKUP(VTLCOI!$I$7,VTLCOI!$D$3:$F$103,2,0)*N57/1000/12,IF('Tinh phi QL'!$H$9="Nữ",VLOOKUP(VTLCOI!$I$7,VTLCOI!$D$3:$F$103,3,0)*N57/1000/12,0))</f>
        <v>132.7417062180044</v>
      </c>
      <c r="Q57" s="1045"/>
      <c r="R57" s="539">
        <f ca="1">IF('Tinh phi QL'!$H$9="Nam",VLOOKUP(VTLCOI!$I$7,VTLCOI!$D$3:$F$103,2,0)*S57/1000/12,IF('Tinh phi QL'!$H$9="Nữ",VLOOKUP(VTLCOI!$I$7,VTLCOI!$D$3:$F$103,3,0)*S57/1000/12,0))</f>
        <v>132.5445074823931</v>
      </c>
      <c r="S57" s="539">
        <f t="shared" ca="1" si="2"/>
        <v>969837.85962726665</v>
      </c>
      <c r="T57" s="542">
        <f ca="1">(T56-O57-P57)*(1+VTL20namcamket!$T$3)</f>
        <v>28583.61140746063</v>
      </c>
      <c r="U57" s="1044"/>
      <c r="V57" s="542">
        <f ca="1">(V56-O57-R57)*(1+VTL20namMH!$P$3)</f>
        <v>30092.163616991675</v>
      </c>
    </row>
    <row r="58" spans="4:22" ht="9.75" customHeight="1">
      <c r="D58" s="351">
        <v>55</v>
      </c>
      <c r="E58" s="351">
        <v>8.7680000000000007</v>
      </c>
      <c r="F58" s="351">
        <v>5.8639999999999999</v>
      </c>
      <c r="H58" s="252">
        <v>56</v>
      </c>
      <c r="I58" s="548">
        <f t="shared" ca="1" si="1"/>
        <v>85</v>
      </c>
      <c r="K58" s="1045"/>
      <c r="L58" s="1045"/>
      <c r="M58" s="252">
        <v>56</v>
      </c>
      <c r="N58" s="538">
        <f t="shared" ca="1" si="11"/>
        <v>971416.38859253936</v>
      </c>
      <c r="O58" s="538">
        <f ca="1">VTL20namcamket!F59</f>
        <v>50</v>
      </c>
      <c r="P58" s="539">
        <f ca="1">IF('Tinh phi QL'!$H$9="Nam",VLOOKUP(VTLCOI!$I$7,VTLCOI!$D$3:$F$103,2,0)*N58/1000/12,IF('Tinh phi QL'!$H$9="Nữ",VLOOKUP(VTLCOI!$I$7,VTLCOI!$D$3:$F$103,3,0)*N58/1000/12,0))</f>
        <v>132.7602397743137</v>
      </c>
      <c r="Q58" s="1045"/>
      <c r="R58" s="539">
        <f ca="1">IF('Tinh phi QL'!$H$9="Nam",VLOOKUP(VTLCOI!$I$7,VTLCOI!$D$3:$F$103,2,0)*S58/1000/12,IF('Tinh phi QL'!$H$9="Nữ",VLOOKUP(VTLCOI!$I$7,VTLCOI!$D$3:$F$103,3,0)*S58/1000/12,0))</f>
        <v>132.55407097234445</v>
      </c>
      <c r="S58" s="539">
        <f t="shared" ca="1" si="2"/>
        <v>969907.83638300828</v>
      </c>
      <c r="T58" s="542">
        <f ca="1">(T57-O58-P58)*(1+VTL20namcamket!$T$3)</f>
        <v>28447.757482433488</v>
      </c>
      <c r="U58" s="1044"/>
      <c r="V58" s="542">
        <f ca="1">(V57-O58-R58)*(1+VTL20namMH!$P$3)</f>
        <v>30021.914512276049</v>
      </c>
    </row>
    <row r="59" spans="4:22" ht="9.75" customHeight="1">
      <c r="D59" s="351">
        <v>56</v>
      </c>
      <c r="E59" s="351">
        <v>9.5760000000000005</v>
      </c>
      <c r="F59" s="351">
        <v>6.24</v>
      </c>
      <c r="H59" s="252">
        <v>57</v>
      </c>
      <c r="I59" s="548">
        <f t="shared" ca="1" si="1"/>
        <v>86</v>
      </c>
      <c r="K59" s="1045"/>
      <c r="L59" s="1045"/>
      <c r="M59" s="252">
        <v>57</v>
      </c>
      <c r="N59" s="538">
        <f t="shared" ca="1" si="11"/>
        <v>971552.24251756654</v>
      </c>
      <c r="O59" s="538">
        <f ca="1">VTL20namcamket!F60</f>
        <v>50</v>
      </c>
      <c r="P59" s="539">
        <f ca="1">IF('Tinh phi QL'!$H$9="Nam",VLOOKUP(VTLCOI!$I$7,VTLCOI!$D$3:$F$103,2,0)*N59/1000/12,IF('Tinh phi QL'!$H$9="Nữ",VLOOKUP(VTLCOI!$I$7,VTLCOI!$D$3:$F$103,3,0)*N59/1000/12,0))</f>
        <v>132.77880647740076</v>
      </c>
      <c r="Q59" s="1045"/>
      <c r="R59" s="539">
        <f ca="1">IF('Tinh phi QL'!$H$9="Nam",VLOOKUP(VTLCOI!$I$7,VTLCOI!$D$3:$F$103,2,0)*S59/1000/12,IF('Tinh phi QL'!$H$9="Nữ",VLOOKUP(VTLCOI!$I$7,VTLCOI!$D$3:$F$103,3,0)*S59/1000/12,0))</f>
        <v>132.56367168332227</v>
      </c>
      <c r="S59" s="539">
        <f t="shared" ca="1" si="2"/>
        <v>969978.08548772393</v>
      </c>
      <c r="T59" s="542">
        <f ca="1">(T58-O59-P59)*(1+VTL20namcamket!$T$3)</f>
        <v>28311.66058623647</v>
      </c>
      <c r="U59" s="1044"/>
      <c r="V59" s="542">
        <f ca="1">(V58-O59-R59)*(1+VTL20namMH!$P$3)</f>
        <v>29951.391998606479</v>
      </c>
    </row>
    <row r="60" spans="4:22" ht="9.75" customHeight="1">
      <c r="D60" s="351">
        <v>57</v>
      </c>
      <c r="E60" s="351">
        <v>10.432</v>
      </c>
      <c r="F60" s="351">
        <v>6.6</v>
      </c>
      <c r="H60" s="252">
        <v>58</v>
      </c>
      <c r="I60" s="548">
        <f t="shared" ca="1" si="1"/>
        <v>87</v>
      </c>
      <c r="K60" s="1045"/>
      <c r="L60" s="1045"/>
      <c r="M60" s="252">
        <v>58</v>
      </c>
      <c r="N60" s="538">
        <f t="shared" ca="1" si="11"/>
        <v>971688.33941376349</v>
      </c>
      <c r="O60" s="538">
        <f ca="1">VTL20namcamket!F61</f>
        <v>50</v>
      </c>
      <c r="P60" s="539">
        <f ca="1">IF('Tinh phi QL'!$H$9="Nam",VLOOKUP(VTLCOI!$I$7,VTLCOI!$D$3:$F$103,2,0)*N60/1000/12,IF('Tinh phi QL'!$H$9="Nữ",VLOOKUP(VTLCOI!$I$7,VTLCOI!$D$3:$F$103,3,0)*N60/1000/12,0))</f>
        <v>132.79740638654766</v>
      </c>
      <c r="Q60" s="1045"/>
      <c r="R60" s="539">
        <f ca="1">IF('Tinh phi QL'!$H$9="Nam",VLOOKUP(VTLCOI!$I$7,VTLCOI!$D$3:$F$103,2,0)*S60/1000/12,IF('Tinh phi QL'!$H$9="Nữ",VLOOKUP(VTLCOI!$I$7,VTLCOI!$D$3:$F$103,3,0)*S60/1000/12,0))</f>
        <v>132.57330976019043</v>
      </c>
      <c r="S60" s="539">
        <f t="shared" ca="1" si="2"/>
        <v>970048.6080013935</v>
      </c>
      <c r="T60" s="542">
        <f ca="1">(T59-O60-P60)*(1+VTL20namcamket!$T$3)</f>
        <v>28175.320284322035</v>
      </c>
      <c r="U60" s="1044"/>
      <c r="V60" s="542">
        <f ca="1">(V59-O60-R60)*(1+VTL20namMH!$P$3)</f>
        <v>29880.5950118775</v>
      </c>
    </row>
    <row r="61" spans="4:22" ht="9.75" customHeight="1">
      <c r="D61" s="351">
        <v>58</v>
      </c>
      <c r="E61" s="351">
        <v>11.343999999999999</v>
      </c>
      <c r="F61" s="351">
        <v>6.96</v>
      </c>
      <c r="H61" s="252">
        <v>59</v>
      </c>
      <c r="I61" s="548">
        <f t="shared" ca="1" si="1"/>
        <v>88</v>
      </c>
      <c r="K61" s="1045"/>
      <c r="L61" s="1045"/>
      <c r="M61" s="252">
        <v>59</v>
      </c>
      <c r="N61" s="538">
        <f t="shared" ca="1" si="11"/>
        <v>971824.67971567798</v>
      </c>
      <c r="O61" s="538">
        <f ca="1">VTL20namcamket!F62</f>
        <v>50</v>
      </c>
      <c r="P61" s="539">
        <f ca="1">IF('Tinh phi QL'!$H$9="Nam",VLOOKUP(VTLCOI!$I$7,VTLCOI!$D$3:$F$103,2,0)*N61/1000/12,IF('Tinh phi QL'!$H$9="Nữ",VLOOKUP(VTLCOI!$I$7,VTLCOI!$D$3:$F$103,3,0)*N61/1000/12,0))</f>
        <v>132.81603956114265</v>
      </c>
      <c r="Q61" s="1045"/>
      <c r="R61" s="539">
        <f ca="1">IF('Tinh phi QL'!$H$9="Nam",VLOOKUP(VTLCOI!$I$7,VTLCOI!$D$3:$F$103,2,0)*S61/1000/12,IF('Tinh phi QL'!$H$9="Nữ",VLOOKUP(VTLCOI!$I$7,VTLCOI!$D$3:$F$103,3,0)*S61/1000/12,0))</f>
        <v>132.58298534837675</v>
      </c>
      <c r="S61" s="539">
        <f t="shared" ca="1" si="2"/>
        <v>970119.40498812252</v>
      </c>
      <c r="T61" s="542">
        <f ca="1">(T60-O61-P61)*(1+VTL20namcamket!$T$3)</f>
        <v>28038.736141365465</v>
      </c>
      <c r="U61" s="1044"/>
      <c r="V61" s="542">
        <f ca="1">(V60-O61-R61)*(1+VTL20namMH!$P$3)</f>
        <v>29809.52248384216</v>
      </c>
    </row>
    <row r="62" spans="4:22" ht="9.75" customHeight="1">
      <c r="D62" s="351">
        <v>59</v>
      </c>
      <c r="E62" s="351">
        <v>12.336</v>
      </c>
      <c r="F62" s="351">
        <v>7.36</v>
      </c>
      <c r="H62" s="252">
        <v>60</v>
      </c>
      <c r="I62" s="548">
        <f t="shared" ca="1" si="1"/>
        <v>89</v>
      </c>
      <c r="K62" s="1045"/>
      <c r="L62" s="1045"/>
      <c r="M62" s="252">
        <v>60</v>
      </c>
      <c r="N62" s="538">
        <f t="shared" ca="1" si="11"/>
        <v>971961.26385863451</v>
      </c>
      <c r="O62" s="538">
        <f ca="1">VTL20namcamket!F63</f>
        <v>50</v>
      </c>
      <c r="P62" s="539">
        <f ca="1">IF('Tinh phi QL'!$H$9="Nam",VLOOKUP(VTLCOI!$I$7,VTLCOI!$D$3:$F$103,2,0)*N62/1000/12,IF('Tinh phi QL'!$H$9="Nữ",VLOOKUP(VTLCOI!$I$7,VTLCOI!$D$3:$F$103,3,0)*N62/1000/12,0))</f>
        <v>132.83470606068002</v>
      </c>
      <c r="Q62" s="1045"/>
      <c r="R62" s="539">
        <f ca="1">IF('Tinh phi QL'!$H$9="Nam",VLOOKUP(VTLCOI!$I$7,VTLCOI!$D$3:$F$103,2,0)*S62/1000/12,IF('Tinh phi QL'!$H$9="Nữ",VLOOKUP(VTLCOI!$I$7,VTLCOI!$D$3:$F$103,3,0)*S62/1000/12,0))</f>
        <v>132.59269859387487</v>
      </c>
      <c r="S62" s="539">
        <f t="shared" ca="1" si="2"/>
        <v>970190.47751615779</v>
      </c>
      <c r="T62" s="543">
        <f ca="1">(T61-O62-P62)*(1+VTL20namcamket!$T$3)+Q51</f>
        <v>28201.907721263469</v>
      </c>
      <c r="U62" s="1044"/>
      <c r="V62" s="543">
        <f ca="1">(V61-O62-R62)*(1+VTL20namMH!$P$3)+U51</f>
        <v>30038.173342095895</v>
      </c>
    </row>
    <row r="63" spans="4:22" ht="9.75" customHeight="1">
      <c r="D63" s="351">
        <v>60</v>
      </c>
      <c r="E63" s="351">
        <v>13.44</v>
      </c>
      <c r="F63" s="351">
        <v>7.84</v>
      </c>
      <c r="H63" s="252">
        <v>61</v>
      </c>
      <c r="I63" s="548">
        <f t="shared" ca="1" si="1"/>
        <v>90</v>
      </c>
      <c r="K63" s="1043">
        <f>K51+1</f>
        <v>6</v>
      </c>
      <c r="L63" s="1045">
        <f t="shared" ref="L63" ca="1" si="12">L51+1</f>
        <v>35</v>
      </c>
      <c r="M63" s="262">
        <v>61</v>
      </c>
      <c r="N63" s="540">
        <f ca="1">$C$4-T62-VTLGTTKcamket!F12</f>
        <v>961998.09227873653</v>
      </c>
      <c r="O63" s="538">
        <f ca="1">VTL20namcamket!F64</f>
        <v>50</v>
      </c>
      <c r="P63" s="541">
        <f ca="1">IF('Tinh phi QL'!$H$9="Nam",VLOOKUP(VTLCOI!$I$8,VTLCOI!$D$3:$F$103,2,0)*N63/1000/12,IF('Tinh phi QL'!$H$9="Nữ",VLOOKUP(VTLCOI!$I$8,VTLCOI!$D$3:$F$103,3,0)*N63/1000/12,0))</f>
        <v>139.16905734965721</v>
      </c>
      <c r="Q63" s="1043">
        <f>Q51</f>
        <v>300</v>
      </c>
      <c r="R63" s="539">
        <f ca="1">IF('Tinh phi QL'!$H$9="Nam",VLOOKUP(VTLCOI!$I$8,VTLCOI!$D$3:$F$103,2,0)*S63/1000/12,IF('Tinh phi QL'!$H$9="Nữ",VLOOKUP(VTLCOI!$I$8,VTLCOI!$D$3:$F$103,3,0)*S63/1000/12,0))</f>
        <v>138.90341092317678</v>
      </c>
      <c r="S63" s="541">
        <f ca="1">$C$4-V62-VTLGTTKMH!F12</f>
        <v>960161.82665790408</v>
      </c>
      <c r="T63" s="544">
        <f ca="1">(T62+VTLGTTKcamket!F12-VTLCOI!O63-VTLCOI!P63)*(1+VTL20namcamket!U3)</f>
        <v>37859.682714490365</v>
      </c>
      <c r="U63" s="1044">
        <f>Q63</f>
        <v>300</v>
      </c>
      <c r="V63" s="542">
        <f ca="1">(V62+VTLGTTKMH!F12-O63-R63)*(1+VTL20namMH!$P$3)</f>
        <v>39798.145492883828</v>
      </c>
    </row>
    <row r="64" spans="4:22" ht="9.75" customHeight="1">
      <c r="D64" s="351">
        <v>61</v>
      </c>
      <c r="E64" s="351">
        <v>14.688000000000001</v>
      </c>
      <c r="F64" s="351">
        <v>8.4320000000000004</v>
      </c>
      <c r="H64" s="252">
        <v>62</v>
      </c>
      <c r="I64" s="548">
        <f t="shared" ca="1" si="1"/>
        <v>91</v>
      </c>
      <c r="K64" s="1043"/>
      <c r="L64" s="1045"/>
      <c r="M64" s="262">
        <v>62</v>
      </c>
      <c r="N64" s="540">
        <f t="shared" ref="N64:N74" ca="1" si="13">$C$4-T63</f>
        <v>962140.31728550966</v>
      </c>
      <c r="O64" s="538">
        <f ca="1">VTL20namcamket!F65</f>
        <v>50</v>
      </c>
      <c r="P64" s="541">
        <f ca="1">IF('Tinh phi QL'!$H$9="Nam",VLOOKUP(VTLCOI!$I$8,VTLCOI!$D$3:$F$103,2,0)*N64/1000/12,IF('Tinh phi QL'!$H$9="Nữ",VLOOKUP(VTLCOI!$I$8,VTLCOI!$D$3:$F$103,3,0)*N64/1000/12,0))</f>
        <v>139.18963256730373</v>
      </c>
      <c r="Q64" s="1043"/>
      <c r="R64" s="539">
        <f ca="1">IF('Tinh phi QL'!$H$9="Nam",VLOOKUP(VTLCOI!$I$8,VTLCOI!$D$3:$F$103,2,0)*S64/1000/12,IF('Tinh phi QL'!$H$9="Nữ",VLOOKUP(VTLCOI!$I$8,VTLCOI!$D$3:$F$103,3,0)*S64/1000/12,0))</f>
        <v>138.90920161869613</v>
      </c>
      <c r="S64" s="541">
        <f t="shared" ca="1" si="2"/>
        <v>960201.85450711614</v>
      </c>
      <c r="T64" s="544">
        <f ca="1">(T63-O64-P64)*(1+VTL20namcamket!$U$3)</f>
        <v>37717.260536356858</v>
      </c>
      <c r="U64" s="1044"/>
      <c r="V64" s="542">
        <f ca="1">(V63-O64-R64)*(1+VTL20namMH!$P$3)</f>
        <v>39757.96153417747</v>
      </c>
    </row>
    <row r="65" spans="4:22" ht="9.75" customHeight="1">
      <c r="D65" s="351">
        <v>62</v>
      </c>
      <c r="E65" s="351">
        <v>16.096</v>
      </c>
      <c r="F65" s="351">
        <v>9.1920000000000002</v>
      </c>
      <c r="H65" s="252">
        <v>63</v>
      </c>
      <c r="I65" s="548">
        <f t="shared" ca="1" si="1"/>
        <v>92</v>
      </c>
      <c r="K65" s="1043"/>
      <c r="L65" s="1045"/>
      <c r="M65" s="262">
        <v>63</v>
      </c>
      <c r="N65" s="540">
        <f t="shared" ca="1" si="13"/>
        <v>962282.73946364317</v>
      </c>
      <c r="O65" s="538">
        <f ca="1">VTL20namcamket!F66</f>
        <v>50</v>
      </c>
      <c r="P65" s="541">
        <f ca="1">IF('Tinh phi QL'!$H$9="Nam",VLOOKUP(VTLCOI!$I$8,VTLCOI!$D$3:$F$103,2,0)*N65/1000/12,IF('Tinh phi QL'!$H$9="Nữ",VLOOKUP(VTLCOI!$I$8,VTLCOI!$D$3:$F$103,3,0)*N65/1000/12,0))</f>
        <v>139.21023630907371</v>
      </c>
      <c r="Q65" s="1043"/>
      <c r="R65" s="539">
        <f ca="1">IF('Tinh phi QL'!$H$9="Nam",VLOOKUP(VTLCOI!$I$8,VTLCOI!$D$3:$F$103,2,0)*S65/1000/12,IF('Tinh phi QL'!$H$9="Nữ",VLOOKUP(VTLCOI!$I$8,VTLCOI!$D$3:$F$103,3,0)*S65/1000/12,0))</f>
        <v>138.91501489805566</v>
      </c>
      <c r="S65" s="541">
        <f t="shared" ca="1" si="2"/>
        <v>960242.03846582258</v>
      </c>
      <c r="T65" s="544">
        <f ca="1">(T64-O65-P65)*(1+VTL20namcamket!$U$3)</f>
        <v>37574.640913517585</v>
      </c>
      <c r="U65" s="1044"/>
      <c r="V65" s="542">
        <f ca="1">(V64-O65-R65)*(1+VTL20namMH!$P$3)</f>
        <v>39717.620857146343</v>
      </c>
    </row>
    <row r="66" spans="4:22" ht="9.75" customHeight="1">
      <c r="D66" s="351">
        <v>63</v>
      </c>
      <c r="E66" s="351">
        <v>17.672000000000001</v>
      </c>
      <c r="F66" s="351">
        <v>10.103999999999999</v>
      </c>
      <c r="H66" s="252">
        <v>64</v>
      </c>
      <c r="I66" s="548">
        <f t="shared" ca="1" si="1"/>
        <v>93</v>
      </c>
      <c r="K66" s="1043"/>
      <c r="L66" s="1045"/>
      <c r="M66" s="262">
        <v>64</v>
      </c>
      <c r="N66" s="540">
        <f t="shared" ca="1" si="13"/>
        <v>962425.35908648244</v>
      </c>
      <c r="O66" s="538">
        <f ca="1">VTL20namcamket!F67</f>
        <v>50</v>
      </c>
      <c r="P66" s="541">
        <f ca="1">IF('Tinh phi QL'!$H$9="Nam",VLOOKUP(VTLCOI!$I$8,VTLCOI!$D$3:$F$103,2,0)*N66/1000/12,IF('Tinh phi QL'!$H$9="Nữ",VLOOKUP(VTLCOI!$I$8,VTLCOI!$D$3:$F$103,3,0)*N66/1000/12,0))</f>
        <v>139.23086861451111</v>
      </c>
      <c r="Q66" s="1043"/>
      <c r="R66" s="539">
        <f ca="1">IF('Tinh phi QL'!$H$9="Nam",VLOOKUP(VTLCOI!$I$8,VTLCOI!$D$3:$F$103,2,0)*S66/1000/12,IF('Tinh phi QL'!$H$9="Nữ",VLOOKUP(VTLCOI!$I$8,VTLCOI!$D$3:$F$103,3,0)*S66/1000/12,0))</f>
        <v>138.92085084933282</v>
      </c>
      <c r="S66" s="541">
        <f t="shared" ca="1" si="2"/>
        <v>960282.37914285366</v>
      </c>
      <c r="T66" s="544">
        <f ca="1">(T65-O66-P66)*(1+VTL20namcamket!$U$3)</f>
        <v>37431.823572248242</v>
      </c>
      <c r="U66" s="1044"/>
      <c r="V66" s="542">
        <f ca="1">(V65-O66-R66)*(1+VTL20namMH!$P$3)</f>
        <v>39677.122850585525</v>
      </c>
    </row>
    <row r="67" spans="4:22" ht="9.75" customHeight="1">
      <c r="D67" s="351">
        <v>64</v>
      </c>
      <c r="E67" s="351">
        <v>19.416</v>
      </c>
      <c r="F67" s="351">
        <v>11.135999999999999</v>
      </c>
      <c r="H67" s="252">
        <v>65</v>
      </c>
      <c r="I67" s="548">
        <f t="shared" ca="1" si="1"/>
        <v>94</v>
      </c>
      <c r="K67" s="1043"/>
      <c r="L67" s="1045"/>
      <c r="M67" s="262">
        <v>65</v>
      </c>
      <c r="N67" s="540">
        <f t="shared" ca="1" si="13"/>
        <v>962568.17642775178</v>
      </c>
      <c r="O67" s="538">
        <f ca="1">VTL20namcamket!F68</f>
        <v>50</v>
      </c>
      <c r="P67" s="541">
        <f ca="1">IF('Tinh phi QL'!$H$9="Nam",VLOOKUP(VTLCOI!$I$8,VTLCOI!$D$3:$F$103,2,0)*N67/1000/12,IF('Tinh phi QL'!$H$9="Nữ",VLOOKUP(VTLCOI!$I$8,VTLCOI!$D$3:$F$103,3,0)*N67/1000/12,0))</f>
        <v>139.25152952321477</v>
      </c>
      <c r="Q67" s="1043"/>
      <c r="R67" s="539">
        <f ca="1">IF('Tinh phi QL'!$H$9="Nam",VLOOKUP(VTLCOI!$I$8,VTLCOI!$D$3:$F$103,2,0)*S67/1000/12,IF('Tinh phi QL'!$H$9="Nữ",VLOOKUP(VTLCOI!$I$8,VTLCOI!$D$3:$F$103,3,0)*S67/1000/12,0))</f>
        <v>138.92670956094864</v>
      </c>
      <c r="S67" s="541">
        <f t="shared" ca="1" si="2"/>
        <v>960322.8771494145</v>
      </c>
      <c r="T67" s="544">
        <f ca="1">(T66-O67-P67)*(1+VTL20namcamket!$U$3)</f>
        <v>37288.808238445046</v>
      </c>
      <c r="U67" s="1044"/>
      <c r="V67" s="542">
        <f ca="1">(V66-O67-R67)*(1+VTL20namMH!$P$3)</f>
        <v>39636.466900906387</v>
      </c>
    </row>
    <row r="68" spans="4:22" ht="9.75" customHeight="1">
      <c r="D68" s="351">
        <v>65</v>
      </c>
      <c r="E68" s="351">
        <v>21.295999999999999</v>
      </c>
      <c r="F68" s="351">
        <v>12.231999999999999</v>
      </c>
      <c r="H68" s="252">
        <v>66</v>
      </c>
      <c r="I68" s="548">
        <f t="shared" ca="1" si="1"/>
        <v>95</v>
      </c>
      <c r="K68" s="1043"/>
      <c r="L68" s="1045"/>
      <c r="M68" s="262">
        <v>66</v>
      </c>
      <c r="N68" s="540">
        <f t="shared" ca="1" si="13"/>
        <v>962711.19176155492</v>
      </c>
      <c r="O68" s="538">
        <f ca="1">VTL20namcamket!F69</f>
        <v>50</v>
      </c>
      <c r="P68" s="541">
        <f ca="1">IF('Tinh phi QL'!$H$9="Nam",VLOOKUP(VTLCOI!$I$8,VTLCOI!$D$3:$F$103,2,0)*N68/1000/12,IF('Tinh phi QL'!$H$9="Nữ",VLOOKUP(VTLCOI!$I$8,VTLCOI!$D$3:$F$103,3,0)*N68/1000/12,0))</f>
        <v>139.27221907483826</v>
      </c>
      <c r="Q68" s="1043"/>
      <c r="R68" s="539">
        <f ca="1">IF('Tinh phi QL'!$H$9="Nam",VLOOKUP(VTLCOI!$I$8,VTLCOI!$D$3:$F$103,2,0)*S68/1000/12,IF('Tinh phi QL'!$H$9="Nữ",VLOOKUP(VTLCOI!$I$8,VTLCOI!$D$3:$F$103,3,0)*S68/1000/12,0))</f>
        <v>138.93259112166888</v>
      </c>
      <c r="S68" s="541">
        <f t="shared" ca="1" si="2"/>
        <v>960363.53309909359</v>
      </c>
      <c r="T68" s="544">
        <f ca="1">(T67-O68-P68)*(1+VTL20namcamket!$U$3)</f>
        <v>37145.594637624221</v>
      </c>
      <c r="U68" s="1044"/>
      <c r="V68" s="542">
        <f ca="1">(V67-O68-R68)*(1+VTL20namMH!$P$3)</f>
        <v>39595.652392127282</v>
      </c>
    </row>
    <row r="69" spans="4:22" ht="9.75" customHeight="1">
      <c r="D69" s="351">
        <v>66</v>
      </c>
      <c r="E69" s="351">
        <v>23.303999999999998</v>
      </c>
      <c r="F69" s="351">
        <v>13.368</v>
      </c>
      <c r="H69" s="252">
        <v>67</v>
      </c>
      <c r="I69" s="548">
        <f t="shared" ref="I69:I103" ca="1" si="14">I68+1</f>
        <v>96</v>
      </c>
      <c r="K69" s="1043"/>
      <c r="L69" s="1045"/>
      <c r="M69" s="262">
        <v>67</v>
      </c>
      <c r="N69" s="540">
        <f t="shared" ca="1" si="13"/>
        <v>962854.40536237578</v>
      </c>
      <c r="O69" s="538">
        <f ca="1">VTL20namcamket!F70</f>
        <v>50</v>
      </c>
      <c r="P69" s="541">
        <f ca="1">IF('Tinh phi QL'!$H$9="Nam",VLOOKUP(VTLCOI!$I$8,VTLCOI!$D$3:$F$103,2,0)*N69/1000/12,IF('Tinh phi QL'!$H$9="Nữ",VLOOKUP(VTLCOI!$I$8,VTLCOI!$D$3:$F$103,3,0)*N69/1000/12,0))</f>
        <v>139.29293730909038</v>
      </c>
      <c r="Q69" s="1043"/>
      <c r="R69" s="539">
        <f ca="1">IF('Tinh phi QL'!$H$9="Nam",VLOOKUP(VTLCOI!$I$8,VTLCOI!$D$3:$F$103,2,0)*S69/1000/12,IF('Tinh phi QL'!$H$9="Nữ",VLOOKUP(VTLCOI!$I$8,VTLCOI!$D$3:$F$103,3,0)*S69/1000/12,0))</f>
        <v>138.93849562060558</v>
      </c>
      <c r="S69" s="541">
        <f t="shared" ref="S69:S132" ca="1" si="15">$C$4-V68</f>
        <v>960404.34760787268</v>
      </c>
      <c r="T69" s="544">
        <f ca="1">(T68-O69-P69)*(1+VTL20namcamket!$U$3)</f>
        <v>37002.182494921464</v>
      </c>
      <c r="U69" s="1044"/>
      <c r="V69" s="542">
        <f ca="1">(V68-O69-R69)*(1+VTL20namMH!$P$3)</f>
        <v>39554.678705864222</v>
      </c>
    </row>
    <row r="70" spans="4:22" ht="9.75" customHeight="1">
      <c r="D70" s="351">
        <v>67</v>
      </c>
      <c r="E70" s="351">
        <v>25.431999999999999</v>
      </c>
      <c r="F70" s="351">
        <v>14.504</v>
      </c>
      <c r="H70" s="252">
        <v>68</v>
      </c>
      <c r="I70" s="548">
        <f t="shared" ca="1" si="14"/>
        <v>97</v>
      </c>
      <c r="K70" s="1043"/>
      <c r="L70" s="1045"/>
      <c r="M70" s="262">
        <v>68</v>
      </c>
      <c r="N70" s="540">
        <f t="shared" ca="1" si="13"/>
        <v>962997.81750507851</v>
      </c>
      <c r="O70" s="538">
        <f ca="1">VTL20namcamket!F71</f>
        <v>50</v>
      </c>
      <c r="P70" s="541">
        <f ca="1">IF('Tinh phi QL'!$H$9="Nam",VLOOKUP(VTLCOI!$I$8,VTLCOI!$D$3:$F$103,2,0)*N70/1000/12,IF('Tinh phi QL'!$H$9="Nữ",VLOOKUP(VTLCOI!$I$8,VTLCOI!$D$3:$F$103,3,0)*N70/1000/12,0))</f>
        <v>139.31368426573468</v>
      </c>
      <c r="Q70" s="1043"/>
      <c r="R70" s="539">
        <f ca="1">IF('Tinh phi QL'!$H$9="Nam",VLOOKUP(VTLCOI!$I$8,VTLCOI!$D$3:$F$103,2,0)*S70/1000/12,IF('Tinh phi QL'!$H$9="Nữ",VLOOKUP(VTLCOI!$I$8,VTLCOI!$D$3:$F$103,3,0)*S70/1000/12,0))</f>
        <v>138.94442314721832</v>
      </c>
      <c r="S70" s="541">
        <f t="shared" ca="1" si="15"/>
        <v>960445.32129413576</v>
      </c>
      <c r="T70" s="544">
        <f ca="1">(T69-O70-P70)*(1+VTL20namcamket!$U$3)</f>
        <v>36858.571535091418</v>
      </c>
      <c r="U70" s="1044"/>
      <c r="V70" s="542">
        <f ca="1">(V69-O70-R70)*(1+VTL20namMH!$P$3)</f>
        <v>39513.545221321518</v>
      </c>
    </row>
    <row r="71" spans="4:22" ht="9.75" customHeight="1">
      <c r="D71" s="351">
        <v>68</v>
      </c>
      <c r="E71" s="351">
        <v>27.72</v>
      </c>
      <c r="F71" s="351">
        <v>15.672000000000001</v>
      </c>
      <c r="H71" s="252">
        <v>69</v>
      </c>
      <c r="I71" s="548">
        <f t="shared" ca="1" si="14"/>
        <v>98</v>
      </c>
      <c r="K71" s="1043"/>
      <c r="L71" s="1045"/>
      <c r="M71" s="262">
        <v>69</v>
      </c>
      <c r="N71" s="540">
        <f t="shared" ca="1" si="13"/>
        <v>963141.42846490862</v>
      </c>
      <c r="O71" s="538">
        <f ca="1">VTL20namcamket!F72</f>
        <v>50</v>
      </c>
      <c r="P71" s="541">
        <f ca="1">IF('Tinh phi QL'!$H$9="Nam",VLOOKUP(VTLCOI!$I$8,VTLCOI!$D$3:$F$103,2,0)*N71/1000/12,IF('Tinh phi QL'!$H$9="Nữ",VLOOKUP(VTLCOI!$I$8,VTLCOI!$D$3:$F$103,3,0)*N71/1000/12,0))</f>
        <v>139.3344599845901</v>
      </c>
      <c r="Q71" s="1043"/>
      <c r="R71" s="539">
        <f ca="1">IF('Tinh phi QL'!$H$9="Nam",VLOOKUP(VTLCOI!$I$8,VTLCOI!$D$3:$F$103,2,0)*S71/1000/12,IF('Tinh phi QL'!$H$9="Nữ",VLOOKUP(VTLCOI!$I$8,VTLCOI!$D$3:$F$103,3,0)*S71/1000/12,0))</f>
        <v>138.95037379131551</v>
      </c>
      <c r="S71" s="541">
        <f t="shared" ca="1" si="15"/>
        <v>960486.45477867848</v>
      </c>
      <c r="T71" s="544">
        <f ca="1">(T70-O71-P71)*(1+VTL20namcamket!$U$3)</f>
        <v>36714.761482507143</v>
      </c>
      <c r="U71" s="1044"/>
      <c r="V71" s="542">
        <f ca="1">(V70-O71-R71)*(1+VTL20namMH!$P$3)</f>
        <v>39472.251315282345</v>
      </c>
    </row>
    <row r="72" spans="4:22" ht="9.75" customHeight="1">
      <c r="D72" s="351">
        <v>69</v>
      </c>
      <c r="E72" s="351">
        <v>30.248000000000001</v>
      </c>
      <c r="F72" s="351">
        <v>16.984000000000002</v>
      </c>
      <c r="H72" s="252">
        <v>70</v>
      </c>
      <c r="I72" s="548">
        <f t="shared" ca="1" si="14"/>
        <v>99</v>
      </c>
      <c r="K72" s="1043"/>
      <c r="L72" s="1045"/>
      <c r="M72" s="262">
        <v>70</v>
      </c>
      <c r="N72" s="540">
        <f t="shared" ca="1" si="13"/>
        <v>963285.23851749289</v>
      </c>
      <c r="O72" s="538">
        <f ca="1">VTL20namcamket!F73</f>
        <v>50</v>
      </c>
      <c r="P72" s="541">
        <f ca="1">IF('Tinh phi QL'!$H$9="Nam",VLOOKUP(VTLCOI!$I$8,VTLCOI!$D$3:$F$103,2,0)*N72/1000/12,IF('Tinh phi QL'!$H$9="Nữ",VLOOKUP(VTLCOI!$I$8,VTLCOI!$D$3:$F$103,3,0)*N72/1000/12,0))</f>
        <v>139.35526450553064</v>
      </c>
      <c r="Q72" s="1043"/>
      <c r="R72" s="539">
        <f ca="1">IF('Tinh phi QL'!$H$9="Nam",VLOOKUP(VTLCOI!$I$8,VTLCOI!$D$3:$F$103,2,0)*S72/1000/12,IF('Tinh phi QL'!$H$9="Nữ",VLOOKUP(VTLCOI!$I$8,VTLCOI!$D$3:$F$103,3,0)*S72/1000/12,0))</f>
        <v>138.95634764305581</v>
      </c>
      <c r="S72" s="541">
        <f t="shared" ca="1" si="15"/>
        <v>960527.74868471769</v>
      </c>
      <c r="T72" s="544">
        <f ca="1">(T71-O72-P72)*(1+VTL20namcamket!$U$3)</f>
        <v>36570.752061159583</v>
      </c>
      <c r="U72" s="1044"/>
      <c r="V72" s="542">
        <f ca="1">(V71-O72-R72)*(1+VTL20namMH!$P$3)</f>
        <v>39430.79636209934</v>
      </c>
    </row>
    <row r="73" spans="4:22" ht="9.75" customHeight="1">
      <c r="D73" s="351">
        <v>70</v>
      </c>
      <c r="E73" s="351">
        <v>33.095999999999997</v>
      </c>
      <c r="F73" s="351">
        <v>18.527999999999999</v>
      </c>
      <c r="H73" s="252">
        <v>71</v>
      </c>
      <c r="I73" s="548">
        <f t="shared" ca="1" si="14"/>
        <v>100</v>
      </c>
      <c r="K73" s="1043"/>
      <c r="L73" s="1045"/>
      <c r="M73" s="262">
        <v>71</v>
      </c>
      <c r="N73" s="540">
        <f t="shared" ca="1" si="13"/>
        <v>963429.24793884042</v>
      </c>
      <c r="O73" s="538">
        <f ca="1">VTL20namcamket!F74</f>
        <v>50</v>
      </c>
      <c r="P73" s="541">
        <f ca="1">IF('Tinh phi QL'!$H$9="Nam",VLOOKUP(VTLCOI!$I$8,VTLCOI!$D$3:$F$103,2,0)*N73/1000/12,IF('Tinh phi QL'!$H$9="Nữ",VLOOKUP(VTLCOI!$I$8,VTLCOI!$D$3:$F$103,3,0)*N73/1000/12,0))</f>
        <v>139.37609786848557</v>
      </c>
      <c r="Q73" s="1043"/>
      <c r="R73" s="539">
        <f ca="1">IF('Tinh phi QL'!$H$9="Nam",VLOOKUP(VTLCOI!$I$8,VTLCOI!$D$3:$F$103,2,0)*S73/1000/12,IF('Tinh phi QL'!$H$9="Nữ",VLOOKUP(VTLCOI!$I$8,VTLCOI!$D$3:$F$103,3,0)*S73/1000/12,0))</f>
        <v>138.96234479294961</v>
      </c>
      <c r="S73" s="541">
        <f t="shared" ca="1" si="15"/>
        <v>960569.20363790065</v>
      </c>
      <c r="T73" s="544">
        <f ca="1">(T72-O73-P73)*(1+VTL20namcamket!$U$3)</f>
        <v>36426.542994657044</v>
      </c>
      <c r="U73" s="1044"/>
      <c r="V73" s="542">
        <f ca="1">(V72-O73-R73)*(1+VTL20namMH!$P$3)</f>
        <v>39389.179733685087</v>
      </c>
    </row>
    <row r="74" spans="4:22" ht="9.75" customHeight="1">
      <c r="D74" s="351">
        <v>71</v>
      </c>
      <c r="E74" s="351">
        <v>36.344000000000001</v>
      </c>
      <c r="F74" s="351">
        <v>20.423999999999999</v>
      </c>
      <c r="H74" s="252">
        <v>72</v>
      </c>
      <c r="I74" s="548">
        <f t="shared" ca="1" si="14"/>
        <v>101</v>
      </c>
      <c r="K74" s="1043"/>
      <c r="L74" s="1045"/>
      <c r="M74" s="262">
        <v>72</v>
      </c>
      <c r="N74" s="540">
        <f t="shared" ca="1" si="13"/>
        <v>963573.45700534293</v>
      </c>
      <c r="O74" s="538">
        <f ca="1">VTL20namcamket!F75</f>
        <v>50</v>
      </c>
      <c r="P74" s="541">
        <f ca="1">IF('Tinh phi QL'!$H$9="Nam",VLOOKUP(VTLCOI!$I$8,VTLCOI!$D$3:$F$103,2,0)*N74/1000/12,IF('Tinh phi QL'!$H$9="Nữ",VLOOKUP(VTLCOI!$I$8,VTLCOI!$D$3:$F$103,3,0)*N74/1000/12,0))</f>
        <v>139.3969601134396</v>
      </c>
      <c r="Q74" s="1043"/>
      <c r="R74" s="539">
        <f ca="1">IF('Tinh phi QL'!$H$9="Nam",VLOOKUP(VTLCOI!$I$8,VTLCOI!$D$3:$F$103,2,0)*S74/1000/12,IF('Tinh phi QL'!$H$9="Nữ",VLOOKUP(VTLCOI!$I$8,VTLCOI!$D$3:$F$103,3,0)*S74/1000/12,0))</f>
        <v>138.96836533186021</v>
      </c>
      <c r="S74" s="541">
        <f t="shared" ca="1" si="15"/>
        <v>960610.8202663149</v>
      </c>
      <c r="T74" s="545">
        <f ca="1">(T73-O74-P74)*(1+VTL20namcamket!$U$3)+Q63</f>
        <v>36582.134006224667</v>
      </c>
      <c r="U74" s="1044"/>
      <c r="V74" s="543">
        <f ca="1">(V73-O74-R74)*(1+VTL20namMH!$P$3)+U63</f>
        <v>39647.400799502626</v>
      </c>
    </row>
    <row r="75" spans="4:22" ht="9.75" customHeight="1">
      <c r="D75" s="351">
        <v>72</v>
      </c>
      <c r="E75" s="351">
        <v>40.064</v>
      </c>
      <c r="F75" s="351">
        <v>22.776</v>
      </c>
      <c r="H75" s="252">
        <v>73</v>
      </c>
      <c r="I75" s="548">
        <f t="shared" ca="1" si="14"/>
        <v>102</v>
      </c>
      <c r="K75" s="1045">
        <f>K63+1</f>
        <v>7</v>
      </c>
      <c r="L75" s="1045">
        <f t="shared" ref="L75" ca="1" si="16">L63+1</f>
        <v>36</v>
      </c>
      <c r="M75" s="252">
        <v>73</v>
      </c>
      <c r="N75" s="538">
        <f ca="1">$C$4-T74-VTLGTTKcamket!F13</f>
        <v>953617.86599377531</v>
      </c>
      <c r="O75" s="538">
        <f ca="1">VTL20namcamket!F76</f>
        <v>50</v>
      </c>
      <c r="P75" s="539">
        <f ca="1">IF('Tinh phi QL'!$H$9="Nam",VLOOKUP(VTLCOI!$I$9,VTLCOI!$D$3:$F$103,2,0)*N75/1000/12,IF('Tinh phi QL'!$H$9="Nữ",VLOOKUP(VTLCOI!$I$9,VTLCOI!$D$3:$F$103,3,0)*N75/1000/12,0))</f>
        <v>147.49289660703727</v>
      </c>
      <c r="Q75" s="1043">
        <f t="shared" ref="Q75" si="17">Q63</f>
        <v>300</v>
      </c>
      <c r="R75" s="539">
        <f ca="1">IF('Tinh phi QL'!$H$9="Nam",VLOOKUP(VTLCOI!$I$9,VTLCOI!$D$3:$F$103,2,0)*S75/1000/12,IF('Tinh phi QL'!$H$9="Nữ",VLOOKUP(VTLCOI!$I$9,VTLCOI!$D$3:$F$103,3,0)*S75/1000/12,0))</f>
        <v>147.01880200967693</v>
      </c>
      <c r="S75" s="539">
        <f ca="1">$C$4-V74-VTLGTTKMH!F13</f>
        <v>950552.59920049738</v>
      </c>
      <c r="T75" s="542">
        <f ca="1">(T74+VTLGTTKcamket!F13-VTLCOI!O75-VTLCOI!P75)*(1+VTL20namcamket!U3)</f>
        <v>46241.978774243842</v>
      </c>
      <c r="U75" s="1044">
        <f>Q75</f>
        <v>300</v>
      </c>
      <c r="V75" s="542">
        <f ca="1">(V74+VTLGTTKMH!F13-O75-R75)*(1+VTL20namMH!$P$3)</f>
        <v>49435.307931743235</v>
      </c>
    </row>
    <row r="76" spans="4:22" ht="9.75" customHeight="1">
      <c r="D76" s="351">
        <v>73</v>
      </c>
      <c r="E76" s="351">
        <v>44.271999999999998</v>
      </c>
      <c r="F76" s="351">
        <v>25.591999999999999</v>
      </c>
      <c r="H76" s="252">
        <v>74</v>
      </c>
      <c r="I76" s="548">
        <f t="shared" ca="1" si="14"/>
        <v>103</v>
      </c>
      <c r="K76" s="1045"/>
      <c r="L76" s="1045"/>
      <c r="M76" s="252">
        <v>74</v>
      </c>
      <c r="N76" s="538">
        <f t="shared" ref="N76:N86" ca="1" si="18">$C$4-T75</f>
        <v>953758.02122575615</v>
      </c>
      <c r="O76" s="538">
        <f ca="1">VTL20namcamket!F77</f>
        <v>50</v>
      </c>
      <c r="P76" s="539">
        <f ca="1">IF('Tinh phi QL'!$H$9="Nam",VLOOKUP(VTLCOI!$I$9,VTLCOI!$D$3:$F$103,2,0)*N76/1000/12,IF('Tinh phi QL'!$H$9="Nữ",VLOOKUP(VTLCOI!$I$9,VTLCOI!$D$3:$F$103,3,0)*N76/1000/12,0))</f>
        <v>147.51457394958365</v>
      </c>
      <c r="Q76" s="1043"/>
      <c r="R76" s="539">
        <f ca="1">IF('Tinh phi QL'!$H$9="Nam",VLOOKUP(VTLCOI!$I$9,VTLCOI!$D$3:$F$103,2,0)*S76/1000/12,IF('Tinh phi QL'!$H$9="Nữ",VLOOKUP(VTLCOI!$I$9,VTLCOI!$D$3:$F$103,3,0)*S76/1000/12,0))</f>
        <v>147.02067237322373</v>
      </c>
      <c r="S76" s="539">
        <f t="shared" ca="1" si="15"/>
        <v>950564.69206825679</v>
      </c>
      <c r="T76" s="542">
        <f ca="1">(T75-O76-P76)*(1+VTL20namcamket!$U$3)</f>
        <v>46101.627837009408</v>
      </c>
      <c r="U76" s="1044"/>
      <c r="V76" s="542">
        <f ca="1">(V75-O76-R76)*(1+VTL20namMH!$P$3)</f>
        <v>49423.167780150266</v>
      </c>
    </row>
    <row r="77" spans="4:22" ht="9.75" customHeight="1">
      <c r="D77" s="351">
        <v>74</v>
      </c>
      <c r="E77" s="351">
        <v>48.88</v>
      </c>
      <c r="F77" s="351">
        <v>28.84</v>
      </c>
      <c r="H77" s="252">
        <v>75</v>
      </c>
      <c r="I77" s="548">
        <f t="shared" ca="1" si="14"/>
        <v>104</v>
      </c>
      <c r="K77" s="1045"/>
      <c r="L77" s="1045"/>
      <c r="M77" s="252">
        <v>75</v>
      </c>
      <c r="N77" s="538">
        <f t="shared" ca="1" si="18"/>
        <v>953898.37216299062</v>
      </c>
      <c r="O77" s="538">
        <f ca="1">VTL20namcamket!F78</f>
        <v>50</v>
      </c>
      <c r="P77" s="539">
        <f ca="1">IF('Tinh phi QL'!$H$9="Nam",VLOOKUP(VTLCOI!$I$9,VTLCOI!$D$3:$F$103,2,0)*N77/1000/12,IF('Tinh phi QL'!$H$9="Nữ",VLOOKUP(VTLCOI!$I$9,VTLCOI!$D$3:$F$103,3,0)*N77/1000/12,0))</f>
        <v>147.53628156120922</v>
      </c>
      <c r="Q77" s="1043"/>
      <c r="R77" s="539">
        <f ca="1">IF('Tinh phi QL'!$H$9="Nam",VLOOKUP(VTLCOI!$I$9,VTLCOI!$D$3:$F$103,2,0)*S77/1000/12,IF('Tinh phi QL'!$H$9="Nữ",VLOOKUP(VTLCOI!$I$9,VTLCOI!$D$3:$F$103,3,0)*S77/1000/12,0))</f>
        <v>147.02255005000345</v>
      </c>
      <c r="S77" s="539">
        <f t="shared" ca="1" si="15"/>
        <v>950576.83221984969</v>
      </c>
      <c r="T77" s="542">
        <f ca="1">(T76-O77-P77)*(1+VTL20namcamket!$U$3)</f>
        <v>45961.080921249049</v>
      </c>
      <c r="U77" s="1044"/>
      <c r="V77" s="542">
        <f ca="1">(V76-O77-R77)*(1+VTL20namMH!$P$3)</f>
        <v>49410.980159841114</v>
      </c>
    </row>
    <row r="78" spans="4:22" ht="9.75" customHeight="1">
      <c r="D78" s="351">
        <v>75</v>
      </c>
      <c r="E78" s="351">
        <v>53.8</v>
      </c>
      <c r="F78" s="351">
        <v>32.448</v>
      </c>
      <c r="H78" s="252">
        <v>76</v>
      </c>
      <c r="I78" s="548">
        <f t="shared" ca="1" si="14"/>
        <v>105</v>
      </c>
      <c r="K78" s="1045"/>
      <c r="L78" s="1045"/>
      <c r="M78" s="252">
        <v>76</v>
      </c>
      <c r="N78" s="538">
        <f t="shared" ca="1" si="18"/>
        <v>954038.919078751</v>
      </c>
      <c r="O78" s="538">
        <f ca="1">VTL20namcamket!F79</f>
        <v>50</v>
      </c>
      <c r="P78" s="539">
        <f ca="1">IF('Tinh phi QL'!$H$9="Nam",VLOOKUP(VTLCOI!$I$9,VTLCOI!$D$3:$F$103,2,0)*N78/1000/12,IF('Tinh phi QL'!$H$9="Nữ",VLOOKUP(VTLCOI!$I$9,VTLCOI!$D$3:$F$103,3,0)*N78/1000/12,0))</f>
        <v>147.55801948418016</v>
      </c>
      <c r="Q78" s="1043"/>
      <c r="R78" s="539">
        <f ca="1">IF('Tinh phi QL'!$H$9="Nam",VLOOKUP(VTLCOI!$I$9,VTLCOI!$D$3:$F$103,2,0)*S78/1000/12,IF('Tinh phi QL'!$H$9="Nữ",VLOOKUP(VTLCOI!$I$9,VTLCOI!$D$3:$F$103,3,0)*S78/1000/12,0))</f>
        <v>147.02443506861127</v>
      </c>
      <c r="S78" s="539">
        <f t="shared" ca="1" si="15"/>
        <v>950589.01984015887</v>
      </c>
      <c r="T78" s="542">
        <f ca="1">(T77-O78-P78)*(1+VTL20namcamket!$U$3)</f>
        <v>45820.33775330885</v>
      </c>
      <c r="U78" s="1044"/>
      <c r="V78" s="542">
        <f ca="1">(V77-O78-R78)*(1+VTL20namMH!$P$3)</f>
        <v>49398.744885210268</v>
      </c>
    </row>
    <row r="79" spans="4:22" ht="9.75" customHeight="1">
      <c r="D79" s="351">
        <v>76</v>
      </c>
      <c r="E79" s="351">
        <v>58.96</v>
      </c>
      <c r="F79" s="351">
        <v>36.36</v>
      </c>
      <c r="H79" s="252">
        <v>77</v>
      </c>
      <c r="I79" s="548">
        <f t="shared" ca="1" si="14"/>
        <v>106</v>
      </c>
      <c r="K79" s="1045"/>
      <c r="L79" s="1045"/>
      <c r="M79" s="252">
        <v>77</v>
      </c>
      <c r="N79" s="538">
        <f t="shared" ca="1" si="18"/>
        <v>954179.66224669118</v>
      </c>
      <c r="O79" s="538">
        <f ca="1">VTL20namcamket!F80</f>
        <v>50</v>
      </c>
      <c r="P79" s="539">
        <f ca="1">IF('Tinh phi QL'!$H$9="Nam",VLOOKUP(VTLCOI!$I$9,VTLCOI!$D$3:$F$103,2,0)*N79/1000/12,IF('Tinh phi QL'!$H$9="Nữ",VLOOKUP(VTLCOI!$I$9,VTLCOI!$D$3:$F$103,3,0)*N79/1000/12,0))</f>
        <v>147.57978776082157</v>
      </c>
      <c r="Q79" s="1043"/>
      <c r="R79" s="539">
        <f ca="1">IF('Tinh phi QL'!$H$9="Nam",VLOOKUP(VTLCOI!$I$9,VTLCOI!$D$3:$F$103,2,0)*S79/1000/12,IF('Tinh phi QL'!$H$9="Nữ",VLOOKUP(VTLCOI!$I$9,VTLCOI!$D$3:$F$103,3,0)*S79/1000/12,0))</f>
        <v>147.02632745775415</v>
      </c>
      <c r="S79" s="539">
        <f t="shared" ca="1" si="15"/>
        <v>950601.2551147897</v>
      </c>
      <c r="T79" s="542">
        <f ca="1">(T78-O79-P79)*(1+VTL20namcamket!$U$3)</f>
        <v>45679.398059152794</v>
      </c>
      <c r="U79" s="1044"/>
      <c r="V79" s="542">
        <f ca="1">(V78-O79-R79)*(1+VTL20namMH!$P$3)</f>
        <v>49386.461769926493</v>
      </c>
    </row>
    <row r="80" spans="4:22" ht="9.75" customHeight="1">
      <c r="D80" s="351">
        <v>77</v>
      </c>
      <c r="E80" s="351">
        <v>64.296000000000006</v>
      </c>
      <c r="F80" s="351">
        <v>40.543999999999997</v>
      </c>
      <c r="H80" s="252">
        <v>78</v>
      </c>
      <c r="I80" s="548">
        <f t="shared" ca="1" si="14"/>
        <v>107</v>
      </c>
      <c r="K80" s="1045"/>
      <c r="L80" s="1045"/>
      <c r="M80" s="252">
        <v>78</v>
      </c>
      <c r="N80" s="538">
        <f t="shared" ca="1" si="18"/>
        <v>954320.60194084723</v>
      </c>
      <c r="O80" s="538">
        <f ca="1">VTL20namcamket!F81</f>
        <v>50</v>
      </c>
      <c r="P80" s="539">
        <f ca="1">IF('Tinh phi QL'!$H$9="Nam",VLOOKUP(VTLCOI!$I$9,VTLCOI!$D$3:$F$103,2,0)*N80/1000/12,IF('Tinh phi QL'!$H$9="Nữ",VLOOKUP(VTLCOI!$I$9,VTLCOI!$D$3:$F$103,3,0)*N80/1000/12,0))</f>
        <v>147.60158643351772</v>
      </c>
      <c r="Q80" s="1043"/>
      <c r="R80" s="539">
        <f ca="1">IF('Tinh phi QL'!$H$9="Nam",VLOOKUP(VTLCOI!$I$9,VTLCOI!$D$3:$F$103,2,0)*S80/1000/12,IF('Tinh phi QL'!$H$9="Nữ",VLOOKUP(VTLCOI!$I$9,VTLCOI!$D$3:$F$103,3,0)*S80/1000/12,0))</f>
        <v>147.02822724625139</v>
      </c>
      <c r="S80" s="539">
        <f t="shared" ca="1" si="15"/>
        <v>950613.53823007352</v>
      </c>
      <c r="T80" s="542">
        <f ca="1">(T79-O80-P80)*(1+VTL20namcamket!$U$3)</f>
        <v>45538.261564362198</v>
      </c>
      <c r="U80" s="1044"/>
      <c r="V80" s="542">
        <f ca="1">(V79-O80-R80)*(1+VTL20namMH!$P$3)</f>
        <v>49374.130626929975</v>
      </c>
    </row>
    <row r="81" spans="4:22" ht="9.75" customHeight="1">
      <c r="D81" s="351">
        <v>78</v>
      </c>
      <c r="E81" s="351">
        <v>69.855999999999995</v>
      </c>
      <c r="F81" s="351">
        <v>45.055999999999997</v>
      </c>
      <c r="H81" s="252">
        <v>79</v>
      </c>
      <c r="I81" s="548">
        <f t="shared" ca="1" si="14"/>
        <v>108</v>
      </c>
      <c r="K81" s="1045"/>
      <c r="L81" s="1045"/>
      <c r="M81" s="252">
        <v>79</v>
      </c>
      <c r="N81" s="538">
        <f t="shared" ca="1" si="18"/>
        <v>954461.73843563779</v>
      </c>
      <c r="O81" s="538">
        <f ca="1">VTL20namcamket!F82</f>
        <v>50</v>
      </c>
      <c r="P81" s="539">
        <f ca="1">IF('Tinh phi QL'!$H$9="Nam",VLOOKUP(VTLCOI!$I$9,VTLCOI!$D$3:$F$103,2,0)*N81/1000/12,IF('Tinh phi QL'!$H$9="Nữ",VLOOKUP(VTLCOI!$I$9,VTLCOI!$D$3:$F$103,3,0)*N81/1000/12,0))</f>
        <v>147.623415544712</v>
      </c>
      <c r="Q81" s="1043"/>
      <c r="R81" s="539">
        <f ca="1">IF('Tinh phi QL'!$H$9="Nam",VLOOKUP(VTLCOI!$I$9,VTLCOI!$D$3:$F$103,2,0)*S81/1000/12,IF('Tinh phi QL'!$H$9="Nữ",VLOOKUP(VTLCOI!$I$9,VTLCOI!$D$3:$F$103,3,0)*S81/1000/12,0))</f>
        <v>147.03013446303484</v>
      </c>
      <c r="S81" s="539">
        <f t="shared" ca="1" si="15"/>
        <v>950625.86937307008</v>
      </c>
      <c r="T81" s="542">
        <f ca="1">(T80-O81-P81)*(1+VTL20namcamket!$U$3)</f>
        <v>45396.927994135214</v>
      </c>
      <c r="U81" s="1044"/>
      <c r="V81" s="542">
        <f ca="1">(V80-O81-R81)*(1+VTL20namMH!$P$3)</f>
        <v>49361.7512684295</v>
      </c>
    </row>
    <row r="82" spans="4:22" ht="9.75" customHeight="1">
      <c r="D82" s="351">
        <v>79</v>
      </c>
      <c r="E82" s="351">
        <v>75.808000000000007</v>
      </c>
      <c r="F82" s="351">
        <v>50.055999999999997</v>
      </c>
      <c r="H82" s="252">
        <v>80</v>
      </c>
      <c r="I82" s="548">
        <f t="shared" ca="1" si="14"/>
        <v>109</v>
      </c>
      <c r="K82" s="1045"/>
      <c r="L82" s="1045"/>
      <c r="M82" s="252">
        <v>80</v>
      </c>
      <c r="N82" s="538">
        <f t="shared" ca="1" si="18"/>
        <v>954603.07200586481</v>
      </c>
      <c r="O82" s="538">
        <f ca="1">VTL20namcamket!F83</f>
        <v>50</v>
      </c>
      <c r="P82" s="539">
        <f ca="1">IF('Tinh phi QL'!$H$9="Nam",VLOOKUP(VTLCOI!$I$9,VTLCOI!$D$3:$F$103,2,0)*N82/1000/12,IF('Tinh phi QL'!$H$9="Nữ",VLOOKUP(VTLCOI!$I$9,VTLCOI!$D$3:$F$103,3,0)*N82/1000/12,0))</f>
        <v>147.64527513690709</v>
      </c>
      <c r="Q82" s="1043"/>
      <c r="R82" s="539">
        <f ca="1">IF('Tinh phi QL'!$H$9="Nam",VLOOKUP(VTLCOI!$I$9,VTLCOI!$D$3:$F$103,2,0)*S82/1000/12,IF('Tinh phi QL'!$H$9="Nữ",VLOOKUP(VTLCOI!$I$9,VTLCOI!$D$3:$F$103,3,0)*S82/1000/12,0))</f>
        <v>147.03204913714958</v>
      </c>
      <c r="S82" s="539">
        <f t="shared" ca="1" si="15"/>
        <v>950638.24873157055</v>
      </c>
      <c r="T82" s="542">
        <f ca="1">(T81-O82-P82)*(1+VTL20namcamket!$U$3)</f>
        <v>45255.397073286258</v>
      </c>
      <c r="U82" s="1044"/>
      <c r="V82" s="542">
        <f ca="1">(V81-O82-R82)*(1+VTL20namMH!$P$3)</f>
        <v>49349.323505899578</v>
      </c>
    </row>
    <row r="83" spans="4:22" ht="9.75" customHeight="1">
      <c r="D83" s="351">
        <v>80</v>
      </c>
      <c r="E83" s="351">
        <v>82.352000000000004</v>
      </c>
      <c r="F83" s="351">
        <v>55.735999999999997</v>
      </c>
      <c r="H83" s="252">
        <v>81</v>
      </c>
      <c r="I83" s="548">
        <f t="shared" ca="1" si="14"/>
        <v>110</v>
      </c>
      <c r="K83" s="1045"/>
      <c r="L83" s="1045"/>
      <c r="M83" s="252">
        <v>81</v>
      </c>
      <c r="N83" s="538">
        <f t="shared" ca="1" si="18"/>
        <v>954744.60292671376</v>
      </c>
      <c r="O83" s="538">
        <f ca="1">VTL20namcamket!F84</f>
        <v>50</v>
      </c>
      <c r="P83" s="539">
        <f ca="1">IF('Tinh phi QL'!$H$9="Nam",VLOOKUP(VTLCOI!$I$9,VTLCOI!$D$3:$F$103,2,0)*N83/1000/12,IF('Tinh phi QL'!$H$9="Nữ",VLOOKUP(VTLCOI!$I$9,VTLCOI!$D$3:$F$103,3,0)*N83/1000/12,0))</f>
        <v>147.66716525266509</v>
      </c>
      <c r="Q83" s="1043"/>
      <c r="R83" s="539">
        <f ca="1">IF('Tinh phi QL'!$H$9="Nam",VLOOKUP(VTLCOI!$I$9,VTLCOI!$D$3:$F$103,2,0)*S83/1000/12,IF('Tinh phi QL'!$H$9="Nữ",VLOOKUP(VTLCOI!$I$9,VTLCOI!$D$3:$F$103,3,0)*S83/1000/12,0))</f>
        <v>147.03397129775419</v>
      </c>
      <c r="S83" s="539">
        <f t="shared" ca="1" si="15"/>
        <v>950650.67649410036</v>
      </c>
      <c r="T83" s="542">
        <f ca="1">(T82-O83-P83)*(1+VTL20namcamket!$U$3)</f>
        <v>45113.668526245507</v>
      </c>
      <c r="U83" s="1044"/>
      <c r="V83" s="542">
        <f ca="1">(V82-O83-R83)*(1+VTL20namMH!$P$3)</f>
        <v>49336.84715007757</v>
      </c>
    </row>
    <row r="84" spans="4:22" ht="9.75" customHeight="1">
      <c r="D84" s="351">
        <v>81</v>
      </c>
      <c r="E84" s="351">
        <v>89.671999999999997</v>
      </c>
      <c r="F84" s="351">
        <v>62.264000000000003</v>
      </c>
      <c r="H84" s="252">
        <v>82</v>
      </c>
      <c r="I84" s="548">
        <f t="shared" ca="1" si="14"/>
        <v>111</v>
      </c>
      <c r="K84" s="1045"/>
      <c r="L84" s="1045"/>
      <c r="M84" s="252">
        <v>82</v>
      </c>
      <c r="N84" s="538">
        <f t="shared" ca="1" si="18"/>
        <v>954886.33147375449</v>
      </c>
      <c r="O84" s="538">
        <f ca="1">VTL20namcamket!F85</f>
        <v>50</v>
      </c>
      <c r="P84" s="539">
        <f ca="1">IF('Tinh phi QL'!$H$9="Nam",VLOOKUP(VTLCOI!$I$9,VTLCOI!$D$3:$F$103,2,0)*N84/1000/12,IF('Tinh phi QL'!$H$9="Nữ",VLOOKUP(VTLCOI!$I$9,VTLCOI!$D$3:$F$103,3,0)*N84/1000/12,0))</f>
        <v>147.68908593460736</v>
      </c>
      <c r="Q84" s="1043"/>
      <c r="R84" s="539">
        <f ca="1">IF('Tinh phi QL'!$H$9="Nam",VLOOKUP(VTLCOI!$I$9,VTLCOI!$D$3:$F$103,2,0)*S84/1000/12,IF('Tinh phi QL'!$H$9="Nữ",VLOOKUP(VTLCOI!$I$9,VTLCOI!$D$3:$F$103,3,0)*S84/1000/12,0))</f>
        <v>147.03590097412135</v>
      </c>
      <c r="S84" s="539">
        <f t="shared" ca="1" si="15"/>
        <v>950663.15284992242</v>
      </c>
      <c r="T84" s="542">
        <f ca="1">(T83-O84-P84)*(1+VTL20namcamket!$U$3)</f>
        <v>44971.742077058334</v>
      </c>
      <c r="U84" s="1044"/>
      <c r="V84" s="542">
        <f ca="1">(V83-O84-R84)*(1+VTL20namMH!$P$3)</f>
        <v>49324.322010960801</v>
      </c>
    </row>
    <row r="85" spans="4:22" ht="9.75" customHeight="1">
      <c r="D85" s="351">
        <v>82</v>
      </c>
      <c r="E85" s="351">
        <v>97.927999999999997</v>
      </c>
      <c r="F85" s="351">
        <v>69.8</v>
      </c>
      <c r="H85" s="252">
        <v>83</v>
      </c>
      <c r="I85" s="548">
        <f t="shared" ca="1" si="14"/>
        <v>112</v>
      </c>
      <c r="K85" s="1045"/>
      <c r="L85" s="1045"/>
      <c r="M85" s="252">
        <v>83</v>
      </c>
      <c r="N85" s="538">
        <f t="shared" ca="1" si="18"/>
        <v>955028.2579229417</v>
      </c>
      <c r="O85" s="538">
        <f ca="1">VTL20namcamket!F86</f>
        <v>50</v>
      </c>
      <c r="P85" s="539">
        <f ca="1">IF('Tinh phi QL'!$H$9="Nam",VLOOKUP(VTLCOI!$I$9,VTLCOI!$D$3:$F$103,2,0)*N85/1000/12,IF('Tinh phi QL'!$H$9="Nữ",VLOOKUP(VTLCOI!$I$9,VTLCOI!$D$3:$F$103,3,0)*N85/1000/12,0))</f>
        <v>147.711037225415</v>
      </c>
      <c r="Q85" s="1043"/>
      <c r="R85" s="539">
        <f ca="1">IF('Tinh phi QL'!$H$9="Nam",VLOOKUP(VTLCOI!$I$9,VTLCOI!$D$3:$F$103,2,0)*S85/1000/12,IF('Tinh phi QL'!$H$9="Nữ",VLOOKUP(VTLCOI!$I$9,VTLCOI!$D$3:$F$103,3,0)*S85/1000/12,0))</f>
        <v>147.03783819563807</v>
      </c>
      <c r="S85" s="539">
        <f t="shared" ca="1" si="15"/>
        <v>950675.67798903922</v>
      </c>
      <c r="T85" s="542">
        <f ca="1">(T84-O85-P85)*(1+VTL20namcamket!$U$3)</f>
        <v>44829.617449384787</v>
      </c>
      <c r="U85" s="1044"/>
      <c r="V85" s="542">
        <f ca="1">(V84-O85-R85)*(1+VTL20namMH!$P$3)</f>
        <v>49311.747897803689</v>
      </c>
    </row>
    <row r="86" spans="4:22" ht="9.75" customHeight="1">
      <c r="D86" s="351">
        <v>83</v>
      </c>
      <c r="E86" s="351">
        <v>107.072</v>
      </c>
      <c r="F86" s="351">
        <v>78.319999999999993</v>
      </c>
      <c r="H86" s="252">
        <v>84</v>
      </c>
      <c r="I86" s="548">
        <f t="shared" ca="1" si="14"/>
        <v>113</v>
      </c>
      <c r="K86" s="1045"/>
      <c r="L86" s="1045"/>
      <c r="M86" s="252">
        <v>84</v>
      </c>
      <c r="N86" s="538">
        <f t="shared" ca="1" si="18"/>
        <v>955170.38255061524</v>
      </c>
      <c r="O86" s="538">
        <f ca="1">VTL20namcamket!F87</f>
        <v>50</v>
      </c>
      <c r="P86" s="539">
        <f ca="1">IF('Tinh phi QL'!$H$9="Nam",VLOOKUP(VTLCOI!$I$9,VTLCOI!$D$3:$F$103,2,0)*N86/1000/12,IF('Tinh phi QL'!$H$9="Nữ",VLOOKUP(VTLCOI!$I$9,VTLCOI!$D$3:$F$103,3,0)*N86/1000/12,0))</f>
        <v>147.73301916782847</v>
      </c>
      <c r="Q86" s="1043"/>
      <c r="R86" s="539">
        <f ca="1">IF('Tinh phi QL'!$H$9="Nam",VLOOKUP(VTLCOI!$I$9,VTLCOI!$D$3:$F$103,2,0)*S86/1000/12,IF('Tinh phi QL'!$H$9="Nữ",VLOOKUP(VTLCOI!$I$9,VTLCOI!$D$3:$F$103,3,0)*S86/1000/12,0))</f>
        <v>147.03978299180639</v>
      </c>
      <c r="S86" s="539">
        <f t="shared" ca="1" si="15"/>
        <v>950688.25210219633</v>
      </c>
      <c r="T86" s="543">
        <f ca="1">(T85-O86-P86)*(1+VTL20namcamket!$U$3)+Q75</f>
        <v>44987.29436649906</v>
      </c>
      <c r="U86" s="1044"/>
      <c r="V86" s="543">
        <f ca="1">(V85-O86-R86)*(1+VTL20namMH!$P$3)+U75</f>
        <v>49599.124619114817</v>
      </c>
    </row>
    <row r="87" spans="4:22" ht="9.75" customHeight="1">
      <c r="D87" s="351">
        <v>84</v>
      </c>
      <c r="E87" s="351">
        <v>116.896</v>
      </c>
      <c r="F87" s="351">
        <v>87.695999999999998</v>
      </c>
      <c r="H87" s="252">
        <v>85</v>
      </c>
      <c r="I87" s="548">
        <f t="shared" ca="1" si="14"/>
        <v>114</v>
      </c>
      <c r="K87" s="1043">
        <f>K75+1</f>
        <v>8</v>
      </c>
      <c r="L87" s="1045">
        <f t="shared" ref="L87" ca="1" si="19">L75+1</f>
        <v>37</v>
      </c>
      <c r="M87" s="262">
        <v>85</v>
      </c>
      <c r="N87" s="540">
        <f ca="1">$C$4-T86-VTLGTTKcamket!F14</f>
        <v>945212.70563350094</v>
      </c>
      <c r="O87" s="538">
        <f ca="1">VTL20namcamket!F88</f>
        <v>50</v>
      </c>
      <c r="P87" s="541">
        <f ca="1">IF('Tinh phi QL'!$H$9="Nam",VLOOKUP(VTLCOI!$I$10,VTLCOI!$D$3:$F$103,2,0)*N87/1000/12,IF('Tinh phi QL'!$H$9="Nữ",VLOOKUP(VTLCOI!$I$10,VTLCOI!$D$3:$F$103,3,0)*N87/1000/12,0))</f>
        <v>156.90530913516116</v>
      </c>
      <c r="Q87" s="1043">
        <f t="shared" ref="Q87" si="20">Q75</f>
        <v>300</v>
      </c>
      <c r="R87" s="539">
        <f ca="1">IF('Tinh phi QL'!$H$9="Nam",VLOOKUP(VTLCOI!$I$10,VTLCOI!$D$3:$F$103,2,0)*S87/1000/12,IF('Tinh phi QL'!$H$9="Nữ",VLOOKUP(VTLCOI!$I$10,VTLCOI!$D$3:$F$103,3,0)*S87/1000/12,0))</f>
        <v>156.13974531322694</v>
      </c>
      <c r="S87" s="541">
        <f ca="1">$C$4-V86-VTLGTTKMH!F14</f>
        <v>940600.87538088521</v>
      </c>
      <c r="T87" s="544">
        <f ca="1">(T86+VTLGTTKcamket!F14-O87-P87)*(1+VTL20namcamket!$U$3)</f>
        <v>54648.149939937641</v>
      </c>
      <c r="U87" s="1044">
        <f>Q87</f>
        <v>300</v>
      </c>
      <c r="V87" s="542">
        <f ca="1">(V86+VTLGTTKMH!F14-O87-R87)*(1+VTL20namMH!$P$3)</f>
        <v>59415.243414444136</v>
      </c>
    </row>
    <row r="88" spans="4:22" ht="9.75" customHeight="1">
      <c r="D88" s="351">
        <v>85</v>
      </c>
      <c r="E88" s="351">
        <v>127.184</v>
      </c>
      <c r="F88" s="351">
        <v>97.831999999999994</v>
      </c>
      <c r="H88" s="252">
        <v>86</v>
      </c>
      <c r="I88" s="548">
        <f t="shared" ca="1" si="14"/>
        <v>115</v>
      </c>
      <c r="K88" s="1043"/>
      <c r="L88" s="1045"/>
      <c r="M88" s="262">
        <v>86</v>
      </c>
      <c r="N88" s="540">
        <f t="shared" ref="N88:N98" ca="1" si="21">$C$4-T87</f>
        <v>945351.85006006237</v>
      </c>
      <c r="O88" s="538">
        <f ca="1">VTL20namcamket!F89</f>
        <v>50</v>
      </c>
      <c r="P88" s="541">
        <f ca="1">IF('Tinh phi QL'!$H$9="Nam",VLOOKUP(VTLCOI!$I$10,VTLCOI!$D$3:$F$103,2,0)*N88/1000/12,IF('Tinh phi QL'!$H$9="Nữ",VLOOKUP(VTLCOI!$I$10,VTLCOI!$D$3:$F$103,3,0)*N88/1000/12,0))</f>
        <v>156.92840710997035</v>
      </c>
      <c r="Q88" s="1043"/>
      <c r="R88" s="539">
        <f ca="1">IF('Tinh phi QL'!$H$9="Nam",VLOOKUP(VTLCOI!$I$10,VTLCOI!$D$3:$F$103,2,0)*S88/1000/12,IF('Tinh phi QL'!$H$9="Nữ",VLOOKUP(VTLCOI!$I$10,VTLCOI!$D$3:$F$103,3,0)*S88/1000/12,0))</f>
        <v>156.13706959320226</v>
      </c>
      <c r="S88" s="541">
        <f t="shared" ca="1" si="15"/>
        <v>940584.75658555585</v>
      </c>
      <c r="T88" s="544">
        <f ca="1">(T87-O88-P88)*(1+VTL20namcamket!$U$3)</f>
        <v>54508.809640629173</v>
      </c>
      <c r="U88" s="1044"/>
      <c r="V88" s="542">
        <f ca="1">(V87-O88-R88)*(1+VTL20namMH!$P$3)</f>
        <v>59431.425418589351</v>
      </c>
    </row>
    <row r="89" spans="4:22" ht="9.75" customHeight="1">
      <c r="D89" s="351">
        <v>86</v>
      </c>
      <c r="E89" s="351">
        <v>137.768</v>
      </c>
      <c r="F89" s="351">
        <v>108.65600000000001</v>
      </c>
      <c r="H89" s="252">
        <v>87</v>
      </c>
      <c r="I89" s="548">
        <f t="shared" ca="1" si="14"/>
        <v>116</v>
      </c>
      <c r="K89" s="1043"/>
      <c r="L89" s="1045"/>
      <c r="M89" s="262">
        <v>87</v>
      </c>
      <c r="N89" s="540">
        <f t="shared" ca="1" si="21"/>
        <v>945491.19035937078</v>
      </c>
      <c r="O89" s="538">
        <f ca="1">VTL20namcamket!F90</f>
        <v>50</v>
      </c>
      <c r="P89" s="541">
        <f ca="1">IF('Tinh phi QL'!$H$9="Nam",VLOOKUP(VTLCOI!$I$10,VTLCOI!$D$3:$F$103,2,0)*N89/1000/12,IF('Tinh phi QL'!$H$9="Nữ",VLOOKUP(VTLCOI!$I$10,VTLCOI!$D$3:$F$103,3,0)*N89/1000/12,0))</f>
        <v>156.95153759965555</v>
      </c>
      <c r="Q89" s="1043"/>
      <c r="R89" s="539">
        <f ca="1">IF('Tinh phi QL'!$H$9="Nam",VLOOKUP(VTLCOI!$I$10,VTLCOI!$D$3:$F$103,2,0)*S89/1000/12,IF('Tinh phi QL'!$H$9="Nữ",VLOOKUP(VTLCOI!$I$10,VTLCOI!$D$3:$F$103,3,0)*S89/1000/12,0))</f>
        <v>156.13438338051415</v>
      </c>
      <c r="S89" s="541">
        <f t="shared" ca="1" si="15"/>
        <v>940568.57458141062</v>
      </c>
      <c r="T89" s="544">
        <f ca="1">(T88-O89-P89)*(1+VTL20namcamket!$U$3)</f>
        <v>54369.273192844797</v>
      </c>
      <c r="U89" s="1044"/>
      <c r="V89" s="542">
        <f ca="1">(V88-O89-R89)*(1+VTL20namMH!$P$3)</f>
        <v>59447.670879419762</v>
      </c>
    </row>
    <row r="90" spans="4:22" ht="9.75" customHeight="1">
      <c r="D90" s="351">
        <v>87</v>
      </c>
      <c r="E90" s="351">
        <v>148.584</v>
      </c>
      <c r="F90" s="351">
        <v>120.14400000000001</v>
      </c>
      <c r="H90" s="252">
        <v>88</v>
      </c>
      <c r="I90" s="548">
        <f t="shared" ca="1" si="14"/>
        <v>117</v>
      </c>
      <c r="K90" s="1043"/>
      <c r="L90" s="1045"/>
      <c r="M90" s="262">
        <v>88</v>
      </c>
      <c r="N90" s="540">
        <f t="shared" ca="1" si="21"/>
        <v>945630.72680715518</v>
      </c>
      <c r="O90" s="538">
        <f ca="1">VTL20namcamket!F91</f>
        <v>50</v>
      </c>
      <c r="P90" s="541">
        <f ca="1">IF('Tinh phi QL'!$H$9="Nam",VLOOKUP(VTLCOI!$I$10,VTLCOI!$D$3:$F$103,2,0)*N90/1000/12,IF('Tinh phi QL'!$H$9="Nữ",VLOOKUP(VTLCOI!$I$10,VTLCOI!$D$3:$F$103,3,0)*N90/1000/12,0))</f>
        <v>156.97470064998774</v>
      </c>
      <c r="Q90" s="1043"/>
      <c r="R90" s="539">
        <f ca="1">IF('Tinh phi QL'!$H$9="Nam",VLOOKUP(VTLCOI!$I$10,VTLCOI!$D$3:$F$103,2,0)*S90/1000/12,IF('Tinh phi QL'!$H$9="Nữ",VLOOKUP(VTLCOI!$I$10,VTLCOI!$D$3:$F$103,3,0)*S90/1000/12,0))</f>
        <v>156.13168663401632</v>
      </c>
      <c r="S90" s="541">
        <f t="shared" ca="1" si="15"/>
        <v>940552.32912058022</v>
      </c>
      <c r="T90" s="544">
        <f ca="1">(T89-O90-P90)*(1+VTL20namcamket!$U$3)</f>
        <v>54229.540320467524</v>
      </c>
      <c r="U90" s="1044"/>
      <c r="V90" s="542">
        <f ca="1">(V89-O90-R90)*(1+VTL20namMH!$P$3)</f>
        <v>59463.980045776669</v>
      </c>
    </row>
    <row r="91" spans="4:22" ht="9.75" customHeight="1">
      <c r="D91" s="351">
        <v>88</v>
      </c>
      <c r="E91" s="351">
        <v>159.624</v>
      </c>
      <c r="F91" s="351">
        <v>132.304</v>
      </c>
      <c r="H91" s="252">
        <v>89</v>
      </c>
      <c r="I91" s="548">
        <f t="shared" ca="1" si="14"/>
        <v>118</v>
      </c>
      <c r="K91" s="1043"/>
      <c r="L91" s="1045"/>
      <c r="M91" s="262">
        <v>89</v>
      </c>
      <c r="N91" s="540">
        <f t="shared" ca="1" si="21"/>
        <v>945770.45967953245</v>
      </c>
      <c r="O91" s="538">
        <f ca="1">VTL20namcamket!F92</f>
        <v>50</v>
      </c>
      <c r="P91" s="541">
        <f ca="1">IF('Tinh phi QL'!$H$9="Nam",VLOOKUP(VTLCOI!$I$10,VTLCOI!$D$3:$F$103,2,0)*N91/1000/12,IF('Tinh phi QL'!$H$9="Nữ",VLOOKUP(VTLCOI!$I$10,VTLCOI!$D$3:$F$103,3,0)*N91/1000/12,0))</f>
        <v>156.99789630680237</v>
      </c>
      <c r="Q91" s="1043"/>
      <c r="R91" s="539">
        <f ca="1">IF('Tinh phi QL'!$H$9="Nam",VLOOKUP(VTLCOI!$I$10,VTLCOI!$D$3:$F$103,2,0)*S91/1000/12,IF('Tinh phi QL'!$H$9="Nữ",VLOOKUP(VTLCOI!$I$10,VTLCOI!$D$3:$F$103,3,0)*S91/1000/12,0))</f>
        <v>156.12897931240107</v>
      </c>
      <c r="S91" s="541">
        <f t="shared" ca="1" si="15"/>
        <v>940536.0199542233</v>
      </c>
      <c r="T91" s="544">
        <f ca="1">(T90-O91-P91)*(1+VTL20namcamket!$U$3)</f>
        <v>54089.610746991682</v>
      </c>
      <c r="U91" s="1044"/>
      <c r="V91" s="542">
        <f ca="1">(V90-O91-R91)*(1+VTL20namMH!$P$3)</f>
        <v>59480.353167477173</v>
      </c>
    </row>
    <row r="92" spans="4:22" ht="9.75" customHeight="1">
      <c r="D92" s="351">
        <v>89</v>
      </c>
      <c r="E92" s="351">
        <v>170.952</v>
      </c>
      <c r="F92" s="351">
        <v>145.232</v>
      </c>
      <c r="H92" s="252">
        <v>90</v>
      </c>
      <c r="I92" s="548">
        <f t="shared" ca="1" si="14"/>
        <v>119</v>
      </c>
      <c r="K92" s="1043"/>
      <c r="L92" s="1045"/>
      <c r="M92" s="262">
        <v>90</v>
      </c>
      <c r="N92" s="540">
        <f t="shared" ca="1" si="21"/>
        <v>945910.3892530083</v>
      </c>
      <c r="O92" s="538">
        <f ca="1">VTL20namcamket!F93</f>
        <v>50</v>
      </c>
      <c r="P92" s="541">
        <f ca="1">IF('Tinh phi QL'!$H$9="Nam",VLOOKUP(VTLCOI!$I$10,VTLCOI!$D$3:$F$103,2,0)*N92/1000/12,IF('Tinh phi QL'!$H$9="Nữ",VLOOKUP(VTLCOI!$I$10,VTLCOI!$D$3:$F$103,3,0)*N92/1000/12,0))</f>
        <v>157.02112461599938</v>
      </c>
      <c r="Q92" s="1043"/>
      <c r="R92" s="539">
        <f ca="1">IF('Tinh phi QL'!$H$9="Nam",VLOOKUP(VTLCOI!$I$10,VTLCOI!$D$3:$F$103,2,0)*S92/1000/12,IF('Tinh phi QL'!$H$9="Nữ",VLOOKUP(VTLCOI!$I$10,VTLCOI!$D$3:$F$103,3,0)*S92/1000/12,0))</f>
        <v>156.12626137419878</v>
      </c>
      <c r="S92" s="541">
        <f t="shared" ca="1" si="15"/>
        <v>940519.64683252282</v>
      </c>
      <c r="T92" s="544">
        <f ca="1">(T91-O92-P92)*(1+VTL20namcamket!$U$3)</f>
        <v>53949.484195522346</v>
      </c>
      <c r="U92" s="1044"/>
      <c r="V92" s="542">
        <f ca="1">(V91-O92-R92)*(1+VTL20namMH!$P$3)</f>
        <v>59496.790495318026</v>
      </c>
    </row>
    <row r="93" spans="4:22" ht="9.75" customHeight="1">
      <c r="D93" s="351">
        <v>90</v>
      </c>
      <c r="E93" s="351">
        <v>182.744</v>
      </c>
      <c r="F93" s="351">
        <v>159.08000000000001</v>
      </c>
      <c r="H93" s="252">
        <v>91</v>
      </c>
      <c r="I93" s="548">
        <f t="shared" ca="1" si="14"/>
        <v>120</v>
      </c>
      <c r="K93" s="1043"/>
      <c r="L93" s="1045"/>
      <c r="M93" s="262">
        <v>91</v>
      </c>
      <c r="N93" s="540">
        <f t="shared" ca="1" si="21"/>
        <v>946050.51580447762</v>
      </c>
      <c r="O93" s="538">
        <f ca="1">VTL20namcamket!F94</f>
        <v>50</v>
      </c>
      <c r="P93" s="541">
        <f ca="1">IF('Tinh phi QL'!$H$9="Nam",VLOOKUP(VTLCOI!$I$10,VTLCOI!$D$3:$F$103,2,0)*N93/1000/12,IF('Tinh phi QL'!$H$9="Nữ",VLOOKUP(VTLCOI!$I$10,VTLCOI!$D$3:$F$103,3,0)*N93/1000/12,0))</f>
        <v>157.04438562354329</v>
      </c>
      <c r="Q93" s="1043"/>
      <c r="R93" s="539">
        <f ca="1">IF('Tinh phi QL'!$H$9="Nam",VLOOKUP(VTLCOI!$I$10,VTLCOI!$D$3:$F$103,2,0)*S93/1000/12,IF('Tinh phi QL'!$H$9="Nữ",VLOOKUP(VTLCOI!$I$10,VTLCOI!$D$3:$F$103,3,0)*S93/1000/12,0))</f>
        <v>156.12353277777723</v>
      </c>
      <c r="S93" s="541">
        <f t="shared" ca="1" si="15"/>
        <v>940503.20950468199</v>
      </c>
      <c r="T93" s="544">
        <f ca="1">(T92-O93-P93)*(1+VTL20namcamket!$U$3)</f>
        <v>53809.160388774806</v>
      </c>
      <c r="U93" s="1044"/>
      <c r="V93" s="542">
        <f ca="1">(V92-O93-R93)*(1+VTL20namMH!$P$3)</f>
        <v>59513.292281079477</v>
      </c>
    </row>
    <row r="94" spans="4:22" ht="9.75" customHeight="1">
      <c r="D94" s="351">
        <v>91</v>
      </c>
      <c r="E94" s="351">
        <v>195.28800000000001</v>
      </c>
      <c r="F94" s="351">
        <v>174.14400000000001</v>
      </c>
      <c r="H94" s="252">
        <v>92</v>
      </c>
      <c r="I94" s="548">
        <f t="shared" ca="1" si="14"/>
        <v>121</v>
      </c>
      <c r="K94" s="1043"/>
      <c r="L94" s="1045"/>
      <c r="M94" s="262">
        <v>92</v>
      </c>
      <c r="N94" s="540">
        <f t="shared" ca="1" si="21"/>
        <v>946190.83961122518</v>
      </c>
      <c r="O94" s="538">
        <f ca="1">VTL20namcamket!F95</f>
        <v>50</v>
      </c>
      <c r="P94" s="541">
        <f ca="1">IF('Tinh phi QL'!$H$9="Nam",VLOOKUP(VTLCOI!$I$10,VTLCOI!$D$3:$F$103,2,0)*N94/1000/12,IF('Tinh phi QL'!$H$9="Nữ",VLOOKUP(VTLCOI!$I$10,VTLCOI!$D$3:$F$103,3,0)*N94/1000/12,0))</f>
        <v>157.06767937546337</v>
      </c>
      <c r="Q94" s="1043"/>
      <c r="R94" s="539">
        <f ca="1">IF('Tinh phi QL'!$H$9="Nam",VLOOKUP(VTLCOI!$I$10,VTLCOI!$D$3:$F$103,2,0)*S94/1000/12,IF('Tinh phi QL'!$H$9="Nữ",VLOOKUP(VTLCOI!$I$10,VTLCOI!$D$3:$F$103,3,0)*S94/1000/12,0))</f>
        <v>156.1207934813408</v>
      </c>
      <c r="S94" s="541">
        <f t="shared" ca="1" si="15"/>
        <v>940486.70771892054</v>
      </c>
      <c r="T94" s="544">
        <f ca="1">(T93-O94-P94)*(1+VTL20namcamket!$U$3)</f>
        <v>53668.639049074038</v>
      </c>
      <c r="U94" s="1044"/>
      <c r="V94" s="542">
        <f ca="1">(V93-O94-R94)*(1+VTL20namMH!$P$3)</f>
        <v>59529.858777529094</v>
      </c>
    </row>
    <row r="95" spans="4:22" ht="9.75" customHeight="1">
      <c r="D95" s="351">
        <v>92</v>
      </c>
      <c r="E95" s="351">
        <v>209.14400000000001</v>
      </c>
      <c r="F95" s="351">
        <v>190.952</v>
      </c>
      <c r="H95" s="252">
        <v>93</v>
      </c>
      <c r="I95" s="548">
        <f t="shared" ca="1" si="14"/>
        <v>122</v>
      </c>
      <c r="K95" s="1043"/>
      <c r="L95" s="1045"/>
      <c r="M95" s="262">
        <v>93</v>
      </c>
      <c r="N95" s="540">
        <f t="shared" ca="1" si="21"/>
        <v>946331.36095092597</v>
      </c>
      <c r="O95" s="538">
        <f ca="1">VTL20namcamket!F96</f>
        <v>50</v>
      </c>
      <c r="P95" s="541">
        <f ca="1">IF('Tinh phi QL'!$H$9="Nam",VLOOKUP(VTLCOI!$I$10,VTLCOI!$D$3:$F$103,2,0)*N95/1000/12,IF('Tinh phi QL'!$H$9="Nữ",VLOOKUP(VTLCOI!$I$10,VTLCOI!$D$3:$F$103,3,0)*N95/1000/12,0))</f>
        <v>157.09100591785372</v>
      </c>
      <c r="Q95" s="1043"/>
      <c r="R95" s="539">
        <f ca="1">IF('Tinh phi QL'!$H$9="Nam",VLOOKUP(VTLCOI!$I$10,VTLCOI!$D$3:$F$103,2,0)*S95/1000/12,IF('Tinh phi QL'!$H$9="Nữ",VLOOKUP(VTLCOI!$I$10,VTLCOI!$D$3:$F$103,3,0)*S95/1000/12,0))</f>
        <v>156.11804344293017</v>
      </c>
      <c r="S95" s="541">
        <f t="shared" ca="1" si="15"/>
        <v>940470.14122247091</v>
      </c>
      <c r="T95" s="544">
        <f ca="1">(T94-O95-P95)*(1+VTL20namcamket!$U$3)</f>
        <v>53527.919898354121</v>
      </c>
      <c r="U95" s="1044"/>
      <c r="V95" s="542">
        <f ca="1">(V94-O95-R95)*(1+VTL20namMH!$P$3)</f>
        <v>59546.490238425664</v>
      </c>
    </row>
    <row r="96" spans="4:22" ht="9.75" customHeight="1">
      <c r="D96" s="351">
        <v>93</v>
      </c>
      <c r="E96" s="351">
        <v>225.70400000000001</v>
      </c>
      <c r="F96" s="351">
        <v>210.72800000000001</v>
      </c>
      <c r="H96" s="252">
        <v>94</v>
      </c>
      <c r="I96" s="548">
        <f t="shared" ca="1" si="14"/>
        <v>123</v>
      </c>
      <c r="K96" s="1043"/>
      <c r="L96" s="1045"/>
      <c r="M96" s="262">
        <v>94</v>
      </c>
      <c r="N96" s="540">
        <f t="shared" ca="1" si="21"/>
        <v>946472.0801016459</v>
      </c>
      <c r="O96" s="538">
        <f ca="1">VTL20namcamket!F97</f>
        <v>50</v>
      </c>
      <c r="P96" s="541">
        <f ca="1">IF('Tinh phi QL'!$H$9="Nam",VLOOKUP(VTLCOI!$I$10,VTLCOI!$D$3:$F$103,2,0)*N96/1000/12,IF('Tinh phi QL'!$H$9="Nữ",VLOOKUP(VTLCOI!$I$10,VTLCOI!$D$3:$F$103,3,0)*N96/1000/12,0))</f>
        <v>157.11436529687322</v>
      </c>
      <c r="Q96" s="1043"/>
      <c r="R96" s="539">
        <f ca="1">IF('Tinh phi QL'!$H$9="Nam",VLOOKUP(VTLCOI!$I$10,VTLCOI!$D$3:$F$103,2,0)*S96/1000/12,IF('Tinh phi QL'!$H$9="Nữ",VLOOKUP(VTLCOI!$I$10,VTLCOI!$D$3:$F$103,3,0)*S96/1000/12,0))</f>
        <v>156.11528262042134</v>
      </c>
      <c r="S96" s="541">
        <f t="shared" ca="1" si="15"/>
        <v>940453.50976157433</v>
      </c>
      <c r="T96" s="544">
        <f ca="1">(T95-O96-P96)*(1+VTL20namcamket!$U$3)</f>
        <v>53387.002658157719</v>
      </c>
      <c r="U96" s="1044"/>
      <c r="V96" s="542">
        <f ca="1">(V95-O96-R96)*(1+VTL20namMH!$P$3)</f>
        <v>59563.186918523083</v>
      </c>
    </row>
    <row r="97" spans="4:22" ht="9.75" customHeight="1">
      <c r="D97" s="351">
        <v>94</v>
      </c>
      <c r="E97" s="351">
        <v>247.976</v>
      </c>
      <c r="F97" s="351">
        <v>236.184</v>
      </c>
      <c r="H97" s="252">
        <v>95</v>
      </c>
      <c r="I97" s="548">
        <f t="shared" ca="1" si="14"/>
        <v>124</v>
      </c>
      <c r="K97" s="1043"/>
      <c r="L97" s="1045"/>
      <c r="M97" s="262">
        <v>95</v>
      </c>
      <c r="N97" s="540">
        <f t="shared" ca="1" si="21"/>
        <v>946612.99734184227</v>
      </c>
      <c r="O97" s="538">
        <f ca="1">VTL20namcamket!F98</f>
        <v>50</v>
      </c>
      <c r="P97" s="541">
        <f ca="1">IF('Tinh phi QL'!$H$9="Nam",VLOOKUP(VTLCOI!$I$10,VTLCOI!$D$3:$F$103,2,0)*N97/1000/12,IF('Tinh phi QL'!$H$9="Nữ",VLOOKUP(VTLCOI!$I$10,VTLCOI!$D$3:$F$103,3,0)*N97/1000/12,0))</f>
        <v>157.13775755874582</v>
      </c>
      <c r="Q97" s="1043"/>
      <c r="R97" s="539">
        <f ca="1">IF('Tinh phi QL'!$H$9="Nam",VLOOKUP(VTLCOI!$I$10,VTLCOI!$D$3:$F$103,2,0)*S97/1000/12,IF('Tinh phi QL'!$H$9="Nữ",VLOOKUP(VTLCOI!$I$10,VTLCOI!$D$3:$F$103,3,0)*S97/1000/12,0))</f>
        <v>156.11251097152518</v>
      </c>
      <c r="S97" s="541">
        <f t="shared" ca="1" si="15"/>
        <v>940436.81308147695</v>
      </c>
      <c r="T97" s="544">
        <f ca="1">(T96-O97-P97)*(1+VTL20namcamket!$U$3)</f>
        <v>53245.887049635494</v>
      </c>
      <c r="U97" s="1044"/>
      <c r="V97" s="542">
        <f ca="1">(V96-O97-R97)*(1+VTL20namMH!$P$3)</f>
        <v>59579.949073574229</v>
      </c>
    </row>
    <row r="98" spans="4:22" ht="9.75" customHeight="1">
      <c r="D98" s="351">
        <v>95</v>
      </c>
      <c r="E98" s="351">
        <v>281.488</v>
      </c>
      <c r="F98" s="351">
        <v>272.81599999999997</v>
      </c>
      <c r="H98" s="252">
        <v>96</v>
      </c>
      <c r="I98" s="548">
        <f t="shared" ca="1" si="14"/>
        <v>125</v>
      </c>
      <c r="K98" s="1043"/>
      <c r="L98" s="1045"/>
      <c r="M98" s="262">
        <v>96</v>
      </c>
      <c r="N98" s="540">
        <f t="shared" ca="1" si="21"/>
        <v>946754.11295036448</v>
      </c>
      <c r="O98" s="538">
        <f ca="1">VTL20namcamket!F99</f>
        <v>50</v>
      </c>
      <c r="P98" s="541">
        <f ca="1">IF('Tinh phi QL'!$H$9="Nam",VLOOKUP(VTLCOI!$I$10,VTLCOI!$D$3:$F$103,2,0)*N98/1000/12,IF('Tinh phi QL'!$H$9="Nữ",VLOOKUP(VTLCOI!$I$10,VTLCOI!$D$3:$F$103,3,0)*N98/1000/12,0))</f>
        <v>157.16118274976051</v>
      </c>
      <c r="Q98" s="1043"/>
      <c r="R98" s="539">
        <f ca="1">IF('Tinh phi QL'!$H$9="Nam",VLOOKUP(VTLCOI!$I$10,VTLCOI!$D$3:$F$103,2,0)*S98/1000/12,IF('Tinh phi QL'!$H$9="Nữ",VLOOKUP(VTLCOI!$I$10,VTLCOI!$D$3:$F$103,3,0)*S98/1000/12,0))</f>
        <v>156.10972845378669</v>
      </c>
      <c r="S98" s="541">
        <f t="shared" ca="1" si="15"/>
        <v>940420.05092642573</v>
      </c>
      <c r="T98" s="545">
        <f ca="1">(T97-O98-P98)*(1+VTL20namcamket!$U$3)+Q87</f>
        <v>53404.572793545594</v>
      </c>
      <c r="U98" s="1044"/>
      <c r="V98" s="543">
        <f ca="1">(V97-O98-R98)*(1+VTL20namMH!$P$3)+U87</f>
        <v>59896.776960334915</v>
      </c>
    </row>
    <row r="99" spans="4:22" ht="9.75" customHeight="1">
      <c r="D99" s="351">
        <v>96</v>
      </c>
      <c r="E99" s="351">
        <v>336.79199999999997</v>
      </c>
      <c r="F99" s="351">
        <v>331.10399999999998</v>
      </c>
      <c r="H99" s="252">
        <v>97</v>
      </c>
      <c r="I99" s="548">
        <f t="shared" ca="1" si="14"/>
        <v>126</v>
      </c>
      <c r="K99" s="1045">
        <f>K87+1</f>
        <v>9</v>
      </c>
      <c r="L99" s="1045">
        <f t="shared" ref="L99" ca="1" si="22">L87+1</f>
        <v>38</v>
      </c>
      <c r="M99" s="252">
        <v>97</v>
      </c>
      <c r="N99" s="538">
        <f ca="1">$C$4-T98-VTLGTTKcamket!F15</f>
        <v>936795.42720645445</v>
      </c>
      <c r="O99" s="538">
        <f ca="1">VTL20namcamket!F100</f>
        <v>50</v>
      </c>
      <c r="P99" s="539">
        <f ca="1">IF('Tinh phi QL'!$H$9="Nam",VLOOKUP(VTLCOI!$I$11,VTLCOI!$D$3:$F$103,2,0)*N99/1000/12,IF('Tinh phi QL'!$H$9="Nữ",VLOOKUP(VTLCOI!$I$11,VTLCOI!$D$3:$F$103,3,0)*N99/1000/12,0))</f>
        <v>167.3741163275532</v>
      </c>
      <c r="Q99" s="1043">
        <f t="shared" ref="Q99" si="23">Q87</f>
        <v>300</v>
      </c>
      <c r="R99" s="539">
        <f ca="1">IF('Tinh phi QL'!$H$9="Nam",VLOOKUP(VTLCOI!$I$11,VTLCOI!$D$3:$F$103,2,0)*S99/1000/12,IF('Tinh phi QL'!$H$9="Nữ",VLOOKUP(VTLCOI!$I$11,VTLCOI!$D$3:$F$103,3,0)*S99/1000/12,0))</f>
        <v>166.2141758497535</v>
      </c>
      <c r="S99" s="539">
        <f ca="1">$C$4-V98-VTLGTTKMH!F15</f>
        <v>930303.22303966503</v>
      </c>
      <c r="T99" s="542">
        <f ca="1">(T98+VTLGTTKcamket!F14-O99-P99)*(1+VTL20namcamket!$U$3)</f>
        <v>63065.396510669358</v>
      </c>
      <c r="U99" s="1044">
        <f>Q99</f>
        <v>300</v>
      </c>
      <c r="V99" s="542">
        <f ca="1">(V98+VTLGTTKMH!F15-O99-R99)*(1+VTL20namMH!$P$3)</f>
        <v>69741.449247981232</v>
      </c>
    </row>
    <row r="100" spans="4:22" ht="9.75" customHeight="1">
      <c r="D100" s="351">
        <v>97</v>
      </c>
      <c r="E100" s="351">
        <v>432.8</v>
      </c>
      <c r="F100" s="351">
        <v>429.79199999999997</v>
      </c>
      <c r="H100" s="252">
        <v>98</v>
      </c>
      <c r="I100" s="548">
        <f t="shared" ca="1" si="14"/>
        <v>127</v>
      </c>
      <c r="K100" s="1045"/>
      <c r="L100" s="1045"/>
      <c r="M100" s="252">
        <v>98</v>
      </c>
      <c r="N100" s="538">
        <f t="shared" ref="N100:N110" ca="1" si="24">$C$4-T99</f>
        <v>936934.60348933062</v>
      </c>
      <c r="O100" s="538">
        <f ca="1">VTL20namcamket!F101</f>
        <v>50</v>
      </c>
      <c r="P100" s="539">
        <f ca="1">IF('Tinh phi QL'!$H$9="Nam",VLOOKUP(VTLCOI!$I$11,VTLCOI!$D$3:$F$103,2,0)*N100/1000/12,IF('Tinh phi QL'!$H$9="Nữ",VLOOKUP(VTLCOI!$I$11,VTLCOI!$D$3:$F$103,3,0)*N100/1000/12,0))</f>
        <v>167.39898249009374</v>
      </c>
      <c r="Q100" s="1043"/>
      <c r="R100" s="539">
        <f ca="1">IF('Tinh phi QL'!$H$9="Nam",VLOOKUP(VTLCOI!$I$11,VTLCOI!$D$3:$F$103,2,0)*S100/1000/12,IF('Tinh phi QL'!$H$9="Nữ",VLOOKUP(VTLCOI!$I$11,VTLCOI!$D$3:$F$103,3,0)*S100/1000/12,0))</f>
        <v>166.20619440102737</v>
      </c>
      <c r="S100" s="539">
        <f t="shared" ca="1" si="15"/>
        <v>930258.55075201881</v>
      </c>
      <c r="T100" s="542">
        <f ca="1">(T99-O100-P100)*(1+VTL20namcamket!$U$3)</f>
        <v>62926.022545113934</v>
      </c>
      <c r="U100" s="1044"/>
      <c r="V100" s="542">
        <f ca="1">(V99-O100-R100)*(1+VTL20namMH!$P$3)</f>
        <v>69786.297283094944</v>
      </c>
    </row>
    <row r="101" spans="4:22" ht="9.75" customHeight="1">
      <c r="D101" s="351">
        <v>98</v>
      </c>
      <c r="E101" s="351">
        <v>596.12</v>
      </c>
      <c r="F101" s="351">
        <v>595.16800000000001</v>
      </c>
      <c r="H101" s="252">
        <v>99</v>
      </c>
      <c r="I101" s="548">
        <f t="shared" ca="1" si="14"/>
        <v>128</v>
      </c>
      <c r="K101" s="1045"/>
      <c r="L101" s="1045"/>
      <c r="M101" s="252">
        <v>99</v>
      </c>
      <c r="N101" s="538">
        <f t="shared" ca="1" si="24"/>
        <v>937073.97745488607</v>
      </c>
      <c r="O101" s="538">
        <f ca="1">VTL20namcamket!F102</f>
        <v>50</v>
      </c>
      <c r="P101" s="539">
        <f ca="1">IF('Tinh phi QL'!$H$9="Nam",VLOOKUP(VTLCOI!$I$11,VTLCOI!$D$3:$F$103,2,0)*N101/1000/12,IF('Tinh phi QL'!$H$9="Nữ",VLOOKUP(VTLCOI!$I$11,VTLCOI!$D$3:$F$103,3,0)*N101/1000/12,0))</f>
        <v>167.42388397193966</v>
      </c>
      <c r="Q101" s="1043"/>
      <c r="R101" s="539">
        <f ca="1">IF('Tinh phi QL'!$H$9="Nam",VLOOKUP(VTLCOI!$I$11,VTLCOI!$D$3:$F$103,2,0)*S101/1000/12,IF('Tinh phi QL'!$H$9="Nữ",VLOOKUP(VTLCOI!$I$11,VTLCOI!$D$3:$F$103,3,0)*S101/1000/12,0))</f>
        <v>166.19818155208705</v>
      </c>
      <c r="S101" s="539">
        <f t="shared" ca="1" si="15"/>
        <v>930213.70271690504</v>
      </c>
      <c r="T101" s="542">
        <f ca="1">(T100-O101-P101)*(1+VTL20namcamket!$U$3)</f>
        <v>62786.45061609555</v>
      </c>
      <c r="U101" s="1044"/>
      <c r="V101" s="542">
        <f ca="1">(V100-O101-R101)*(1+VTL20namMH!$P$3)</f>
        <v>69831.321757092883</v>
      </c>
    </row>
    <row r="102" spans="4:22" ht="9.75" customHeight="1">
      <c r="D102" s="351">
        <v>99</v>
      </c>
      <c r="E102" s="351">
        <v>800</v>
      </c>
      <c r="F102" s="351">
        <v>800</v>
      </c>
      <c r="H102" s="252">
        <v>100</v>
      </c>
      <c r="I102" s="548">
        <f t="shared" ca="1" si="14"/>
        <v>129</v>
      </c>
      <c r="K102" s="1045"/>
      <c r="L102" s="1045"/>
      <c r="M102" s="252">
        <v>100</v>
      </c>
      <c r="N102" s="538">
        <f t="shared" ca="1" si="24"/>
        <v>937213.54938390444</v>
      </c>
      <c r="O102" s="538">
        <f ca="1">VTL20namcamket!F103</f>
        <v>50</v>
      </c>
      <c r="P102" s="539">
        <f ca="1">IF('Tinh phi QL'!$H$9="Nam",VLOOKUP(VTLCOI!$I$11,VTLCOI!$D$3:$F$103,2,0)*N102/1000/12,IF('Tinh phi QL'!$H$9="Nữ",VLOOKUP(VTLCOI!$I$11,VTLCOI!$D$3:$F$103,3,0)*N102/1000/12,0))</f>
        <v>167.44882082325759</v>
      </c>
      <c r="Q102" s="1043"/>
      <c r="R102" s="539">
        <f ca="1">IF('Tinh phi QL'!$H$9="Nam",VLOOKUP(VTLCOI!$I$11,VTLCOI!$D$3:$F$103,2,0)*S102/1000/12,IF('Tinh phi QL'!$H$9="Nữ",VLOOKUP(VTLCOI!$I$11,VTLCOI!$D$3:$F$103,3,0)*S102/1000/12,0))</f>
        <v>166.19013717939941</v>
      </c>
      <c r="S102" s="539">
        <f t="shared" ca="1" si="15"/>
        <v>930168.67824290716</v>
      </c>
      <c r="T102" s="542">
        <f ca="1">(T101-O102-P102)*(1+VTL20namcamket!$U$3)</f>
        <v>62646.680442431614</v>
      </c>
      <c r="U102" s="1044"/>
      <c r="V102" s="542">
        <f ca="1">(V101-O102-R102)*(1+VTL20namMH!$P$3)</f>
        <v>69876.523364112029</v>
      </c>
    </row>
    <row r="103" spans="4:22" ht="9.75" customHeight="1">
      <c r="D103" s="351">
        <v>100</v>
      </c>
      <c r="E103" s="351">
        <v>800</v>
      </c>
      <c r="F103" s="351">
        <v>800</v>
      </c>
      <c r="H103" s="252">
        <v>101</v>
      </c>
      <c r="I103" s="548">
        <f t="shared" ca="1" si="14"/>
        <v>130</v>
      </c>
      <c r="K103" s="1045"/>
      <c r="L103" s="1045"/>
      <c r="M103" s="252">
        <v>101</v>
      </c>
      <c r="N103" s="538">
        <f t="shared" ca="1" si="24"/>
        <v>937353.31955756841</v>
      </c>
      <c r="O103" s="538">
        <f ca="1">VTL20namcamket!F104</f>
        <v>50</v>
      </c>
      <c r="P103" s="539">
        <f ca="1">IF('Tinh phi QL'!$H$9="Nam",VLOOKUP(VTLCOI!$I$11,VTLCOI!$D$3:$F$103,2,0)*N103/1000/12,IF('Tinh phi QL'!$H$9="Nữ",VLOOKUP(VTLCOI!$I$11,VTLCOI!$D$3:$F$103,3,0)*N103/1000/12,0))</f>
        <v>167.47379309428558</v>
      </c>
      <c r="Q103" s="1043"/>
      <c r="R103" s="539">
        <f ca="1">IF('Tinh phi QL'!$H$9="Nam",VLOOKUP(VTLCOI!$I$11,VTLCOI!$D$3:$F$103,2,0)*S103/1000/12,IF('Tinh phi QL'!$H$9="Nữ",VLOOKUP(VTLCOI!$I$11,VTLCOI!$D$3:$F$103,3,0)*S103/1000/12,0))</f>
        <v>166.18206115894534</v>
      </c>
      <c r="S103" s="539">
        <f t="shared" ca="1" si="15"/>
        <v>930123.47663588799</v>
      </c>
      <c r="T103" s="542">
        <f ca="1">(T102-O103-P103)*(1+VTL20namcamket!$U$3)</f>
        <v>62506.711742540152</v>
      </c>
      <c r="U103" s="1044"/>
      <c r="V103" s="542">
        <f ca="1">(V102-O103-R103)*(1+VTL20namMH!$P$3)</f>
        <v>69921.902801020202</v>
      </c>
    </row>
    <row r="104" spans="4:22" ht="9.75" customHeight="1">
      <c r="K104" s="1045"/>
      <c r="L104" s="1045"/>
      <c r="M104" s="252">
        <v>102</v>
      </c>
      <c r="N104" s="538">
        <f t="shared" ca="1" si="24"/>
        <v>937493.28825745988</v>
      </c>
      <c r="O104" s="538">
        <f ca="1">VTL20namcamket!F105</f>
        <v>50</v>
      </c>
      <c r="P104" s="539">
        <f ca="1">IF('Tinh phi QL'!$H$9="Nam",VLOOKUP(VTLCOI!$I$11,VTLCOI!$D$3:$F$103,2,0)*N104/1000/12,IF('Tinh phi QL'!$H$9="Nữ",VLOOKUP(VTLCOI!$I$11,VTLCOI!$D$3:$F$103,3,0)*N104/1000/12,0))</f>
        <v>167.49880083533284</v>
      </c>
      <c r="Q104" s="1043"/>
      <c r="R104" s="539">
        <f ca="1">IF('Tinh phi QL'!$H$9="Nam",VLOOKUP(VTLCOI!$I$11,VTLCOI!$D$3:$F$103,2,0)*S104/1000/12,IF('Tinh phi QL'!$H$9="Nữ",VLOOKUP(VTLCOI!$I$11,VTLCOI!$D$3:$F$103,3,0)*S104/1000/12,0))</f>
        <v>166.17395336621772</v>
      </c>
      <c r="S104" s="539">
        <f t="shared" ca="1" si="15"/>
        <v>930078.09719897981</v>
      </c>
      <c r="T104" s="542">
        <f ca="1">(T103-O104-P104)*(1+VTL20namcamket!$U$3)</f>
        <v>62366.544234439243</v>
      </c>
      <c r="U104" s="1044"/>
      <c r="V104" s="542">
        <f ca="1">(V103-O104-R104)*(1+VTL20namMH!$P$3)</f>
        <v>69967.460767426819</v>
      </c>
    </row>
    <row r="105" spans="4:22" ht="9.75" customHeight="1">
      <c r="K105" s="1045"/>
      <c r="L105" s="1045"/>
      <c r="M105" s="252">
        <v>103</v>
      </c>
      <c r="N105" s="538">
        <f t="shared" ca="1" si="24"/>
        <v>937633.45576556074</v>
      </c>
      <c r="O105" s="538">
        <f ca="1">VTL20namcamket!F106</f>
        <v>60</v>
      </c>
      <c r="P105" s="539">
        <f ca="1">IF('Tinh phi QL'!$H$9="Nam",VLOOKUP(VTLCOI!$I$11,VTLCOI!$D$3:$F$103,2,0)*N105/1000/12,IF('Tinh phi QL'!$H$9="Nữ",VLOOKUP(VTLCOI!$I$11,VTLCOI!$D$3:$F$103,3,0)*N105/1000/12,0))</f>
        <v>167.52384409678021</v>
      </c>
      <c r="Q105" s="1043"/>
      <c r="R105" s="539">
        <f ca="1">IF('Tinh phi QL'!$H$9="Nam",VLOOKUP(VTLCOI!$I$11,VTLCOI!$D$3:$F$103,2,0)*S105/1000/12,IF('Tinh phi QL'!$H$9="Nữ",VLOOKUP(VTLCOI!$I$11,VTLCOI!$D$3:$F$103,3,0)*S105/1000/12,0))</f>
        <v>166.16581367621976</v>
      </c>
      <c r="S105" s="539">
        <f t="shared" ca="1" si="15"/>
        <v>930032.53923257324</v>
      </c>
      <c r="T105" s="542">
        <f ca="1">(T104-O105-P105)*(1+VTL20namcamket!$U$3)</f>
        <v>62216.165220869261</v>
      </c>
      <c r="U105" s="1044"/>
      <c r="V105" s="542">
        <f ca="1">(V104-O105-R105)*(1+VTL20namMH!$P$3)</f>
        <v>70003.160417571853</v>
      </c>
    </row>
    <row r="106" spans="4:22" ht="9.75" customHeight="1">
      <c r="K106" s="1045"/>
      <c r="L106" s="1045"/>
      <c r="M106" s="252">
        <v>104</v>
      </c>
      <c r="N106" s="538">
        <f t="shared" ca="1" si="24"/>
        <v>937783.83477913076</v>
      </c>
      <c r="O106" s="538">
        <f ca="1">VTL20namcamket!F107</f>
        <v>60</v>
      </c>
      <c r="P106" s="539">
        <f ca="1">IF('Tinh phi QL'!$H$9="Nam",VLOOKUP(VTLCOI!$I$11,VTLCOI!$D$3:$F$103,2,0)*N106/1000/12,IF('Tinh phi QL'!$H$9="Nữ",VLOOKUP(VTLCOI!$I$11,VTLCOI!$D$3:$F$103,3,0)*N106/1000/12,0))</f>
        <v>167.55071181387137</v>
      </c>
      <c r="Q106" s="1043"/>
      <c r="R106" s="539">
        <f ca="1">IF('Tinh phi QL'!$H$9="Nam",VLOOKUP(VTLCOI!$I$11,VTLCOI!$D$3:$F$103,2,0)*S106/1000/12,IF('Tinh phi QL'!$H$9="Nữ",VLOOKUP(VTLCOI!$I$11,VTLCOI!$D$3:$F$103,3,0)*S106/1000/12,0))</f>
        <v>166.15943533872715</v>
      </c>
      <c r="S106" s="539">
        <f t="shared" ca="1" si="15"/>
        <v>929996.8395824281</v>
      </c>
      <c r="T106" s="542">
        <f ca="1">(T105-O106-P106)*(1+VTL20namcamket!$U$3)</f>
        <v>62065.572612528093</v>
      </c>
      <c r="U106" s="1044"/>
      <c r="V106" s="542">
        <f ca="1">(V105-O106-R106)*(1+VTL20namMH!$P$3)</f>
        <v>70039.000515485051</v>
      </c>
    </row>
    <row r="107" spans="4:22" ht="9.75" customHeight="1">
      <c r="K107" s="1045"/>
      <c r="L107" s="1045"/>
      <c r="M107" s="252">
        <v>105</v>
      </c>
      <c r="N107" s="538">
        <f t="shared" ca="1" si="24"/>
        <v>937934.42738747189</v>
      </c>
      <c r="O107" s="538">
        <f ca="1">VTL20namcamket!F108</f>
        <v>60</v>
      </c>
      <c r="P107" s="539">
        <f ca="1">IF('Tinh phi QL'!$H$9="Nam",VLOOKUP(VTLCOI!$I$11,VTLCOI!$D$3:$F$103,2,0)*N107/1000/12,IF('Tinh phi QL'!$H$9="Nữ",VLOOKUP(VTLCOI!$I$11,VTLCOI!$D$3:$F$103,3,0)*N107/1000/12,0))</f>
        <v>167.57761769322832</v>
      </c>
      <c r="Q107" s="1043"/>
      <c r="R107" s="539">
        <f ca="1">IF('Tinh phi QL'!$H$9="Nam",VLOOKUP(VTLCOI!$I$11,VTLCOI!$D$3:$F$103,2,0)*S107/1000/12,IF('Tinh phi QL'!$H$9="Nữ",VLOOKUP(VTLCOI!$I$11,VTLCOI!$D$3:$F$103,3,0)*S107/1000/12,0))</f>
        <v>166.15303190789999</v>
      </c>
      <c r="S107" s="539">
        <f t="shared" ca="1" si="15"/>
        <v>929960.99948451493</v>
      </c>
      <c r="T107" s="542">
        <f ca="1">(T106-O107-P107)*(1+VTL20namcamket!$U$3)</f>
        <v>61914.766106030802</v>
      </c>
      <c r="U107" s="1044"/>
      <c r="V107" s="542">
        <f ca="1">(V106-O107-R107)*(1+VTL20namMH!$P$3)</f>
        <v>70074.98161370898</v>
      </c>
    </row>
    <row r="108" spans="4:22" ht="9.75" customHeight="1">
      <c r="K108" s="1045"/>
      <c r="L108" s="1045"/>
      <c r="M108" s="252">
        <v>106</v>
      </c>
      <c r="N108" s="538">
        <f t="shared" ca="1" si="24"/>
        <v>938085.23389396921</v>
      </c>
      <c r="O108" s="538">
        <f ca="1">VTL20namcamket!F109</f>
        <v>60</v>
      </c>
      <c r="P108" s="539">
        <f ca="1">IF('Tinh phi QL'!$H$9="Nam",VLOOKUP(VTLCOI!$I$11,VTLCOI!$D$3:$F$103,2,0)*N108/1000/12,IF('Tinh phi QL'!$H$9="Nữ",VLOOKUP(VTLCOI!$I$11,VTLCOI!$D$3:$F$103,3,0)*N108/1000/12,0))</f>
        <v>167.60456178905585</v>
      </c>
      <c r="Q108" s="1043"/>
      <c r="R108" s="539">
        <f ca="1">IF('Tinh phi QL'!$H$9="Nam",VLOOKUP(VTLCOI!$I$11,VTLCOI!$D$3:$F$103,2,0)*S108/1000/12,IF('Tinh phi QL'!$H$9="Nữ",VLOOKUP(VTLCOI!$I$11,VTLCOI!$D$3:$F$103,3,0)*S108/1000/12,0))</f>
        <v>166.14660328501733</v>
      </c>
      <c r="S108" s="539">
        <f t="shared" ca="1" si="15"/>
        <v>929925.01838629099</v>
      </c>
      <c r="T108" s="542">
        <f ca="1">(T107-O108-P108)*(1+VTL20namcamket!$U$3)</f>
        <v>61763.745397561543</v>
      </c>
      <c r="U108" s="1044"/>
      <c r="V108" s="542">
        <f ca="1">(V107-O108-R108)*(1+VTL20namMH!$P$3)</f>
        <v>70111.10426695997</v>
      </c>
    </row>
    <row r="109" spans="4:22" ht="9.75" customHeight="1">
      <c r="K109" s="1045"/>
      <c r="L109" s="1045"/>
      <c r="M109" s="252">
        <v>107</v>
      </c>
      <c r="N109" s="538">
        <f t="shared" ca="1" si="24"/>
        <v>938236.25460243842</v>
      </c>
      <c r="O109" s="538">
        <f ca="1">VTL20namcamket!F110</f>
        <v>60</v>
      </c>
      <c r="P109" s="539">
        <f ca="1">IF('Tinh phi QL'!$H$9="Nam",VLOOKUP(VTLCOI!$I$11,VTLCOI!$D$3:$F$103,2,0)*N109/1000/12,IF('Tinh phi QL'!$H$9="Nữ",VLOOKUP(VTLCOI!$I$11,VTLCOI!$D$3:$F$103,3,0)*N109/1000/12,0))</f>
        <v>167.63154415563568</v>
      </c>
      <c r="Q109" s="1043"/>
      <c r="R109" s="539">
        <f ca="1">IF('Tinh phi QL'!$H$9="Nam",VLOOKUP(VTLCOI!$I$11,VTLCOI!$D$3:$F$103,2,0)*S109/1000/12,IF('Tinh phi QL'!$H$9="Nữ",VLOOKUP(VTLCOI!$I$11,VTLCOI!$D$3:$F$103,3,0)*S109/1000/12,0))</f>
        <v>166.14014937096985</v>
      </c>
      <c r="S109" s="539">
        <f t="shared" ca="1" si="15"/>
        <v>929888.89573304006</v>
      </c>
      <c r="T109" s="542">
        <f ca="1">(T108-O109-P109)*(1+VTL20namcamket!$U$3)</f>
        <v>61612.510182872931</v>
      </c>
      <c r="U109" s="1044"/>
      <c r="V109" s="542">
        <f ca="1">(V108-O109-R109)*(1+VTL20namMH!$P$3)</f>
        <v>70147.369032136688</v>
      </c>
    </row>
    <row r="110" spans="4:22" ht="9.75" customHeight="1">
      <c r="K110" s="1045"/>
      <c r="L110" s="1045"/>
      <c r="M110" s="252">
        <v>108</v>
      </c>
      <c r="N110" s="538">
        <f t="shared" ca="1" si="24"/>
        <v>938387.48981712712</v>
      </c>
      <c r="O110" s="538">
        <f ca="1">VTL20namcamket!F111</f>
        <v>60</v>
      </c>
      <c r="P110" s="539">
        <f ca="1">IF('Tinh phi QL'!$H$9="Nam",VLOOKUP(VTLCOI!$I$11,VTLCOI!$D$3:$F$103,2,0)*N110/1000/12,IF('Tinh phi QL'!$H$9="Nữ",VLOOKUP(VTLCOI!$I$11,VTLCOI!$D$3:$F$103,3,0)*N110/1000/12,0))</f>
        <v>167.65856484732672</v>
      </c>
      <c r="Q110" s="1043"/>
      <c r="R110" s="539">
        <f ca="1">IF('Tinh phi QL'!$H$9="Nam",VLOOKUP(VTLCOI!$I$11,VTLCOI!$D$3:$F$103,2,0)*S110/1000/12,IF('Tinh phi QL'!$H$9="Nữ",VLOOKUP(VTLCOI!$I$11,VTLCOI!$D$3:$F$103,3,0)*S110/1000/12,0))</f>
        <v>166.13367006625828</v>
      </c>
      <c r="S110" s="539">
        <f t="shared" ca="1" si="15"/>
        <v>929852.63096786337</v>
      </c>
      <c r="T110" s="543">
        <f ca="1">(T109-O110-P110)*(1+VTL20namcamket!$U$3)+Q99</f>
        <v>61761.060157285443</v>
      </c>
      <c r="U110" s="1044"/>
      <c r="V110" s="543">
        <f ca="1">(V109-O110-R110)*(1+VTL20namMH!$P$3)+U99</f>
        <v>70483.77646832871</v>
      </c>
    </row>
    <row r="111" spans="4:22" ht="9.75" customHeight="1">
      <c r="K111" s="1043">
        <f>K99+1</f>
        <v>10</v>
      </c>
      <c r="L111" s="1045">
        <f t="shared" ref="L111" ca="1" si="25">L99+1</f>
        <v>39</v>
      </c>
      <c r="M111" s="262">
        <v>109</v>
      </c>
      <c r="N111" s="540">
        <f ca="1">$C$4-T110-VTLGTTKcamket!F16</f>
        <v>928438.93984271458</v>
      </c>
      <c r="O111" s="538">
        <f ca="1">VTL20namcamket!F112</f>
        <v>60</v>
      </c>
      <c r="P111" s="541">
        <f ca="1">IF('Tinh phi QL'!$H$9="Nam",VLOOKUP(VTLCOI!$I$12,VTLCOI!$D$3:$F$103,2,0)*N111/1000/12,IF('Tinh phi QL'!$H$9="Nữ",VLOOKUP(VTLCOI!$I$12,VTLCOI!$D$3:$F$103,3,0)*N111/1000/12,0))</f>
        <v>179.49819503625812</v>
      </c>
      <c r="Q111" s="1043">
        <f t="shared" ref="Q111" si="26">Q99</f>
        <v>300</v>
      </c>
      <c r="R111" s="539">
        <f ca="1">IF('Tinh phi QL'!$H$9="Nam",VLOOKUP(VTLCOI!$I$12,VTLCOI!$D$3:$F$103,2,0)*S111/1000/12,IF('Tinh phi QL'!$H$9="Nữ",VLOOKUP(VTLCOI!$I$12,VTLCOI!$D$3:$F$103,3,0)*S111/1000/12,0))</f>
        <v>177.81180321612308</v>
      </c>
      <c r="S111" s="541">
        <f ca="1">$C$4-V110-VTLGTTKMH!F16</f>
        <v>919716.22353167133</v>
      </c>
      <c r="T111" s="544">
        <f ca="1">(T110+VTLGTTKcamket!F16-O111-P111)*(1+VTL20namcamket!$U$3)</f>
        <v>71410.106805343297</v>
      </c>
      <c r="U111" s="1044">
        <f>Q111</f>
        <v>300</v>
      </c>
      <c r="V111" s="542">
        <f ca="1">(V110+VTLGTTKMH!F16-O111-R111)*(1+VTL20namMH!$P$3)</f>
        <v>80346.522228288741</v>
      </c>
    </row>
    <row r="112" spans="4:22" ht="9.75" customHeight="1">
      <c r="K112" s="1043"/>
      <c r="L112" s="1045"/>
      <c r="M112" s="262">
        <v>110</v>
      </c>
      <c r="N112" s="540">
        <f t="shared" ref="N112:N122" ca="1" si="27">$C$4-T111</f>
        <v>928589.8931946567</v>
      </c>
      <c r="O112" s="538">
        <f ca="1">VTL20namcamket!F113</f>
        <v>60</v>
      </c>
      <c r="P112" s="541">
        <f ca="1">IF('Tinh phi QL'!$H$9="Nam",VLOOKUP(VTLCOI!$I$12,VTLCOI!$D$3:$F$103,2,0)*N112/1000/12,IF('Tinh phi QL'!$H$9="Nữ",VLOOKUP(VTLCOI!$I$12,VTLCOI!$D$3:$F$103,3,0)*N112/1000/12,0))</f>
        <v>179.52737935096695</v>
      </c>
      <c r="Q112" s="1043"/>
      <c r="R112" s="539">
        <f ca="1">IF('Tinh phi QL'!$H$9="Nam",VLOOKUP(VTLCOI!$I$12,VTLCOI!$D$3:$F$103,2,0)*S112/1000/12,IF('Tinh phi QL'!$H$9="Nữ",VLOOKUP(VTLCOI!$I$12,VTLCOI!$D$3:$F$103,3,0)*S112/1000/12,0))</f>
        <v>177.79967236919751</v>
      </c>
      <c r="S112" s="541">
        <f t="shared" ca="1" si="15"/>
        <v>919653.4777717113</v>
      </c>
      <c r="T112" s="544">
        <f ca="1">(T111-O112-P112)*(1+VTL20namcamket!$U$3)</f>
        <v>71258.93682612227</v>
      </c>
      <c r="U112" s="1044"/>
      <c r="V112" s="542">
        <f ca="1">(V111-O112-R112)*(1+VTL20namMH!$P$3)</f>
        <v>80409.515763188581</v>
      </c>
    </row>
    <row r="113" spans="11:22" ht="9.75" customHeight="1">
      <c r="K113" s="1043"/>
      <c r="L113" s="1045"/>
      <c r="M113" s="262">
        <v>111</v>
      </c>
      <c r="N113" s="540">
        <f t="shared" ca="1" si="27"/>
        <v>928741.06317387777</v>
      </c>
      <c r="O113" s="538">
        <f ca="1">VTL20namcamket!F114</f>
        <v>60</v>
      </c>
      <c r="P113" s="541">
        <f ca="1">IF('Tinh phi QL'!$H$9="Nam",VLOOKUP(VTLCOI!$I$12,VTLCOI!$D$3:$F$103,2,0)*N113/1000/12,IF('Tinh phi QL'!$H$9="Nữ",VLOOKUP(VTLCOI!$I$12,VTLCOI!$D$3:$F$103,3,0)*N113/1000/12,0))</f>
        <v>179.55660554694973</v>
      </c>
      <c r="Q113" s="1043"/>
      <c r="R113" s="539">
        <f ca="1">IF('Tinh phi QL'!$H$9="Nam",VLOOKUP(VTLCOI!$I$12,VTLCOI!$D$3:$F$103,2,0)*S113/1000/12,IF('Tinh phi QL'!$H$9="Nữ",VLOOKUP(VTLCOI!$I$12,VTLCOI!$D$3:$F$103,3,0)*S113/1000/12,0))</f>
        <v>177.78749361911687</v>
      </c>
      <c r="S113" s="541">
        <f t="shared" ca="1" si="15"/>
        <v>919590.4842368114</v>
      </c>
      <c r="T113" s="544">
        <f ca="1">(T112-O113-P113)*(1+VTL20namcamket!$U$3)</f>
        <v>71107.549908749002</v>
      </c>
      <c r="U113" s="1044"/>
      <c r="V113" s="542">
        <f ca="1">(V112-O113-R113)*(1+VTL20namMH!$P$3)</f>
        <v>80472.758051459576</v>
      </c>
    </row>
    <row r="114" spans="11:22" ht="9.75" customHeight="1">
      <c r="K114" s="1043"/>
      <c r="L114" s="1045"/>
      <c r="M114" s="262">
        <v>112</v>
      </c>
      <c r="N114" s="540">
        <f t="shared" ca="1" si="27"/>
        <v>928892.45009125094</v>
      </c>
      <c r="O114" s="538">
        <f ca="1">VTL20namcamket!F115</f>
        <v>60</v>
      </c>
      <c r="P114" s="541">
        <f ca="1">IF('Tinh phi QL'!$H$9="Nam",VLOOKUP(VTLCOI!$I$12,VTLCOI!$D$3:$F$103,2,0)*N114/1000/12,IF('Tinh phi QL'!$H$9="Nữ",VLOOKUP(VTLCOI!$I$12,VTLCOI!$D$3:$F$103,3,0)*N114/1000/12,0))</f>
        <v>179.5858736843085</v>
      </c>
      <c r="Q114" s="1043"/>
      <c r="R114" s="539">
        <f ca="1">IF('Tinh phi QL'!$H$9="Nam",VLOOKUP(VTLCOI!$I$12,VTLCOI!$D$3:$F$103,2,0)*S114/1000/12,IF('Tinh phi QL'!$H$9="Nữ",VLOOKUP(VTLCOI!$I$12,VTLCOI!$D$3:$F$103,3,0)*S114/1000/12,0))</f>
        <v>177.77526677671781</v>
      </c>
      <c r="S114" s="541">
        <f t="shared" ca="1" si="15"/>
        <v>919527.24194854044</v>
      </c>
      <c r="T114" s="544">
        <f ca="1">(T113-O114-P114)*(1+VTL20namcamket!$U$3)</f>
        <v>70955.945741903997</v>
      </c>
      <c r="U114" s="1044"/>
      <c r="V114" s="542">
        <f ca="1">(V113-O114-R114)*(1+VTL20namMH!$P$3)</f>
        <v>80536.250075396834</v>
      </c>
    </row>
    <row r="115" spans="11:22" ht="9.75" customHeight="1">
      <c r="K115" s="1043"/>
      <c r="L115" s="1045"/>
      <c r="M115" s="262">
        <v>113</v>
      </c>
      <c r="N115" s="540">
        <f t="shared" ca="1" si="27"/>
        <v>929044.05425809603</v>
      </c>
      <c r="O115" s="538">
        <f ca="1">VTL20namcamket!F116</f>
        <v>60</v>
      </c>
      <c r="P115" s="541">
        <f ca="1">IF('Tinh phi QL'!$H$9="Nam",VLOOKUP(VTLCOI!$I$12,VTLCOI!$D$3:$F$103,2,0)*N115/1000/12,IF('Tinh phi QL'!$H$9="Nữ",VLOOKUP(VTLCOI!$I$12,VTLCOI!$D$3:$F$103,3,0)*N115/1000/12,0))</f>
        <v>179.61518382323189</v>
      </c>
      <c r="Q115" s="1043"/>
      <c r="R115" s="539">
        <f ca="1">IF('Tinh phi QL'!$H$9="Nam",VLOOKUP(VTLCOI!$I$12,VTLCOI!$D$3:$F$103,2,0)*S115/1000/12,IF('Tinh phi QL'!$H$9="Nữ",VLOOKUP(VTLCOI!$I$12,VTLCOI!$D$3:$F$103,3,0)*S115/1000/12,0))</f>
        <v>177.76299165208994</v>
      </c>
      <c r="S115" s="541">
        <f t="shared" ca="1" si="15"/>
        <v>919463.74992460315</v>
      </c>
      <c r="T115" s="544">
        <f ca="1">(T114-O115-P115)*(1+VTL20namcamket!$U$3)</f>
        <v>70804.124013820983</v>
      </c>
      <c r="U115" s="1044"/>
      <c r="V115" s="542">
        <f ca="1">(V114-O115-R115)*(1+VTL20namMH!$P$3)</f>
        <v>80599.992821174383</v>
      </c>
    </row>
    <row r="116" spans="11:22" ht="9.75" customHeight="1">
      <c r="K116" s="1043"/>
      <c r="L116" s="1045"/>
      <c r="M116" s="262">
        <v>114</v>
      </c>
      <c r="N116" s="540">
        <f t="shared" ca="1" si="27"/>
        <v>929195.87598617899</v>
      </c>
      <c r="O116" s="538">
        <f ca="1">VTL20namcamket!F117</f>
        <v>60</v>
      </c>
      <c r="P116" s="541">
        <f ca="1">IF('Tinh phi QL'!$H$9="Nam",VLOOKUP(VTLCOI!$I$12,VTLCOI!$D$3:$F$103,2,0)*N116/1000/12,IF('Tinh phi QL'!$H$9="Nữ",VLOOKUP(VTLCOI!$I$12,VTLCOI!$D$3:$F$103,3,0)*N116/1000/12,0))</f>
        <v>179.64453602399462</v>
      </c>
      <c r="Q116" s="1043"/>
      <c r="R116" s="539">
        <f ca="1">IF('Tinh phi QL'!$H$9="Nam",VLOOKUP(VTLCOI!$I$12,VTLCOI!$D$3:$F$103,2,0)*S116/1000/12,IF('Tinh phi QL'!$H$9="Nữ",VLOOKUP(VTLCOI!$I$12,VTLCOI!$D$3:$F$103,3,0)*S116/1000/12,0))</f>
        <v>177.75066805457291</v>
      </c>
      <c r="S116" s="541">
        <f t="shared" ca="1" si="15"/>
        <v>919400.00717882556</v>
      </c>
      <c r="T116" s="544">
        <f ca="1">(T115-O116-P116)*(1+VTL20namcamket!$U$3)</f>
        <v>70652.08441228632</v>
      </c>
      <c r="U116" s="1044"/>
      <c r="V116" s="542">
        <f ca="1">(V115-O116-R116)*(1+VTL20namMH!$P$3)</f>
        <v>80663.987278860557</v>
      </c>
    </row>
    <row r="117" spans="11:22" ht="9.75" customHeight="1">
      <c r="K117" s="1043"/>
      <c r="L117" s="1045"/>
      <c r="M117" s="262">
        <v>115</v>
      </c>
      <c r="N117" s="540">
        <f t="shared" ca="1" si="27"/>
        <v>929347.91558771371</v>
      </c>
      <c r="O117" s="538">
        <f ca="1">VTL20namcamket!F118</f>
        <v>60</v>
      </c>
      <c r="P117" s="541">
        <f ca="1">IF('Tinh phi QL'!$H$9="Nam",VLOOKUP(VTLCOI!$I$12,VTLCOI!$D$3:$F$103,2,0)*N117/1000/12,IF('Tinh phi QL'!$H$9="Nữ",VLOOKUP(VTLCOI!$I$12,VTLCOI!$D$3:$F$103,3,0)*N117/1000/12,0))</f>
        <v>179.67393034695797</v>
      </c>
      <c r="Q117" s="1043"/>
      <c r="R117" s="539">
        <f ca="1">IF('Tinh phi QL'!$H$9="Nam",VLOOKUP(VTLCOI!$I$12,VTLCOI!$D$3:$F$103,2,0)*S117/1000/12,IF('Tinh phi QL'!$H$9="Nữ",VLOOKUP(VTLCOI!$I$12,VTLCOI!$D$3:$F$103,3,0)*S117/1000/12,0))</f>
        <v>177.73829579275363</v>
      </c>
      <c r="S117" s="541">
        <f t="shared" ca="1" si="15"/>
        <v>919336.01272113947</v>
      </c>
      <c r="T117" s="544">
        <f ca="1">(T116-O117-P117)*(1+VTL20namcamket!$U$3)</f>
        <v>70499.826624638285</v>
      </c>
      <c r="U117" s="1044"/>
      <c r="V117" s="542">
        <f ca="1">(V116-O117-R117)*(1+VTL20namMH!$P$3)</f>
        <v>80728.234442433328</v>
      </c>
    </row>
    <row r="118" spans="11:22" ht="9.75" customHeight="1">
      <c r="K118" s="1043"/>
      <c r="L118" s="1045"/>
      <c r="M118" s="262">
        <v>116</v>
      </c>
      <c r="N118" s="540">
        <f t="shared" ca="1" si="27"/>
        <v>929500.17337536172</v>
      </c>
      <c r="O118" s="538">
        <f ca="1">VTL20namcamket!F119</f>
        <v>60</v>
      </c>
      <c r="P118" s="541">
        <f ca="1">IF('Tinh phi QL'!$H$9="Nam",VLOOKUP(VTLCOI!$I$12,VTLCOI!$D$3:$F$103,2,0)*N118/1000/12,IF('Tinh phi QL'!$H$9="Nữ",VLOOKUP(VTLCOI!$I$12,VTLCOI!$D$3:$F$103,3,0)*N118/1000/12,0))</f>
        <v>179.70336685256993</v>
      </c>
      <c r="Q118" s="1043"/>
      <c r="R118" s="539">
        <f ca="1">IF('Tinh phi QL'!$H$9="Nam",VLOOKUP(VTLCOI!$I$12,VTLCOI!$D$3:$F$103,2,0)*S118/1000/12,IF('Tinh phi QL'!$H$9="Nữ",VLOOKUP(VTLCOI!$I$12,VTLCOI!$D$3:$F$103,3,0)*S118/1000/12,0))</f>
        <v>177.72587467446286</v>
      </c>
      <c r="S118" s="541">
        <f t="shared" ca="1" si="15"/>
        <v>919271.76555756666</v>
      </c>
      <c r="T118" s="544">
        <f ca="1">(T117-O118-P118)*(1+VTL20namcamket!$U$3)</f>
        <v>70347.350337766475</v>
      </c>
      <c r="U118" s="1044"/>
      <c r="V118" s="542">
        <f ca="1">(V117-O118-R118)*(1+VTL20namMH!$P$3)</f>
        <v>80792.735309795738</v>
      </c>
    </row>
    <row r="119" spans="11:22" ht="9.75" customHeight="1">
      <c r="K119" s="1043"/>
      <c r="L119" s="1045"/>
      <c r="M119" s="262">
        <v>117</v>
      </c>
      <c r="N119" s="540">
        <f t="shared" ca="1" si="27"/>
        <v>929652.64966223354</v>
      </c>
      <c r="O119" s="538">
        <f ca="1">VTL20namcamket!F120</f>
        <v>60</v>
      </c>
      <c r="P119" s="541">
        <f ca="1">IF('Tinh phi QL'!$H$9="Nam",VLOOKUP(VTLCOI!$I$12,VTLCOI!$D$3:$F$103,2,0)*N119/1000/12,IF('Tinh phi QL'!$H$9="Nữ",VLOOKUP(VTLCOI!$I$12,VTLCOI!$D$3:$F$103,3,0)*N119/1000/12,0))</f>
        <v>179.73284560136514</v>
      </c>
      <c r="Q119" s="1043"/>
      <c r="R119" s="539">
        <f ca="1">IF('Tinh phi QL'!$H$9="Nam",VLOOKUP(VTLCOI!$I$12,VTLCOI!$D$3:$F$103,2,0)*S119/1000/12,IF('Tinh phi QL'!$H$9="Nữ",VLOOKUP(VTLCOI!$I$12,VTLCOI!$D$3:$F$103,3,0)*S119/1000/12,0))</f>
        <v>177.71340450677283</v>
      </c>
      <c r="S119" s="541">
        <f t="shared" ca="1" si="15"/>
        <v>919207.26469020429</v>
      </c>
      <c r="T119" s="544">
        <f ca="1">(T118-O119-P119)*(1+VTL20namcamket!$U$3)</f>
        <v>70194.655238111154</v>
      </c>
      <c r="U119" s="1044"/>
      <c r="V119" s="542">
        <f ca="1">(V118-O119-R119)*(1+VTL20namMH!$P$3)</f>
        <v>80857.490882791433</v>
      </c>
    </row>
    <row r="120" spans="11:22" ht="9.75" customHeight="1">
      <c r="K120" s="1043"/>
      <c r="L120" s="1045"/>
      <c r="M120" s="262">
        <v>118</v>
      </c>
      <c r="N120" s="540">
        <f t="shared" ca="1" si="27"/>
        <v>929805.34476188885</v>
      </c>
      <c r="O120" s="538">
        <f ca="1">VTL20namcamket!F121</f>
        <v>60</v>
      </c>
      <c r="P120" s="541">
        <f ca="1">IF('Tinh phi QL'!$H$9="Nam",VLOOKUP(VTLCOI!$I$12,VTLCOI!$D$3:$F$103,2,0)*N120/1000/12,IF('Tinh phi QL'!$H$9="Nữ",VLOOKUP(VTLCOI!$I$12,VTLCOI!$D$3:$F$103,3,0)*N120/1000/12,0))</f>
        <v>179.76236665396516</v>
      </c>
      <c r="Q120" s="1043"/>
      <c r="R120" s="539">
        <f ca="1">IF('Tinh phi QL'!$H$9="Nam",VLOOKUP(VTLCOI!$I$12,VTLCOI!$D$3:$F$103,2,0)*S120/1000/12,IF('Tinh phi QL'!$H$9="Nữ",VLOOKUP(VTLCOI!$I$12,VTLCOI!$D$3:$F$103,3,0)*S120/1000/12,0))</f>
        <v>177.70088509599364</v>
      </c>
      <c r="S120" s="541">
        <f t="shared" ca="1" si="15"/>
        <v>919142.50911720854</v>
      </c>
      <c r="T120" s="544">
        <f ca="1">(T119-O120-P120)*(1+VTL20namcamket!$U$3)</f>
        <v>70041.741011662642</v>
      </c>
      <c r="U120" s="1044"/>
      <c r="V120" s="542">
        <f ca="1">(V119-O120-R120)*(1+VTL20namMH!$P$3)</f>
        <v>80922.502167220227</v>
      </c>
    </row>
    <row r="121" spans="11:22" ht="9.75" customHeight="1">
      <c r="K121" s="1043"/>
      <c r="L121" s="1045"/>
      <c r="M121" s="262">
        <v>119</v>
      </c>
      <c r="N121" s="540">
        <f t="shared" ca="1" si="27"/>
        <v>929958.25898833736</v>
      </c>
      <c r="O121" s="538">
        <f ca="1">VTL20namcamket!F122</f>
        <v>60</v>
      </c>
      <c r="P121" s="541">
        <f ca="1">IF('Tinh phi QL'!$H$9="Nam",VLOOKUP(VTLCOI!$I$12,VTLCOI!$D$3:$F$103,2,0)*N121/1000/12,IF('Tinh phi QL'!$H$9="Nữ",VLOOKUP(VTLCOI!$I$12,VTLCOI!$D$3:$F$103,3,0)*N121/1000/12,0))</f>
        <v>179.79193007107855</v>
      </c>
      <c r="Q121" s="1043"/>
      <c r="R121" s="539">
        <f ca="1">IF('Tinh phi QL'!$H$9="Nam",VLOOKUP(VTLCOI!$I$12,VTLCOI!$D$3:$F$103,2,0)*S121/1000/12,IF('Tinh phi QL'!$H$9="Nữ",VLOOKUP(VTLCOI!$I$12,VTLCOI!$D$3:$F$103,3,0)*S121/1000/12,0))</f>
        <v>177.68831624767074</v>
      </c>
      <c r="S121" s="541">
        <f t="shared" ca="1" si="15"/>
        <v>919077.49783277977</v>
      </c>
      <c r="T121" s="544">
        <f ca="1">(T120-O121-P121)*(1+VTL20namcamket!$U$3)</f>
        <v>69888.607343960583</v>
      </c>
      <c r="U121" s="1044"/>
      <c r="V121" s="542">
        <f ca="1">(V120-O121-R121)*(1+VTL20namMH!$P$3)</f>
        <v>80987.770172853692</v>
      </c>
    </row>
    <row r="122" spans="11:22" ht="9.75" customHeight="1">
      <c r="K122" s="1043"/>
      <c r="L122" s="1045"/>
      <c r="M122" s="262">
        <v>120</v>
      </c>
      <c r="N122" s="540">
        <f t="shared" ca="1" si="27"/>
        <v>930111.39265603945</v>
      </c>
      <c r="O122" s="538">
        <f ca="1">VTL20namcamket!F123</f>
        <v>60</v>
      </c>
      <c r="P122" s="541">
        <f ca="1">IF('Tinh phi QL'!$H$9="Nam",VLOOKUP(VTLCOI!$I$12,VTLCOI!$D$3:$F$103,2,0)*N122/1000/12,IF('Tinh phi QL'!$H$9="Nữ",VLOOKUP(VTLCOI!$I$12,VTLCOI!$D$3:$F$103,3,0)*N122/1000/12,0))</f>
        <v>179.82153591350095</v>
      </c>
      <c r="Q122" s="1043"/>
      <c r="R122" s="539">
        <f ca="1">IF('Tinh phi QL'!$H$9="Nam",VLOOKUP(VTLCOI!$I$12,VTLCOI!$D$3:$F$103,2,0)*S122/1000/12,IF('Tinh phi QL'!$H$9="Nữ",VLOOKUP(VTLCOI!$I$12,VTLCOI!$D$3:$F$103,3,0)*S122/1000/12,0))</f>
        <v>177.67569776658161</v>
      </c>
      <c r="S122" s="541">
        <f t="shared" ca="1" si="15"/>
        <v>919012.22982714628</v>
      </c>
      <c r="T122" s="545">
        <f ca="1">(T121-O122-P122)*(1+VTL20namcamket!$U$3)+Q111</f>
        <v>70035.253920093368</v>
      </c>
      <c r="U122" s="1044"/>
      <c r="V122" s="543">
        <f ca="1">(V121-O122-R122)*(1+VTL20namMH!$P$3)+U111</f>
        <v>81353.295913450871</v>
      </c>
    </row>
    <row r="123" spans="11:22" ht="9.75" customHeight="1">
      <c r="K123" s="1045">
        <f>K111+1</f>
        <v>11</v>
      </c>
      <c r="L123" s="1045">
        <f t="shared" ref="L123" ca="1" si="28">L111+1</f>
        <v>40</v>
      </c>
      <c r="M123" s="252">
        <v>121</v>
      </c>
      <c r="N123" s="538">
        <f ca="1">$C$4-T122-VTLGTTKcamket!F17</f>
        <v>919964.74607990659</v>
      </c>
      <c r="O123" s="538">
        <f ca="1">VTL20namcamket!F124</f>
        <v>60</v>
      </c>
      <c r="P123" s="539">
        <f ca="1">IF('Tinh phi QL'!$H$9="Nam",VLOOKUP(VTLCOI!$I$13,VTLCOI!$D$3:$F$103,2,0)*N123/1000/12,IF('Tinh phi QL'!$H$9="Nữ",VLOOKUP(VTLCOI!$I$13,VTLCOI!$D$3:$F$103,3,0)*N123/1000/12,0))</f>
        <v>193.19259667678037</v>
      </c>
      <c r="Q123" s="1043">
        <f t="shared" ref="Q123" si="29">Q111</f>
        <v>300</v>
      </c>
      <c r="R123" s="539">
        <f ca="1">IF('Tinh phi QL'!$H$9="Nam",VLOOKUP(VTLCOI!$I$13,VTLCOI!$D$3:$F$103,2,0)*S123/1000/12,IF('Tinh phi QL'!$H$9="Nữ",VLOOKUP(VTLCOI!$I$13,VTLCOI!$D$3:$F$103,3,0)*S123/1000/12,0))</f>
        <v>190.8158078581753</v>
      </c>
      <c r="S123" s="539">
        <f ca="1">$C$4-V122-VTLGTTKMH!F17</f>
        <v>908646.70408654911</v>
      </c>
      <c r="T123" s="542">
        <f ca="1">(T122+VTLGTTKcamket!F17-O123-P123)*(1+VTL20namcamket!$V$3)</f>
        <v>79848.243584125477</v>
      </c>
      <c r="U123" s="1044">
        <f>Q123</f>
        <v>300</v>
      </c>
      <c r="V123" s="542">
        <f ca="1">(V122+VTLGTTKMH!F17-O123-R123)*(1+VTL20namMH!$P$3)</f>
        <v>91444.552807625805</v>
      </c>
    </row>
    <row r="124" spans="11:22" ht="9.75" customHeight="1">
      <c r="K124" s="1045"/>
      <c r="L124" s="1045"/>
      <c r="M124" s="252">
        <v>122</v>
      </c>
      <c r="N124" s="538">
        <f t="shared" ref="N124:N134" ca="1" si="30">$C$4-T123</f>
        <v>920151.75641587446</v>
      </c>
      <c r="O124" s="538">
        <f ca="1">VTL20namcamket!F125</f>
        <v>60</v>
      </c>
      <c r="P124" s="539">
        <f ca="1">IF('Tinh phi QL'!$H$9="Nam",VLOOKUP(VTLCOI!$I$13,VTLCOI!$D$3:$F$103,2,0)*N124/1000/12,IF('Tinh phi QL'!$H$9="Nữ",VLOOKUP(VTLCOI!$I$13,VTLCOI!$D$3:$F$103,3,0)*N124/1000/12,0))</f>
        <v>193.23186884733363</v>
      </c>
      <c r="Q124" s="1043"/>
      <c r="R124" s="539">
        <f ca="1">IF('Tinh phi QL'!$H$9="Nam",VLOOKUP(VTLCOI!$I$13,VTLCOI!$D$3:$F$103,2,0)*S124/1000/12,IF('Tinh phi QL'!$H$9="Nữ",VLOOKUP(VTLCOI!$I$13,VTLCOI!$D$3:$F$103,3,0)*S124/1000/12,0))</f>
        <v>190.79664391039861</v>
      </c>
      <c r="S124" s="539">
        <f t="shared" ca="1" si="15"/>
        <v>908555.44719237415</v>
      </c>
      <c r="T124" s="542">
        <f ca="1">(T123-O124-P124)*(1+VTL20namcamket!$V$3)</f>
        <v>79661.038811207793</v>
      </c>
      <c r="U124" s="1044"/>
      <c r="V124" s="542">
        <f ca="1">(V123-O124-R124)*(1+VTL20namMH!$P$3)</f>
        <v>91536.17159020339</v>
      </c>
    </row>
    <row r="125" spans="11:22" ht="9.75" customHeight="1">
      <c r="K125" s="1045"/>
      <c r="L125" s="1045"/>
      <c r="M125" s="252">
        <v>123</v>
      </c>
      <c r="N125" s="538">
        <f t="shared" ca="1" si="30"/>
        <v>920338.96118879225</v>
      </c>
      <c r="O125" s="538">
        <f ca="1">VTL20namcamket!F126</f>
        <v>60</v>
      </c>
      <c r="P125" s="539">
        <f ca="1">IF('Tinh phi QL'!$H$9="Nam",VLOOKUP(VTLCOI!$I$13,VTLCOI!$D$3:$F$103,2,0)*N125/1000/12,IF('Tinh phi QL'!$H$9="Nữ",VLOOKUP(VTLCOI!$I$13,VTLCOI!$D$3:$F$103,3,0)*N125/1000/12,0))</f>
        <v>193.27118184964638</v>
      </c>
      <c r="Q125" s="1043"/>
      <c r="R125" s="539">
        <f ca="1">IF('Tinh phi QL'!$H$9="Nam",VLOOKUP(VTLCOI!$I$13,VTLCOI!$D$3:$F$103,2,0)*S125/1000/12,IF('Tinh phi QL'!$H$9="Nữ",VLOOKUP(VTLCOI!$I$13,VTLCOI!$D$3:$F$103,3,0)*S125/1000/12,0))</f>
        <v>190.77740396605728</v>
      </c>
      <c r="S125" s="539">
        <f t="shared" ca="1" si="15"/>
        <v>908463.82840979658</v>
      </c>
      <c r="T125" s="542">
        <f ca="1">(T124-O125-P125)*(1+VTL20namcamket!$V$3)</f>
        <v>79473.639399181848</v>
      </c>
      <c r="U125" s="1044"/>
      <c r="V125" s="542">
        <f ca="1">(V124-O125-R125)*(1+VTL20namMH!$P$3)</f>
        <v>91628.153696288544</v>
      </c>
    </row>
    <row r="126" spans="11:22" ht="9.75" customHeight="1">
      <c r="K126" s="1045"/>
      <c r="L126" s="1045"/>
      <c r="M126" s="252">
        <v>124</v>
      </c>
      <c r="N126" s="538">
        <f t="shared" ca="1" si="30"/>
        <v>920526.36060081818</v>
      </c>
      <c r="O126" s="538">
        <f ca="1">VTL20namcamket!F127</f>
        <v>60</v>
      </c>
      <c r="P126" s="539">
        <f ca="1">IF('Tinh phi QL'!$H$9="Nam",VLOOKUP(VTLCOI!$I$13,VTLCOI!$D$3:$F$103,2,0)*N126/1000/12,IF('Tinh phi QL'!$H$9="Nữ",VLOOKUP(VTLCOI!$I$13,VTLCOI!$D$3:$F$103,3,0)*N126/1000/12,0))</f>
        <v>193.31053572617179</v>
      </c>
      <c r="Q126" s="1043"/>
      <c r="R126" s="539">
        <f ca="1">IF('Tinh phi QL'!$H$9="Nam",VLOOKUP(VTLCOI!$I$13,VTLCOI!$D$3:$F$103,2,0)*S126/1000/12,IF('Tinh phi QL'!$H$9="Nữ",VLOOKUP(VTLCOI!$I$13,VTLCOI!$D$3:$F$103,3,0)*S126/1000/12,0))</f>
        <v>190.75808772377943</v>
      </c>
      <c r="S126" s="539">
        <f t="shared" ca="1" si="15"/>
        <v>908371.84630371141</v>
      </c>
      <c r="T126" s="542">
        <f ca="1">(T125-O126-P126)*(1+VTL20namcamket!$V$3)</f>
        <v>79286.04514567896</v>
      </c>
      <c r="U126" s="1044"/>
      <c r="V126" s="542">
        <f ca="1">(V125-O126-R126)*(1+VTL20namMH!$P$3)</f>
        <v>91720.500566677219</v>
      </c>
    </row>
    <row r="127" spans="11:22" ht="9.75" customHeight="1">
      <c r="K127" s="1045"/>
      <c r="L127" s="1045"/>
      <c r="M127" s="252">
        <v>125</v>
      </c>
      <c r="N127" s="538">
        <f t="shared" ca="1" si="30"/>
        <v>920713.95485432108</v>
      </c>
      <c r="O127" s="538">
        <f ca="1">VTL20namcamket!F128</f>
        <v>60</v>
      </c>
      <c r="P127" s="539">
        <f ca="1">IF('Tinh phi QL'!$H$9="Nam",VLOOKUP(VTLCOI!$I$13,VTLCOI!$D$3:$F$103,2,0)*N127/1000/12,IF('Tinh phi QL'!$H$9="Nữ",VLOOKUP(VTLCOI!$I$13,VTLCOI!$D$3:$F$103,3,0)*N127/1000/12,0))</f>
        <v>193.34993051940742</v>
      </c>
      <c r="Q127" s="1043"/>
      <c r="R127" s="539">
        <f ca="1">IF('Tinh phi QL'!$H$9="Nam",VLOOKUP(VTLCOI!$I$13,VTLCOI!$D$3:$F$103,2,0)*S127/1000/12,IF('Tinh phi QL'!$H$9="Nữ",VLOOKUP(VTLCOI!$I$13,VTLCOI!$D$3:$F$103,3,0)*S127/1000/12,0))</f>
        <v>190.73869488099783</v>
      </c>
      <c r="S127" s="539">
        <f t="shared" ca="1" si="15"/>
        <v>908279.49943332281</v>
      </c>
      <c r="T127" s="542">
        <f ca="1">(T126-O127-P127)*(1+VTL20namcamket!$V$3)</f>
        <v>79098.255848120025</v>
      </c>
      <c r="U127" s="1044"/>
      <c r="V127" s="542">
        <f ca="1">(V126-O127-R127)*(1+VTL20namMH!$P$3)</f>
        <v>91813.213647878976</v>
      </c>
    </row>
    <row r="128" spans="11:22" ht="9.75" customHeight="1">
      <c r="K128" s="1045"/>
      <c r="L128" s="1045"/>
      <c r="M128" s="252">
        <v>126</v>
      </c>
      <c r="N128" s="538">
        <f t="shared" ca="1" si="30"/>
        <v>920901.74415188003</v>
      </c>
      <c r="O128" s="538">
        <f ca="1">VTL20namcamket!F129</f>
        <v>60</v>
      </c>
      <c r="P128" s="539">
        <f ca="1">IF('Tinh phi QL'!$H$9="Nam",VLOOKUP(VTLCOI!$I$13,VTLCOI!$D$3:$F$103,2,0)*N128/1000/12,IF('Tinh phi QL'!$H$9="Nữ",VLOOKUP(VTLCOI!$I$13,VTLCOI!$D$3:$F$103,3,0)*N128/1000/12,0))</f>
        <v>193.3893662718948</v>
      </c>
      <c r="Q128" s="1043"/>
      <c r="R128" s="539">
        <f ca="1">IF('Tinh phi QL'!$H$9="Nam",VLOOKUP(VTLCOI!$I$13,VTLCOI!$D$3:$F$103,2,0)*S128/1000/12,IF('Tinh phi QL'!$H$9="Nữ",VLOOKUP(VTLCOI!$I$13,VTLCOI!$D$3:$F$103,3,0)*S128/1000/12,0))</f>
        <v>190.71922513394543</v>
      </c>
      <c r="S128" s="539">
        <f t="shared" ca="1" si="15"/>
        <v>908186.78635212104</v>
      </c>
      <c r="T128" s="542">
        <f ca="1">(T127-O128-P128)*(1+VTL20namcamket!$V$3)</f>
        <v>78910.271303715359</v>
      </c>
      <c r="U128" s="1044"/>
      <c r="V128" s="542">
        <f ca="1">(V127-O128-R128)*(1+VTL20namMH!$P$3)</f>
        <v>91906.29439213968</v>
      </c>
    </row>
    <row r="129" spans="11:22" ht="9.75" customHeight="1">
      <c r="K129" s="1045"/>
      <c r="L129" s="1045"/>
      <c r="M129" s="252">
        <v>127</v>
      </c>
      <c r="N129" s="538">
        <f t="shared" ca="1" si="30"/>
        <v>921089.72869628458</v>
      </c>
      <c r="O129" s="538">
        <f ca="1">VTL20namcamket!F130</f>
        <v>60</v>
      </c>
      <c r="P129" s="539">
        <f ca="1">IF('Tinh phi QL'!$H$9="Nam",VLOOKUP(VTLCOI!$I$13,VTLCOI!$D$3:$F$103,2,0)*N129/1000/12,IF('Tinh phi QL'!$H$9="Nữ",VLOOKUP(VTLCOI!$I$13,VTLCOI!$D$3:$F$103,3,0)*N129/1000/12,0))</f>
        <v>193.42884302621974</v>
      </c>
      <c r="Q129" s="1043"/>
      <c r="R129" s="539">
        <f ca="1">IF('Tinh phi QL'!$H$9="Nam",VLOOKUP(VTLCOI!$I$13,VTLCOI!$D$3:$F$103,2,0)*S129/1000/12,IF('Tinh phi QL'!$H$9="Nữ",VLOOKUP(VTLCOI!$I$13,VTLCOI!$D$3:$F$103,3,0)*S129/1000/12,0))</f>
        <v>190.69967817765067</v>
      </c>
      <c r="S129" s="539">
        <f t="shared" ca="1" si="15"/>
        <v>908093.70560786035</v>
      </c>
      <c r="T129" s="542">
        <f ca="1">(T128-O129-P129)*(1+VTL20namcamket!$V$3)</f>
        <v>78722.091309464391</v>
      </c>
      <c r="U129" s="1044"/>
      <c r="V129" s="542">
        <f ca="1">(V128-O129-R129)*(1+VTL20namMH!$P$3)</f>
        <v>91999.744257464205</v>
      </c>
    </row>
    <row r="130" spans="11:22" ht="9.75" customHeight="1">
      <c r="K130" s="1045"/>
      <c r="L130" s="1045"/>
      <c r="M130" s="252">
        <v>128</v>
      </c>
      <c r="N130" s="538">
        <f t="shared" ca="1" si="30"/>
        <v>921277.90869053558</v>
      </c>
      <c r="O130" s="538">
        <f ca="1">VTL20namcamket!F131</f>
        <v>60</v>
      </c>
      <c r="P130" s="539">
        <f ca="1">IF('Tinh phi QL'!$H$9="Nam",VLOOKUP(VTLCOI!$I$13,VTLCOI!$D$3:$F$103,2,0)*N130/1000/12,IF('Tinh phi QL'!$H$9="Nữ",VLOOKUP(VTLCOI!$I$13,VTLCOI!$D$3:$F$103,3,0)*N130/1000/12,0))</f>
        <v>193.46836082501247</v>
      </c>
      <c r="Q130" s="1043"/>
      <c r="R130" s="539">
        <f ca="1">IF('Tinh phi QL'!$H$9="Nam",VLOOKUP(VTLCOI!$I$13,VTLCOI!$D$3:$F$103,2,0)*S130/1000/12,IF('Tinh phi QL'!$H$9="Nữ",VLOOKUP(VTLCOI!$I$13,VTLCOI!$D$3:$F$103,3,0)*S130/1000/12,0))</f>
        <v>190.68005370593255</v>
      </c>
      <c r="S130" s="539">
        <f t="shared" ca="1" si="15"/>
        <v>908000.25574253581</v>
      </c>
      <c r="T130" s="542">
        <f ca="1">(T129-O130-P130)*(1+VTL20namcamket!$V$3)</f>
        <v>78533.715662155533</v>
      </c>
      <c r="U130" s="1044"/>
      <c r="V130" s="542">
        <f ca="1">(V129-O130-R130)*(1+VTL20namMH!$P$3)</f>
        <v>92093.564707639307</v>
      </c>
    </row>
    <row r="131" spans="11:22" ht="9.75" customHeight="1">
      <c r="K131" s="1045"/>
      <c r="L131" s="1045"/>
      <c r="M131" s="252">
        <v>129</v>
      </c>
      <c r="N131" s="538">
        <f t="shared" ca="1" si="30"/>
        <v>921466.28433784447</v>
      </c>
      <c r="O131" s="538">
        <f ca="1">VTL20namcamket!F132</f>
        <v>60</v>
      </c>
      <c r="P131" s="539">
        <f ca="1">IF('Tinh phi QL'!$H$9="Nam",VLOOKUP(VTLCOI!$I$13,VTLCOI!$D$3:$F$103,2,0)*N131/1000/12,IF('Tinh phi QL'!$H$9="Nữ",VLOOKUP(VTLCOI!$I$13,VTLCOI!$D$3:$F$103,3,0)*N131/1000/12,0))</f>
        <v>193.50791971094736</v>
      </c>
      <c r="Q131" s="1043"/>
      <c r="R131" s="539">
        <f ca="1">IF('Tinh phi QL'!$H$9="Nam",VLOOKUP(VTLCOI!$I$13,VTLCOI!$D$3:$F$103,2,0)*S131/1000/12,IF('Tinh phi QL'!$H$9="Nữ",VLOOKUP(VTLCOI!$I$13,VTLCOI!$D$3:$F$103,3,0)*S131/1000/12,0))</f>
        <v>190.66035141139574</v>
      </c>
      <c r="S131" s="539">
        <f t="shared" ca="1" si="15"/>
        <v>907906.43529236072</v>
      </c>
      <c r="T131" s="542">
        <f ca="1">(T130-O131-P131)*(1+VTL20namcamket!$V$3)</f>
        <v>78345.144158365889</v>
      </c>
      <c r="U131" s="1044"/>
      <c r="V131" s="542">
        <f ca="1">(V130-O131-R131)*(1+VTL20namMH!$P$3)</f>
        <v>92187.757212256518</v>
      </c>
    </row>
    <row r="132" spans="11:22" ht="9.75" customHeight="1">
      <c r="K132" s="1045"/>
      <c r="L132" s="1045"/>
      <c r="M132" s="252">
        <v>130</v>
      </c>
      <c r="N132" s="538">
        <f t="shared" ca="1" si="30"/>
        <v>921654.8558416341</v>
      </c>
      <c r="O132" s="538">
        <f ca="1">VTL20namcamket!F133</f>
        <v>60</v>
      </c>
      <c r="P132" s="539">
        <f ca="1">IF('Tinh phi QL'!$H$9="Nam",VLOOKUP(VTLCOI!$I$13,VTLCOI!$D$3:$F$103,2,0)*N132/1000/12,IF('Tinh phi QL'!$H$9="Nữ",VLOOKUP(VTLCOI!$I$13,VTLCOI!$D$3:$F$103,3,0)*N132/1000/12,0))</f>
        <v>193.54751972674316</v>
      </c>
      <c r="Q132" s="1043"/>
      <c r="R132" s="539">
        <f ca="1">IF('Tinh phi QL'!$H$9="Nam",VLOOKUP(VTLCOI!$I$13,VTLCOI!$D$3:$F$103,2,0)*S132/1000/12,IF('Tinh phi QL'!$H$9="Nữ",VLOOKUP(VTLCOI!$I$13,VTLCOI!$D$3:$F$103,3,0)*S132/1000/12,0))</f>
        <v>190.64057098542614</v>
      </c>
      <c r="S132" s="539">
        <f t="shared" ca="1" si="15"/>
        <v>907812.24278774345</v>
      </c>
      <c r="T132" s="542">
        <f ca="1">(T131-O132-P132)*(1+VTL20namcamket!$V$3)</f>
        <v>78156.37659446105</v>
      </c>
      <c r="U132" s="1044"/>
      <c r="V132" s="542">
        <f ca="1">(V131-O132-R132)*(1+VTL20namMH!$P$3)</f>
        <v>92282.323246735192</v>
      </c>
    </row>
    <row r="133" spans="11:22" ht="9.75" customHeight="1">
      <c r="K133" s="1045"/>
      <c r="L133" s="1045"/>
      <c r="M133" s="252">
        <v>131</v>
      </c>
      <c r="N133" s="538">
        <f t="shared" ca="1" si="30"/>
        <v>921843.62340553897</v>
      </c>
      <c r="O133" s="538">
        <f ca="1">VTL20namcamket!F134</f>
        <v>60</v>
      </c>
      <c r="P133" s="539">
        <f ca="1">IF('Tinh phi QL'!$H$9="Nam",VLOOKUP(VTLCOI!$I$13,VTLCOI!$D$3:$F$103,2,0)*N133/1000/12,IF('Tinh phi QL'!$H$9="Nữ",VLOOKUP(VTLCOI!$I$13,VTLCOI!$D$3:$F$103,3,0)*N133/1000/12,0))</f>
        <v>193.5871609151632</v>
      </c>
      <c r="Q133" s="1043"/>
      <c r="R133" s="539">
        <f ca="1">IF('Tinh phi QL'!$H$9="Nam",VLOOKUP(VTLCOI!$I$13,VTLCOI!$D$3:$F$103,2,0)*S133/1000/12,IF('Tinh phi QL'!$H$9="Nữ",VLOOKUP(VTLCOI!$I$13,VTLCOI!$D$3:$F$103,3,0)*S133/1000/12,0))</f>
        <v>190.62071211818565</v>
      </c>
      <c r="S133" s="539">
        <f t="shared" ref="S133:S196" ca="1" si="31">$C$4-V132</f>
        <v>907717.67675326485</v>
      </c>
      <c r="T133" s="542">
        <f ca="1">(T132-O133-P133)*(1+VTL20namcamket!$V$3)</f>
        <v>77967.412766594891</v>
      </c>
      <c r="U133" s="1044"/>
      <c r="V133" s="542">
        <f ca="1">(V132-O133-R133)*(1+VTL20namMH!$P$3)</f>
        <v>92377.264292345615</v>
      </c>
    </row>
    <row r="134" spans="11:22" ht="9.75" customHeight="1">
      <c r="K134" s="1045"/>
      <c r="L134" s="1045"/>
      <c r="M134" s="252">
        <v>132</v>
      </c>
      <c r="N134" s="538">
        <f t="shared" ca="1" si="30"/>
        <v>922032.58723340509</v>
      </c>
      <c r="O134" s="538">
        <f ca="1">VTL20namcamket!F135</f>
        <v>60</v>
      </c>
      <c r="P134" s="539">
        <f ca="1">IF('Tinh phi QL'!$H$9="Nam",VLOOKUP(VTLCOI!$I$13,VTLCOI!$D$3:$F$103,2,0)*N134/1000/12,IF('Tinh phi QL'!$H$9="Nữ",VLOOKUP(VTLCOI!$I$13,VTLCOI!$D$3:$F$103,3,0)*N134/1000/12,0))</f>
        <v>193.62684331901508</v>
      </c>
      <c r="Q134" s="1043"/>
      <c r="R134" s="539">
        <f ca="1">IF('Tinh phi QL'!$H$9="Nam",VLOOKUP(VTLCOI!$I$13,VTLCOI!$D$3:$F$103,2,0)*S134/1000/12,IF('Tinh phi QL'!$H$9="Nữ",VLOOKUP(VTLCOI!$I$13,VTLCOI!$D$3:$F$103,3,0)*S134/1000/12,0))</f>
        <v>190.60077449860742</v>
      </c>
      <c r="S134" s="539">
        <f t="shared" ca="1" si="31"/>
        <v>907622.73570765438</v>
      </c>
      <c r="T134" s="543">
        <f ca="1">(T133-O134-P134)*(1+VTL20namcamket!$V$3)+Q123</f>
        <v>78078.252470709369</v>
      </c>
      <c r="U134" s="1044"/>
      <c r="V134" s="543">
        <f ca="1">(V133-O134-R134)*(1+VTL20namMH!$P$3)+U123</f>
        <v>92772.581836232173</v>
      </c>
    </row>
    <row r="135" spans="11:22" ht="9.75" customHeight="1">
      <c r="K135" s="1043">
        <f>K123+1</f>
        <v>12</v>
      </c>
      <c r="L135" s="1045">
        <f t="shared" ref="L135" ca="1" si="32">L123+1</f>
        <v>41</v>
      </c>
      <c r="M135" s="262">
        <v>133</v>
      </c>
      <c r="N135" s="540">
        <f ca="1">$C$4-T134-VTLGTTKcamket!F18</f>
        <v>911921.74752929062</v>
      </c>
      <c r="O135" s="538">
        <f ca="1">VTL20namcamket!F136</f>
        <v>60</v>
      </c>
      <c r="P135" s="541">
        <f ca="1">IF('Tinh phi QL'!$H$9="Nam",VLOOKUP(VTLCOI!$I$14,VTLCOI!$D$3:$F$103,2,0)*N135/1000/12,IF('Tinh phi QL'!$H$9="Nữ",VLOOKUP(VTLCOI!$I$14,VTLCOI!$D$3:$F$103,3,0)*N135/1000/12,0))</f>
        <v>207.91815843667825</v>
      </c>
      <c r="Q135" s="1043">
        <f t="shared" ref="Q135" si="33">Q123</f>
        <v>300</v>
      </c>
      <c r="R135" s="539">
        <f ca="1">IF('Tinh phi QL'!$H$9="Nam",VLOOKUP(VTLCOI!$I$14,VTLCOI!$D$3:$F$103,2,0)*S135/1000/12,IF('Tinh phi QL'!$H$9="Nữ",VLOOKUP(VTLCOI!$I$14,VTLCOI!$D$3:$F$103,3,0)*S135/1000/12,0))</f>
        <v>204.56785134133906</v>
      </c>
      <c r="S135" s="541">
        <f ca="1">$C$4-V134-VTLGTTKMH!F18</f>
        <v>897227.41816376778</v>
      </c>
      <c r="T135" s="544">
        <f ca="1">(T134+VTLGTTKcamket!F18-O135-P135)*(1+VTL20namcamket!$V$3)</f>
        <v>87883.176331418203</v>
      </c>
      <c r="U135" s="1044">
        <f>Q135</f>
        <v>300</v>
      </c>
      <c r="V135" s="542">
        <f ca="1">(V134+VTLGTTKMH!F18-O135-R135)*(1+VTL20namMH!$P$3)</f>
        <v>102892.91232446639</v>
      </c>
    </row>
    <row r="136" spans="11:22" ht="9.75" customHeight="1">
      <c r="K136" s="1043"/>
      <c r="L136" s="1045"/>
      <c r="M136" s="262">
        <v>134</v>
      </c>
      <c r="N136" s="540">
        <f t="shared" ref="N136:N146" ca="1" si="34">$C$4-T135</f>
        <v>912116.82366858178</v>
      </c>
      <c r="O136" s="538">
        <f ca="1">VTL20namcamket!F137</f>
        <v>60</v>
      </c>
      <c r="P136" s="541">
        <f ca="1">IF('Tinh phi QL'!$H$9="Nam",VLOOKUP(VTLCOI!$I$14,VTLCOI!$D$3:$F$103,2,0)*N136/1000/12,IF('Tinh phi QL'!$H$9="Nữ",VLOOKUP(VTLCOI!$I$14,VTLCOI!$D$3:$F$103,3,0)*N136/1000/12,0))</f>
        <v>207.96263579643664</v>
      </c>
      <c r="Q136" s="1043"/>
      <c r="R136" s="539">
        <f ca="1">IF('Tinh phi QL'!$H$9="Nam",VLOOKUP(VTLCOI!$I$14,VTLCOI!$D$3:$F$103,2,0)*S136/1000/12,IF('Tinh phi QL'!$H$9="Nữ",VLOOKUP(VTLCOI!$I$14,VTLCOI!$D$3:$F$103,3,0)*S136/1000/12,0))</f>
        <v>204.54041599002167</v>
      </c>
      <c r="S136" s="541">
        <f t="shared" ca="1" si="31"/>
        <v>897107.08767553361</v>
      </c>
      <c r="T136" s="544">
        <f ca="1">(T135-O136-P136)*(1+VTL20namcamket!$V$3)</f>
        <v>87687.893854778871</v>
      </c>
      <c r="U136" s="1044"/>
      <c r="V136" s="542">
        <f ca="1">(V135-O136-R136)*(1+VTL20namMH!$P$3)</f>
        <v>103013.72216944952</v>
      </c>
    </row>
    <row r="137" spans="11:22" ht="9.75" customHeight="1">
      <c r="K137" s="1043"/>
      <c r="L137" s="1045"/>
      <c r="M137" s="262">
        <v>135</v>
      </c>
      <c r="N137" s="540">
        <f t="shared" ca="1" si="34"/>
        <v>912312.10614522116</v>
      </c>
      <c r="O137" s="538">
        <f ca="1">VTL20namcamket!F138</f>
        <v>60</v>
      </c>
      <c r="P137" s="541">
        <f ca="1">IF('Tinh phi QL'!$H$9="Nam",VLOOKUP(VTLCOI!$I$14,VTLCOI!$D$3:$F$103,2,0)*N137/1000/12,IF('Tinh phi QL'!$H$9="Nữ",VLOOKUP(VTLCOI!$I$14,VTLCOI!$D$3:$F$103,3,0)*N137/1000/12,0))</f>
        <v>208.00716020111045</v>
      </c>
      <c r="Q137" s="1043"/>
      <c r="R137" s="539">
        <f ca="1">IF('Tinh phi QL'!$H$9="Nam",VLOOKUP(VTLCOI!$I$14,VTLCOI!$D$3:$F$103,2,0)*S137/1000/12,IF('Tinh phi QL'!$H$9="Nữ",VLOOKUP(VTLCOI!$I$14,VTLCOI!$D$3:$F$103,3,0)*S137/1000/12,0))</f>
        <v>204.51287134536554</v>
      </c>
      <c r="S137" s="541">
        <f t="shared" ca="1" si="31"/>
        <v>896986.27783055045</v>
      </c>
      <c r="T137" s="544">
        <f ca="1">(T136-O137-P137)*(1+VTL20namcamket!$V$3)</f>
        <v>87492.404822542725</v>
      </c>
      <c r="U137" s="1044"/>
      <c r="V137" s="542">
        <f ca="1">(V136-O137-R137)*(1+VTL20namMH!$P$3)</f>
        <v>103135.01328077982</v>
      </c>
    </row>
    <row r="138" spans="11:22" ht="9.75" customHeight="1">
      <c r="K138" s="1043"/>
      <c r="L138" s="1045"/>
      <c r="M138" s="262">
        <v>136</v>
      </c>
      <c r="N138" s="540">
        <f t="shared" ca="1" si="34"/>
        <v>912507.59517745732</v>
      </c>
      <c r="O138" s="538">
        <f ca="1">VTL20namcamket!F139</f>
        <v>60</v>
      </c>
      <c r="P138" s="541">
        <f ca="1">IF('Tinh phi QL'!$H$9="Nam",VLOOKUP(VTLCOI!$I$14,VTLCOI!$D$3:$F$103,2,0)*N138/1000/12,IF('Tinh phi QL'!$H$9="Nữ",VLOOKUP(VTLCOI!$I$14,VTLCOI!$D$3:$F$103,3,0)*N138/1000/12,0))</f>
        <v>208.05173170046029</v>
      </c>
      <c r="Q138" s="1043"/>
      <c r="R138" s="539">
        <f ca="1">IF('Tinh phi QL'!$H$9="Nam",VLOOKUP(VTLCOI!$I$14,VTLCOI!$D$3:$F$103,2,0)*S138/1000/12,IF('Tinh phi QL'!$H$9="Nữ",VLOOKUP(VTLCOI!$I$14,VTLCOI!$D$3:$F$103,3,0)*S138/1000/12,0))</f>
        <v>204.48521697198223</v>
      </c>
      <c r="S138" s="541">
        <f t="shared" ca="1" si="31"/>
        <v>896864.98671922018</v>
      </c>
      <c r="T138" s="544">
        <f ca="1">(T137-O138-P138)*(1+VTL20namcamket!$V$3)</f>
        <v>87296.709016230307</v>
      </c>
      <c r="U138" s="1044"/>
      <c r="V138" s="542">
        <f ca="1">(V137-O138-R138)*(1+VTL20namMH!$P$3)</f>
        <v>103256.78757566276</v>
      </c>
    </row>
    <row r="139" spans="11:22" ht="9.75" customHeight="1">
      <c r="K139" s="1043"/>
      <c r="L139" s="1045"/>
      <c r="M139" s="262">
        <v>137</v>
      </c>
      <c r="N139" s="540">
        <f t="shared" ca="1" si="34"/>
        <v>912703.29098376969</v>
      </c>
      <c r="O139" s="538">
        <f ca="1">VTL20namcamket!F140</f>
        <v>60</v>
      </c>
      <c r="P139" s="541">
        <f ca="1">IF('Tinh phi QL'!$H$9="Nam",VLOOKUP(VTLCOI!$I$14,VTLCOI!$D$3:$F$103,2,0)*N139/1000/12,IF('Tinh phi QL'!$H$9="Nữ",VLOOKUP(VTLCOI!$I$14,VTLCOI!$D$3:$F$103,3,0)*N139/1000/12,0))</f>
        <v>208.09635034429948</v>
      </c>
      <c r="Q139" s="1043"/>
      <c r="R139" s="539">
        <f ca="1">IF('Tinh phi QL'!$H$9="Nam",VLOOKUP(VTLCOI!$I$14,VTLCOI!$D$3:$F$103,2,0)*S139/1000/12,IF('Tinh phi QL'!$H$9="Nữ",VLOOKUP(VTLCOI!$I$14,VTLCOI!$D$3:$F$103,3,0)*S139/1000/12,0))</f>
        <v>204.45745243274891</v>
      </c>
      <c r="S139" s="541">
        <f t="shared" ca="1" si="31"/>
        <v>896743.21242433728</v>
      </c>
      <c r="T139" s="544">
        <f ca="1">(T138-O139-P139)*(1+VTL20namcamket!$V$3)</f>
        <v>87100.806217131016</v>
      </c>
      <c r="U139" s="1044"/>
      <c r="V139" s="542">
        <f ca="1">(V138-O139-R139)*(1+VTL20namMH!$P$3)</f>
        <v>103379.04697894135</v>
      </c>
    </row>
    <row r="140" spans="11:22" ht="9.75" customHeight="1">
      <c r="K140" s="1043"/>
      <c r="L140" s="1045"/>
      <c r="M140" s="262">
        <v>138</v>
      </c>
      <c r="N140" s="540">
        <f t="shared" ca="1" si="34"/>
        <v>912899.19378286903</v>
      </c>
      <c r="O140" s="538">
        <f ca="1">VTL20namcamket!F141</f>
        <v>60</v>
      </c>
      <c r="P140" s="541">
        <f ca="1">IF('Tinh phi QL'!$H$9="Nam",VLOOKUP(VTLCOI!$I$14,VTLCOI!$D$3:$F$103,2,0)*N140/1000/12,IF('Tinh phi QL'!$H$9="Nữ",VLOOKUP(VTLCOI!$I$14,VTLCOI!$D$3:$F$103,3,0)*N140/1000/12,0))</f>
        <v>208.14101618249416</v>
      </c>
      <c r="Q140" s="1043"/>
      <c r="R140" s="539">
        <f ca="1">IF('Tinh phi QL'!$H$9="Nam",VLOOKUP(VTLCOI!$I$14,VTLCOI!$D$3:$F$103,2,0)*S140/1000/12,IF('Tinh phi QL'!$H$9="Nữ",VLOOKUP(VTLCOI!$I$14,VTLCOI!$D$3:$F$103,3,0)*S140/1000/12,0))</f>
        <v>204.4295772888014</v>
      </c>
      <c r="S140" s="541">
        <f t="shared" ca="1" si="31"/>
        <v>896620.9530210587</v>
      </c>
      <c r="T140" s="544">
        <f ca="1">(T139-O140-P140)*(1+VTL20namcamket!$V$3)</f>
        <v>86904.696206302979</v>
      </c>
      <c r="U140" s="1044"/>
      <c r="V140" s="542">
        <f ca="1">(V139-O140-R140)*(1+VTL20namMH!$P$3)</f>
        <v>103501.7934231265</v>
      </c>
    </row>
    <row r="141" spans="11:22" ht="9.75" customHeight="1">
      <c r="K141" s="1043"/>
      <c r="L141" s="1045"/>
      <c r="M141" s="262">
        <v>139</v>
      </c>
      <c r="N141" s="540">
        <f t="shared" ca="1" si="34"/>
        <v>913095.30379369704</v>
      </c>
      <c r="O141" s="538">
        <f ca="1">VTL20namcamket!F142</f>
        <v>60</v>
      </c>
      <c r="P141" s="541">
        <f ca="1">IF('Tinh phi QL'!$H$9="Nam",VLOOKUP(VTLCOI!$I$14,VTLCOI!$D$3:$F$103,2,0)*N141/1000/12,IF('Tinh phi QL'!$H$9="Nữ",VLOOKUP(VTLCOI!$I$14,VTLCOI!$D$3:$F$103,3,0)*N141/1000/12,0))</f>
        <v>208.18572926496293</v>
      </c>
      <c r="Q141" s="1043"/>
      <c r="R141" s="539">
        <f ca="1">IF('Tinh phi QL'!$H$9="Nam",VLOOKUP(VTLCOI!$I$14,VTLCOI!$D$3:$F$103,2,0)*S141/1000/12,IF('Tinh phi QL'!$H$9="Nữ",VLOOKUP(VTLCOI!$I$14,VTLCOI!$D$3:$F$103,3,0)*S141/1000/12,0))</f>
        <v>204.4015910995272</v>
      </c>
      <c r="S141" s="541">
        <f t="shared" ca="1" si="31"/>
        <v>896498.20657687355</v>
      </c>
      <c r="T141" s="544">
        <f ca="1">(T140-O141-P141)*(1+VTL20namcamket!$V$3)</f>
        <v>86708.37876457267</v>
      </c>
      <c r="U141" s="1044"/>
      <c r="V141" s="542">
        <f ca="1">(V140-O141-R141)*(1+VTL20namMH!$P$3)</f>
        <v>103625.02884842762</v>
      </c>
    </row>
    <row r="142" spans="11:22" ht="9.75" customHeight="1">
      <c r="K142" s="1043"/>
      <c r="L142" s="1045"/>
      <c r="M142" s="262">
        <v>140</v>
      </c>
      <c r="N142" s="540">
        <f t="shared" ca="1" si="34"/>
        <v>913291.62123542733</v>
      </c>
      <c r="O142" s="538">
        <f ca="1">VTL20namcamket!F143</f>
        <v>60</v>
      </c>
      <c r="P142" s="541">
        <f ca="1">IF('Tinh phi QL'!$H$9="Nam",VLOOKUP(VTLCOI!$I$14,VTLCOI!$D$3:$F$103,2,0)*N142/1000/12,IF('Tinh phi QL'!$H$9="Nữ",VLOOKUP(VTLCOI!$I$14,VTLCOI!$D$3:$F$103,3,0)*N142/1000/12,0))</f>
        <v>208.23048964167742</v>
      </c>
      <c r="Q142" s="1043"/>
      <c r="R142" s="539">
        <f ca="1">IF('Tinh phi QL'!$H$9="Nam",VLOOKUP(VTLCOI!$I$14,VTLCOI!$D$3:$F$103,2,0)*S142/1000/12,IF('Tinh phi QL'!$H$9="Nữ",VLOOKUP(VTLCOI!$I$14,VTLCOI!$D$3:$F$103,3,0)*S142/1000/12,0))</f>
        <v>204.37349342255854</v>
      </c>
      <c r="S142" s="541">
        <f t="shared" ca="1" si="31"/>
        <v>896374.97115157242</v>
      </c>
      <c r="T142" s="544">
        <f ca="1">(T141-O142-P142)*(1+VTL20namcamket!$V$3)</f>
        <v>86511.85367253478</v>
      </c>
      <c r="U142" s="1044"/>
      <c r="V142" s="542">
        <f ca="1">(V141-O142-R142)*(1+VTL20namMH!$P$3)</f>
        <v>103748.75520278329</v>
      </c>
    </row>
    <row r="143" spans="11:22" ht="9.75" customHeight="1">
      <c r="K143" s="1043"/>
      <c r="L143" s="1045"/>
      <c r="M143" s="262">
        <v>141</v>
      </c>
      <c r="N143" s="540">
        <f t="shared" ca="1" si="34"/>
        <v>913488.14632746519</v>
      </c>
      <c r="O143" s="538">
        <f ca="1">VTL20namcamket!F144</f>
        <v>60</v>
      </c>
      <c r="P143" s="541">
        <f ca="1">IF('Tinh phi QL'!$H$9="Nam",VLOOKUP(VTLCOI!$I$14,VTLCOI!$D$3:$F$103,2,0)*N143/1000/12,IF('Tinh phi QL'!$H$9="Nữ",VLOOKUP(VTLCOI!$I$14,VTLCOI!$D$3:$F$103,3,0)*N143/1000/12,0))</f>
        <v>208.27529736266206</v>
      </c>
      <c r="Q143" s="1043"/>
      <c r="R143" s="539">
        <f ca="1">IF('Tinh phi QL'!$H$9="Nam",VLOOKUP(VTLCOI!$I$14,VTLCOI!$D$3:$F$103,2,0)*S143/1000/12,IF('Tinh phi QL'!$H$9="Nữ",VLOOKUP(VTLCOI!$I$14,VTLCOI!$D$3:$F$103,3,0)*S143/1000/12,0))</f>
        <v>204.34528381376541</v>
      </c>
      <c r="S143" s="541">
        <f t="shared" ca="1" si="31"/>
        <v>896251.24479721673</v>
      </c>
      <c r="T143" s="544">
        <f ca="1">(T142-O143-P143)*(1+VTL20namcamket!$V$3)</f>
        <v>86315.120710551928</v>
      </c>
      <c r="U143" s="1044"/>
      <c r="V143" s="542">
        <f ca="1">(V142-O143-R143)*(1+VTL20namMH!$P$3)</f>
        <v>103872.97444189199</v>
      </c>
    </row>
    <row r="144" spans="11:22" ht="9.75" customHeight="1">
      <c r="K144" s="1043"/>
      <c r="L144" s="1045"/>
      <c r="M144" s="262">
        <v>142</v>
      </c>
      <c r="N144" s="540">
        <f t="shared" ca="1" si="34"/>
        <v>913684.87928944803</v>
      </c>
      <c r="O144" s="538">
        <f ca="1">VTL20namcamket!F145</f>
        <v>60</v>
      </c>
      <c r="P144" s="541">
        <f ca="1">IF('Tinh phi QL'!$H$9="Nam",VLOOKUP(VTLCOI!$I$14,VTLCOI!$D$3:$F$103,2,0)*N144/1000/12,IF('Tinh phi QL'!$H$9="Nữ",VLOOKUP(VTLCOI!$I$14,VTLCOI!$D$3:$F$103,3,0)*N144/1000/12,0))</f>
        <v>208.32015247799416</v>
      </c>
      <c r="Q144" s="1043"/>
      <c r="R144" s="539">
        <f ca="1">IF('Tinh phi QL'!$H$9="Nam",VLOOKUP(VTLCOI!$I$14,VTLCOI!$D$3:$F$103,2,0)*S144/1000/12,IF('Tinh phi QL'!$H$9="Nữ",VLOOKUP(VTLCOI!$I$14,VTLCOI!$D$3:$F$103,3,0)*S144/1000/12,0))</f>
        <v>204.31696182724863</v>
      </c>
      <c r="S144" s="541">
        <f t="shared" ca="1" si="31"/>
        <v>896127.025558108</v>
      </c>
      <c r="T144" s="544">
        <f ca="1">(T143-O144-P144)*(1+VTL20namcamket!$V$3)</f>
        <v>86118.179658754409</v>
      </c>
      <c r="U144" s="1044"/>
      <c r="V144" s="542">
        <f ca="1">(V143-O144-R144)*(1+VTL20namMH!$P$3)</f>
        <v>103997.68852924308</v>
      </c>
    </row>
    <row r="145" spans="11:22" ht="9.75" customHeight="1">
      <c r="K145" s="1043"/>
      <c r="L145" s="1045"/>
      <c r="M145" s="262">
        <v>143</v>
      </c>
      <c r="N145" s="540">
        <f t="shared" ca="1" si="34"/>
        <v>913881.82034124562</v>
      </c>
      <c r="O145" s="538">
        <f ca="1">VTL20namcamket!F146</f>
        <v>60</v>
      </c>
      <c r="P145" s="541">
        <f ca="1">IF('Tinh phi QL'!$H$9="Nam",VLOOKUP(VTLCOI!$I$14,VTLCOI!$D$3:$F$103,2,0)*N145/1000/12,IF('Tinh phi QL'!$H$9="Nữ",VLOOKUP(VTLCOI!$I$14,VTLCOI!$D$3:$F$103,3,0)*N145/1000/12,0))</f>
        <v>208.36505503780404</v>
      </c>
      <c r="Q145" s="1043"/>
      <c r="R145" s="539">
        <f ca="1">IF('Tinh phi QL'!$H$9="Nam",VLOOKUP(VTLCOI!$I$14,VTLCOI!$D$3:$F$103,2,0)*S145/1000/12,IF('Tinh phi QL'!$H$9="Nữ",VLOOKUP(VTLCOI!$I$14,VTLCOI!$D$3:$F$103,3,0)*S145/1000/12,0))</f>
        <v>204.28852701533262</v>
      </c>
      <c r="S145" s="541">
        <f t="shared" ca="1" si="31"/>
        <v>896002.31147075689</v>
      </c>
      <c r="T145" s="544">
        <f ca="1">(T144-O145-P145)*(1+VTL20namcamket!$V$3)</f>
        <v>85921.030297039935</v>
      </c>
      <c r="U145" s="1044"/>
      <c r="V145" s="542">
        <f ca="1">(V144-O145-R145)*(1+VTL20namMH!$P$3)</f>
        <v>104122.89943614781</v>
      </c>
    </row>
    <row r="146" spans="11:22" ht="9.75" customHeight="1">
      <c r="K146" s="1043"/>
      <c r="L146" s="1045"/>
      <c r="M146" s="262">
        <v>144</v>
      </c>
      <c r="N146" s="540">
        <f t="shared" ca="1" si="34"/>
        <v>914078.96970296011</v>
      </c>
      <c r="O146" s="538">
        <f ca="1">VTL20namcamket!F147</f>
        <v>60</v>
      </c>
      <c r="P146" s="541">
        <f ca="1">IF('Tinh phi QL'!$H$9="Nam",VLOOKUP(VTLCOI!$I$14,VTLCOI!$D$3:$F$103,2,0)*N146/1000/12,IF('Tinh phi QL'!$H$9="Nữ",VLOOKUP(VTLCOI!$I$14,VTLCOI!$D$3:$F$103,3,0)*N146/1000/12,0))</f>
        <v>208.4100050922749</v>
      </c>
      <c r="Q146" s="1043"/>
      <c r="R146" s="539">
        <f ca="1">IF('Tinh phi QL'!$H$9="Nam",VLOOKUP(VTLCOI!$I$14,VTLCOI!$D$3:$F$103,2,0)*S146/1000/12,IF('Tinh phi QL'!$H$9="Nữ",VLOOKUP(VTLCOI!$I$14,VTLCOI!$D$3:$F$103,3,0)*S146/1000/12,0))</f>
        <v>204.25997892855833</v>
      </c>
      <c r="S146" s="541">
        <f t="shared" ca="1" si="31"/>
        <v>895877.10056385223</v>
      </c>
      <c r="T146" s="545">
        <f ca="1">(T145-O146-P146)*(1+VTL20namcamket!$V$3)+Q135</f>
        <v>86023.672405073448</v>
      </c>
      <c r="U146" s="1044"/>
      <c r="V146" s="543">
        <f ca="1">(V145-O146-R146)*(1+VTL20namMH!$P$3)+U135</f>
        <v>104548.60914177049</v>
      </c>
    </row>
    <row r="147" spans="11:22" ht="9.75" customHeight="1">
      <c r="K147" s="1045">
        <f>K135+1</f>
        <v>13</v>
      </c>
      <c r="L147" s="1045">
        <f t="shared" ref="L147" ca="1" si="35">L135+1</f>
        <v>42</v>
      </c>
      <c r="M147" s="252">
        <v>145</v>
      </c>
      <c r="N147" s="538">
        <f ca="1">$C$4-T146-VTLGTTKcamket!F19</f>
        <v>903976.32759492658</v>
      </c>
      <c r="O147" s="538">
        <f ca="1">VTL20namcamket!F148</f>
        <v>60</v>
      </c>
      <c r="P147" s="539">
        <f ca="1">IF('Tinh phi QL'!$H$9="Nam",VLOOKUP(VTLCOI!$I$15,VTLCOI!$D$3:$F$103,2,0)*N147/1000/12,IF('Tinh phi QL'!$H$9="Nữ",VLOOKUP(VTLCOI!$I$15,VTLCOI!$D$3:$F$103,3,0)*N147/1000/12,0))</f>
        <v>223.58347835847852</v>
      </c>
      <c r="Q147" s="1043">
        <f t="shared" ref="Q147" si="36">Q135</f>
        <v>300</v>
      </c>
      <c r="R147" s="539">
        <f ca="1">IF('Tinh phi QL'!$H$9="Nam",VLOOKUP(VTLCOI!$I$15,VTLCOI!$D$3:$F$103,2,0)*S147/1000/12,IF('Tinh phi QL'!$H$9="Nữ",VLOOKUP(VTLCOI!$I$15,VTLCOI!$D$3:$F$103,3,0)*S147/1000/12,0))</f>
        <v>219.00164400560212</v>
      </c>
      <c r="S147" s="539">
        <f ca="1">$C$4-V146-VTLGTTKMH!F19</f>
        <v>885451.39085822948</v>
      </c>
      <c r="T147" s="542">
        <f ca="1">(T146+VTLGTTKcamket!F19-O147-P147)*(1+VTL20namcamket!$V$3)</f>
        <v>95819.508979550577</v>
      </c>
      <c r="U147" s="1044">
        <f>Q147</f>
        <v>300</v>
      </c>
      <c r="V147" s="542">
        <f ca="1">(V146+VTLGTTKMH!F19-O147-R147)*(1+VTL20namMH!$P$3)</f>
        <v>114698.66841193227</v>
      </c>
    </row>
    <row r="148" spans="11:22" ht="9.75" customHeight="1">
      <c r="K148" s="1045"/>
      <c r="L148" s="1045"/>
      <c r="M148" s="252">
        <v>146</v>
      </c>
      <c r="N148" s="538">
        <f t="shared" ref="N148:N158" ca="1" si="37">$C$4-T147</f>
        <v>904180.49102044944</v>
      </c>
      <c r="O148" s="538">
        <f ca="1">VTL20namcamket!F149</f>
        <v>60</v>
      </c>
      <c r="P148" s="539">
        <f ca="1">IF('Tinh phi QL'!$H$9="Nam",VLOOKUP(VTLCOI!$I$15,VTLCOI!$D$3:$F$103,2,0)*N148/1000/12,IF('Tinh phi QL'!$H$9="Nữ",VLOOKUP(VTLCOI!$I$15,VTLCOI!$D$3:$F$103,3,0)*N148/1000/12,0))</f>
        <v>223.63397477905781</v>
      </c>
      <c r="Q148" s="1043"/>
      <c r="R148" s="539">
        <f ca="1">IF('Tinh phi QL'!$H$9="Nam",VLOOKUP(VTLCOI!$I$15,VTLCOI!$D$3:$F$103,2,0)*S148/1000/12,IF('Tinh phi QL'!$H$9="Nữ",VLOOKUP(VTLCOI!$I$15,VTLCOI!$D$3:$F$103,3,0)*S148/1000/12,0))</f>
        <v>218.96452934611543</v>
      </c>
      <c r="S148" s="539">
        <f t="shared" ca="1" si="31"/>
        <v>885301.3315880677</v>
      </c>
      <c r="T148" s="542">
        <f ca="1">(T147-O148-P148)*(1+VTL20namcamket!$V$3)</f>
        <v>95615.125654375384</v>
      </c>
      <c r="U148" s="1044"/>
      <c r="V148" s="542">
        <f ca="1">(V147-O148-R148)*(1+VTL20namMH!$P$3)</f>
        <v>114849.32838048763</v>
      </c>
    </row>
    <row r="149" spans="11:22" ht="9.75" customHeight="1">
      <c r="K149" s="1045"/>
      <c r="L149" s="1045"/>
      <c r="M149" s="252">
        <v>147</v>
      </c>
      <c r="N149" s="538">
        <f t="shared" ca="1" si="37"/>
        <v>904384.87434562459</v>
      </c>
      <c r="O149" s="538">
        <f ca="1">VTL20namcamket!F150</f>
        <v>60</v>
      </c>
      <c r="P149" s="539">
        <f ca="1">IF('Tinh phi QL'!$H$9="Nam",VLOOKUP(VTLCOI!$I$15,VTLCOI!$D$3:$F$103,2,0)*N149/1000/12,IF('Tinh phi QL'!$H$9="Nữ",VLOOKUP(VTLCOI!$I$15,VTLCOI!$D$3:$F$103,3,0)*N149/1000/12,0))</f>
        <v>223.68452558815113</v>
      </c>
      <c r="Q149" s="1043"/>
      <c r="R149" s="539">
        <f ca="1">IF('Tinh phi QL'!$H$9="Nam",VLOOKUP(VTLCOI!$I$15,VTLCOI!$D$3:$F$103,2,0)*S149/1000/12,IF('Tinh phi QL'!$H$9="Nữ",VLOOKUP(VTLCOI!$I$15,VTLCOI!$D$3:$F$103,3,0)*S149/1000/12,0))</f>
        <v>218.92726611389276</v>
      </c>
      <c r="S149" s="539">
        <f t="shared" ca="1" si="31"/>
        <v>885150.67161951237</v>
      </c>
      <c r="T149" s="542">
        <f ca="1">(T148-O149-P149)*(1+VTL20namcamket!$V$3)</f>
        <v>95410.522192699107</v>
      </c>
      <c r="U149" s="1044"/>
      <c r="V149" s="542">
        <f ca="1">(V148-O149-R149)*(1+VTL20namMH!$P$3)</f>
        <v>115000.59145207678</v>
      </c>
    </row>
    <row r="150" spans="11:22" ht="9.75" customHeight="1">
      <c r="K150" s="1045"/>
      <c r="L150" s="1045"/>
      <c r="M150" s="252">
        <v>148</v>
      </c>
      <c r="N150" s="538">
        <f t="shared" ca="1" si="37"/>
        <v>904589.47780730086</v>
      </c>
      <c r="O150" s="538">
        <f ca="1">VTL20namcamket!F151</f>
        <v>60</v>
      </c>
      <c r="P150" s="539">
        <f ca="1">IF('Tinh phi QL'!$H$9="Nam",VLOOKUP(VTLCOI!$I$15,VTLCOI!$D$3:$F$103,2,0)*N150/1000/12,IF('Tinh phi QL'!$H$9="Nữ",VLOOKUP(VTLCOI!$I$15,VTLCOI!$D$3:$F$103,3,0)*N150/1000/12,0))</f>
        <v>223.73513084433907</v>
      </c>
      <c r="Q150" s="1043"/>
      <c r="R150" s="539">
        <f ca="1">IF('Tinh phi QL'!$H$9="Nam",VLOOKUP(VTLCOI!$I$15,VTLCOI!$D$3:$F$103,2,0)*S150/1000/12,IF('Tinh phi QL'!$H$9="Nữ",VLOOKUP(VTLCOI!$I$15,VTLCOI!$D$3:$F$103,3,0)*S150/1000/12,0))</f>
        <v>218.88985371418633</v>
      </c>
      <c r="S150" s="539">
        <f t="shared" ca="1" si="31"/>
        <v>884999.4085479232</v>
      </c>
      <c r="T150" s="542">
        <f ca="1">(T149-O150-P150)*(1+VTL20namcamket!$V$3)</f>
        <v>95205.698357417874</v>
      </c>
      <c r="U150" s="1044"/>
      <c r="V150" s="542">
        <f ca="1">(V149-O150-R150)*(1+VTL20namMH!$P$3)</f>
        <v>115152.46004096595</v>
      </c>
    </row>
    <row r="151" spans="11:22" ht="9.75" customHeight="1">
      <c r="K151" s="1045"/>
      <c r="L151" s="1045"/>
      <c r="M151" s="252">
        <v>149</v>
      </c>
      <c r="N151" s="538">
        <f t="shared" ca="1" si="37"/>
        <v>904794.30164258217</v>
      </c>
      <c r="O151" s="538">
        <f ca="1">VTL20namcamket!F152</f>
        <v>60</v>
      </c>
      <c r="P151" s="539">
        <f ca="1">IF('Tinh phi QL'!$H$9="Nam",VLOOKUP(VTLCOI!$I$15,VTLCOI!$D$3:$F$103,2,0)*N151/1000/12,IF('Tinh phi QL'!$H$9="Nữ",VLOOKUP(VTLCOI!$I$15,VTLCOI!$D$3:$F$103,3,0)*N151/1000/12,0))</f>
        <v>223.78579060626532</v>
      </c>
      <c r="Q151" s="1043"/>
      <c r="R151" s="539">
        <f ca="1">IF('Tinh phi QL'!$H$9="Nam",VLOOKUP(VTLCOI!$I$15,VTLCOI!$D$3:$F$103,2,0)*S151/1000/12,IF('Tinh phi QL'!$H$9="Nữ",VLOOKUP(VTLCOI!$I$15,VTLCOI!$D$3:$F$103,3,0)*S151/1000/12,0))</f>
        <v>218.85229154986777</v>
      </c>
      <c r="S151" s="539">
        <f t="shared" ca="1" si="31"/>
        <v>884847.53995903407</v>
      </c>
      <c r="T151" s="542">
        <f ca="1">(T150-O151-P151)*(1+VTL20namcamket!$V$3)</f>
        <v>95000.653911172412</v>
      </c>
      <c r="U151" s="1044"/>
      <c r="V151" s="542">
        <f ca="1">(V150-O151-R151)*(1+VTL20namMH!$P$3)</f>
        <v>115304.9365710858</v>
      </c>
    </row>
    <row r="152" spans="11:22" ht="9.75" customHeight="1">
      <c r="K152" s="1045"/>
      <c r="L152" s="1045"/>
      <c r="M152" s="252">
        <v>150</v>
      </c>
      <c r="N152" s="538">
        <f t="shared" ca="1" si="37"/>
        <v>904999.34608882759</v>
      </c>
      <c r="O152" s="538">
        <f ca="1">VTL20namcamket!F153</f>
        <v>60</v>
      </c>
      <c r="P152" s="539">
        <f ca="1">IF('Tinh phi QL'!$H$9="Nam",VLOOKUP(VTLCOI!$I$15,VTLCOI!$D$3:$F$103,2,0)*N152/1000/12,IF('Tinh phi QL'!$H$9="Nữ",VLOOKUP(VTLCOI!$I$15,VTLCOI!$D$3:$F$103,3,0)*N152/1000/12,0))</f>
        <v>223.8365049326367</v>
      </c>
      <c r="Q152" s="1043"/>
      <c r="R152" s="539">
        <f ca="1">IF('Tinh phi QL'!$H$9="Nam",VLOOKUP(VTLCOI!$I$15,VTLCOI!$D$3:$F$103,2,0)*S152/1000/12,IF('Tinh phi QL'!$H$9="Nữ",VLOOKUP(VTLCOI!$I$15,VTLCOI!$D$3:$F$103,3,0)*S152/1000/12,0))</f>
        <v>218.81457902141813</v>
      </c>
      <c r="S152" s="539">
        <f t="shared" ca="1" si="31"/>
        <v>884695.06342891417</v>
      </c>
      <c r="T152" s="542">
        <f ca="1">(T151-O152-P152)*(1+VTL20namcamket!$V$3)</f>
        <v>94795.388616347816</v>
      </c>
      <c r="U152" s="1044"/>
      <c r="V152" s="542">
        <f ca="1">(V151-O152-R152)*(1+VTL20namMH!$P$3)</f>
        <v>115458.02347607019</v>
      </c>
    </row>
    <row r="153" spans="11:22" ht="9.75" customHeight="1">
      <c r="K153" s="1045"/>
      <c r="L153" s="1045"/>
      <c r="M153" s="252">
        <v>151</v>
      </c>
      <c r="N153" s="538">
        <f t="shared" ca="1" si="37"/>
        <v>905204.6113836522</v>
      </c>
      <c r="O153" s="538">
        <f ca="1">VTL20namcamket!F154</f>
        <v>60</v>
      </c>
      <c r="P153" s="539">
        <f ca="1">IF('Tinh phi QL'!$H$9="Nam",VLOOKUP(VTLCOI!$I$15,VTLCOI!$D$3:$F$103,2,0)*N153/1000/12,IF('Tinh phi QL'!$H$9="Nữ",VLOOKUP(VTLCOI!$I$15,VTLCOI!$D$3:$F$103,3,0)*N153/1000/12,0))</f>
        <v>223.8872738822233</v>
      </c>
      <c r="Q153" s="1043"/>
      <c r="R153" s="539">
        <f ca="1">IF('Tinh phi QL'!$H$9="Nam",VLOOKUP(VTLCOI!$I$15,VTLCOI!$D$3:$F$103,2,0)*S153/1000/12,IF('Tinh phi QL'!$H$9="Nữ",VLOOKUP(VTLCOI!$I$15,VTLCOI!$D$3:$F$103,3,0)*S153/1000/12,0))</f>
        <v>218.77671552691865</v>
      </c>
      <c r="S153" s="539">
        <f t="shared" ca="1" si="31"/>
        <v>884541.97652392986</v>
      </c>
      <c r="T153" s="542">
        <f ca="1">(T152-O153-P153)*(1+VTL20namcamket!$V$3)</f>
        <v>94589.902235073241</v>
      </c>
      <c r="U153" s="1044"/>
      <c r="V153" s="542">
        <f ca="1">(V152-O153-R153)*(1+VTL20namMH!$P$3)</f>
        <v>115611.72319929498</v>
      </c>
    </row>
    <row r="154" spans="11:22" ht="9.75" customHeight="1">
      <c r="K154" s="1045"/>
      <c r="L154" s="1045"/>
      <c r="M154" s="252">
        <v>152</v>
      </c>
      <c r="N154" s="538">
        <f t="shared" ca="1" si="37"/>
        <v>905410.09776492673</v>
      </c>
      <c r="O154" s="538">
        <f ca="1">VTL20namcamket!F155</f>
        <v>60</v>
      </c>
      <c r="P154" s="539">
        <f ca="1">IF('Tinh phi QL'!$H$9="Nam",VLOOKUP(VTLCOI!$I$15,VTLCOI!$D$3:$F$103,2,0)*N154/1000/12,IF('Tinh phi QL'!$H$9="Nữ",VLOOKUP(VTLCOI!$I$15,VTLCOI!$D$3:$F$103,3,0)*N154/1000/12,0))</f>
        <v>223.93809751385854</v>
      </c>
      <c r="Q154" s="1043"/>
      <c r="R154" s="539">
        <f ca="1">IF('Tinh phi QL'!$H$9="Nam",VLOOKUP(VTLCOI!$I$15,VTLCOI!$D$3:$F$103,2,0)*S154/1000/12,IF('Tinh phi QL'!$H$9="Nữ",VLOOKUP(VTLCOI!$I$15,VTLCOI!$D$3:$F$103,3,0)*S154/1000/12,0))</f>
        <v>218.73870046204104</v>
      </c>
      <c r="S154" s="539">
        <f t="shared" ca="1" si="31"/>
        <v>884388.276800705</v>
      </c>
      <c r="T154" s="542">
        <f ca="1">(T153-O154-P154)*(1+VTL20namcamket!$V$3)</f>
        <v>94384.194529221641</v>
      </c>
      <c r="U154" s="1044"/>
      <c r="V154" s="542">
        <f ca="1">(V153-O154-R154)*(1+VTL20namMH!$P$3)</f>
        <v>115766.03819391711</v>
      </c>
    </row>
    <row r="155" spans="11:22" ht="9.75" customHeight="1">
      <c r="K155" s="1045"/>
      <c r="L155" s="1045"/>
      <c r="M155" s="252">
        <v>153</v>
      </c>
      <c r="N155" s="538">
        <f t="shared" ca="1" si="37"/>
        <v>905615.80547077837</v>
      </c>
      <c r="O155" s="538">
        <f ca="1">VTL20namcamket!F156</f>
        <v>60</v>
      </c>
      <c r="P155" s="539">
        <f ca="1">IF('Tinh phi QL'!$H$9="Nam",VLOOKUP(VTLCOI!$I$15,VTLCOI!$D$3:$F$103,2,0)*N155/1000/12,IF('Tinh phi QL'!$H$9="Nữ",VLOOKUP(VTLCOI!$I$15,VTLCOI!$D$3:$F$103,3,0)*N155/1000/12,0))</f>
        <v>223.98897588643919</v>
      </c>
      <c r="Q155" s="1043"/>
      <c r="R155" s="539">
        <f ca="1">IF('Tinh phi QL'!$H$9="Nam",VLOOKUP(VTLCOI!$I$15,VTLCOI!$D$3:$F$103,2,0)*S155/1000/12,IF('Tinh phi QL'!$H$9="Nữ",VLOOKUP(VTLCOI!$I$15,VTLCOI!$D$3:$F$103,3,0)*S155/1000/12,0))</f>
        <v>218.70053322003784</v>
      </c>
      <c r="S155" s="539">
        <f t="shared" ca="1" si="31"/>
        <v>884233.96180608287</v>
      </c>
      <c r="T155" s="542">
        <f ca="1">(T154-O155-P155)*(1+VTL20namcamket!$V$3)</f>
        <v>94178.265260409491</v>
      </c>
      <c r="U155" s="1044"/>
      <c r="V155" s="542">
        <f ca="1">(V154-O155-R155)*(1+VTL20namMH!$P$3)</f>
        <v>115920.97092291359</v>
      </c>
    </row>
    <row r="156" spans="11:22" ht="9.75" customHeight="1">
      <c r="K156" s="1045"/>
      <c r="L156" s="1045"/>
      <c r="M156" s="252">
        <v>154</v>
      </c>
      <c r="N156" s="538">
        <f t="shared" ca="1" si="37"/>
        <v>905821.73473959055</v>
      </c>
      <c r="O156" s="538">
        <f ca="1">VTL20namcamket!F157</f>
        <v>60</v>
      </c>
      <c r="P156" s="539">
        <f ca="1">IF('Tinh phi QL'!$H$9="Nam",VLOOKUP(VTLCOI!$I$15,VTLCOI!$D$3:$F$103,2,0)*N156/1000/12,IF('Tinh phi QL'!$H$9="Nữ",VLOOKUP(VTLCOI!$I$15,VTLCOI!$D$3:$F$103,3,0)*N156/1000/12,0))</f>
        <v>224.03990905892536</v>
      </c>
      <c r="Q156" s="1043"/>
      <c r="R156" s="539">
        <f ca="1">IF('Tinh phi QL'!$H$9="Nam",VLOOKUP(VTLCOI!$I$15,VTLCOI!$D$3:$F$103,2,0)*S156/1000/12,IF('Tinh phi QL'!$H$9="Nữ",VLOOKUP(VTLCOI!$I$15,VTLCOI!$D$3:$F$103,3,0)*S156/1000/12,0))</f>
        <v>218.66221319173269</v>
      </c>
      <c r="S156" s="539">
        <f t="shared" ca="1" si="31"/>
        <v>884079.02907708636</v>
      </c>
      <c r="T156" s="542">
        <f ca="1">(T155-O156-P156)*(1+VTL20namcamket!$V$3)</f>
        <v>93972.11418999653</v>
      </c>
      <c r="U156" s="1044"/>
      <c r="V156" s="542">
        <f ca="1">(V155-O156-R156)*(1+VTL20namMH!$P$3)</f>
        <v>116076.52385912098</v>
      </c>
    </row>
    <row r="157" spans="11:22" ht="9.75" customHeight="1">
      <c r="K157" s="1045"/>
      <c r="L157" s="1045"/>
      <c r="M157" s="252">
        <v>155</v>
      </c>
      <c r="N157" s="538">
        <f t="shared" ca="1" si="37"/>
        <v>906027.8858100035</v>
      </c>
      <c r="O157" s="538">
        <f ca="1">VTL20namcamket!F158</f>
        <v>60</v>
      </c>
      <c r="P157" s="539">
        <f ca="1">IF('Tinh phi QL'!$H$9="Nam",VLOOKUP(VTLCOI!$I$15,VTLCOI!$D$3:$F$103,2,0)*N157/1000/12,IF('Tinh phi QL'!$H$9="Nữ",VLOOKUP(VTLCOI!$I$15,VTLCOI!$D$3:$F$103,3,0)*N157/1000/12,0))</f>
        <v>224.09089709034083</v>
      </c>
      <c r="Q157" s="1043"/>
      <c r="R157" s="539">
        <f ca="1">IF('Tinh phi QL'!$H$9="Nam",VLOOKUP(VTLCOI!$I$15,VTLCOI!$D$3:$F$103,2,0)*S157/1000/12,IF('Tinh phi QL'!$H$9="Nữ",VLOOKUP(VTLCOI!$I$15,VTLCOI!$D$3:$F$103,3,0)*S157/1000/12,0))</f>
        <v>218.62373976551075</v>
      </c>
      <c r="S157" s="539">
        <f t="shared" ca="1" si="31"/>
        <v>883923.47614087898</v>
      </c>
      <c r="T157" s="542">
        <f ca="1">(T156-O157-P157)*(1+VTL20namcamket!$V$3)</f>
        <v>93765.741079085405</v>
      </c>
      <c r="U157" s="1044"/>
      <c r="V157" s="542">
        <f ca="1">(V156-O157-R157)*(1+VTL20namMH!$P$3)</f>
        <v>116232.69948527477</v>
      </c>
    </row>
    <row r="158" spans="11:22" ht="9.75" customHeight="1">
      <c r="K158" s="1045"/>
      <c r="L158" s="1045"/>
      <c r="M158" s="252">
        <v>156</v>
      </c>
      <c r="N158" s="538">
        <f t="shared" ca="1" si="37"/>
        <v>906234.25892091461</v>
      </c>
      <c r="O158" s="538">
        <f ca="1">VTL20namcamket!F159</f>
        <v>60</v>
      </c>
      <c r="P158" s="539">
        <f ca="1">IF('Tinh phi QL'!$H$9="Nam",VLOOKUP(VTLCOI!$I$15,VTLCOI!$D$3:$F$103,2,0)*N158/1000/12,IF('Tinh phi QL'!$H$9="Nữ",VLOOKUP(VTLCOI!$I$15,VTLCOI!$D$3:$F$103,3,0)*N158/1000/12,0))</f>
        <v>224.14194003977289</v>
      </c>
      <c r="Q158" s="1043"/>
      <c r="R158" s="539">
        <f ca="1">IF('Tinh phi QL'!$H$9="Nam",VLOOKUP(VTLCOI!$I$15,VTLCOI!$D$3:$F$103,2,0)*S158/1000/12,IF('Tinh phi QL'!$H$9="Nữ",VLOOKUP(VTLCOI!$I$15,VTLCOI!$D$3:$F$103,3,0)*S158/1000/12,0))</f>
        <v>218.58511232730871</v>
      </c>
      <c r="S158" s="539">
        <f t="shared" ca="1" si="31"/>
        <v>883767.30051472527</v>
      </c>
      <c r="T158" s="543">
        <f ca="1">(T157-O158-P158)*(1+VTL20namcamket!$V$3)+Q147</f>
        <v>93859.145688521501</v>
      </c>
      <c r="U158" s="1044"/>
      <c r="V158" s="543">
        <f ca="1">(V157-O158-R158)*(1+VTL20namMH!$P$3)+U147</f>
        <v>116689.50029404902</v>
      </c>
    </row>
    <row r="159" spans="11:22" ht="9.75" customHeight="1">
      <c r="K159" s="1043">
        <f>K147+1</f>
        <v>14</v>
      </c>
      <c r="L159" s="1045">
        <f t="shared" ref="L159" ca="1" si="38">L147+1</f>
        <v>43</v>
      </c>
      <c r="M159" s="262">
        <v>157</v>
      </c>
      <c r="N159" s="540">
        <f ca="1">$C$4-T158-VTLGTTKcamket!F20</f>
        <v>896140.85431147856</v>
      </c>
      <c r="O159" s="538">
        <f ca="1">VTL20namcamket!F160</f>
        <v>60</v>
      </c>
      <c r="P159" s="541">
        <f ca="1">IF('Tinh phi QL'!$H$9="Nam",VLOOKUP(VTLCOI!$I$16,VTLCOI!$D$3:$F$103,2,0)*N159/1000/12,IF('Tinh phi QL'!$H$9="Nữ",VLOOKUP(VTLCOI!$I$16,VTLCOI!$D$3:$F$103,3,0)*N159/1000/12,0))</f>
        <v>240.76317619168393</v>
      </c>
      <c r="Q159" s="1043">
        <f t="shared" ref="Q159" si="39">Q147</f>
        <v>300</v>
      </c>
      <c r="R159" s="539">
        <f ca="1">IF('Tinh phi QL'!$H$9="Nam",VLOOKUP(VTLCOI!$I$16,VTLCOI!$D$3:$F$103,2,0)*S159/1000/12,IF('Tinh phi QL'!$H$9="Nữ",VLOOKUP(VTLCOI!$I$16,VTLCOI!$D$3:$F$103,3,0)*S159/1000/12,0))</f>
        <v>234.62942092099885</v>
      </c>
      <c r="S159" s="541">
        <f ca="1">$C$4-V158-VTLGTTKMH!F20</f>
        <v>873310.49970595096</v>
      </c>
      <c r="T159" s="544">
        <f ca="1">(T158+VTLGTTKcamket!F20-O159-P159)*(1+VTL20namcamket!$V$3)</f>
        <v>103644.28813768383</v>
      </c>
      <c r="U159" s="1044">
        <f>Q159</f>
        <v>300</v>
      </c>
      <c r="V159" s="542">
        <f ca="1">(V158+VTLGTTKMH!F20-O159-R159)*(1+VTL20namMH!$P$3)</f>
        <v>126869.45987391684</v>
      </c>
    </row>
    <row r="160" spans="11:22" ht="9.75" customHeight="1">
      <c r="K160" s="1043"/>
      <c r="L160" s="1045"/>
      <c r="M160" s="262">
        <v>158</v>
      </c>
      <c r="N160" s="540">
        <f t="shared" ref="N160:N170" ca="1" si="40">$C$4-T159</f>
        <v>896355.71186231612</v>
      </c>
      <c r="O160" s="538">
        <f ca="1">VTL20namcamket!F161</f>
        <v>60</v>
      </c>
      <c r="P160" s="541">
        <f ca="1">IF('Tinh phi QL'!$H$9="Nam",VLOOKUP(VTLCOI!$I$16,VTLCOI!$D$3:$F$103,2,0)*N160/1000/12,IF('Tinh phi QL'!$H$9="Nữ",VLOOKUP(VTLCOI!$I$16,VTLCOI!$D$3:$F$103,3,0)*N160/1000/12,0))</f>
        <v>240.82090125367563</v>
      </c>
      <c r="Q160" s="1043"/>
      <c r="R160" s="539">
        <f ca="1">IF('Tinh phi QL'!$H$9="Nam",VLOOKUP(VTLCOI!$I$16,VTLCOI!$D$3:$F$103,2,0)*S160/1000/12,IF('Tinh phi QL'!$H$9="Nữ",VLOOKUP(VTLCOI!$I$16,VTLCOI!$D$3:$F$103,3,0)*S160/1000/12,0))</f>
        <v>234.58107178054104</v>
      </c>
      <c r="S160" s="541">
        <f t="shared" ca="1" si="31"/>
        <v>873130.54012608319</v>
      </c>
      <c r="T160" s="544">
        <f ca="1">(T159-O160-P160)*(1+VTL20namcamket!$V$3)</f>
        <v>103429.19458137146</v>
      </c>
      <c r="U160" s="1044"/>
      <c r="V160" s="542">
        <f ca="1">(V159-O160-R160)*(1+VTL20namMH!$P$3)</f>
        <v>127050.14369888966</v>
      </c>
    </row>
    <row r="161" spans="11:22" ht="9.75" customHeight="1">
      <c r="K161" s="1043"/>
      <c r="L161" s="1045"/>
      <c r="M161" s="262">
        <v>159</v>
      </c>
      <c r="N161" s="540">
        <f t="shared" ca="1" si="40"/>
        <v>896570.8054186285</v>
      </c>
      <c r="O161" s="538">
        <f ca="1">VTL20namcamket!F162</f>
        <v>60</v>
      </c>
      <c r="P161" s="541">
        <f ca="1">IF('Tinh phi QL'!$H$9="Nam",VLOOKUP(VTLCOI!$I$16,VTLCOI!$D$3:$F$103,2,0)*N161/1000/12,IF('Tinh phi QL'!$H$9="Nữ",VLOOKUP(VTLCOI!$I$16,VTLCOI!$D$3:$F$103,3,0)*N161/1000/12,0))</f>
        <v>240.87868972247153</v>
      </c>
      <c r="Q161" s="1043"/>
      <c r="R161" s="539">
        <f ca="1">IF('Tinh phi QL'!$H$9="Nam",VLOOKUP(VTLCOI!$I$16,VTLCOI!$D$3:$F$103,2,0)*S161/1000/12,IF('Tinh phi QL'!$H$9="Nữ",VLOOKUP(VTLCOI!$I$16,VTLCOI!$D$3:$F$103,3,0)*S161/1000/12,0))</f>
        <v>234.53252805956501</v>
      </c>
      <c r="S161" s="541">
        <f t="shared" ca="1" si="31"/>
        <v>872949.85630111035</v>
      </c>
      <c r="T161" s="544">
        <f ca="1">(T160-O161-P161)*(1+VTL20namcamket!$V$3)</f>
        <v>103213.86476034943</v>
      </c>
      <c r="U161" s="1044"/>
      <c r="V161" s="542">
        <f ca="1">(V160-O161-R161)*(1+VTL20namMH!$P$3)</f>
        <v>127231.55468368295</v>
      </c>
    </row>
    <row r="162" spans="11:22" ht="9.75" customHeight="1">
      <c r="K162" s="1043"/>
      <c r="L162" s="1045"/>
      <c r="M162" s="262">
        <v>160</v>
      </c>
      <c r="N162" s="540">
        <f t="shared" ca="1" si="40"/>
        <v>896786.13523965061</v>
      </c>
      <c r="O162" s="538">
        <f ca="1">VTL20namcamket!F163</f>
        <v>60</v>
      </c>
      <c r="P162" s="541">
        <f ca="1">IF('Tinh phi QL'!$H$9="Nam",VLOOKUP(VTLCOI!$I$16,VTLCOI!$D$3:$F$103,2,0)*N162/1000/12,IF('Tinh phi QL'!$H$9="Nữ",VLOOKUP(VTLCOI!$I$16,VTLCOI!$D$3:$F$103,3,0)*N162/1000/12,0))</f>
        <v>240.93654166771947</v>
      </c>
      <c r="Q162" s="1043"/>
      <c r="R162" s="539">
        <f ca="1">IF('Tinh phi QL'!$H$9="Nam",VLOOKUP(VTLCOI!$I$16,VTLCOI!$D$3:$F$103,2,0)*S162/1000/12,IF('Tinh phi QL'!$H$9="Nữ",VLOOKUP(VTLCOI!$I$16,VTLCOI!$D$3:$F$103,3,0)*S162/1000/12,0))</f>
        <v>234.48378897498387</v>
      </c>
      <c r="S162" s="541">
        <f t="shared" ca="1" si="31"/>
        <v>872768.44531631703</v>
      </c>
      <c r="T162" s="544">
        <f ca="1">(T161-O162-P162)*(1+VTL20namcamket!$V$3)</f>
        <v>102998.29841509808</v>
      </c>
      <c r="U162" s="1044"/>
      <c r="V162" s="542">
        <f ca="1">(V161-O162-R162)*(1+VTL20namMH!$P$3)</f>
        <v>127413.69575474241</v>
      </c>
    </row>
    <row r="163" spans="11:22" ht="9.75" customHeight="1">
      <c r="K163" s="1043"/>
      <c r="L163" s="1045"/>
      <c r="M163" s="262">
        <v>161</v>
      </c>
      <c r="N163" s="540">
        <f t="shared" ca="1" si="40"/>
        <v>897001.70158490189</v>
      </c>
      <c r="O163" s="538">
        <f ca="1">VTL20namcamket!F164</f>
        <v>60</v>
      </c>
      <c r="P163" s="541">
        <f ca="1">IF('Tinh phi QL'!$H$9="Nam",VLOOKUP(VTLCOI!$I$16,VTLCOI!$D$3:$F$103,2,0)*N163/1000/12,IF('Tinh phi QL'!$H$9="Nữ",VLOOKUP(VTLCOI!$I$16,VTLCOI!$D$3:$F$103,3,0)*N163/1000/12,0))</f>
        <v>240.99445715914362</v>
      </c>
      <c r="Q163" s="1043"/>
      <c r="R163" s="539">
        <f ca="1">IF('Tinh phi QL'!$H$9="Nam",VLOOKUP(VTLCOI!$I$16,VTLCOI!$D$3:$F$103,2,0)*S163/1000/12,IF('Tinh phi QL'!$H$9="Nữ",VLOOKUP(VTLCOI!$I$16,VTLCOI!$D$3:$F$103,3,0)*S163/1000/12,0))</f>
        <v>234.43485374055922</v>
      </c>
      <c r="S163" s="541">
        <f t="shared" ca="1" si="31"/>
        <v>872586.30424525763</v>
      </c>
      <c r="T163" s="544">
        <f ca="1">(T162-O163-P163)*(1+VTL20namcamket!$V$3)</f>
        <v>102782.49528581263</v>
      </c>
      <c r="U163" s="1044"/>
      <c r="V163" s="542">
        <f ca="1">(V162-O163-R163)*(1+VTL20namMH!$P$3)</f>
        <v>127596.56985029123</v>
      </c>
    </row>
    <row r="164" spans="11:22" ht="9.75" customHeight="1">
      <c r="K164" s="1043"/>
      <c r="L164" s="1045"/>
      <c r="M164" s="262">
        <v>162</v>
      </c>
      <c r="N164" s="540">
        <f t="shared" ca="1" si="40"/>
        <v>897217.50471418735</v>
      </c>
      <c r="O164" s="538">
        <f ca="1">VTL20namcamket!F165</f>
        <v>60</v>
      </c>
      <c r="P164" s="541">
        <f ca="1">IF('Tinh phi QL'!$H$9="Nam",VLOOKUP(VTLCOI!$I$16,VTLCOI!$D$3:$F$103,2,0)*N164/1000/12,IF('Tinh phi QL'!$H$9="Nữ",VLOOKUP(VTLCOI!$I$16,VTLCOI!$D$3:$F$103,3,0)*N164/1000/12,0))</f>
        <v>241.05243626654502</v>
      </c>
      <c r="Q164" s="1043"/>
      <c r="R164" s="539">
        <f ca="1">IF('Tinh phi QL'!$H$9="Nam",VLOOKUP(VTLCOI!$I$16,VTLCOI!$D$3:$F$103,2,0)*S164/1000/12,IF('Tinh phi QL'!$H$9="Nữ",VLOOKUP(VTLCOI!$I$16,VTLCOI!$D$3:$F$103,3,0)*S164/1000/12,0))</f>
        <v>234.38572156688841</v>
      </c>
      <c r="S164" s="541">
        <f t="shared" ca="1" si="31"/>
        <v>872403.43014970876</v>
      </c>
      <c r="T164" s="544">
        <f ca="1">(T163-O164-P164)*(1+VTL20namcamket!$V$3)</f>
        <v>102566.45511240298</v>
      </c>
      <c r="U164" s="1044"/>
      <c r="V164" s="542">
        <f ca="1">(V163-O164-R164)*(1+VTL20namMH!$P$3)</f>
        <v>127780.17992037738</v>
      </c>
    </row>
    <row r="165" spans="11:22" ht="9.75" customHeight="1">
      <c r="K165" s="1043"/>
      <c r="L165" s="1045"/>
      <c r="M165" s="262">
        <v>163</v>
      </c>
      <c r="N165" s="540">
        <f t="shared" ca="1" si="40"/>
        <v>897433.54488759697</v>
      </c>
      <c r="O165" s="538">
        <f ca="1">VTL20namcamket!F166</f>
        <v>60</v>
      </c>
      <c r="P165" s="541">
        <f ca="1">IF('Tinh phi QL'!$H$9="Nam",VLOOKUP(VTLCOI!$I$16,VTLCOI!$D$3:$F$103,2,0)*N165/1000/12,IF('Tinh phi QL'!$H$9="Nữ",VLOOKUP(VTLCOI!$I$16,VTLCOI!$D$3:$F$103,3,0)*N165/1000/12,0))</f>
        <v>241.11047905980107</v>
      </c>
      <c r="Q165" s="1043"/>
      <c r="R165" s="539">
        <f ca="1">IF('Tinh phi QL'!$H$9="Nam",VLOOKUP(VTLCOI!$I$16,VTLCOI!$D$3:$F$103,2,0)*S165/1000/12,IF('Tinh phi QL'!$H$9="Nữ",VLOOKUP(VTLCOI!$I$16,VTLCOI!$D$3:$F$103,3,0)*S165/1000/12,0))</f>
        <v>234.33639166139196</v>
      </c>
      <c r="S165" s="541">
        <f t="shared" ca="1" si="31"/>
        <v>872219.82007962256</v>
      </c>
      <c r="T165" s="544">
        <f ca="1">(T164-O165-P165)*(1+VTL20namcamket!$V$3)</f>
        <v>102350.17763449329</v>
      </c>
      <c r="U165" s="1044"/>
      <c r="V165" s="542">
        <f ca="1">(V164-O165-R165)*(1+VTL20namMH!$P$3)</f>
        <v>127964.52892692131</v>
      </c>
    </row>
    <row r="166" spans="11:22" ht="9.75" customHeight="1">
      <c r="K166" s="1043"/>
      <c r="L166" s="1045"/>
      <c r="M166" s="262">
        <v>164</v>
      </c>
      <c r="N166" s="540">
        <f t="shared" ca="1" si="40"/>
        <v>897649.82236550667</v>
      </c>
      <c r="O166" s="538">
        <f ca="1">VTL20namcamket!F167</f>
        <v>60</v>
      </c>
      <c r="P166" s="541">
        <f ca="1">IF('Tinh phi QL'!$H$9="Nam",VLOOKUP(VTLCOI!$I$16,VTLCOI!$D$3:$F$103,2,0)*N166/1000/12,IF('Tinh phi QL'!$H$9="Nữ",VLOOKUP(VTLCOI!$I$16,VTLCOI!$D$3:$F$103,3,0)*N166/1000/12,0))</f>
        <v>241.16858560886615</v>
      </c>
      <c r="Q166" s="1043"/>
      <c r="R166" s="539">
        <f ca="1">IF('Tinh phi QL'!$H$9="Nam",VLOOKUP(VTLCOI!$I$16,VTLCOI!$D$3:$F$103,2,0)*S166/1000/12,IF('Tinh phi QL'!$H$9="Nữ",VLOOKUP(VTLCOI!$I$16,VTLCOI!$D$3:$F$103,3,0)*S166/1000/12,0))</f>
        <v>234.28686322830046</v>
      </c>
      <c r="S166" s="541">
        <f t="shared" ca="1" si="31"/>
        <v>872035.47107307869</v>
      </c>
      <c r="T166" s="544">
        <f ca="1">(T165-O166-P166)*(1+VTL20namcamket!$V$3)</f>
        <v>102133.66259142171</v>
      </c>
      <c r="U166" s="1044"/>
      <c r="V166" s="542">
        <f ca="1">(V165-O166-R166)*(1+VTL20namMH!$P$3)</f>
        <v>128149.61984376363</v>
      </c>
    </row>
    <row r="167" spans="11:22" ht="9.75" customHeight="1">
      <c r="K167" s="1043"/>
      <c r="L167" s="1045"/>
      <c r="M167" s="262">
        <v>165</v>
      </c>
      <c r="N167" s="540">
        <f t="shared" ca="1" si="40"/>
        <v>897866.33740857826</v>
      </c>
      <c r="O167" s="538">
        <f ca="1">VTL20namcamket!F168</f>
        <v>60</v>
      </c>
      <c r="P167" s="541">
        <f ca="1">IF('Tinh phi QL'!$H$9="Nam",VLOOKUP(VTLCOI!$I$16,VTLCOI!$D$3:$F$103,2,0)*N167/1000/12,IF('Tinh phi QL'!$H$9="Nữ",VLOOKUP(VTLCOI!$I$16,VTLCOI!$D$3:$F$103,3,0)*N167/1000/12,0))</f>
        <v>241.22675598377137</v>
      </c>
      <c r="Q167" s="1043"/>
      <c r="R167" s="539">
        <f ca="1">IF('Tinh phi QL'!$H$9="Nam",VLOOKUP(VTLCOI!$I$16,VTLCOI!$D$3:$F$103,2,0)*S167/1000/12,IF('Tinh phi QL'!$H$9="Nữ",VLOOKUP(VTLCOI!$I$16,VTLCOI!$D$3:$F$103,3,0)*S167/1000/12,0))</f>
        <v>234.23713546864221</v>
      </c>
      <c r="S167" s="541">
        <f t="shared" ca="1" si="31"/>
        <v>871850.38015623635</v>
      </c>
      <c r="T167" s="544">
        <f ca="1">(T166-O167-P167)*(1+VTL20namcamket!$V$3)</f>
        <v>101916.90972224015</v>
      </c>
      <c r="U167" s="1044"/>
      <c r="V167" s="542">
        <f ca="1">(V166-O167-R167)*(1+VTL20namMH!$P$3)</f>
        <v>128335.45565671319</v>
      </c>
    </row>
    <row r="168" spans="11:22" ht="9.75" customHeight="1">
      <c r="K168" s="1043"/>
      <c r="L168" s="1045"/>
      <c r="M168" s="262">
        <v>166</v>
      </c>
      <c r="N168" s="540">
        <f t="shared" ca="1" si="40"/>
        <v>898083.09027775982</v>
      </c>
      <c r="O168" s="538">
        <f ca="1">VTL20namcamket!F169</f>
        <v>60</v>
      </c>
      <c r="P168" s="541">
        <f ca="1">IF('Tinh phi QL'!$H$9="Nam",VLOOKUP(VTLCOI!$I$16,VTLCOI!$D$3:$F$103,2,0)*N168/1000/12,IF('Tinh phi QL'!$H$9="Nữ",VLOOKUP(VTLCOI!$I$16,VTLCOI!$D$3:$F$103,3,0)*N168/1000/12,0))</f>
        <v>241.28499025462483</v>
      </c>
      <c r="Q168" s="1043"/>
      <c r="R168" s="539">
        <f ca="1">IF('Tinh phi QL'!$H$9="Nam",VLOOKUP(VTLCOI!$I$16,VTLCOI!$D$3:$F$103,2,0)*S168/1000/12,IF('Tinh phi QL'!$H$9="Nữ",VLOOKUP(VTLCOI!$I$16,VTLCOI!$D$3:$F$103,3,0)*S168/1000/12,0))</f>
        <v>234.18720758022974</v>
      </c>
      <c r="S168" s="541">
        <f t="shared" ca="1" si="31"/>
        <v>871664.54434328678</v>
      </c>
      <c r="T168" s="544">
        <f ca="1">(T167-O168-P168)*(1+VTL20namcamket!$V$3)</f>
        <v>101699.9187657138</v>
      </c>
      <c r="U168" s="1044"/>
      <c r="V168" s="542">
        <f ca="1">(V167-O168-R168)*(1+VTL20namMH!$P$3)</f>
        <v>128522.03936359518</v>
      </c>
    </row>
    <row r="169" spans="11:22" ht="9.75" customHeight="1">
      <c r="K169" s="1043"/>
      <c r="L169" s="1045"/>
      <c r="M169" s="262">
        <v>167</v>
      </c>
      <c r="N169" s="540">
        <f t="shared" ca="1" si="40"/>
        <v>898300.08123428619</v>
      </c>
      <c r="O169" s="538">
        <f ca="1">VTL20namcamket!F170</f>
        <v>60</v>
      </c>
      <c r="P169" s="541">
        <f ca="1">IF('Tinh phi QL'!$H$9="Nam",VLOOKUP(VTLCOI!$I$16,VTLCOI!$D$3:$F$103,2,0)*N169/1000/12,IF('Tinh phi QL'!$H$9="Nữ",VLOOKUP(VTLCOI!$I$16,VTLCOI!$D$3:$F$103,3,0)*N169/1000/12,0))</f>
        <v>241.34328849161156</v>
      </c>
      <c r="Q169" s="1043"/>
      <c r="R169" s="539">
        <f ca="1">IF('Tinh phi QL'!$H$9="Nam",VLOOKUP(VTLCOI!$I$16,VTLCOI!$D$3:$F$103,2,0)*S169/1000/12,IF('Tinh phi QL'!$H$9="Nữ",VLOOKUP(VTLCOI!$I$16,VTLCOI!$D$3:$F$103,3,0)*S169/1000/12,0))</f>
        <v>234.1370787576474</v>
      </c>
      <c r="S169" s="541">
        <f t="shared" ca="1" si="31"/>
        <v>871477.96063640481</v>
      </c>
      <c r="T169" s="544">
        <f ca="1">(T168-O169-P169)*(1+VTL20namcamket!$V$3)</f>
        <v>101482.68946032095</v>
      </c>
      <c r="U169" s="1044"/>
      <c r="V169" s="542">
        <f ca="1">(V168-O169-R169)*(1+VTL20namMH!$P$3)</f>
        <v>128709.37397429945</v>
      </c>
    </row>
    <row r="170" spans="11:22" ht="9.75" customHeight="1">
      <c r="K170" s="1043"/>
      <c r="L170" s="1045"/>
      <c r="M170" s="262">
        <v>168</v>
      </c>
      <c r="N170" s="540">
        <f t="shared" ca="1" si="40"/>
        <v>898517.31053967902</v>
      </c>
      <c r="O170" s="538">
        <f ca="1">VTL20namcamket!F171</f>
        <v>60</v>
      </c>
      <c r="P170" s="541">
        <f ca="1">IF('Tinh phi QL'!$H$9="Nam",VLOOKUP(VTLCOI!$I$16,VTLCOI!$D$3:$F$103,2,0)*N170/1000/12,IF('Tinh phi QL'!$H$9="Nữ",VLOOKUP(VTLCOI!$I$16,VTLCOI!$D$3:$F$103,3,0)*N170/1000/12,0))</f>
        <v>241.40165076499378</v>
      </c>
      <c r="Q170" s="1043"/>
      <c r="R170" s="539">
        <f ca="1">IF('Tinh phi QL'!$H$9="Nam",VLOOKUP(VTLCOI!$I$16,VTLCOI!$D$3:$F$103,2,0)*S170/1000/12,IF('Tinh phi QL'!$H$9="Nữ",VLOOKUP(VTLCOI!$I$16,VTLCOI!$D$3:$F$103,3,0)*S170/1000/12,0))</f>
        <v>234.08674819223825</v>
      </c>
      <c r="S170" s="541">
        <f t="shared" ca="1" si="31"/>
        <v>871290.62602570059</v>
      </c>
      <c r="T170" s="545">
        <f ca="1">(T169-O170-P170)*(1+VTL20namcamket!$V$3)+Q159</f>
        <v>101565.22154425261</v>
      </c>
      <c r="U170" s="1044"/>
      <c r="V170" s="543">
        <f ca="1">(V169-O170-R170)*(1+VTL20namMH!$P$3)+U159</f>
        <v>129197.46251082919</v>
      </c>
    </row>
    <row r="171" spans="11:22" ht="9.75" customHeight="1">
      <c r="K171" s="1045">
        <f>K159+1</f>
        <v>15</v>
      </c>
      <c r="L171" s="1045">
        <f t="shared" ref="L171" ca="1" si="41">L159+1</f>
        <v>44</v>
      </c>
      <c r="M171" s="252">
        <v>169</v>
      </c>
      <c r="N171" s="538">
        <f ca="1">$C$4-T170-VTLGTTKcamket!F21</f>
        <v>888434.77845574741</v>
      </c>
      <c r="O171" s="538">
        <f ca="1">VTL20namcamket!F172</f>
        <v>60</v>
      </c>
      <c r="P171" s="539">
        <f ca="1">IF('Tinh phi QL'!$H$9="Nam",VLOOKUP(VTLCOI!$I$17,VTLCOI!$D$3:$F$103,2,0)*N171/1000/12,IF('Tinh phi QL'!$H$9="Nữ",VLOOKUP(VTLCOI!$I$17,VTLCOI!$D$3:$F$103,3,0)*N171/1000/12,0))</f>
        <v>258.8306654567744</v>
      </c>
      <c r="Q171" s="1043">
        <f t="shared" ref="Q171" si="42">Q159</f>
        <v>300</v>
      </c>
      <c r="R171" s="539">
        <f ca="1">IF('Tinh phi QL'!$H$9="Nam",VLOOKUP(VTLCOI!$I$17,VTLCOI!$D$3:$F$103,2,0)*S171/1000/12,IF('Tinh phi QL'!$H$9="Nữ",VLOOKUP(VTLCOI!$I$17,VTLCOI!$D$3:$F$103,3,0)*S171/1000/12,0))</f>
        <v>250.78047258851177</v>
      </c>
      <c r="S171" s="539">
        <f ca="1">$C$4-V170-VTLGTTKMH!F21</f>
        <v>860802.53748917079</v>
      </c>
      <c r="T171" s="542">
        <f ca="1">(T170+VTLGTTKcamket!F21-O171-P171)*(1+VTL20namcamket!$V$3)</f>
        <v>111338.67400011324</v>
      </c>
      <c r="U171" s="1044">
        <f>Q171</f>
        <v>300</v>
      </c>
      <c r="V171" s="542">
        <f ca="1">(V170+VTLGTTKMH!F21-O171-R171)*(1+VTL20namMH!$P$3)</f>
        <v>139408.17544375686</v>
      </c>
    </row>
    <row r="172" spans="11:22" ht="9.75" customHeight="1">
      <c r="K172" s="1045"/>
      <c r="L172" s="1045"/>
      <c r="M172" s="252">
        <v>170</v>
      </c>
      <c r="N172" s="538">
        <f t="shared" ref="N172:N182" ca="1" si="43">$C$4-T171</f>
        <v>888661.32599988673</v>
      </c>
      <c r="O172" s="538">
        <f ca="1">VTL20namcamket!F173</f>
        <v>60</v>
      </c>
      <c r="P172" s="539">
        <f ca="1">IF('Tinh phi QL'!$H$9="Nam",VLOOKUP(VTLCOI!$I$17,VTLCOI!$D$3:$F$103,2,0)*N172/1000/12,IF('Tinh phi QL'!$H$9="Nữ",VLOOKUP(VTLCOI!$I$17,VTLCOI!$D$3:$F$103,3,0)*N172/1000/12,0))</f>
        <v>258.896666307967</v>
      </c>
      <c r="Q172" s="1043"/>
      <c r="R172" s="539">
        <f ca="1">IF('Tinh phi QL'!$H$9="Nam",VLOOKUP(VTLCOI!$I$17,VTLCOI!$D$3:$F$103,2,0)*S172/1000/12,IF('Tinh phi QL'!$H$9="Nữ",VLOOKUP(VTLCOI!$I$17,VTLCOI!$D$3:$F$103,3,0)*S172/1000/12,0))</f>
        <v>250.71908488738549</v>
      </c>
      <c r="S172" s="539">
        <f t="shared" ca="1" si="31"/>
        <v>860591.82455624314</v>
      </c>
      <c r="T172" s="542">
        <f ca="1">(T171-O172-P172)*(1+VTL20namcamket!$V$3)</f>
        <v>111111.87247054989</v>
      </c>
      <c r="U172" s="1044"/>
      <c r="V172" s="542">
        <f ca="1">(V171-O172-R172)*(1+VTL20namMH!$P$3)</f>
        <v>139619.74118237221</v>
      </c>
    </row>
    <row r="173" spans="11:22" ht="9.75" customHeight="1">
      <c r="K173" s="1045"/>
      <c r="L173" s="1045"/>
      <c r="M173" s="252">
        <v>171</v>
      </c>
      <c r="N173" s="538">
        <f t="shared" ca="1" si="43"/>
        <v>888888.12752945011</v>
      </c>
      <c r="O173" s="538">
        <f ca="1">VTL20namcamket!F174</f>
        <v>60</v>
      </c>
      <c r="P173" s="539">
        <f ca="1">IF('Tinh phi QL'!$H$9="Nam",VLOOKUP(VTLCOI!$I$17,VTLCOI!$D$3:$F$103,2,0)*N173/1000/12,IF('Tinh phi QL'!$H$9="Nữ",VLOOKUP(VTLCOI!$I$17,VTLCOI!$D$3:$F$103,3,0)*N173/1000/12,0))</f>
        <v>258.96274115357977</v>
      </c>
      <c r="Q173" s="1043"/>
      <c r="R173" s="539">
        <f ca="1">IF('Tinh phi QL'!$H$9="Nam",VLOOKUP(VTLCOI!$I$17,VTLCOI!$D$3:$F$103,2,0)*S173/1000/12,IF('Tinh phi QL'!$H$9="Nữ",VLOOKUP(VTLCOI!$I$17,VTLCOI!$D$3:$F$103,3,0)*S173/1000/12,0))</f>
        <v>250.65744873553558</v>
      </c>
      <c r="S173" s="539">
        <f t="shared" ca="1" si="31"/>
        <v>860380.25881762779</v>
      </c>
      <c r="T173" s="542">
        <f ca="1">(T172-O173-P173)*(1+VTL20namcamket!$V$3)</f>
        <v>110884.81667081616</v>
      </c>
      <c r="U173" s="1044"/>
      <c r="V173" s="542">
        <f ca="1">(V172-O173-R173)*(1+VTL20namMH!$P$3)</f>
        <v>139832.16317818404</v>
      </c>
    </row>
    <row r="174" spans="11:22" ht="9.75" customHeight="1">
      <c r="K174" s="1045"/>
      <c r="L174" s="1045"/>
      <c r="M174" s="252">
        <v>172</v>
      </c>
      <c r="N174" s="538">
        <f t="shared" ca="1" si="43"/>
        <v>889115.18332918384</v>
      </c>
      <c r="O174" s="538">
        <f ca="1">VTL20namcamket!F175</f>
        <v>60</v>
      </c>
      <c r="P174" s="539">
        <f ca="1">IF('Tinh phi QL'!$H$9="Nam",VLOOKUP(VTLCOI!$I$17,VTLCOI!$D$3:$F$103,2,0)*N174/1000/12,IF('Tinh phi QL'!$H$9="Nữ",VLOOKUP(VTLCOI!$I$17,VTLCOI!$D$3:$F$103,3,0)*N174/1000/12,0))</f>
        <v>259.02889007656887</v>
      </c>
      <c r="Q174" s="1043"/>
      <c r="R174" s="539">
        <f ca="1">IF('Tinh phi QL'!$H$9="Nam",VLOOKUP(VTLCOI!$I$17,VTLCOI!$D$3:$F$103,2,0)*S174/1000/12,IF('Tinh phi QL'!$H$9="Nữ",VLOOKUP(VTLCOI!$I$17,VTLCOI!$D$3:$F$103,3,0)*S174/1000/12,0))</f>
        <v>250.59556312742234</v>
      </c>
      <c r="S174" s="539">
        <f t="shared" ca="1" si="31"/>
        <v>860167.83682181593</v>
      </c>
      <c r="T174" s="542">
        <f ca="1">(T173-O174-P174)*(1+VTL20namcamket!$V$3)</f>
        <v>110657.50631584642</v>
      </c>
      <c r="U174" s="1044"/>
      <c r="V174" s="542">
        <f ca="1">(V173-O174-R174)*(1+VTL20namMH!$P$3)</f>
        <v>140045.44489667023</v>
      </c>
    </row>
    <row r="175" spans="11:22" ht="9.75" customHeight="1">
      <c r="K175" s="1045"/>
      <c r="L175" s="1045"/>
      <c r="M175" s="252">
        <v>173</v>
      </c>
      <c r="N175" s="538">
        <f t="shared" ca="1" si="43"/>
        <v>889342.49368415354</v>
      </c>
      <c r="O175" s="538">
        <f ca="1">VTL20namcamket!F176</f>
        <v>60</v>
      </c>
      <c r="P175" s="539">
        <f ca="1">IF('Tinh phi QL'!$H$9="Nam",VLOOKUP(VTLCOI!$I$17,VTLCOI!$D$3:$F$103,2,0)*N175/1000/12,IF('Tinh phi QL'!$H$9="Nữ",VLOOKUP(VTLCOI!$I$17,VTLCOI!$D$3:$F$103,3,0)*N175/1000/12,0))</f>
        <v>259.09511315998338</v>
      </c>
      <c r="Q175" s="1043"/>
      <c r="R175" s="539">
        <f ca="1">IF('Tinh phi QL'!$H$9="Nam",VLOOKUP(VTLCOI!$I$17,VTLCOI!$D$3:$F$103,2,0)*S175/1000/12,IF('Tinh phi QL'!$H$9="Nữ",VLOOKUP(VTLCOI!$I$17,VTLCOI!$D$3:$F$103,3,0)*S175/1000/12,0))</f>
        <v>250.53342705343672</v>
      </c>
      <c r="S175" s="539">
        <f t="shared" ca="1" si="31"/>
        <v>859954.55510332971</v>
      </c>
      <c r="T175" s="542">
        <f ca="1">(T174-O175-P175)*(1+VTL20namcamket!$V$3)</f>
        <v>110429.94112025546</v>
      </c>
      <c r="U175" s="1044"/>
      <c r="V175" s="542">
        <f ca="1">(V174-O175-R175)*(1+VTL20namMH!$P$3)</f>
        <v>140259.58981733432</v>
      </c>
    </row>
    <row r="176" spans="11:22" ht="9.75" customHeight="1">
      <c r="K176" s="1045"/>
      <c r="L176" s="1045"/>
      <c r="M176" s="252">
        <v>174</v>
      </c>
      <c r="N176" s="538">
        <f t="shared" ca="1" si="43"/>
        <v>889570.05887974449</v>
      </c>
      <c r="O176" s="538">
        <f ca="1">VTL20namcamket!F177</f>
        <v>60</v>
      </c>
      <c r="P176" s="539">
        <f ca="1">IF('Tinh phi QL'!$H$9="Nam",VLOOKUP(VTLCOI!$I$17,VTLCOI!$D$3:$F$103,2,0)*N176/1000/12,IF('Tinh phi QL'!$H$9="Nữ",VLOOKUP(VTLCOI!$I$17,VTLCOI!$D$3:$F$103,3,0)*N176/1000/12,0))</f>
        <v>259.16141048696556</v>
      </c>
      <c r="Q176" s="1043"/>
      <c r="R176" s="539">
        <f ca="1">IF('Tinh phi QL'!$H$9="Nam",VLOOKUP(VTLCOI!$I$17,VTLCOI!$D$3:$F$103,2,0)*S176/1000/12,IF('Tinh phi QL'!$H$9="Nữ",VLOOKUP(VTLCOI!$I$17,VTLCOI!$D$3:$F$103,3,0)*S176/1000/12,0))</f>
        <v>250.47103949988329</v>
      </c>
      <c r="S176" s="539">
        <f t="shared" ca="1" si="31"/>
        <v>859740.41018266568</v>
      </c>
      <c r="T176" s="542">
        <f ca="1">(T175-O176-P176)*(1+VTL20namcamket!$V$3)</f>
        <v>110202.12079833812</v>
      </c>
      <c r="U176" s="1044"/>
      <c r="V176" s="542">
        <f ca="1">(V175-O176-R176)*(1+VTL20namMH!$P$3)</f>
        <v>140474.60143376212</v>
      </c>
    </row>
    <row r="177" spans="11:22" ht="9.75" customHeight="1">
      <c r="K177" s="1045"/>
      <c r="L177" s="1045"/>
      <c r="M177" s="252">
        <v>175</v>
      </c>
      <c r="N177" s="538">
        <f t="shared" ca="1" si="43"/>
        <v>889797.87920166191</v>
      </c>
      <c r="O177" s="538">
        <f ca="1">VTL20namcamket!F178</f>
        <v>60</v>
      </c>
      <c r="P177" s="539">
        <f ca="1">IF('Tinh phi QL'!$H$9="Nam",VLOOKUP(VTLCOI!$I$17,VTLCOI!$D$3:$F$103,2,0)*N177/1000/12,IF('Tinh phi QL'!$H$9="Nữ",VLOOKUP(VTLCOI!$I$17,VTLCOI!$D$3:$F$103,3,0)*N177/1000/12,0))</f>
        <v>259.22778214075083</v>
      </c>
      <c r="Q177" s="1043"/>
      <c r="R177" s="539">
        <f ca="1">IF('Tinh phi QL'!$H$9="Nam",VLOOKUP(VTLCOI!$I$17,VTLCOI!$D$3:$F$103,2,0)*S177/1000/12,IF('Tinh phi QL'!$H$9="Nữ",VLOOKUP(VTLCOI!$I$17,VTLCOI!$D$3:$F$103,3,0)*S177/1000/12,0))</f>
        <v>250.40839944896399</v>
      </c>
      <c r="S177" s="539">
        <f t="shared" ca="1" si="31"/>
        <v>859525.39856623788</v>
      </c>
      <c r="T177" s="542">
        <f ca="1">(T176-O177-P177)*(1+VTL20namcamket!$V$3)</f>
        <v>109974.04506406892</v>
      </c>
      <c r="U177" s="1044"/>
      <c r="V177" s="542">
        <f ca="1">(V176-O177-R177)*(1+VTL20namMH!$P$3)</f>
        <v>140690.48325367892</v>
      </c>
    </row>
    <row r="178" spans="11:22" ht="9.75" customHeight="1">
      <c r="K178" s="1045"/>
      <c r="L178" s="1045"/>
      <c r="M178" s="252">
        <v>176</v>
      </c>
      <c r="N178" s="538">
        <f t="shared" ca="1" si="43"/>
        <v>890025.95493593113</v>
      </c>
      <c r="O178" s="538">
        <f ca="1">VTL20namcamket!F179</f>
        <v>60</v>
      </c>
      <c r="P178" s="539">
        <f ca="1">IF('Tinh phi QL'!$H$9="Nam",VLOOKUP(VTLCOI!$I$17,VTLCOI!$D$3:$F$103,2,0)*N178/1000/12,IF('Tinh phi QL'!$H$9="Nữ",VLOOKUP(VTLCOI!$I$17,VTLCOI!$D$3:$F$103,3,0)*N178/1000/12,0))</f>
        <v>259.29422820466795</v>
      </c>
      <c r="Q178" s="1043"/>
      <c r="R178" s="539">
        <f ca="1">IF('Tinh phi QL'!$H$9="Nam",VLOOKUP(VTLCOI!$I$17,VTLCOI!$D$3:$F$103,2,0)*S178/1000/12,IF('Tinh phi QL'!$H$9="Nữ",VLOOKUP(VTLCOI!$I$17,VTLCOI!$D$3:$F$103,3,0)*S178/1000/12,0))</f>
        <v>250.34550587876154</v>
      </c>
      <c r="S178" s="539">
        <f t="shared" ca="1" si="31"/>
        <v>859309.51674632111</v>
      </c>
      <c r="T178" s="542">
        <f ca="1">(T177-O178-P178)*(1+VTL20namcamket!$V$3)</f>
        <v>109745.71363110174</v>
      </c>
      <c r="U178" s="1044"/>
      <c r="V178" s="542">
        <f ca="1">(V177-O178-R178)*(1+VTL20namMH!$P$3)</f>
        <v>140907.23879900656</v>
      </c>
    </row>
    <row r="179" spans="11:22" ht="9.75" customHeight="1">
      <c r="K179" s="1045"/>
      <c r="L179" s="1045"/>
      <c r="M179" s="252">
        <v>177</v>
      </c>
      <c r="N179" s="538">
        <f t="shared" ca="1" si="43"/>
        <v>890254.28636889823</v>
      </c>
      <c r="O179" s="538">
        <f ca="1">VTL20namcamket!F180</f>
        <v>60</v>
      </c>
      <c r="P179" s="539">
        <f ca="1">IF('Tinh phi QL'!$H$9="Nam",VLOOKUP(VTLCOI!$I$17,VTLCOI!$D$3:$F$103,2,0)*N179/1000/12,IF('Tinh phi QL'!$H$9="Nữ",VLOOKUP(VTLCOI!$I$17,VTLCOI!$D$3:$F$103,3,0)*N179/1000/12,0))</f>
        <v>259.360748762139</v>
      </c>
      <c r="Q179" s="1043"/>
      <c r="R179" s="539">
        <f ca="1">IF('Tinh phi QL'!$H$9="Nam",VLOOKUP(VTLCOI!$I$17,VTLCOI!$D$3:$F$103,2,0)*S179/1000/12,IF('Tinh phi QL'!$H$9="Nữ",VLOOKUP(VTLCOI!$I$17,VTLCOI!$D$3:$F$103,3,0)*S179/1000/12,0))</f>
        <v>250.28235776322276</v>
      </c>
      <c r="S179" s="539">
        <f t="shared" ca="1" si="31"/>
        <v>859092.76120099344</v>
      </c>
      <c r="T179" s="542">
        <f ca="1">(T178-O179-P179)*(1+VTL20namcamket!$V$3)</f>
        <v>109517.12621276939</v>
      </c>
      <c r="U179" s="1044"/>
      <c r="V179" s="542">
        <f ca="1">(V178-O179-R179)*(1+VTL20namMH!$P$3)</f>
        <v>141124.87160592098</v>
      </c>
    </row>
    <row r="180" spans="11:22" ht="9.75" customHeight="1">
      <c r="K180" s="1045"/>
      <c r="L180" s="1045"/>
      <c r="M180" s="252">
        <v>178</v>
      </c>
      <c r="N180" s="538">
        <f t="shared" ca="1" si="43"/>
        <v>890482.87378723058</v>
      </c>
      <c r="O180" s="538">
        <f ca="1">VTL20namcamket!F181</f>
        <v>60</v>
      </c>
      <c r="P180" s="539">
        <f ca="1">IF('Tinh phi QL'!$H$9="Nam",VLOOKUP(VTLCOI!$I$17,VTLCOI!$D$3:$F$103,2,0)*N180/1000/12,IF('Tinh phi QL'!$H$9="Nữ",VLOOKUP(VTLCOI!$I$17,VTLCOI!$D$3:$F$103,3,0)*N180/1000/12,0))</f>
        <v>259.42734389667982</v>
      </c>
      <c r="Q180" s="1043"/>
      <c r="R180" s="539">
        <f ca="1">IF('Tinh phi QL'!$H$9="Nam",VLOOKUP(VTLCOI!$I$17,VTLCOI!$D$3:$F$103,2,0)*S180/1000/12,IF('Tinh phi QL'!$H$9="Nữ",VLOOKUP(VTLCOI!$I$17,VTLCOI!$D$3:$F$103,3,0)*S180/1000/12,0))</f>
        <v>250.21895407214171</v>
      </c>
      <c r="S180" s="539">
        <f t="shared" ca="1" si="31"/>
        <v>858875.12839407905</v>
      </c>
      <c r="T180" s="542">
        <f ca="1">(T179-O180-P180)*(1+VTL20namcamket!$V$3)</f>
        <v>109288.28252208333</v>
      </c>
      <c r="U180" s="1044"/>
      <c r="V180" s="542">
        <f ca="1">(V179-O180-R180)*(1+VTL20namMH!$P$3)</f>
        <v>141343.38522490987</v>
      </c>
    </row>
    <row r="181" spans="11:22" ht="9.75" customHeight="1">
      <c r="K181" s="1045"/>
      <c r="L181" s="1045"/>
      <c r="M181" s="252">
        <v>179</v>
      </c>
      <c r="N181" s="538">
        <f t="shared" ca="1" si="43"/>
        <v>890711.71747791662</v>
      </c>
      <c r="O181" s="538">
        <f ca="1">VTL20namcamket!F182</f>
        <v>60</v>
      </c>
      <c r="P181" s="539">
        <f ca="1">IF('Tinh phi QL'!$H$9="Nam",VLOOKUP(VTLCOI!$I$17,VTLCOI!$D$3:$F$103,2,0)*N181/1000/12,IF('Tinh phi QL'!$H$9="Nữ",VLOOKUP(VTLCOI!$I$17,VTLCOI!$D$3:$F$103,3,0)*N181/1000/12,0))</f>
        <v>259.49401369189974</v>
      </c>
      <c r="Q181" s="1043"/>
      <c r="R181" s="539">
        <f ca="1">IF('Tinh phi QL'!$H$9="Nam",VLOOKUP(VTLCOI!$I$17,VTLCOI!$D$3:$F$103,2,0)*S181/1000/12,IF('Tinh phi QL'!$H$9="Nữ",VLOOKUP(VTLCOI!$I$17,VTLCOI!$D$3:$F$103,3,0)*S181/1000/12,0))</f>
        <v>250.15529377114294</v>
      </c>
      <c r="S181" s="539">
        <f t="shared" ca="1" si="31"/>
        <v>858656.61477509013</v>
      </c>
      <c r="T181" s="542">
        <f ca="1">(T180-O181-P181)*(1+VTL20namcamket!$V$3)</f>
        <v>109059.18227173327</v>
      </c>
      <c r="U181" s="1044"/>
      <c r="V181" s="542">
        <f ca="1">(V180-O181-R181)*(1+VTL20namMH!$P$3)</f>
        <v>141562.78322083055</v>
      </c>
    </row>
    <row r="182" spans="11:22" ht="9.75" customHeight="1">
      <c r="K182" s="1045"/>
      <c r="L182" s="1045"/>
      <c r="M182" s="252">
        <v>180</v>
      </c>
      <c r="N182" s="538">
        <f t="shared" ca="1" si="43"/>
        <v>890940.8177282667</v>
      </c>
      <c r="O182" s="538">
        <f ca="1">VTL20namcamket!F183</f>
        <v>60</v>
      </c>
      <c r="P182" s="539">
        <f ca="1">IF('Tinh phi QL'!$H$9="Nam",VLOOKUP(VTLCOI!$I$17,VTLCOI!$D$3:$F$103,2,0)*N182/1000/12,IF('Tinh phi QL'!$H$9="Nữ",VLOOKUP(VTLCOI!$I$17,VTLCOI!$D$3:$F$103,3,0)*N182/1000/12,0))</f>
        <v>259.56075823150172</v>
      </c>
      <c r="Q182" s="1043"/>
      <c r="R182" s="539">
        <f ca="1">IF('Tinh phi QL'!$H$9="Nam",VLOOKUP(VTLCOI!$I$17,VTLCOI!$D$3:$F$103,2,0)*S182/1000/12,IF('Tinh phi QL'!$H$9="Nữ",VLOOKUP(VTLCOI!$I$17,VTLCOI!$D$3:$F$103,3,0)*S182/1000/12,0))</f>
        <v>250.09137582166468</v>
      </c>
      <c r="S182" s="539">
        <f t="shared" ca="1" si="31"/>
        <v>858437.21677916939</v>
      </c>
      <c r="T182" s="543">
        <f ca="1">(T181-O182-P182)*(1+VTL20namcamket!$V$3)+Q171</f>
        <v>109129.8251740868</v>
      </c>
      <c r="U182" s="1044"/>
      <c r="V182" s="543">
        <f ca="1">(V181-O182-R182)*(1+VTL20namMH!$P$3)+U171</f>
        <v>142083.06917296819</v>
      </c>
    </row>
    <row r="183" spans="11:22" ht="9.75" customHeight="1">
      <c r="K183" s="1043">
        <f>K171+1</f>
        <v>16</v>
      </c>
      <c r="L183" s="1045">
        <f t="shared" ref="L183" ca="1" si="44">L171+1</f>
        <v>45</v>
      </c>
      <c r="M183" s="262">
        <v>181</v>
      </c>
      <c r="N183" s="540">
        <f ca="1">$C$4-T182-VTLGTTKcamket!F22</f>
        <v>880870.17482591316</v>
      </c>
      <c r="O183" s="538">
        <f ca="1">VTL20namcamket!F184</f>
        <v>60</v>
      </c>
      <c r="P183" s="541">
        <f ca="1">IF('Tinh phi QL'!$H$9="Nam",VLOOKUP(VTLCOI!$I$18,VTLCOI!$D$3:$F$103,2,0)*N183/1000/12,IF('Tinh phi QL'!$H$9="Nữ",VLOOKUP(VTLCOI!$I$18,VTLCOI!$D$3:$F$103,3,0)*N183/1000/12,0))</f>
        <v>277.76772846177124</v>
      </c>
      <c r="Q183" s="1043">
        <f t="shared" ref="Q183" si="45">Q171</f>
        <v>300</v>
      </c>
      <c r="R183" s="539">
        <f ca="1">IF('Tinh phi QL'!$H$9="Nam",VLOOKUP(VTLCOI!$I$18,VTLCOI!$D$3:$F$103,2,0)*S183/1000/12,IF('Tinh phi QL'!$H$9="Nữ",VLOOKUP(VTLCOI!$I$18,VTLCOI!$D$3:$F$103,3,0)*S183/1000/12,0))</f>
        <v>267.37647218745741</v>
      </c>
      <c r="S183" s="541">
        <f ca="1">$C$4-V182-VTLGTTKMH!F22</f>
        <v>847916.93082703184</v>
      </c>
      <c r="T183" s="544">
        <f ca="1">(T182+VTLGTTKcamket!F22-O183-P183)*(1+VTL20namcamket!$W$3)</f>
        <v>118841.44106734107</v>
      </c>
      <c r="U183" s="1044">
        <f>Q183</f>
        <v>300</v>
      </c>
      <c r="V183" s="542">
        <f ca="1">(V182+VTLGTTKMH!F22-O183-R183)*(1+VTL20namMH!$P$3)</f>
        <v>152325.50682429189</v>
      </c>
    </row>
    <row r="184" spans="11:22" ht="9.75" customHeight="1">
      <c r="K184" s="1043"/>
      <c r="L184" s="1045"/>
      <c r="M184" s="262">
        <v>182</v>
      </c>
      <c r="N184" s="540">
        <f t="shared" ref="N184:N194" ca="1" si="46">$C$4-T183</f>
        <v>881158.55893265898</v>
      </c>
      <c r="O184" s="538">
        <f ca="1">VTL20namcamket!F185</f>
        <v>60</v>
      </c>
      <c r="P184" s="541">
        <f ca="1">IF('Tinh phi QL'!$H$9="Nam",VLOOKUP(VTLCOI!$I$18,VTLCOI!$D$3:$F$103,2,0)*N184/1000/12,IF('Tinh phi QL'!$H$9="Nữ",VLOOKUP(VTLCOI!$I$18,VTLCOI!$D$3:$F$103,3,0)*N184/1000/12,0))</f>
        <v>277.85866558343179</v>
      </c>
      <c r="Q184" s="1043"/>
      <c r="R184" s="539">
        <f ca="1">IF('Tinh phi QL'!$H$9="Nam",VLOOKUP(VTLCOI!$I$18,VTLCOI!$D$3:$F$103,2,0)*S184/1000/12,IF('Tinh phi QL'!$H$9="Nữ",VLOOKUP(VTLCOI!$I$18,VTLCOI!$D$3:$F$103,3,0)*S184/1000/12,0))</f>
        <v>267.30002351473996</v>
      </c>
      <c r="S184" s="541">
        <f t="shared" ca="1" si="31"/>
        <v>847674.49317570811</v>
      </c>
      <c r="T184" s="544">
        <f ca="1">(T183-O184-P184)*(1+VTL20namcamket!$W$3)</f>
        <v>118552.84610011561</v>
      </c>
      <c r="U184" s="1044"/>
      <c r="V184" s="542">
        <f ca="1">(V183-O184-R184)*(1+VTL20namMH!$P$3)</f>
        <v>152568.93151918508</v>
      </c>
    </row>
    <row r="185" spans="11:22" ht="9.75" customHeight="1">
      <c r="K185" s="1043"/>
      <c r="L185" s="1045"/>
      <c r="M185" s="262">
        <v>183</v>
      </c>
      <c r="N185" s="540">
        <f t="shared" ca="1" si="46"/>
        <v>881447.15389988443</v>
      </c>
      <c r="O185" s="538">
        <f ca="1">VTL20namcamket!F186</f>
        <v>60</v>
      </c>
      <c r="P185" s="541">
        <f ca="1">IF('Tinh phi QL'!$H$9="Nam",VLOOKUP(VTLCOI!$I$18,VTLCOI!$D$3:$F$103,2,0)*N185/1000/12,IF('Tinh phi QL'!$H$9="Nữ",VLOOKUP(VTLCOI!$I$18,VTLCOI!$D$3:$F$103,3,0)*N185/1000/12,0))</f>
        <v>277.94966919643019</v>
      </c>
      <c r="Q185" s="1043"/>
      <c r="R185" s="539">
        <f ca="1">IF('Tinh phi QL'!$H$9="Nam",VLOOKUP(VTLCOI!$I$18,VTLCOI!$D$3:$F$103,2,0)*S185/1000/12,IF('Tinh phi QL'!$H$9="Nữ",VLOOKUP(VTLCOI!$I$18,VTLCOI!$D$3:$F$103,3,0)*S185/1000/12,0))</f>
        <v>267.22326359428365</v>
      </c>
      <c r="S185" s="541">
        <f t="shared" ca="1" si="31"/>
        <v>847431.06848081492</v>
      </c>
      <c r="T185" s="544">
        <f ca="1">(T184-O185-P185)*(1+VTL20namcamket!$W$3)</f>
        <v>118264.04011823362</v>
      </c>
      <c r="U185" s="1044"/>
      <c r="V185" s="542">
        <f ca="1">(V184-O185-R185)*(1+VTL20namMH!$P$3)</f>
        <v>152813.34727622737</v>
      </c>
    </row>
    <row r="186" spans="11:22" ht="9.75" customHeight="1">
      <c r="K186" s="1043"/>
      <c r="L186" s="1045"/>
      <c r="M186" s="262">
        <v>184</v>
      </c>
      <c r="N186" s="540">
        <f t="shared" ca="1" si="46"/>
        <v>881735.95988176635</v>
      </c>
      <c r="O186" s="538">
        <f ca="1">VTL20namcamket!F187</f>
        <v>60</v>
      </c>
      <c r="P186" s="541">
        <f ca="1">IF('Tinh phi QL'!$H$9="Nam",VLOOKUP(VTLCOI!$I$18,VTLCOI!$D$3:$F$103,2,0)*N186/1000/12,IF('Tinh phi QL'!$H$9="Nữ",VLOOKUP(VTLCOI!$I$18,VTLCOI!$D$3:$F$103,3,0)*N186/1000/12,0))</f>
        <v>278.04073934938361</v>
      </c>
      <c r="Q186" s="1043"/>
      <c r="R186" s="539">
        <f ca="1">IF('Tinh phi QL'!$H$9="Nam",VLOOKUP(VTLCOI!$I$18,VTLCOI!$D$3:$F$103,2,0)*S186/1000/12,IF('Tinh phi QL'!$H$9="Nữ",VLOOKUP(VTLCOI!$I$18,VTLCOI!$D$3:$F$103,3,0)*S186/1000/12,0))</f>
        <v>267.14619115889633</v>
      </c>
      <c r="S186" s="541">
        <f t="shared" ca="1" si="31"/>
        <v>847186.65272377268</v>
      </c>
      <c r="T186" s="544">
        <f ca="1">(T185-O186-P186)*(1+VTL20namcamket!$W$3)</f>
        <v>117975.02296740554</v>
      </c>
      <c r="U186" s="1044"/>
      <c r="V186" s="542">
        <f ca="1">(V185-O186-R186)*(1+VTL20namMH!$P$3)</f>
        <v>153058.75813035941</v>
      </c>
    </row>
    <row r="187" spans="11:22" ht="9.75" customHeight="1">
      <c r="K187" s="1043"/>
      <c r="L187" s="1045"/>
      <c r="M187" s="262">
        <v>185</v>
      </c>
      <c r="N187" s="540">
        <f t="shared" ca="1" si="46"/>
        <v>882024.9770325945</v>
      </c>
      <c r="O187" s="538">
        <f ca="1">VTL20namcamket!F188</f>
        <v>60</v>
      </c>
      <c r="P187" s="541">
        <f ca="1">IF('Tinh phi QL'!$H$9="Nam",VLOOKUP(VTLCOI!$I$18,VTLCOI!$D$3:$F$103,2,0)*N187/1000/12,IF('Tinh phi QL'!$H$9="Nữ",VLOOKUP(VTLCOI!$I$18,VTLCOI!$D$3:$F$103,3,0)*N187/1000/12,0))</f>
        <v>278.13187609094479</v>
      </c>
      <c r="Q187" s="1043"/>
      <c r="R187" s="539">
        <f ca="1">IF('Tinh phi QL'!$H$9="Nam",VLOOKUP(VTLCOI!$I$18,VTLCOI!$D$3:$F$103,2,0)*S187/1000/12,IF('Tinh phi QL'!$H$9="Nữ",VLOOKUP(VTLCOI!$I$18,VTLCOI!$D$3:$F$103,3,0)*S187/1000/12,0))</f>
        <v>267.06880493622663</v>
      </c>
      <c r="S187" s="541">
        <f t="shared" ca="1" si="31"/>
        <v>846941.24186964054</v>
      </c>
      <c r="T187" s="544">
        <f ca="1">(T186-O187-P187)*(1+VTL20namcamket!$W$3)</f>
        <v>117685.79449322903</v>
      </c>
      <c r="U187" s="1044"/>
      <c r="V187" s="542">
        <f ca="1">(V186-O187-R187)*(1+VTL20namMH!$P$3)</f>
        <v>153305.1681329493</v>
      </c>
    </row>
    <row r="188" spans="11:22" ht="9.75" customHeight="1">
      <c r="K188" s="1043"/>
      <c r="L188" s="1045"/>
      <c r="M188" s="262">
        <v>186</v>
      </c>
      <c r="N188" s="540">
        <f t="shared" ca="1" si="46"/>
        <v>882314.20550677099</v>
      </c>
      <c r="O188" s="538">
        <f ca="1">VTL20namcamket!F189</f>
        <v>60</v>
      </c>
      <c r="P188" s="541">
        <f ca="1">IF('Tinh phi QL'!$H$9="Nam",VLOOKUP(VTLCOI!$I$18,VTLCOI!$D$3:$F$103,2,0)*N188/1000/12,IF('Tinh phi QL'!$H$9="Nữ",VLOOKUP(VTLCOI!$I$18,VTLCOI!$D$3:$F$103,3,0)*N188/1000/12,0))</f>
        <v>278.2230794698018</v>
      </c>
      <c r="Q188" s="1043"/>
      <c r="R188" s="539">
        <f ca="1">IF('Tinh phi QL'!$H$9="Nam",VLOOKUP(VTLCOI!$I$18,VTLCOI!$D$3:$F$103,2,0)*S188/1000/12,IF('Tinh phi QL'!$H$9="Nữ",VLOOKUP(VTLCOI!$I$18,VTLCOI!$D$3:$F$103,3,0)*S188/1000/12,0))</f>
        <v>266.99110364874332</v>
      </c>
      <c r="S188" s="541">
        <f t="shared" ca="1" si="31"/>
        <v>846694.83186705073</v>
      </c>
      <c r="T188" s="544">
        <f ca="1">(T187-O188-P188)*(1+VTL20namcamket!$W$3)</f>
        <v>117396.35454118883</v>
      </c>
      <c r="U188" s="1044"/>
      <c r="V188" s="542">
        <f ca="1">(V187-O188-R188)*(1+VTL20namMH!$P$3)</f>
        <v>153552.58135185973</v>
      </c>
    </row>
    <row r="189" spans="11:22" ht="9.75" customHeight="1">
      <c r="K189" s="1043"/>
      <c r="L189" s="1045"/>
      <c r="M189" s="262">
        <v>187</v>
      </c>
      <c r="N189" s="540">
        <f t="shared" ca="1" si="46"/>
        <v>882603.6454588112</v>
      </c>
      <c r="O189" s="538">
        <f ca="1">VTL20namcamket!F190</f>
        <v>60</v>
      </c>
      <c r="P189" s="541">
        <f ca="1">IF('Tinh phi QL'!$H$9="Nam",VLOOKUP(VTLCOI!$I$18,VTLCOI!$D$3:$F$103,2,0)*N189/1000/12,IF('Tinh phi QL'!$H$9="Nữ",VLOOKUP(VTLCOI!$I$18,VTLCOI!$D$3:$F$103,3,0)*N189/1000/12,0))</f>
        <v>278.31434953467846</v>
      </c>
      <c r="Q189" s="1043"/>
      <c r="R189" s="539">
        <f ca="1">IF('Tinh phi QL'!$H$9="Nam",VLOOKUP(VTLCOI!$I$18,VTLCOI!$D$3:$F$103,2,0)*S189/1000/12,IF('Tinh phi QL'!$H$9="Nữ",VLOOKUP(VTLCOI!$I$18,VTLCOI!$D$3:$F$103,3,0)*S189/1000/12,0))</f>
        <v>266.91308601371355</v>
      </c>
      <c r="S189" s="541">
        <f t="shared" ca="1" si="31"/>
        <v>846447.41864814027</v>
      </c>
      <c r="T189" s="544">
        <f ca="1">(T188-O189-P189)*(1+VTL20namcamket!$W$3)</f>
        <v>117106.70295665672</v>
      </c>
      <c r="U189" s="1044"/>
      <c r="V189" s="542">
        <f ca="1">(V188-O189-R189)*(1+VTL20namMH!$P$3)</f>
        <v>153801.00187151486</v>
      </c>
    </row>
    <row r="190" spans="11:22" ht="9.75" customHeight="1">
      <c r="K190" s="1043"/>
      <c r="L190" s="1045"/>
      <c r="M190" s="262">
        <v>188</v>
      </c>
      <c r="N190" s="540">
        <f t="shared" ca="1" si="46"/>
        <v>882893.29704334331</v>
      </c>
      <c r="O190" s="538">
        <f ca="1">VTL20namcamket!F191</f>
        <v>60</v>
      </c>
      <c r="P190" s="541">
        <f ca="1">IF('Tinh phi QL'!$H$9="Nam",VLOOKUP(VTLCOI!$I$18,VTLCOI!$D$3:$F$103,2,0)*N190/1000/12,IF('Tinh phi QL'!$H$9="Nữ",VLOOKUP(VTLCOI!$I$18,VTLCOI!$D$3:$F$103,3,0)*N190/1000/12,0))</f>
        <v>278.40568633433423</v>
      </c>
      <c r="Q190" s="1043"/>
      <c r="R190" s="539">
        <f ca="1">IF('Tinh phi QL'!$H$9="Nam",VLOOKUP(VTLCOI!$I$18,VTLCOI!$D$3:$F$103,2,0)*S190/1000/12,IF('Tinh phi QL'!$H$9="Nữ",VLOOKUP(VTLCOI!$I$18,VTLCOI!$D$3:$F$103,3,0)*S190/1000/12,0))</f>
        <v>266.83475074318227</v>
      </c>
      <c r="S190" s="541">
        <f t="shared" ca="1" si="31"/>
        <v>846198.99812848517</v>
      </c>
      <c r="T190" s="544">
        <f ca="1">(T189-O190-P190)*(1+VTL20namcamket!$W$3)</f>
        <v>116816.83958489139</v>
      </c>
      <c r="U190" s="1044"/>
      <c r="V190" s="542">
        <f ca="1">(V189-O190-R190)*(1+VTL20namMH!$P$3)</f>
        <v>154050.43379296802</v>
      </c>
    </row>
    <row r="191" spans="11:22" ht="9.75" customHeight="1">
      <c r="K191" s="1043"/>
      <c r="L191" s="1045"/>
      <c r="M191" s="262">
        <v>189</v>
      </c>
      <c r="N191" s="540">
        <f t="shared" ca="1" si="46"/>
        <v>883183.16041510855</v>
      </c>
      <c r="O191" s="538">
        <f ca="1">VTL20namcamket!F192</f>
        <v>60</v>
      </c>
      <c r="P191" s="541">
        <f ca="1">IF('Tinh phi QL'!$H$9="Nam",VLOOKUP(VTLCOI!$I$18,VTLCOI!$D$3:$F$103,2,0)*N191/1000/12,IF('Tinh phi QL'!$H$9="Nữ",VLOOKUP(VTLCOI!$I$18,VTLCOI!$D$3:$F$103,3,0)*N191/1000/12,0))</f>
        <v>278.49708991756421</v>
      </c>
      <c r="Q191" s="1043"/>
      <c r="R191" s="539">
        <f ca="1">IF('Tinh phi QL'!$H$9="Nam",VLOOKUP(VTLCOI!$I$18,VTLCOI!$D$3:$F$103,2,0)*S191/1000/12,IF('Tinh phi QL'!$H$9="Nữ",VLOOKUP(VTLCOI!$I$18,VTLCOI!$D$3:$F$103,3,0)*S191/1000/12,0))</f>
        <v>266.75609654395072</v>
      </c>
      <c r="S191" s="541">
        <f t="shared" ca="1" si="31"/>
        <v>845949.56620703195</v>
      </c>
      <c r="T191" s="544">
        <f ca="1">(T190-O191-P191)*(1+VTL20namcamket!$W$3)</f>
        <v>116526.76427103842</v>
      </c>
      <c r="U191" s="1044"/>
      <c r="V191" s="542">
        <f ca="1">(V190-O191-R191)*(1+VTL20namMH!$P$3)</f>
        <v>154300.88123396918</v>
      </c>
    </row>
    <row r="192" spans="11:22" ht="9.75" customHeight="1">
      <c r="K192" s="1043"/>
      <c r="L192" s="1045"/>
      <c r="M192" s="262">
        <v>190</v>
      </c>
      <c r="N192" s="540">
        <f t="shared" ca="1" si="46"/>
        <v>883473.23572896153</v>
      </c>
      <c r="O192" s="538">
        <f ca="1">VTL20namcamket!F193</f>
        <v>60</v>
      </c>
      <c r="P192" s="541">
        <f ca="1">IF('Tinh phi QL'!$H$9="Nam",VLOOKUP(VTLCOI!$I$18,VTLCOI!$D$3:$F$103,2,0)*N192/1000/12,IF('Tinh phi QL'!$H$9="Nữ",VLOOKUP(VTLCOI!$I$18,VTLCOI!$D$3:$F$103,3,0)*N192/1000/12,0))</f>
        <v>278.58856033319915</v>
      </c>
      <c r="Q192" s="1043"/>
      <c r="R192" s="539">
        <f ca="1">IF('Tinh phi QL'!$H$9="Nam",VLOOKUP(VTLCOI!$I$18,VTLCOI!$D$3:$F$103,2,0)*S192/1000/12,IF('Tinh phi QL'!$H$9="Nữ",VLOOKUP(VTLCOI!$I$18,VTLCOI!$D$3:$F$103,3,0)*S192/1000/12,0))</f>
        <v>266.67712211755503</v>
      </c>
      <c r="S192" s="541">
        <f t="shared" ca="1" si="31"/>
        <v>845699.11876603076</v>
      </c>
      <c r="T192" s="544">
        <f ca="1">(T191-O192-P192)*(1+VTL20namcamket!$W$3)</f>
        <v>116236.47686013015</v>
      </c>
      <c r="U192" s="1044"/>
      <c r="V192" s="542">
        <f ca="1">(V191-O192-R192)*(1+VTL20namMH!$P$3)</f>
        <v>154552.34832903309</v>
      </c>
    </row>
    <row r="193" spans="11:22" ht="9.75" customHeight="1">
      <c r="K193" s="1043"/>
      <c r="L193" s="1045"/>
      <c r="M193" s="262">
        <v>191</v>
      </c>
      <c r="N193" s="540">
        <f t="shared" ca="1" si="46"/>
        <v>883763.52313986979</v>
      </c>
      <c r="O193" s="538">
        <f ca="1">VTL20namcamket!F194</f>
        <v>60</v>
      </c>
      <c r="P193" s="541">
        <f ca="1">IF('Tinh phi QL'!$H$9="Nam",VLOOKUP(VTLCOI!$I$18,VTLCOI!$D$3:$F$103,2,0)*N193/1000/12,IF('Tinh phi QL'!$H$9="Nữ",VLOOKUP(VTLCOI!$I$18,VTLCOI!$D$3:$F$103,3,0)*N193/1000/12,0))</f>
        <v>278.68009763010559</v>
      </c>
      <c r="Q193" s="1043"/>
      <c r="R193" s="539">
        <f ca="1">IF('Tinh phi QL'!$H$9="Nam",VLOOKUP(VTLCOI!$I$18,VTLCOI!$D$3:$F$103,2,0)*S193/1000/12,IF('Tinh phi QL'!$H$9="Nữ",VLOOKUP(VTLCOI!$I$18,VTLCOI!$D$3:$F$103,3,0)*S193/1000/12,0))</f>
        <v>266.59782616024489</v>
      </c>
      <c r="S193" s="541">
        <f t="shared" ca="1" si="31"/>
        <v>845447.65167096688</v>
      </c>
      <c r="T193" s="544">
        <f ca="1">(T192-O193-P193)*(1+VTL20namcamket!$W$3)</f>
        <v>115945.97719708561</v>
      </c>
      <c r="U193" s="1044"/>
      <c r="V193" s="542">
        <f ca="1">(V192-O193-R193)*(1+VTL20namMH!$P$3)</f>
        <v>154804.83922950743</v>
      </c>
    </row>
    <row r="194" spans="11:22" ht="9.75" customHeight="1">
      <c r="K194" s="1043"/>
      <c r="L194" s="1045"/>
      <c r="M194" s="262">
        <v>192</v>
      </c>
      <c r="N194" s="540">
        <f t="shared" ca="1" si="46"/>
        <v>884054.02280291438</v>
      </c>
      <c r="O194" s="538">
        <f ca="1">VTL20namcamket!F195</f>
        <v>60</v>
      </c>
      <c r="P194" s="541">
        <f ca="1">IF('Tinh phi QL'!$H$9="Nam",VLOOKUP(VTLCOI!$I$18,VTLCOI!$D$3:$F$103,2,0)*N194/1000/12,IF('Tinh phi QL'!$H$9="Nữ",VLOOKUP(VTLCOI!$I$18,VTLCOI!$D$3:$F$103,3,0)*N194/1000/12,0))</f>
        <v>278.77170185718563</v>
      </c>
      <c r="Q194" s="1043"/>
      <c r="R194" s="539">
        <f ca="1">IF('Tinh phi QL'!$H$9="Nam",VLOOKUP(VTLCOI!$I$18,VTLCOI!$D$3:$F$103,2,0)*S194/1000/12,IF('Tinh phi QL'!$H$9="Nữ",VLOOKUP(VTLCOI!$I$18,VTLCOI!$D$3:$F$103,3,0)*S194/1000/12,0))</f>
        <v>266.51820736296196</v>
      </c>
      <c r="S194" s="554">
        <f t="shared" ca="1" si="31"/>
        <v>845195.16077049263</v>
      </c>
      <c r="T194" s="545">
        <f ca="1">(T193-O194-P194)*(1+VTL20namcamket!$W$3)+Q183</f>
        <v>115955.26512671042</v>
      </c>
      <c r="U194" s="1044"/>
      <c r="V194" s="543">
        <f ca="1">(V193-O194-R194)*(1+VTL20namMH!$P$3)+U183</f>
        <v>155358.35810364143</v>
      </c>
    </row>
    <row r="195" spans="11:22" ht="9.75" customHeight="1">
      <c r="K195" s="1046">
        <f>K183+1</f>
        <v>17</v>
      </c>
      <c r="L195" s="1045">
        <f t="shared" ref="L195" ca="1" si="47">L183+1</f>
        <v>46</v>
      </c>
      <c r="M195" s="265">
        <v>193</v>
      </c>
      <c r="N195" s="550">
        <f ca="1">$C$4-T194-VTLGTTKcamket!F23</f>
        <v>874044.73487328959</v>
      </c>
      <c r="O195" s="538">
        <f ca="1">VTL20namcamket!F196</f>
        <v>60</v>
      </c>
      <c r="P195" s="551">
        <f ca="1">IF('Tinh phi QL'!$H$9="Nam",VLOOKUP(VTLCOI!$I$19,VTLCOI!$D$3:$F$103,2,0)*N195/1000/12,IF('Tinh phi QL'!$H$9="Nữ",VLOOKUP(VTLCOI!$I$19,VTLCOI!$D$3:$F$103,3,0)*N195/1000/12,0))</f>
        <v>298.3406028367495</v>
      </c>
      <c r="Q195" s="1043">
        <f t="shared" ref="Q195" si="48">Q183</f>
        <v>300</v>
      </c>
      <c r="R195" s="539">
        <f ca="1">IF('Tinh phi QL'!$H$9="Nam",VLOOKUP(VTLCOI!$I$19,VTLCOI!$D$3:$F$103,2,0)*S195/1000/12,IF('Tinh phi QL'!$H$9="Nữ",VLOOKUP(VTLCOI!$I$19,VTLCOI!$D$3:$F$103,3,0)*S195/1000/12,0))</f>
        <v>284.89101376729042</v>
      </c>
      <c r="S195" s="551">
        <f ca="1">$C$4-V194-VTLGTTKMH!F23</f>
        <v>834641.64189635857</v>
      </c>
      <c r="T195" s="552">
        <f ca="1">(T194+VTLGTTKcamket!F23-O195-P195)*(1+VTL20namcamket!$W$3)</f>
        <v>125649.13702985056</v>
      </c>
      <c r="U195" s="1044">
        <f>Q195</f>
        <v>300</v>
      </c>
      <c r="V195" s="542">
        <f ca="1">(V194+VTLGTTKMH!F23-O195-R195)*(1+VTL20namMH!$P$3)</f>
        <v>165633.06166615637</v>
      </c>
    </row>
    <row r="196" spans="11:22" ht="9.75" customHeight="1">
      <c r="K196" s="1046"/>
      <c r="L196" s="1045"/>
      <c r="M196" s="265">
        <v>194</v>
      </c>
      <c r="N196" s="550">
        <f t="shared" ref="N196:N206" ca="1" si="49">$C$4-T195</f>
        <v>874350.86297014938</v>
      </c>
      <c r="O196" s="538">
        <f ca="1">VTL20namcamket!F197</f>
        <v>60</v>
      </c>
      <c r="P196" s="551">
        <f ca="1">IF('Tinh phi QL'!$H$9="Nam",VLOOKUP(VTLCOI!$I$19,VTLCOI!$D$3:$F$103,2,0)*N196/1000/12,IF('Tinh phi QL'!$H$9="Nữ",VLOOKUP(VTLCOI!$I$19,VTLCOI!$D$3:$F$103,3,0)*N196/1000/12,0))</f>
        <v>298.44509456047768</v>
      </c>
      <c r="Q196" s="1043"/>
      <c r="R196" s="539">
        <f ca="1">IF('Tinh phi QL'!$H$9="Nam",VLOOKUP(VTLCOI!$I$19,VTLCOI!$D$3:$F$103,2,0)*S196/1000/12,IF('Tinh phi QL'!$H$9="Nữ",VLOOKUP(VTLCOI!$I$19,VTLCOI!$D$3:$F$103,3,0)*S196/1000/12,0))</f>
        <v>284.7972482846186</v>
      </c>
      <c r="S196" s="551">
        <f t="shared" ca="1" si="31"/>
        <v>834366.9383338436</v>
      </c>
      <c r="T196" s="552">
        <f ca="1">(T195-O196-P196)*(1+VTL20namcamket!$W$3)</f>
        <v>125342.77713583395</v>
      </c>
      <c r="U196" s="1044"/>
      <c r="V196" s="542">
        <f ca="1">(V195-O196-R196)*(1+VTL20namMH!$P$3)</f>
        <v>165908.89080650848</v>
      </c>
    </row>
    <row r="197" spans="11:22" ht="9.75" customHeight="1">
      <c r="K197" s="1046"/>
      <c r="L197" s="1045"/>
      <c r="M197" s="265">
        <v>195</v>
      </c>
      <c r="N197" s="550">
        <f t="shared" ca="1" si="49"/>
        <v>874657.22286416602</v>
      </c>
      <c r="O197" s="538">
        <f ca="1">VTL20namcamket!F198</f>
        <v>60</v>
      </c>
      <c r="P197" s="551">
        <f ca="1">IF('Tinh phi QL'!$H$9="Nam",VLOOKUP(VTLCOI!$I$19,VTLCOI!$D$3:$F$103,2,0)*N197/1000/12,IF('Tinh phi QL'!$H$9="Nữ",VLOOKUP(VTLCOI!$I$19,VTLCOI!$D$3:$F$103,3,0)*N197/1000/12,0))</f>
        <v>298.549665404302</v>
      </c>
      <c r="Q197" s="1043"/>
      <c r="R197" s="539">
        <f ca="1">IF('Tinh phi QL'!$H$9="Nam",VLOOKUP(VTLCOI!$I$19,VTLCOI!$D$3:$F$103,2,0)*S197/1000/12,IF('Tinh phi QL'!$H$9="Nữ",VLOOKUP(VTLCOI!$I$19,VTLCOI!$D$3:$F$103,3,0)*S197/1000/12,0))</f>
        <v>284.70309860471178</v>
      </c>
      <c r="S197" s="551">
        <f t="shared" ref="S197:S242" ca="1" si="50">$C$4-V196</f>
        <v>834091.10919349152</v>
      </c>
      <c r="T197" s="552">
        <f ca="1">(T196-O197-P197)*(1+VTL20namcamket!$W$3)</f>
        <v>125036.1852691461</v>
      </c>
      <c r="U197" s="1044"/>
      <c r="V197" s="542">
        <f ca="1">(V196-O197-R197)*(1+VTL20namMH!$P$3)</f>
        <v>166185.85013667098</v>
      </c>
    </row>
    <row r="198" spans="11:22" ht="9.75" customHeight="1">
      <c r="K198" s="1046"/>
      <c r="L198" s="1045"/>
      <c r="M198" s="265">
        <v>196</v>
      </c>
      <c r="N198" s="550">
        <f t="shared" ca="1" si="49"/>
        <v>874963.81473085389</v>
      </c>
      <c r="O198" s="538">
        <f ca="1">VTL20namcamket!F199</f>
        <v>60</v>
      </c>
      <c r="P198" s="551">
        <f ca="1">IF('Tinh phi QL'!$H$9="Nam",VLOOKUP(VTLCOI!$I$19,VTLCOI!$D$3:$F$103,2,0)*N198/1000/12,IF('Tinh phi QL'!$H$9="Nữ",VLOOKUP(VTLCOI!$I$19,VTLCOI!$D$3:$F$103,3,0)*N198/1000/12,0))</f>
        <v>298.65431542813144</v>
      </c>
      <c r="Q198" s="1043"/>
      <c r="R198" s="539">
        <f ca="1">IF('Tinh phi QL'!$H$9="Nam",VLOOKUP(VTLCOI!$I$19,VTLCOI!$D$3:$F$103,2,0)*S198/1000/12,IF('Tinh phi QL'!$H$9="Nữ",VLOOKUP(VTLCOI!$I$19,VTLCOI!$D$3:$F$103,3,0)*S198/1000/12,0))</f>
        <v>284.60856315334962</v>
      </c>
      <c r="S198" s="551">
        <f t="shared" ca="1" si="50"/>
        <v>833814.14986332902</v>
      </c>
      <c r="T198" s="552">
        <f ca="1">(T197-O198-P198)*(1+VTL20namcamket!$W$3)</f>
        <v>124729.3612541396</v>
      </c>
      <c r="U198" s="1044"/>
      <c r="V198" s="542">
        <f ca="1">(V197-O198-R198)*(1+VTL20namMH!$P$3)</f>
        <v>166463.94428751428</v>
      </c>
    </row>
    <row r="199" spans="11:22" ht="9.75" customHeight="1">
      <c r="K199" s="1046"/>
      <c r="L199" s="1045"/>
      <c r="M199" s="265">
        <v>197</v>
      </c>
      <c r="N199" s="550">
        <f t="shared" ca="1" si="49"/>
        <v>875270.63874586043</v>
      </c>
      <c r="O199" s="538">
        <f ca="1">VTL20namcamket!F200</f>
        <v>60</v>
      </c>
      <c r="P199" s="551">
        <f ca="1">IF('Tinh phi QL'!$H$9="Nam",VLOOKUP(VTLCOI!$I$19,VTLCOI!$D$3:$F$103,2,0)*N199/1000/12,IF('Tinh phi QL'!$H$9="Nữ",VLOOKUP(VTLCOI!$I$19,VTLCOI!$D$3:$F$103,3,0)*N199/1000/12,0))</f>
        <v>298.75904469192034</v>
      </c>
      <c r="Q199" s="1043"/>
      <c r="R199" s="539">
        <f ca="1">IF('Tinh phi QL'!$H$9="Nam",VLOOKUP(VTLCOI!$I$19,VTLCOI!$D$3:$F$103,2,0)*S199/1000/12,IF('Tinh phi QL'!$H$9="Nữ",VLOOKUP(VTLCOI!$I$19,VTLCOI!$D$3:$F$103,3,0)*S199/1000/12,0))</f>
        <v>284.51364034986176</v>
      </c>
      <c r="S199" s="551">
        <f t="shared" ca="1" si="50"/>
        <v>833536.05571248569</v>
      </c>
      <c r="T199" s="552">
        <f ca="1">(T198-O199-P199)*(1+VTL20namcamket!$W$3)</f>
        <v>124422.30491503404</v>
      </c>
      <c r="U199" s="1044"/>
      <c r="V199" s="542">
        <f ca="1">(V198-O199-R199)*(1+VTL20namMH!$P$3)</f>
        <v>166743.17790888349</v>
      </c>
    </row>
    <row r="200" spans="11:22" ht="9.75" customHeight="1">
      <c r="K200" s="1046"/>
      <c r="L200" s="1045"/>
      <c r="M200" s="265">
        <v>198</v>
      </c>
      <c r="N200" s="550">
        <f t="shared" ca="1" si="49"/>
        <v>875577.69508496602</v>
      </c>
      <c r="O200" s="538">
        <f ca="1">VTL20namcamket!F201</f>
        <v>60</v>
      </c>
      <c r="P200" s="551">
        <f ca="1">IF('Tinh phi QL'!$H$9="Nam",VLOOKUP(VTLCOI!$I$19,VTLCOI!$D$3:$F$103,2,0)*N200/1000/12,IF('Tinh phi QL'!$H$9="Nữ",VLOOKUP(VTLCOI!$I$19,VTLCOI!$D$3:$F$103,3,0)*N200/1000/12,0))</f>
        <v>298.8638532556684</v>
      </c>
      <c r="Q200" s="1043"/>
      <c r="R200" s="539">
        <f ca="1">IF('Tinh phi QL'!$H$9="Nam",VLOOKUP(VTLCOI!$I$19,VTLCOI!$D$3:$F$103,2,0)*S200/1000/12,IF('Tinh phi QL'!$H$9="Nữ",VLOOKUP(VTLCOI!$I$19,VTLCOI!$D$3:$F$103,3,0)*S200/1000/12,0))</f>
        <v>284.4183286071011</v>
      </c>
      <c r="S200" s="551">
        <f t="shared" ca="1" si="50"/>
        <v>833256.82209111657</v>
      </c>
      <c r="T200" s="552">
        <f ca="1">(T199-O200-P200)*(1+VTL20namcamket!$W$3)</f>
        <v>124115.01607591592</v>
      </c>
      <c r="U200" s="1044"/>
      <c r="V200" s="542">
        <f ca="1">(V199-O200-R200)*(1+VTL20namMH!$P$3)</f>
        <v>167023.55566967602</v>
      </c>
    </row>
    <row r="201" spans="11:22" ht="9.75" customHeight="1">
      <c r="K201" s="1046"/>
      <c r="L201" s="1045"/>
      <c r="M201" s="265">
        <v>199</v>
      </c>
      <c r="N201" s="550">
        <f t="shared" ca="1" si="49"/>
        <v>875884.98392408411</v>
      </c>
      <c r="O201" s="538">
        <f ca="1">VTL20namcamket!F202</f>
        <v>60</v>
      </c>
      <c r="P201" s="551">
        <f ca="1">IF('Tinh phi QL'!$H$9="Nam",VLOOKUP(VTLCOI!$I$19,VTLCOI!$D$3:$F$103,2,0)*N201/1000/12,IF('Tinh phi QL'!$H$9="Nữ",VLOOKUP(VTLCOI!$I$19,VTLCOI!$D$3:$F$103,3,0)*N201/1000/12,0))</f>
        <v>298.96874117942076</v>
      </c>
      <c r="Q201" s="1043"/>
      <c r="R201" s="539">
        <f ca="1">IF('Tinh phi QL'!$H$9="Nam",VLOOKUP(VTLCOI!$I$19,VTLCOI!$D$3:$F$103,2,0)*S201/1000/12,IF('Tinh phi QL'!$H$9="Nữ",VLOOKUP(VTLCOI!$I$19,VTLCOI!$D$3:$F$103,3,0)*S201/1000/12,0))</f>
        <v>284.32262633141721</v>
      </c>
      <c r="S201" s="551">
        <f t="shared" ca="1" si="50"/>
        <v>832976.44433032395</v>
      </c>
      <c r="T201" s="552">
        <f ca="1">(T200-O201-P201)*(1+VTL20namcamket!$W$3)</f>
        <v>123807.49456073855</v>
      </c>
      <c r="U201" s="1044"/>
      <c r="V201" s="542">
        <f ca="1">(V200-O201-R201)*(1+VTL20namMH!$P$3)</f>
        <v>167305.08225791986</v>
      </c>
    </row>
    <row r="202" spans="11:22" ht="9.75" customHeight="1">
      <c r="K202" s="1046"/>
      <c r="L202" s="1045"/>
      <c r="M202" s="265">
        <v>200</v>
      </c>
      <c r="N202" s="550">
        <f t="shared" ca="1" si="49"/>
        <v>876192.50543926144</v>
      </c>
      <c r="O202" s="538">
        <f ca="1">VTL20namcamket!F203</f>
        <v>60</v>
      </c>
      <c r="P202" s="551">
        <f ca="1">IF('Tinh phi QL'!$H$9="Nam",VLOOKUP(VTLCOI!$I$19,VTLCOI!$D$3:$F$103,2,0)*N202/1000/12,IF('Tinh phi QL'!$H$9="Nữ",VLOOKUP(VTLCOI!$I$19,VTLCOI!$D$3:$F$103,3,0)*N202/1000/12,0))</f>
        <v>299.07370852326795</v>
      </c>
      <c r="Q202" s="1043"/>
      <c r="R202" s="539">
        <f ca="1">IF('Tinh phi QL'!$H$9="Nam",VLOOKUP(VTLCOI!$I$19,VTLCOI!$D$3:$F$103,2,0)*S202/1000/12,IF('Tinh phi QL'!$H$9="Nữ",VLOOKUP(VTLCOI!$I$19,VTLCOI!$D$3:$F$103,3,0)*S202/1000/12,0))</f>
        <v>284.22653192263004</v>
      </c>
      <c r="S202" s="551">
        <f t="shared" ca="1" si="50"/>
        <v>832694.91774208017</v>
      </c>
      <c r="T202" s="552">
        <f ca="1">(T201-O202-P202)*(1+VTL20namcamket!$W$3)</f>
        <v>123499.74019332189</v>
      </c>
      <c r="U202" s="1044"/>
      <c r="V202" s="542">
        <f ca="1">(V201-O202-R202)*(1+VTL20namMH!$P$3)</f>
        <v>167587.76238085178</v>
      </c>
    </row>
    <row r="203" spans="11:22" ht="9.75" customHeight="1">
      <c r="K203" s="1046"/>
      <c r="L203" s="1045"/>
      <c r="M203" s="265">
        <v>201</v>
      </c>
      <c r="N203" s="550">
        <f t="shared" ca="1" si="49"/>
        <v>876500.25980667816</v>
      </c>
      <c r="O203" s="538">
        <f ca="1">VTL20namcamket!F204</f>
        <v>60</v>
      </c>
      <c r="P203" s="551">
        <f ca="1">IF('Tinh phi QL'!$H$9="Nam",VLOOKUP(VTLCOI!$I$19,VTLCOI!$D$3:$F$103,2,0)*N203/1000/12,IF('Tinh phi QL'!$H$9="Nữ",VLOOKUP(VTLCOI!$I$19,VTLCOI!$D$3:$F$103,3,0)*N203/1000/12,0))</f>
        <v>299.17875534734617</v>
      </c>
      <c r="Q203" s="1043"/>
      <c r="R203" s="539">
        <f ca="1">IF('Tinh phi QL'!$H$9="Nam",VLOOKUP(VTLCOI!$I$19,VTLCOI!$D$3:$F$103,2,0)*S203/1000/12,IF('Tinh phi QL'!$H$9="Nữ",VLOOKUP(VTLCOI!$I$19,VTLCOI!$D$3:$F$103,3,0)*S203/1000/12,0))</f>
        <v>284.13004377400256</v>
      </c>
      <c r="S203" s="551">
        <f t="shared" ca="1" si="50"/>
        <v>832412.23761914822</v>
      </c>
      <c r="T203" s="552">
        <f ca="1">(T202-O203-P203)*(1+VTL20namcamket!$W$3)</f>
        <v>123191.75279735259</v>
      </c>
      <c r="U203" s="1044"/>
      <c r="V203" s="542">
        <f ca="1">(V202-O203-R203)*(1+VTL20namMH!$P$3)</f>
        <v>167871.60076499617</v>
      </c>
    </row>
    <row r="204" spans="11:22" ht="9.75" customHeight="1">
      <c r="K204" s="1046"/>
      <c r="L204" s="1045"/>
      <c r="M204" s="265">
        <v>202</v>
      </c>
      <c r="N204" s="550">
        <f t="shared" ca="1" si="49"/>
        <v>876808.24720264738</v>
      </c>
      <c r="O204" s="538">
        <f ca="1">VTL20namcamket!F205</f>
        <v>60</v>
      </c>
      <c r="P204" s="551">
        <f ca="1">IF('Tinh phi QL'!$H$9="Nam",VLOOKUP(VTLCOI!$I$19,VTLCOI!$D$3:$F$103,2,0)*N204/1000/12,IF('Tinh phi QL'!$H$9="Nữ",VLOOKUP(VTLCOI!$I$19,VTLCOI!$D$3:$F$103,3,0)*N204/1000/12,0))</f>
        <v>299.28388171183695</v>
      </c>
      <c r="Q204" s="1043"/>
      <c r="R204" s="539">
        <f ca="1">IF('Tinh phi QL'!$H$9="Nam",VLOOKUP(VTLCOI!$I$19,VTLCOI!$D$3:$F$103,2,0)*S204/1000/12,IF('Tinh phi QL'!$H$9="Nữ",VLOOKUP(VTLCOI!$I$19,VTLCOI!$D$3:$F$103,3,0)*S204/1000/12,0))</f>
        <v>284.03316027221462</v>
      </c>
      <c r="S204" s="551">
        <f t="shared" ca="1" si="50"/>
        <v>832128.39923500386</v>
      </c>
      <c r="T204" s="552">
        <f ca="1">(T203-O204-P204)*(1+VTL20namcamket!$W$3)</f>
        <v>122883.53219638371</v>
      </c>
      <c r="U204" s="1044"/>
      <c r="V204" s="542">
        <f ca="1">(V203-O204-R204)*(1+VTL20namMH!$P$3)</f>
        <v>168156.60215624396</v>
      </c>
    </row>
    <row r="205" spans="11:22" ht="9.75" customHeight="1">
      <c r="K205" s="1046"/>
      <c r="L205" s="1045"/>
      <c r="M205" s="265">
        <v>203</v>
      </c>
      <c r="N205" s="550">
        <f t="shared" ca="1" si="49"/>
        <v>877116.46780361631</v>
      </c>
      <c r="O205" s="538">
        <f ca="1">VTL20namcamket!F206</f>
        <v>60</v>
      </c>
      <c r="P205" s="551">
        <f ca="1">IF('Tinh phi QL'!$H$9="Nam",VLOOKUP(VTLCOI!$I$19,VTLCOI!$D$3:$F$103,2,0)*N205/1000/12,IF('Tinh phi QL'!$H$9="Nữ",VLOOKUP(VTLCOI!$I$19,VTLCOI!$D$3:$F$103,3,0)*N205/1000/12,0))</f>
        <v>299.38908767696768</v>
      </c>
      <c r="Q205" s="1043"/>
      <c r="R205" s="539">
        <f ca="1">IF('Tinh phi QL'!$H$9="Nam",VLOOKUP(VTLCOI!$I$19,VTLCOI!$D$3:$F$103,2,0)*S205/1000/12,IF('Tinh phi QL'!$H$9="Nữ",VLOOKUP(VTLCOI!$I$19,VTLCOI!$D$3:$F$103,3,0)*S205/1000/12,0))</f>
        <v>283.93587979733542</v>
      </c>
      <c r="S205" s="551">
        <f t="shared" ca="1" si="50"/>
        <v>831843.39784375601</v>
      </c>
      <c r="T205" s="552">
        <f ca="1">(T204-O205-P205)*(1+VTL20namcamket!$W$3)</f>
        <v>122575.07821383473</v>
      </c>
      <c r="U205" s="1044"/>
      <c r="V205" s="542">
        <f ca="1">(V204-O205-R205)*(1+VTL20namMH!$P$3)</f>
        <v>168442.77131993204</v>
      </c>
    </row>
    <row r="206" spans="11:22" ht="9.75" customHeight="1">
      <c r="K206" s="1046"/>
      <c r="L206" s="1045"/>
      <c r="M206" s="265">
        <v>204</v>
      </c>
      <c r="N206" s="550">
        <f t="shared" ca="1" si="49"/>
        <v>877424.92178616533</v>
      </c>
      <c r="O206" s="538">
        <f ca="1">VTL20namcamket!F207</f>
        <v>60</v>
      </c>
      <c r="P206" s="551">
        <f ca="1">IF('Tinh phi QL'!$H$9="Nam",VLOOKUP(VTLCOI!$I$19,VTLCOI!$D$3:$F$103,2,0)*N206/1000/12,IF('Tinh phi QL'!$H$9="Nữ",VLOOKUP(VTLCOI!$I$19,VTLCOI!$D$3:$F$103,3,0)*N206/1000/12,0))</f>
        <v>299.49437330301112</v>
      </c>
      <c r="Q206" s="1043"/>
      <c r="R206" s="539">
        <f ca="1">IF('Tinh phi QL'!$H$9="Nam",VLOOKUP(VTLCOI!$I$19,VTLCOI!$D$3:$F$103,2,0)*S206/1000/12,IF('Tinh phi QL'!$H$9="Nữ",VLOOKUP(VTLCOI!$I$19,VTLCOI!$D$3:$F$103,3,0)*S206/1000/12,0))</f>
        <v>283.83820072279656</v>
      </c>
      <c r="S206" s="555">
        <f t="shared" ca="1" si="50"/>
        <v>831557.22868006793</v>
      </c>
      <c r="T206" s="553">
        <f ca="1">(T205-O206-P206)*(1+VTL20namcamket!$W$3)+Q195</f>
        <v>122566.39067299145</v>
      </c>
      <c r="U206" s="1044"/>
      <c r="V206" s="543">
        <f ca="1">(V205-O206-R206)*(1+VTL20namMH!$P$3)+U195</f>
        <v>169030.11304092294</v>
      </c>
    </row>
    <row r="207" spans="11:22" ht="9.75" customHeight="1">
      <c r="K207" s="1043">
        <f>K195+1</f>
        <v>18</v>
      </c>
      <c r="L207" s="1045">
        <f t="shared" ref="L207" ca="1" si="51">L195+1</f>
        <v>47</v>
      </c>
      <c r="M207" s="262">
        <v>205</v>
      </c>
      <c r="N207" s="540">
        <f ca="1">$C$4-T206-VTLGTTKcamket!F24</f>
        <v>867433.6093270086</v>
      </c>
      <c r="O207" s="538">
        <f ca="1">VTL20namcamket!F208</f>
        <v>60</v>
      </c>
      <c r="P207" s="541">
        <f ca="1">IF('Tinh phi QL'!$H$9="Nam",VLOOKUP(VTLCOI!$I$20,VTLCOI!$D$3:$F$103,2,0)*N207/1000/12,IF('Tinh phi QL'!$H$9="Nữ",VLOOKUP(VTLCOI!$I$20,VTLCOI!$D$3:$F$103,3,0)*N207/1000/12,0))</f>
        <v>319.79385730522387</v>
      </c>
      <c r="Q207" s="1043">
        <f t="shared" ref="Q207" si="52">Q195</f>
        <v>300</v>
      </c>
      <c r="R207" s="539">
        <f ca="1">IF('Tinh phi QL'!$H$9="Nam",VLOOKUP(VTLCOI!$I$20,VTLCOI!$D$3:$F$103,2,0)*S207/1000/12,IF('Tinh phi QL'!$H$9="Nữ",VLOOKUP(VTLCOI!$I$20,VTLCOI!$D$3:$F$103,3,0)*S207/1000/12,0))</f>
        <v>302.66423165891314</v>
      </c>
      <c r="S207" s="541">
        <f ca="1">$C$4-V206-VTLGTTKMH!F24</f>
        <v>820969.88695907709</v>
      </c>
      <c r="T207" s="552">
        <f ca="1">(T206+VTLGTTKcamket!F24-O207-P207)*(1+VTL20namcamket!$W$3)</f>
        <v>132241.54874625674</v>
      </c>
      <c r="U207" s="1044">
        <f>Q207</f>
        <v>300</v>
      </c>
      <c r="V207" s="542">
        <f ca="1">(V206+VTLGTTKMH!F24-O207-R207)*(1+VTL20namMH!$P$3)</f>
        <v>179338.31152242736</v>
      </c>
    </row>
    <row r="208" spans="11:22" ht="9.75" customHeight="1">
      <c r="K208" s="1043"/>
      <c r="L208" s="1045"/>
      <c r="M208" s="262">
        <v>206</v>
      </c>
      <c r="N208" s="540">
        <f t="shared" ref="N208:N218" ca="1" si="53">$C$4-T207</f>
        <v>867758.45125374326</v>
      </c>
      <c r="O208" s="538">
        <f ca="1">VTL20namcamket!F209</f>
        <v>60</v>
      </c>
      <c r="P208" s="541">
        <f ca="1">IF('Tinh phi QL'!$H$9="Nam",VLOOKUP(VTLCOI!$I$20,VTLCOI!$D$3:$F$103,2,0)*N208/1000/12,IF('Tinh phi QL'!$H$9="Nữ",VLOOKUP(VTLCOI!$I$20,VTLCOI!$D$3:$F$103,3,0)*N208/1000/12,0))</f>
        <v>319.9136156955467</v>
      </c>
      <c r="Q208" s="1043"/>
      <c r="R208" s="539">
        <f ca="1">IF('Tinh phi QL'!$H$9="Nam",VLOOKUP(VTLCOI!$I$20,VTLCOI!$D$3:$F$103,2,0)*S208/1000/12,IF('Tinh phi QL'!$H$9="Nữ",VLOOKUP(VTLCOI!$I$20,VTLCOI!$D$3:$F$103,3,0)*S208/1000/12,0))</f>
        <v>302.55060915206514</v>
      </c>
      <c r="S208" s="541">
        <f t="shared" ca="1" si="50"/>
        <v>820661.68847757264</v>
      </c>
      <c r="T208" s="552">
        <f ca="1">(T207-O208-P208)*(1+VTL20namcamket!$W$3)</f>
        <v>131916.45196973521</v>
      </c>
      <c r="U208" s="1044"/>
      <c r="V208" s="542">
        <f ca="1">(V207-O208-R208)*(1+VTL20namMH!$P$3)</f>
        <v>179647.78128048236</v>
      </c>
    </row>
    <row r="209" spans="11:22" ht="9.75" customHeight="1">
      <c r="K209" s="1043"/>
      <c r="L209" s="1045"/>
      <c r="M209" s="262">
        <v>207</v>
      </c>
      <c r="N209" s="540">
        <f t="shared" ca="1" si="53"/>
        <v>868083.54803026479</v>
      </c>
      <c r="O209" s="538">
        <f ca="1">VTL20namcamket!F210</f>
        <v>60</v>
      </c>
      <c r="P209" s="541">
        <f ca="1">IF('Tinh phi QL'!$H$9="Nam",VLOOKUP(VTLCOI!$I$20,VTLCOI!$D$3:$F$103,2,0)*N209/1000/12,IF('Tinh phi QL'!$H$9="Nữ",VLOOKUP(VTLCOI!$I$20,VTLCOI!$D$3:$F$103,3,0)*N209/1000/12,0))</f>
        <v>320.03346804049096</v>
      </c>
      <c r="Q209" s="1043"/>
      <c r="R209" s="539">
        <f ca="1">IF('Tinh phi QL'!$H$9="Nam",VLOOKUP(VTLCOI!$I$20,VTLCOI!$D$3:$F$103,2,0)*S209/1000/12,IF('Tinh phi QL'!$H$9="Nữ",VLOOKUP(VTLCOI!$I$20,VTLCOI!$D$3:$F$103,3,0)*S209/1000/12,0))</f>
        <v>302.43651796792881</v>
      </c>
      <c r="S209" s="541">
        <f t="shared" ca="1" si="50"/>
        <v>820352.21871951758</v>
      </c>
      <c r="T209" s="552">
        <f ca="1">(T208-O209-P209)*(1+VTL20namcamket!$W$3)</f>
        <v>131591.10014348835</v>
      </c>
      <c r="U209" s="1044"/>
      <c r="V209" s="542">
        <f ca="1">(V208-O209-R209)*(1+VTL20namMH!$P$3)</f>
        <v>179958.52755892972</v>
      </c>
    </row>
    <row r="210" spans="11:22" ht="9.75" customHeight="1">
      <c r="K210" s="1043"/>
      <c r="L210" s="1045"/>
      <c r="M210" s="262">
        <v>208</v>
      </c>
      <c r="N210" s="540">
        <f t="shared" ca="1" si="53"/>
        <v>868408.89985651162</v>
      </c>
      <c r="O210" s="538">
        <f ca="1">VTL20namcamket!F211</f>
        <v>60</v>
      </c>
      <c r="P210" s="541">
        <f ca="1">IF('Tinh phi QL'!$H$9="Nam",VLOOKUP(VTLCOI!$I$20,VTLCOI!$D$3:$F$103,2,0)*N210/1000/12,IF('Tinh phi QL'!$H$9="Nữ",VLOOKUP(VTLCOI!$I$20,VTLCOI!$D$3:$F$103,3,0)*N210/1000/12,0))</f>
        <v>320.15341441376734</v>
      </c>
      <c r="Q210" s="1043"/>
      <c r="R210" s="539">
        <f ca="1">IF('Tinh phi QL'!$H$9="Nam",VLOOKUP(VTLCOI!$I$20,VTLCOI!$D$3:$F$103,2,0)*S210/1000/12,IF('Tinh phi QL'!$H$9="Nữ",VLOOKUP(VTLCOI!$I$20,VTLCOI!$D$3:$F$103,3,0)*S210/1000/12,0))</f>
        <v>302.3219561732746</v>
      </c>
      <c r="S210" s="541">
        <f t="shared" ca="1" si="50"/>
        <v>820041.47244107025</v>
      </c>
      <c r="T210" s="552">
        <f ca="1">(T209-O210-P210)*(1+VTL20namcamket!$W$3)</f>
        <v>131265.49306742082</v>
      </c>
      <c r="U210" s="1044"/>
      <c r="V210" s="542">
        <f ca="1">(V209-O210-R210)*(1+VTL20namMH!$P$3)</f>
        <v>180270.55562324129</v>
      </c>
    </row>
    <row r="211" spans="11:22" ht="9.75" customHeight="1">
      <c r="K211" s="1043"/>
      <c r="L211" s="1045"/>
      <c r="M211" s="262">
        <v>209</v>
      </c>
      <c r="N211" s="540">
        <f t="shared" ca="1" si="53"/>
        <v>868734.50693257921</v>
      </c>
      <c r="O211" s="538">
        <f ca="1">VTL20namcamket!F212</f>
        <v>60</v>
      </c>
      <c r="P211" s="541">
        <f ca="1">IF('Tinh phi QL'!$H$9="Nam",VLOOKUP(VTLCOI!$I$20,VTLCOI!$D$3:$F$103,2,0)*N211/1000/12,IF('Tinh phi QL'!$H$9="Nữ",VLOOKUP(VTLCOI!$I$20,VTLCOI!$D$3:$F$103,3,0)*N211/1000/12,0))</f>
        <v>320.27345488914426</v>
      </c>
      <c r="Q211" s="1043"/>
      <c r="R211" s="539">
        <f ca="1">IF('Tinh phi QL'!$H$9="Nam",VLOOKUP(VTLCOI!$I$20,VTLCOI!$D$3:$F$103,2,0)*S211/1000/12,IF('Tinh phi QL'!$H$9="Nữ",VLOOKUP(VTLCOI!$I$20,VTLCOI!$D$3:$F$103,3,0)*S211/1000/12,0))</f>
        <v>302.20692182689839</v>
      </c>
      <c r="S211" s="541">
        <f t="shared" ca="1" si="50"/>
        <v>819729.44437675877</v>
      </c>
      <c r="T211" s="552">
        <f ca="1">(T210-O211-P211)*(1+VTL20namcamket!$W$3)</f>
        <v>130939.63054128022</v>
      </c>
      <c r="U211" s="1044"/>
      <c r="V211" s="542">
        <f ca="1">(V210-O211-R211)*(1+VTL20namMH!$P$3)</f>
        <v>180583.87076060835</v>
      </c>
    </row>
    <row r="212" spans="11:22" ht="9.75" customHeight="1">
      <c r="K212" s="1043"/>
      <c r="L212" s="1045"/>
      <c r="M212" s="262">
        <v>210</v>
      </c>
      <c r="N212" s="540">
        <f t="shared" ca="1" si="53"/>
        <v>869060.36945871974</v>
      </c>
      <c r="O212" s="538">
        <f ca="1">VTL20namcamket!F213</f>
        <v>60</v>
      </c>
      <c r="P212" s="541">
        <f ca="1">IF('Tinh phi QL'!$H$9="Nam",VLOOKUP(VTLCOI!$I$20,VTLCOI!$D$3:$F$103,2,0)*N212/1000/12,IF('Tinh phi QL'!$H$9="Nữ",VLOOKUP(VTLCOI!$I$20,VTLCOI!$D$3:$F$103,3,0)*N212/1000/12,0))</f>
        <v>320.39358954044803</v>
      </c>
      <c r="Q212" s="1043"/>
      <c r="R212" s="539">
        <f ca="1">IF('Tinh phi QL'!$H$9="Nam",VLOOKUP(VTLCOI!$I$20,VTLCOI!$D$3:$F$103,2,0)*S212/1000/12,IF('Tinh phi QL'!$H$9="Nữ",VLOOKUP(VTLCOI!$I$20,VTLCOI!$D$3:$F$103,3,0)*S212/1000/12,0))</f>
        <v>302.09141297958905</v>
      </c>
      <c r="S212" s="541">
        <f t="shared" ca="1" si="50"/>
        <v>819416.12923939165</v>
      </c>
      <c r="T212" s="552">
        <f ca="1">(T211-O212-P212)*(1+VTL20namcamket!$W$3)</f>
        <v>130613.5123646571</v>
      </c>
      <c r="U212" s="1044"/>
      <c r="V212" s="542">
        <f ca="1">(V211-O212-R212)*(1+VTL20namMH!$P$3)</f>
        <v>180898.47828003106</v>
      </c>
    </row>
    <row r="213" spans="11:22" ht="9.75" customHeight="1">
      <c r="K213" s="1043"/>
      <c r="L213" s="1045"/>
      <c r="M213" s="262">
        <v>211</v>
      </c>
      <c r="N213" s="540">
        <f t="shared" ca="1" si="53"/>
        <v>869386.48763534287</v>
      </c>
      <c r="O213" s="538">
        <f ca="1">VTL20namcamket!F214</f>
        <v>60</v>
      </c>
      <c r="P213" s="541">
        <f ca="1">IF('Tinh phi QL'!$H$9="Nam",VLOOKUP(VTLCOI!$I$20,VTLCOI!$D$3:$F$103,2,0)*N213/1000/12,IF('Tinh phi QL'!$H$9="Nữ",VLOOKUP(VTLCOI!$I$20,VTLCOI!$D$3:$F$103,3,0)*N213/1000/12,0))</f>
        <v>320.5138184415631</v>
      </c>
      <c r="Q213" s="1043"/>
      <c r="R213" s="539">
        <f ca="1">IF('Tinh phi QL'!$H$9="Nam",VLOOKUP(VTLCOI!$I$20,VTLCOI!$D$3:$F$103,2,0)*S213/1000/12,IF('Tinh phi QL'!$H$9="Nữ",VLOOKUP(VTLCOI!$I$20,VTLCOI!$D$3:$F$103,3,0)*S213/1000/12,0))</f>
        <v>301.97542767409522</v>
      </c>
      <c r="S213" s="541">
        <f t="shared" ca="1" si="50"/>
        <v>819101.52171996888</v>
      </c>
      <c r="T213" s="552">
        <f ca="1">(T212-O213-P213)*(1+VTL20namcamket!$W$3)</f>
        <v>130287.13833698476</v>
      </c>
      <c r="U213" s="1044"/>
      <c r="V213" s="542">
        <f ca="1">(V212-O213-R213)*(1+VTL20namMH!$P$3)</f>
        <v>181214.38351240853</v>
      </c>
    </row>
    <row r="214" spans="11:22" ht="9.75" customHeight="1">
      <c r="K214" s="1043"/>
      <c r="L214" s="1045"/>
      <c r="M214" s="262">
        <v>212</v>
      </c>
      <c r="N214" s="540">
        <f t="shared" ca="1" si="53"/>
        <v>869712.86166301521</v>
      </c>
      <c r="O214" s="538">
        <f ca="1">VTL20namcamket!F215</f>
        <v>60</v>
      </c>
      <c r="P214" s="541">
        <f ca="1">IF('Tinh phi QL'!$H$9="Nam",VLOOKUP(VTLCOI!$I$20,VTLCOI!$D$3:$F$103,2,0)*N214/1000/12,IF('Tinh phi QL'!$H$9="Nữ",VLOOKUP(VTLCOI!$I$20,VTLCOI!$D$3:$F$103,3,0)*N214/1000/12,0))</f>
        <v>320.63414166643162</v>
      </c>
      <c r="Q214" s="1043"/>
      <c r="R214" s="539">
        <f ca="1">IF('Tinh phi QL'!$H$9="Nam",VLOOKUP(VTLCOI!$I$20,VTLCOI!$D$3:$F$103,2,0)*S214/1000/12,IF('Tinh phi QL'!$H$9="Nữ",VLOOKUP(VTLCOI!$I$20,VTLCOI!$D$3:$F$103,3,0)*S214/1000/12,0))</f>
        <v>301.85896394509206</v>
      </c>
      <c r="S214" s="541">
        <f t="shared" ca="1" si="50"/>
        <v>818785.61648759153</v>
      </c>
      <c r="T214" s="552">
        <f ca="1">(T213-O214-P214)*(1+VTL20namcamket!$W$3)</f>
        <v>129960.50825753917</v>
      </c>
      <c r="U214" s="1044"/>
      <c r="V214" s="542">
        <f ca="1">(V213-O214-R214)*(1+VTL20namMH!$P$3)</f>
        <v>181531.59181062903</v>
      </c>
    </row>
    <row r="215" spans="11:22" ht="9.75" customHeight="1">
      <c r="K215" s="1043"/>
      <c r="L215" s="1045"/>
      <c r="M215" s="262">
        <v>213</v>
      </c>
      <c r="N215" s="540">
        <f t="shared" ca="1" si="53"/>
        <v>870039.49174246087</v>
      </c>
      <c r="O215" s="538">
        <f ca="1">VTL20namcamket!F216</f>
        <v>60</v>
      </c>
      <c r="P215" s="541">
        <f ca="1">IF('Tinh phi QL'!$H$9="Nam",VLOOKUP(VTLCOI!$I$20,VTLCOI!$D$3:$F$103,2,0)*N215/1000/12,IF('Tinh phi QL'!$H$9="Nữ",VLOOKUP(VTLCOI!$I$20,VTLCOI!$D$3:$F$103,3,0)*N215/1000/12,0))</f>
        <v>320.75455928905393</v>
      </c>
      <c r="Q215" s="1043"/>
      <c r="R215" s="539">
        <f ca="1">IF('Tinh phi QL'!$H$9="Nam",VLOOKUP(VTLCOI!$I$20,VTLCOI!$D$3:$F$103,2,0)*S215/1000/12,IF('Tinh phi QL'!$H$9="Nữ",VLOOKUP(VTLCOI!$I$20,VTLCOI!$D$3:$F$103,3,0)*S215/1000/12,0))</f>
        <v>301.74201981914808</v>
      </c>
      <c r="S215" s="541">
        <f t="shared" ca="1" si="50"/>
        <v>818468.408189371</v>
      </c>
      <c r="T215" s="552">
        <f ca="1">(T214-O215-P215)*(1+VTL20namcamket!$W$3)</f>
        <v>129633.62192543881</v>
      </c>
      <c r="U215" s="1044"/>
      <c r="V215" s="542">
        <f ca="1">(V214-O215-R215)*(1+VTL20namMH!$P$3)</f>
        <v>181850.10854966083</v>
      </c>
    </row>
    <row r="216" spans="11:22" ht="9.75" customHeight="1">
      <c r="K216" s="1043"/>
      <c r="L216" s="1045"/>
      <c r="M216" s="262">
        <v>214</v>
      </c>
      <c r="N216" s="540">
        <f t="shared" ca="1" si="53"/>
        <v>870366.37807456125</v>
      </c>
      <c r="O216" s="538">
        <f ca="1">VTL20namcamket!F217</f>
        <v>60</v>
      </c>
      <c r="P216" s="541">
        <f ca="1">IF('Tinh phi QL'!$H$9="Nam",VLOOKUP(VTLCOI!$I$20,VTLCOI!$D$3:$F$103,2,0)*N216/1000/12,IF('Tinh phi QL'!$H$9="Nữ",VLOOKUP(VTLCOI!$I$20,VTLCOI!$D$3:$F$103,3,0)*N216/1000/12,0))</f>
        <v>320.87507138348832</v>
      </c>
      <c r="Q216" s="1043"/>
      <c r="R216" s="539">
        <f ca="1">IF('Tinh phi QL'!$H$9="Nam",VLOOKUP(VTLCOI!$I$20,VTLCOI!$D$3:$F$103,2,0)*S216/1000/12,IF('Tinh phi QL'!$H$9="Nữ",VLOOKUP(VTLCOI!$I$20,VTLCOI!$D$3:$F$103,3,0)*S216/1000/12,0))</f>
        <v>301.62459331469177</v>
      </c>
      <c r="S216" s="541">
        <f t="shared" ca="1" si="50"/>
        <v>818149.89145033923</v>
      </c>
      <c r="T216" s="552">
        <f ca="1">(T215-O216-P216)*(1+VTL20namcamket!$W$3)</f>
        <v>129306.47913964455</v>
      </c>
      <c r="U216" s="1044"/>
      <c r="V216" s="542">
        <f ca="1">(V215-O216-R216)*(1+VTL20namMH!$P$3)</f>
        <v>182169.93912664318</v>
      </c>
    </row>
    <row r="217" spans="11:22" ht="9.75" customHeight="1">
      <c r="K217" s="1043"/>
      <c r="L217" s="1045"/>
      <c r="M217" s="262">
        <v>215</v>
      </c>
      <c r="N217" s="540">
        <f t="shared" ca="1" si="53"/>
        <v>870693.52086035546</v>
      </c>
      <c r="O217" s="538">
        <f ca="1">VTL20namcamket!F218</f>
        <v>60</v>
      </c>
      <c r="P217" s="541">
        <f ca="1">IF('Tinh phi QL'!$H$9="Nam",VLOOKUP(VTLCOI!$I$20,VTLCOI!$D$3:$F$103,2,0)*N217/1000/12,IF('Tinh phi QL'!$H$9="Nữ",VLOOKUP(VTLCOI!$I$20,VTLCOI!$D$3:$F$103,3,0)*N217/1000/12,0))</f>
        <v>320.9956780238511</v>
      </c>
      <c r="Q217" s="1043"/>
      <c r="R217" s="539">
        <f ca="1">IF('Tinh phi QL'!$H$9="Nam",VLOOKUP(VTLCOI!$I$20,VTLCOI!$D$3:$F$103,2,0)*S217/1000/12,IF('Tinh phi QL'!$H$9="Nữ",VLOOKUP(VTLCOI!$I$20,VTLCOI!$D$3:$F$103,3,0)*S217/1000/12,0))</f>
        <v>301.5066824419776</v>
      </c>
      <c r="S217" s="541">
        <f t="shared" ca="1" si="50"/>
        <v>817830.06087335688</v>
      </c>
      <c r="T217" s="552">
        <f ca="1">(T216-O217-P217)*(1+VTL20namcamket!$W$3)</f>
        <v>128979.07969895955</v>
      </c>
      <c r="U217" s="1044"/>
      <c r="V217" s="542">
        <f ca="1">(V216-O217-R217)*(1+VTL20namMH!$P$3)</f>
        <v>182491.08896097777</v>
      </c>
    </row>
    <row r="218" spans="11:22" ht="9.75" customHeight="1">
      <c r="K218" s="1043"/>
      <c r="L218" s="1045"/>
      <c r="M218" s="262">
        <v>216</v>
      </c>
      <c r="N218" s="540">
        <f t="shared" ca="1" si="53"/>
        <v>871020.9203010404</v>
      </c>
      <c r="O218" s="538">
        <f ca="1">VTL20namcamket!F219</f>
        <v>60</v>
      </c>
      <c r="P218" s="541">
        <f ca="1">IF('Tinh phi QL'!$H$9="Nam",VLOOKUP(VTLCOI!$I$20,VTLCOI!$D$3:$F$103,2,0)*N218/1000/12,IF('Tinh phi QL'!$H$9="Nữ",VLOOKUP(VTLCOI!$I$20,VTLCOI!$D$3:$F$103,3,0)*N218/1000/12,0))</f>
        <v>321.11637928431691</v>
      </c>
      <c r="Q218" s="1043"/>
      <c r="R218" s="539">
        <f ca="1">IF('Tinh phi QL'!$H$9="Nam",VLOOKUP(VTLCOI!$I$20,VTLCOI!$D$3:$F$103,2,0)*S218/1000/12,IF('Tinh phi QL'!$H$9="Nữ",VLOOKUP(VTLCOI!$I$20,VTLCOI!$D$3:$F$103,3,0)*S218/1000/12,0))</f>
        <v>301.38828520305293</v>
      </c>
      <c r="S218" s="554">
        <f t="shared" ca="1" si="50"/>
        <v>817508.91103902226</v>
      </c>
      <c r="T218" s="553">
        <f ca="1">(T217-O218-P218)*(1+VTL20namcamket!$W$3)+Q207</f>
        <v>128951.42340202915</v>
      </c>
      <c r="U218" s="1044"/>
      <c r="V218" s="543">
        <f ca="1">(V217-O218-R218)*(1+VTL20namMH!$P$3)+U207</f>
        <v>183113.56349442061</v>
      </c>
    </row>
    <row r="219" spans="11:22" ht="9.75" customHeight="1">
      <c r="K219" s="1045">
        <f>K207+1</f>
        <v>19</v>
      </c>
      <c r="L219" s="1045">
        <f t="shared" ref="L219" ca="1" si="54">L207+1</f>
        <v>48</v>
      </c>
      <c r="M219" s="252">
        <v>217</v>
      </c>
      <c r="N219" s="538">
        <f ca="1">$C$4-T218-VTLGTTKcamket!F25</f>
        <v>861048.57659797091</v>
      </c>
      <c r="O219" s="538">
        <f ca="1">VTL20namcamket!F220</f>
        <v>60</v>
      </c>
      <c r="P219" s="539">
        <f ca="1">IF('Tinh phi QL'!$H$9="Nam",VLOOKUP(VTLCOI!$I$21,VTLCOI!$D$3:$F$103,2,0)*N219/1000/12,IF('Tinh phi QL'!$H$9="Nữ",VLOOKUP(VTLCOI!$I$21,VTLCOI!$D$3:$F$103,3,0)*N219/1000/12,0))</f>
        <v>342.69733348599237</v>
      </c>
      <c r="Q219" s="1043">
        <f t="shared" ref="Q219" si="55">Q207</f>
        <v>300</v>
      </c>
      <c r="R219" s="539">
        <f ca="1">IF('Tinh phi QL'!$H$9="Nam",VLOOKUP(VTLCOI!$I$21,VTLCOI!$D$3:$F$103,2,0)*S219/1000/12,IF('Tinh phi QL'!$H$9="Nữ",VLOOKUP(VTLCOI!$I$21,VTLCOI!$D$3:$F$103,3,0)*S219/1000/12,0))</f>
        <v>321.14080172922058</v>
      </c>
      <c r="S219" s="539">
        <f ca="1">$C$4-V218-VTLGTTKMH!F25</f>
        <v>806886.43650557939</v>
      </c>
      <c r="T219" s="552">
        <f ca="1">(T218+VTLGTTKcamket!F25-O219-P219)*(1+VTL20namcamket!$W$3)</f>
        <v>138606.32283068815</v>
      </c>
      <c r="U219" s="1044">
        <f>Q219</f>
        <v>300</v>
      </c>
      <c r="V219" s="542">
        <f ca="1">(V218+VTLGTTKMH!F25-O219-R219)*(1+VTL20namMH!$P$3)</f>
        <v>193456.09674111972</v>
      </c>
    </row>
    <row r="220" spans="11:22" ht="9.75" customHeight="1">
      <c r="K220" s="1045"/>
      <c r="L220" s="1045"/>
      <c r="M220" s="252">
        <v>218</v>
      </c>
      <c r="N220" s="538">
        <f t="shared" ref="N220:N230" ca="1" si="56">$C$4-T219</f>
        <v>861393.67716931179</v>
      </c>
      <c r="O220" s="538">
        <f ca="1">VTL20namcamket!F221</f>
        <v>60</v>
      </c>
      <c r="P220" s="539">
        <f ca="1">IF('Tinh phi QL'!$H$9="Nam",VLOOKUP(VTLCOI!$I$21,VTLCOI!$D$3:$F$103,2,0)*N220/1000/12,IF('Tinh phi QL'!$H$9="Nữ",VLOOKUP(VTLCOI!$I$21,VTLCOI!$D$3:$F$103,3,0)*N220/1000/12,0))</f>
        <v>342.8346835133861</v>
      </c>
      <c r="Q220" s="1043"/>
      <c r="R220" s="539">
        <f ca="1">IF('Tinh phi QL'!$H$9="Nam",VLOOKUP(VTLCOI!$I$21,VTLCOI!$D$3:$F$103,2,0)*S220/1000/12,IF('Tinh phi QL'!$H$9="Nữ",VLOOKUP(VTLCOI!$I$21,VTLCOI!$D$3:$F$103,3,0)*S220/1000/12,0))</f>
        <v>321.00447349703433</v>
      </c>
      <c r="S220" s="539">
        <f t="shared" ca="1" si="50"/>
        <v>806543.90325888025</v>
      </c>
      <c r="T220" s="552">
        <f ca="1">(T219-O220-P220)*(1+VTL20namcamket!$W$3)</f>
        <v>138260.94138879087</v>
      </c>
      <c r="U220" s="1044"/>
      <c r="V220" s="542">
        <f ca="1">(V219-O220-R220)*(1+VTL20namMH!$P$3)</f>
        <v>193800.05297594506</v>
      </c>
    </row>
    <row r="221" spans="11:22" ht="9.75" customHeight="1">
      <c r="K221" s="1045"/>
      <c r="L221" s="1045"/>
      <c r="M221" s="252">
        <v>219</v>
      </c>
      <c r="N221" s="538">
        <f t="shared" ca="1" si="56"/>
        <v>861739.05861120916</v>
      </c>
      <c r="O221" s="538">
        <f ca="1">VTL20namcamket!F222</f>
        <v>60</v>
      </c>
      <c r="P221" s="539">
        <f ca="1">IF('Tinh phi QL'!$H$9="Nam",VLOOKUP(VTLCOI!$I$21,VTLCOI!$D$3:$F$103,2,0)*N221/1000/12,IF('Tinh phi QL'!$H$9="Nữ",VLOOKUP(VTLCOI!$I$21,VTLCOI!$D$3:$F$103,3,0)*N221/1000/12,0))</f>
        <v>342.97214532726122</v>
      </c>
      <c r="Q221" s="1043"/>
      <c r="R221" s="539">
        <f ca="1">IF('Tinh phi QL'!$H$9="Nam",VLOOKUP(VTLCOI!$I$21,VTLCOI!$D$3:$F$103,2,0)*S221/1000/12,IF('Tinh phi QL'!$H$9="Nữ",VLOOKUP(VTLCOI!$I$21,VTLCOI!$D$3:$F$103,3,0)*S221/1000/12,0))</f>
        <v>320.86757891557386</v>
      </c>
      <c r="S221" s="539">
        <f t="shared" ca="1" si="50"/>
        <v>806199.94702405494</v>
      </c>
      <c r="T221" s="552">
        <f ca="1">(T220-O221-P221)*(1+VTL20namcamket!$W$3)</f>
        <v>137915.27884774233</v>
      </c>
      <c r="U221" s="1044"/>
      <c r="V221" s="542">
        <f ca="1">(V220-O221-R221)*(1+VTL20namMH!$P$3)</f>
        <v>194145.4381104256</v>
      </c>
    </row>
    <row r="222" spans="11:22" ht="9.75" customHeight="1">
      <c r="K222" s="1045"/>
      <c r="L222" s="1045"/>
      <c r="M222" s="252">
        <v>220</v>
      </c>
      <c r="N222" s="538">
        <f t="shared" ca="1" si="56"/>
        <v>862084.72115225764</v>
      </c>
      <c r="O222" s="538">
        <f ca="1">VTL20namcamket!F223</f>
        <v>60</v>
      </c>
      <c r="P222" s="539">
        <f ca="1">IF('Tinh phi QL'!$H$9="Nam",VLOOKUP(VTLCOI!$I$21,VTLCOI!$D$3:$F$103,2,0)*N222/1000/12,IF('Tinh phi QL'!$H$9="Nữ",VLOOKUP(VTLCOI!$I$21,VTLCOI!$D$3:$F$103,3,0)*N222/1000/12,0))</f>
        <v>343.10971901859853</v>
      </c>
      <c r="Q222" s="1043"/>
      <c r="R222" s="539">
        <f ca="1">IF('Tinh phi QL'!$H$9="Nam",VLOOKUP(VTLCOI!$I$21,VTLCOI!$D$3:$F$103,2,0)*S222/1000/12,IF('Tinh phi QL'!$H$9="Nữ",VLOOKUP(VTLCOI!$I$21,VTLCOI!$D$3:$F$103,3,0)*S222/1000/12,0))</f>
        <v>320.73011563205063</v>
      </c>
      <c r="S222" s="539">
        <f t="shared" ca="1" si="50"/>
        <v>805854.5618895744</v>
      </c>
      <c r="T222" s="552">
        <f ca="1">(T221-O222-P222)*(1+VTL20namcamket!$W$3)</f>
        <v>137569.33497876144</v>
      </c>
      <c r="U222" s="1044"/>
      <c r="V222" s="542">
        <f ca="1">(V221-O222-R222)*(1+VTL20namMH!$P$3)</f>
        <v>194492.25808064861</v>
      </c>
    </row>
    <row r="223" spans="11:22" ht="9.75" customHeight="1">
      <c r="K223" s="1045"/>
      <c r="L223" s="1045"/>
      <c r="M223" s="252">
        <v>221</v>
      </c>
      <c r="N223" s="538">
        <f t="shared" ca="1" si="56"/>
        <v>862430.66502123862</v>
      </c>
      <c r="O223" s="538">
        <f ca="1">VTL20namcamket!F224</f>
        <v>60</v>
      </c>
      <c r="P223" s="539">
        <f ca="1">IF('Tinh phi QL'!$H$9="Nam",VLOOKUP(VTLCOI!$I$21,VTLCOI!$D$3:$F$103,2,0)*N223/1000/12,IF('Tinh phi QL'!$H$9="Nữ",VLOOKUP(VTLCOI!$I$21,VTLCOI!$D$3:$F$103,3,0)*N223/1000/12,0))</f>
        <v>343.24740467845294</v>
      </c>
      <c r="Q223" s="1043"/>
      <c r="R223" s="539">
        <f ca="1">IF('Tinh phi QL'!$H$9="Nam",VLOOKUP(VTLCOI!$I$21,VTLCOI!$D$3:$F$103,2,0)*S223/1000/12,IF('Tinh phi QL'!$H$9="Nữ",VLOOKUP(VTLCOI!$I$21,VTLCOI!$D$3:$F$103,3,0)*S223/1000/12,0))</f>
        <v>320.59208128390185</v>
      </c>
      <c r="S223" s="539">
        <f t="shared" ca="1" si="50"/>
        <v>805507.74191935139</v>
      </c>
      <c r="T223" s="552">
        <f ca="1">(T222-O223-P223)*(1+VTL20namcamket!$W$3)</f>
        <v>137223.10955288092</v>
      </c>
      <c r="U223" s="1044"/>
      <c r="V223" s="542">
        <f ca="1">(V222-O223-R223)*(1+VTL20namMH!$P$3)</f>
        <v>194840.5188473617</v>
      </c>
    </row>
    <row r="224" spans="11:22" ht="9.75" customHeight="1">
      <c r="K224" s="1045"/>
      <c r="L224" s="1045"/>
      <c r="M224" s="252">
        <v>222</v>
      </c>
      <c r="N224" s="538">
        <f t="shared" ca="1" si="56"/>
        <v>862776.89044711902</v>
      </c>
      <c r="O224" s="538">
        <f ca="1">VTL20namcamket!F225</f>
        <v>60</v>
      </c>
      <c r="P224" s="539">
        <f ca="1">IF('Tinh phi QL'!$H$9="Nam",VLOOKUP(VTLCOI!$I$21,VTLCOI!$D$3:$F$103,2,0)*N224/1000/12,IF('Tinh phi QL'!$H$9="Nữ",VLOOKUP(VTLCOI!$I$21,VTLCOI!$D$3:$F$103,3,0)*N224/1000/12,0))</f>
        <v>343.38520239795338</v>
      </c>
      <c r="Q224" s="1043"/>
      <c r="R224" s="539">
        <f ca="1">IF('Tinh phi QL'!$H$9="Nam",VLOOKUP(VTLCOI!$I$21,VTLCOI!$D$3:$F$103,2,0)*S224/1000/12,IF('Tinh phi QL'!$H$9="Nữ",VLOOKUP(VTLCOI!$I$21,VTLCOI!$D$3:$F$103,3,0)*S224/1000/12,0))</f>
        <v>320.45347349875004</v>
      </c>
      <c r="S224" s="539">
        <f t="shared" ca="1" si="50"/>
        <v>805159.48115263833</v>
      </c>
      <c r="T224" s="552">
        <f ca="1">(T223-O224-P224)*(1+VTL20namcamket!$W$3)</f>
        <v>136876.6023409472</v>
      </c>
      <c r="U224" s="1044"/>
      <c r="V224" s="542">
        <f ca="1">(V223-O224-R224)*(1+VTL20namMH!$P$3)</f>
        <v>195190.22639607522</v>
      </c>
    </row>
    <row r="225" spans="11:22" ht="9.75" customHeight="1">
      <c r="K225" s="1045"/>
      <c r="L225" s="1045"/>
      <c r="M225" s="252">
        <v>223</v>
      </c>
      <c r="N225" s="538">
        <f t="shared" ca="1" si="56"/>
        <v>863123.39765905286</v>
      </c>
      <c r="O225" s="538">
        <f ca="1">VTL20namcamket!F226</f>
        <v>60</v>
      </c>
      <c r="P225" s="539">
        <f ca="1">IF('Tinh phi QL'!$H$9="Nam",VLOOKUP(VTLCOI!$I$21,VTLCOI!$D$3:$F$103,2,0)*N225/1000/12,IF('Tinh phi QL'!$H$9="Nữ",VLOOKUP(VTLCOI!$I$21,VTLCOI!$D$3:$F$103,3,0)*N225/1000/12,0))</f>
        <v>343.52311226830301</v>
      </c>
      <c r="Q225" s="1043"/>
      <c r="R225" s="539">
        <f ca="1">IF('Tinh phi QL'!$H$9="Nam",VLOOKUP(VTLCOI!$I$21,VTLCOI!$D$3:$F$103,2,0)*S225/1000/12,IF('Tinh phi QL'!$H$9="Nữ",VLOOKUP(VTLCOI!$I$21,VTLCOI!$D$3:$F$103,3,0)*S225/1000/12,0))</f>
        <v>320.31428989436205</v>
      </c>
      <c r="S225" s="539">
        <f t="shared" ca="1" si="50"/>
        <v>804809.77360392478</v>
      </c>
      <c r="T225" s="552">
        <f ca="1">(T224-O225-P225)*(1+VTL20namcamket!$W$3)</f>
        <v>136529.81311362013</v>
      </c>
      <c r="U225" s="1044"/>
      <c r="V225" s="542">
        <f ca="1">(V224-O225-R225)*(1+VTL20namMH!$P$3)</f>
        <v>195541.38673716516</v>
      </c>
    </row>
    <row r="226" spans="11:22" ht="9.75" customHeight="1">
      <c r="K226" s="1045"/>
      <c r="L226" s="1045"/>
      <c r="M226" s="252">
        <v>224</v>
      </c>
      <c r="N226" s="538">
        <f t="shared" ca="1" si="56"/>
        <v>863470.18688637984</v>
      </c>
      <c r="O226" s="538">
        <f ca="1">VTL20namcamket!F227</f>
        <v>60</v>
      </c>
      <c r="P226" s="539">
        <f ca="1">IF('Tinh phi QL'!$H$9="Nam",VLOOKUP(VTLCOI!$I$21,VTLCOI!$D$3:$F$103,2,0)*N226/1000/12,IF('Tinh phi QL'!$H$9="Nữ",VLOOKUP(VTLCOI!$I$21,VTLCOI!$D$3:$F$103,3,0)*N226/1000/12,0))</f>
        <v>343.66113438077917</v>
      </c>
      <c r="Q226" s="1043"/>
      <c r="R226" s="539">
        <f ca="1">IF('Tinh phi QL'!$H$9="Nam",VLOOKUP(VTLCOI!$I$21,VTLCOI!$D$3:$F$103,2,0)*S226/1000/12,IF('Tinh phi QL'!$H$9="Nữ",VLOOKUP(VTLCOI!$I$21,VTLCOI!$D$3:$F$103,3,0)*S226/1000/12,0))</f>
        <v>320.17452807860826</v>
      </c>
      <c r="S226" s="539">
        <f t="shared" ca="1" si="50"/>
        <v>804458.61326283484</v>
      </c>
      <c r="T226" s="552">
        <f ca="1">(T225-O226-P226)*(1+VTL20namcamket!$W$3)</f>
        <v>136182.74164137294</v>
      </c>
      <c r="U226" s="1044"/>
      <c r="V226" s="542">
        <f ca="1">(V225-O226-R226)*(1+VTL20namMH!$P$3)</f>
        <v>195894.00590597646</v>
      </c>
    </row>
    <row r="227" spans="11:22" ht="9.75" customHeight="1">
      <c r="K227" s="1045"/>
      <c r="L227" s="1045"/>
      <c r="M227" s="252">
        <v>225</v>
      </c>
      <c r="N227" s="538">
        <f t="shared" ca="1" si="56"/>
        <v>863817.25835862709</v>
      </c>
      <c r="O227" s="538">
        <f ca="1">VTL20namcamket!F228</f>
        <v>60</v>
      </c>
      <c r="P227" s="539">
        <f ca="1">IF('Tinh phi QL'!$H$9="Nam",VLOOKUP(VTLCOI!$I$21,VTLCOI!$D$3:$F$103,2,0)*N227/1000/12,IF('Tinh phi QL'!$H$9="Nữ",VLOOKUP(VTLCOI!$I$21,VTLCOI!$D$3:$F$103,3,0)*N227/1000/12,0))</f>
        <v>343.79926882673357</v>
      </c>
      <c r="Q227" s="1043"/>
      <c r="R227" s="539">
        <f ca="1">IF('Tinh phi QL'!$H$9="Nam",VLOOKUP(VTLCOI!$I$21,VTLCOI!$D$3:$F$103,2,0)*S227/1000/12,IF('Tinh phi QL'!$H$9="Nữ",VLOOKUP(VTLCOI!$I$21,VTLCOI!$D$3:$F$103,3,0)*S227/1000/12,0))</f>
        <v>320.03418564942132</v>
      </c>
      <c r="S227" s="539">
        <f t="shared" ca="1" si="50"/>
        <v>804105.99409402348</v>
      </c>
      <c r="T227" s="552">
        <f ca="1">(T226-O227-P227)*(1+VTL20namcamket!$W$3)</f>
        <v>135835.38769449209</v>
      </c>
      <c r="U227" s="1044"/>
      <c r="V227" s="542">
        <f ca="1">(V226-O227-R227)*(1+VTL20namMH!$P$3)</f>
        <v>196248.08996292678</v>
      </c>
    </row>
    <row r="228" spans="11:22" ht="9.75" customHeight="1">
      <c r="K228" s="1045"/>
      <c r="L228" s="1045"/>
      <c r="M228" s="252">
        <v>226</v>
      </c>
      <c r="N228" s="538">
        <f t="shared" ca="1" si="56"/>
        <v>864164.61230550788</v>
      </c>
      <c r="O228" s="538">
        <f ca="1">VTL20namcamket!F229</f>
        <v>60</v>
      </c>
      <c r="P228" s="539">
        <f ca="1">IF('Tinh phi QL'!$H$9="Nam",VLOOKUP(VTLCOI!$I$21,VTLCOI!$D$3:$F$103,2,0)*N228/1000/12,IF('Tinh phi QL'!$H$9="Nữ",VLOOKUP(VTLCOI!$I$21,VTLCOI!$D$3:$F$103,3,0)*N228/1000/12,0))</f>
        <v>343.93751569759212</v>
      </c>
      <c r="Q228" s="1043"/>
      <c r="R228" s="539">
        <f ca="1">IF('Tinh phi QL'!$H$9="Nam",VLOOKUP(VTLCOI!$I$21,VTLCOI!$D$3:$F$103,2,0)*S228/1000/12,IF('Tinh phi QL'!$H$9="Nữ",VLOOKUP(VTLCOI!$I$21,VTLCOI!$D$3:$F$103,3,0)*S228/1000/12,0))</f>
        <v>319.8932601947551</v>
      </c>
      <c r="S228" s="539">
        <f t="shared" ca="1" si="50"/>
        <v>803751.91003707319</v>
      </c>
      <c r="T228" s="552">
        <f ca="1">(T227-O228-P228)*(1+VTL20namcamket!$W$3)</f>
        <v>135487.75104307701</v>
      </c>
      <c r="U228" s="1044"/>
      <c r="V228" s="542">
        <f ca="1">(V227-O228-R228)*(1+VTL20namMH!$P$3)</f>
        <v>196603.64499361059</v>
      </c>
    </row>
    <row r="229" spans="11:22" ht="9.75" customHeight="1">
      <c r="K229" s="1045"/>
      <c r="L229" s="1045"/>
      <c r="M229" s="252">
        <v>227</v>
      </c>
      <c r="N229" s="538">
        <f t="shared" ca="1" si="56"/>
        <v>864512.24895692302</v>
      </c>
      <c r="O229" s="538">
        <f ca="1">VTL20namcamket!F230</f>
        <v>60</v>
      </c>
      <c r="P229" s="539">
        <f ca="1">IF('Tinh phi QL'!$H$9="Nam",VLOOKUP(VTLCOI!$I$21,VTLCOI!$D$3:$F$103,2,0)*N229/1000/12,IF('Tinh phi QL'!$H$9="Nữ",VLOOKUP(VTLCOI!$I$21,VTLCOI!$D$3:$F$103,3,0)*N229/1000/12,0))</f>
        <v>344.0758750848554</v>
      </c>
      <c r="Q229" s="1043"/>
      <c r="R229" s="539">
        <f ca="1">IF('Tinh phi QL'!$H$9="Nam",VLOOKUP(VTLCOI!$I$21,VTLCOI!$D$3:$F$103,2,0)*S229/1000/12,IF('Tinh phi QL'!$H$9="Nữ",VLOOKUP(VTLCOI!$I$21,VTLCOI!$D$3:$F$103,3,0)*S229/1000/12,0))</f>
        <v>319.75174929254297</v>
      </c>
      <c r="S229" s="539">
        <f t="shared" ca="1" si="50"/>
        <v>803396.35500638944</v>
      </c>
      <c r="T229" s="552">
        <f ca="1">(T228-O229-P229)*(1+VTL20namcamket!$W$3)</f>
        <v>135139.83145704004</v>
      </c>
      <c r="U229" s="1044"/>
      <c r="V229" s="542">
        <f ca="1">(V228-O229-R229)*(1+VTL20namMH!$P$3)</f>
        <v>196960.67710890374</v>
      </c>
    </row>
    <row r="230" spans="11:22" ht="9.75" customHeight="1">
      <c r="K230" s="1045"/>
      <c r="L230" s="1045"/>
      <c r="M230" s="252">
        <v>228</v>
      </c>
      <c r="N230" s="538">
        <f t="shared" ca="1" si="56"/>
        <v>864860.16854295996</v>
      </c>
      <c r="O230" s="538">
        <f ca="1">VTL20namcamket!F231</f>
        <v>60</v>
      </c>
      <c r="P230" s="539">
        <f ca="1">IF('Tinh phi QL'!$H$9="Nam",VLOOKUP(VTLCOI!$I$21,VTLCOI!$D$3:$F$103,2,0)*N230/1000/12,IF('Tinh phi QL'!$H$9="Nữ",VLOOKUP(VTLCOI!$I$21,VTLCOI!$D$3:$F$103,3,0)*N230/1000/12,0))</f>
        <v>344.21434708009809</v>
      </c>
      <c r="Q230" s="1043"/>
      <c r="R230" s="539">
        <f ca="1">IF('Tinh phi QL'!$H$9="Nam",VLOOKUP(VTLCOI!$I$21,VTLCOI!$D$3:$F$103,2,0)*S230/1000/12,IF('Tinh phi QL'!$H$9="Nữ",VLOOKUP(VTLCOI!$I$21,VTLCOI!$D$3:$F$103,3,0)*S230/1000/12,0))</f>
        <v>319.60965051065631</v>
      </c>
      <c r="S230" s="556">
        <f t="shared" ca="1" si="50"/>
        <v>803039.32289109624</v>
      </c>
      <c r="T230" s="553">
        <f ca="1">(T229-O230-P230)*(1+VTL20namcamket!$W$3)+Q219</f>
        <v>135091.62870610628</v>
      </c>
      <c r="U230" s="1044"/>
      <c r="V230" s="543">
        <f ca="1">(V229-O230-R230)*(1+VTL20namMH!$P$3)+U219</f>
        <v>197619.19244506856</v>
      </c>
    </row>
    <row r="231" spans="11:22" ht="9.75" customHeight="1">
      <c r="K231" s="1043">
        <f>K219+1</f>
        <v>20</v>
      </c>
      <c r="L231" s="1045">
        <f t="shared" ref="L231" ca="1" si="57">L219+1</f>
        <v>49</v>
      </c>
      <c r="M231" s="262">
        <v>229</v>
      </c>
      <c r="N231" s="540">
        <f ca="1">$C$4-T230-VTLGTTKcamket!F26</f>
        <v>854908.37129389378</v>
      </c>
      <c r="O231" s="538">
        <f ca="1">VTL20namcamket!F232</f>
        <v>60</v>
      </c>
      <c r="P231" s="541">
        <f ca="1">IF('Tinh phi QL'!$H$9="Nam",VLOOKUP(VTLCOI!$I$22,VTLCOI!$D$3:$F$103,2,0)*N231/1000/12,IF('Tinh phi QL'!$H$9="Nữ",VLOOKUP(VTLCOI!$I$22,VTLCOI!$D$3:$F$103,3,0)*N231/1000/12,0))</f>
        <v>368.18053857057026</v>
      </c>
      <c r="Q231" s="1043">
        <f t="shared" ref="Q231" si="58">Q219</f>
        <v>300</v>
      </c>
      <c r="R231" s="539">
        <f ca="1">IF('Tinh phi QL'!$H$9="Nam",VLOOKUP(VTLCOI!$I$22,VTLCOI!$D$3:$F$103,2,0)*S231/1000/12,IF('Tinh phi QL'!$H$9="Nữ",VLOOKUP(VTLCOI!$I$22,VTLCOI!$D$3:$F$103,3,0)*S231/1000/12,0))</f>
        <v>341.25200112032377</v>
      </c>
      <c r="S231" s="541">
        <f ca="1">$C$4-V230-VTLGTTKMH!F26</f>
        <v>792380.80755493138</v>
      </c>
      <c r="T231" s="552">
        <f ca="1">(T230+VTLGTTKcamket!F26-O231-P231)*(1+VTL20namcamket!$W$3)</f>
        <v>144723.58691042865</v>
      </c>
      <c r="U231" s="1044">
        <f>Q231</f>
        <v>300</v>
      </c>
      <c r="V231" s="542">
        <f ca="1">(V230+VTLGTTKMH!F26-O231-R231)*(1+VTL20namMH!$P$3)</f>
        <v>207996.00489087918</v>
      </c>
    </row>
    <row r="232" spans="11:22" ht="9.75" customHeight="1">
      <c r="K232" s="1043"/>
      <c r="L232" s="1045"/>
      <c r="M232" s="262">
        <v>230</v>
      </c>
      <c r="N232" s="540">
        <f t="shared" ref="N232:N242" ca="1" si="59">$C$4-T231</f>
        <v>855276.41308957129</v>
      </c>
      <c r="O232" s="538">
        <f ca="1">VTL20namcamket!F233</f>
        <v>60</v>
      </c>
      <c r="P232" s="541">
        <f ca="1">IF('Tinh phi QL'!$H$9="Nam",VLOOKUP(VTLCOI!$I$22,VTLCOI!$D$3:$F$103,2,0)*N232/1000/12,IF('Tinh phi QL'!$H$9="Nữ",VLOOKUP(VTLCOI!$I$22,VTLCOI!$D$3:$F$103,3,0)*N232/1000/12,0))</f>
        <v>368.33904190390871</v>
      </c>
      <c r="Q232" s="1043"/>
      <c r="R232" s="539">
        <f ca="1">IF('Tinh phi QL'!$H$9="Nam",VLOOKUP(VTLCOI!$I$22,VTLCOI!$D$3:$F$103,2,0)*S232/1000/12,IF('Tinh phi QL'!$H$9="Nữ",VLOOKUP(VTLCOI!$I$22,VTLCOI!$D$3:$F$103,3,0)*S232/1000/12,0))</f>
        <v>341.08972056032809</v>
      </c>
      <c r="S232" s="541">
        <f t="shared" ca="1" si="50"/>
        <v>792003.99510912085</v>
      </c>
      <c r="T232" s="552">
        <f ca="1">(T231-O232-P232)*(1+VTL20namcamket!$W$3)</f>
        <v>144355.23354508754</v>
      </c>
      <c r="U232" s="1044"/>
      <c r="V232" s="542">
        <f ca="1">(V231-O232-R232)*(1+VTL20namMH!$P$3)</f>
        <v>208374.39508654436</v>
      </c>
    </row>
    <row r="233" spans="11:22" ht="9.75" customHeight="1">
      <c r="K233" s="1043"/>
      <c r="L233" s="1045"/>
      <c r="M233" s="262">
        <v>231</v>
      </c>
      <c r="N233" s="540">
        <f t="shared" ca="1" si="59"/>
        <v>855644.76645491249</v>
      </c>
      <c r="O233" s="538">
        <f ca="1">VTL20namcamket!F234</f>
        <v>60</v>
      </c>
      <c r="P233" s="541">
        <f ca="1">IF('Tinh phi QL'!$H$9="Nam",VLOOKUP(VTLCOI!$I$22,VTLCOI!$D$3:$F$103,2,0)*N233/1000/12,IF('Tinh phi QL'!$H$9="Nữ",VLOOKUP(VTLCOI!$I$22,VTLCOI!$D$3:$F$103,3,0)*N233/1000/12,0))</f>
        <v>368.49767941991564</v>
      </c>
      <c r="Q233" s="1043"/>
      <c r="R233" s="539">
        <f ca="1">IF('Tinh phi QL'!$H$9="Nam",VLOOKUP(VTLCOI!$I$22,VTLCOI!$D$3:$F$103,2,0)*S233/1000/12,IF('Tinh phi QL'!$H$9="Nữ",VLOOKUP(VTLCOI!$I$22,VTLCOI!$D$3:$F$103,3,0)*S233/1000/12,0))</f>
        <v>340.92676051606162</v>
      </c>
      <c r="S233" s="541">
        <f t="shared" ca="1" si="50"/>
        <v>791625.60491345567</v>
      </c>
      <c r="T233" s="552">
        <f ca="1">(T232-O233-P233)*(1+VTL20namcamket!$W$3)</f>
        <v>143986.56834632039</v>
      </c>
      <c r="U233" s="1044"/>
      <c r="V233" s="542">
        <f ca="1">(V232-O233-R233)*(1+VTL20namMH!$P$3)</f>
        <v>208754.36963825408</v>
      </c>
    </row>
    <row r="234" spans="11:22" ht="9.75" customHeight="1">
      <c r="K234" s="1043"/>
      <c r="L234" s="1045"/>
      <c r="M234" s="262">
        <v>232</v>
      </c>
      <c r="N234" s="540">
        <f t="shared" ca="1" si="59"/>
        <v>856013.43165367958</v>
      </c>
      <c r="O234" s="538">
        <f ca="1">VTL20namcamket!F235</f>
        <v>60</v>
      </c>
      <c r="P234" s="541">
        <f ca="1">IF('Tinh phi QL'!$H$9="Nam",VLOOKUP(VTLCOI!$I$22,VTLCOI!$D$3:$F$103,2,0)*N234/1000/12,IF('Tinh phi QL'!$H$9="Nữ",VLOOKUP(VTLCOI!$I$22,VTLCOI!$D$3:$F$103,3,0)*N234/1000/12,0))</f>
        <v>368.65645123218468</v>
      </c>
      <c r="Q234" s="1043"/>
      <c r="R234" s="539">
        <f ca="1">IF('Tinh phi QL'!$H$9="Nam",VLOOKUP(VTLCOI!$I$22,VTLCOI!$D$3:$F$103,2,0)*S234/1000/12,IF('Tinh phi QL'!$H$9="Nữ",VLOOKUP(VTLCOI!$I$22,VTLCOI!$D$3:$F$103,3,0)*S234/1000/12,0))</f>
        <v>340.76311814245861</v>
      </c>
      <c r="S234" s="541">
        <f t="shared" ca="1" si="50"/>
        <v>791245.63036174595</v>
      </c>
      <c r="T234" s="552">
        <f ca="1">(T233-O234-P234)*(1+VTL20namcamket!$W$3)</f>
        <v>143617.59105014129</v>
      </c>
      <c r="U234" s="1044"/>
      <c r="V234" s="542">
        <f ca="1">(V233-O234-R234)*(1+VTL20namMH!$P$3)</f>
        <v>209135.93517985905</v>
      </c>
    </row>
    <row r="235" spans="11:22" ht="9.75" customHeight="1">
      <c r="K235" s="1043"/>
      <c r="L235" s="1045"/>
      <c r="M235" s="262">
        <v>233</v>
      </c>
      <c r="N235" s="540">
        <f t="shared" ca="1" si="59"/>
        <v>856382.40894985874</v>
      </c>
      <c r="O235" s="538">
        <f ca="1">VTL20namcamket!F236</f>
        <v>60</v>
      </c>
      <c r="P235" s="541">
        <f ca="1">IF('Tinh phi QL'!$H$9="Nam",VLOOKUP(VTLCOI!$I$22,VTLCOI!$D$3:$F$103,2,0)*N235/1000/12,IF('Tinh phi QL'!$H$9="Nữ",VLOOKUP(VTLCOI!$I$22,VTLCOI!$D$3:$F$103,3,0)*N235/1000/12,0))</f>
        <v>368.81535745440584</v>
      </c>
      <c r="Q235" s="1043"/>
      <c r="R235" s="539">
        <f ca="1">IF('Tinh phi QL'!$H$9="Nam",VLOOKUP(VTLCOI!$I$22,VTLCOI!$D$3:$F$103,2,0)*S235/1000/12,IF('Tinh phi QL'!$H$9="Nữ",VLOOKUP(VTLCOI!$I$22,VTLCOI!$D$3:$F$103,3,0)*S235/1000/12,0))</f>
        <v>340.59879058254074</v>
      </c>
      <c r="S235" s="541">
        <f t="shared" ca="1" si="50"/>
        <v>790864.06482014095</v>
      </c>
      <c r="T235" s="552">
        <f ca="1">(T234-O235-P235)*(1+VTL20namcamket!$W$3)</f>
        <v>143248.30139234089</v>
      </c>
      <c r="U235" s="1044"/>
      <c r="V235" s="542">
        <f ca="1">(V234-O235-R235)*(1+VTL20namMH!$P$3)</f>
        <v>209519.09837298663</v>
      </c>
    </row>
    <row r="236" spans="11:22" ht="9.75" customHeight="1">
      <c r="K236" s="1043"/>
      <c r="L236" s="1045"/>
      <c r="M236" s="262">
        <v>234</v>
      </c>
      <c r="N236" s="540">
        <f t="shared" ca="1" si="59"/>
        <v>856751.69860765908</v>
      </c>
      <c r="O236" s="538">
        <f ca="1">VTL20namcamket!F237</f>
        <v>60</v>
      </c>
      <c r="P236" s="541">
        <f ca="1">IF('Tinh phi QL'!$H$9="Nam",VLOOKUP(VTLCOI!$I$22,VTLCOI!$D$3:$F$103,2,0)*N236/1000/12,IF('Tinh phi QL'!$H$9="Nữ",VLOOKUP(VTLCOI!$I$22,VTLCOI!$D$3:$F$103,3,0)*N236/1000/12,0))</f>
        <v>368.97439820036516</v>
      </c>
      <c r="Q236" s="1043"/>
      <c r="R236" s="539">
        <f ca="1">IF('Tinh phi QL'!$H$9="Nam",VLOOKUP(VTLCOI!$I$22,VTLCOI!$D$3:$F$103,2,0)*S236/1000/12,IF('Tinh phi QL'!$H$9="Nữ",VLOOKUP(VTLCOI!$I$22,VTLCOI!$D$3:$F$103,3,0)*S236/1000/12,0))</f>
        <v>340.43377496736713</v>
      </c>
      <c r="S236" s="541">
        <f t="shared" ca="1" si="50"/>
        <v>790480.90162701334</v>
      </c>
      <c r="T236" s="552">
        <f ca="1">(T235-O236-P236)*(1+VTL20namcamket!$W$3)</f>
        <v>142878.69910848618</v>
      </c>
      <c r="U236" s="1044"/>
      <c r="V236" s="542">
        <f ca="1">(V235-O236-R236)*(1+VTL20namMH!$P$3)</f>
        <v>209903.86590715693</v>
      </c>
    </row>
    <row r="237" spans="11:22" ht="9.75" customHeight="1">
      <c r="K237" s="1043"/>
      <c r="L237" s="1045"/>
      <c r="M237" s="262">
        <v>235</v>
      </c>
      <c r="N237" s="540">
        <f t="shared" ca="1" si="59"/>
        <v>857121.30089151382</v>
      </c>
      <c r="O237" s="538">
        <f ca="1">VTL20namcamket!F238</f>
        <v>60</v>
      </c>
      <c r="P237" s="541">
        <f ca="1">IF('Tinh phi QL'!$H$9="Nam",VLOOKUP(VTLCOI!$I$22,VTLCOI!$D$3:$F$103,2,0)*N237/1000/12,IF('Tinh phi QL'!$H$9="Nữ",VLOOKUP(VTLCOI!$I$22,VTLCOI!$D$3:$F$103,3,0)*N237/1000/12,0))</f>
        <v>369.13357358394529</v>
      </c>
      <c r="Q237" s="1043"/>
      <c r="R237" s="539">
        <f ca="1">IF('Tinh phi QL'!$H$9="Nam",VLOOKUP(VTLCOI!$I$22,VTLCOI!$D$3:$F$103,2,0)*S237/1000/12,IF('Tinh phi QL'!$H$9="Nữ",VLOOKUP(VTLCOI!$I$22,VTLCOI!$D$3:$F$103,3,0)*S237/1000/12,0))</f>
        <v>340.26806841598437</v>
      </c>
      <c r="S237" s="541">
        <f t="shared" ca="1" si="50"/>
        <v>790096.13409284304</v>
      </c>
      <c r="T237" s="552">
        <f ca="1">(T236-O237-P237)*(1+VTL20namcamket!$W$3)</f>
        <v>142508.78393392029</v>
      </c>
      <c r="U237" s="1044"/>
      <c r="V237" s="542">
        <f ca="1">(V236-O237-R237)*(1+VTL20namMH!$P$3)</f>
        <v>210290.2444998998</v>
      </c>
    </row>
    <row r="238" spans="11:22" ht="9.75" customHeight="1">
      <c r="K238" s="1043"/>
      <c r="L238" s="1045"/>
      <c r="M238" s="262">
        <v>236</v>
      </c>
      <c r="N238" s="540">
        <f t="shared" ca="1" si="59"/>
        <v>857491.21606607968</v>
      </c>
      <c r="O238" s="538">
        <f ca="1">VTL20namcamket!F239</f>
        <v>60</v>
      </c>
      <c r="P238" s="541">
        <f ca="1">IF('Tinh phi QL'!$H$9="Nam",VLOOKUP(VTLCOI!$I$22,VTLCOI!$D$3:$F$103,2,0)*N238/1000/12,IF('Tinh phi QL'!$H$9="Nữ",VLOOKUP(VTLCOI!$I$22,VTLCOI!$D$3:$F$103,3,0)*N238/1000/12,0))</f>
        <v>369.29288371912497</v>
      </c>
      <c r="Q238" s="1043"/>
      <c r="R238" s="539">
        <f ca="1">IF('Tinh phi QL'!$H$9="Nam",VLOOKUP(VTLCOI!$I$22,VTLCOI!$D$3:$F$103,2,0)*S238/1000/12,IF('Tinh phi QL'!$H$9="Nữ",VLOOKUP(VTLCOI!$I$22,VTLCOI!$D$3:$F$103,3,0)*S238/1000/12,0))</f>
        <v>340.10166803537652</v>
      </c>
      <c r="S238" s="541">
        <f t="shared" ca="1" si="50"/>
        <v>789709.7555001002</v>
      </c>
      <c r="T238" s="552">
        <f ca="1">(T237-O238-P238)*(1+VTL20namcamket!$W$3)</f>
        <v>142138.5556037623</v>
      </c>
      <c r="U238" s="1044"/>
      <c r="V238" s="542">
        <f ca="1">(V237-O238-R238)*(1+VTL20namMH!$P$3)</f>
        <v>210678.24089687201</v>
      </c>
    </row>
    <row r="239" spans="11:22" ht="9.75" customHeight="1">
      <c r="K239" s="1043"/>
      <c r="L239" s="1045"/>
      <c r="M239" s="262">
        <v>237</v>
      </c>
      <c r="N239" s="540">
        <f t="shared" ca="1" si="59"/>
        <v>857861.44439623773</v>
      </c>
      <c r="O239" s="538">
        <f ca="1">VTL20namcamket!F240</f>
        <v>60</v>
      </c>
      <c r="P239" s="541">
        <f ca="1">IF('Tinh phi QL'!$H$9="Nam",VLOOKUP(VTLCOI!$I$22,VTLCOI!$D$3:$F$103,2,0)*N239/1000/12,IF('Tinh phi QL'!$H$9="Nữ",VLOOKUP(VTLCOI!$I$22,VTLCOI!$D$3:$F$103,3,0)*N239/1000/12,0))</f>
        <v>369.45232871997973</v>
      </c>
      <c r="Q239" s="1043"/>
      <c r="R239" s="539">
        <f ca="1">IF('Tinh phi QL'!$H$9="Nam",VLOOKUP(VTLCOI!$I$22,VTLCOI!$D$3:$F$103,2,0)*S239/1000/12,IF('Tinh phi QL'!$H$9="Nữ",VLOOKUP(VTLCOI!$I$22,VTLCOI!$D$3:$F$103,3,0)*S239/1000/12,0))</f>
        <v>339.93457092041382</v>
      </c>
      <c r="S239" s="541">
        <f t="shared" ca="1" si="50"/>
        <v>789321.75910312799</v>
      </c>
      <c r="T239" s="552">
        <f ca="1">(T238-O239-P239)*(1+VTL20namcamket!$W$3)</f>
        <v>141768.013852907</v>
      </c>
      <c r="U239" s="1044"/>
      <c r="V239" s="542">
        <f ca="1">(V238-O239-R239)*(1+VTL20namMH!$P$3)</f>
        <v>211067.86187197507</v>
      </c>
    </row>
    <row r="240" spans="11:22" ht="9.75" customHeight="1">
      <c r="K240" s="1043"/>
      <c r="L240" s="1045"/>
      <c r="M240" s="262">
        <v>238</v>
      </c>
      <c r="N240" s="540">
        <f t="shared" ca="1" si="59"/>
        <v>858231.986147093</v>
      </c>
      <c r="O240" s="538">
        <f ca="1">VTL20namcamket!F241</f>
        <v>60</v>
      </c>
      <c r="P240" s="541">
        <f ca="1">IF('Tinh phi QL'!$H$9="Nam",VLOOKUP(VTLCOI!$I$22,VTLCOI!$D$3:$F$103,2,0)*N240/1000/12,IF('Tinh phi QL'!$H$9="Nữ",VLOOKUP(VTLCOI!$I$22,VTLCOI!$D$3:$F$103,3,0)*N240/1000/12,0))</f>
        <v>369.6119087006814</v>
      </c>
      <c r="Q240" s="1043"/>
      <c r="R240" s="539">
        <f ca="1">IF('Tinh phi QL'!$H$9="Nam",VLOOKUP(VTLCOI!$I$22,VTLCOI!$D$3:$F$103,2,0)*S240/1000/12,IF('Tinh phi QL'!$H$9="Nữ",VLOOKUP(VTLCOI!$I$22,VTLCOI!$D$3:$F$103,3,0)*S240/1000/12,0))</f>
        <v>339.76677415380277</v>
      </c>
      <c r="S240" s="541">
        <f t="shared" ca="1" si="50"/>
        <v>788932.13812802499</v>
      </c>
      <c r="T240" s="552">
        <f ca="1">(T239-O240-P240)*(1+VTL20namcamket!$W$3)</f>
        <v>141397.15841602479</v>
      </c>
      <c r="U240" s="1044"/>
      <c r="V240" s="542">
        <f ca="1">(V239-O240-R240)*(1+VTL20namMH!$P$3)</f>
        <v>211459.11422747342</v>
      </c>
    </row>
    <row r="241" spans="11:22" ht="9.75" customHeight="1">
      <c r="K241" s="1043"/>
      <c r="L241" s="1045"/>
      <c r="M241" s="262">
        <v>239</v>
      </c>
      <c r="N241" s="540">
        <f t="shared" ca="1" si="59"/>
        <v>858602.84158397524</v>
      </c>
      <c r="O241" s="538">
        <f ca="1">VTL20namcamket!F242</f>
        <v>60</v>
      </c>
      <c r="P241" s="541">
        <f ca="1">IF('Tinh phi QL'!$H$9="Nam",VLOOKUP(VTLCOI!$I$22,VTLCOI!$D$3:$F$103,2,0)*N241/1000/12,IF('Tinh phi QL'!$H$9="Nữ",VLOOKUP(VTLCOI!$I$22,VTLCOI!$D$3:$F$103,3,0)*N241/1000/12,0))</f>
        <v>369.77162377549871</v>
      </c>
      <c r="Q241" s="1043"/>
      <c r="R241" s="539">
        <f ca="1">IF('Tinh phi QL'!$H$9="Nam",VLOOKUP(VTLCOI!$I$22,VTLCOI!$D$3:$F$103,2,0)*S241/1000/12,IF('Tinh phi QL'!$H$9="Nữ",VLOOKUP(VTLCOI!$I$22,VTLCOI!$D$3:$F$103,3,0)*S241/1000/12,0))</f>
        <v>339.59827480603479</v>
      </c>
      <c r="S241" s="541">
        <f t="shared" ca="1" si="50"/>
        <v>788540.88577252661</v>
      </c>
      <c r="T241" s="552">
        <f ca="1">(T240-O241-P241)*(1+VTL20namcamket!$W$3)</f>
        <v>141025.98902756147</v>
      </c>
      <c r="U241" s="1044"/>
      <c r="V241" s="542">
        <f ca="1">(V240-O241-R241)*(1+VTL20namMH!$P$3)</f>
        <v>211852.00479411325</v>
      </c>
    </row>
    <row r="242" spans="11:22" ht="9.75" customHeight="1">
      <c r="K242" s="1043"/>
      <c r="L242" s="1045"/>
      <c r="M242" s="262">
        <v>240</v>
      </c>
      <c r="N242" s="540">
        <f t="shared" ca="1" si="59"/>
        <v>858974.0109724385</v>
      </c>
      <c r="O242" s="538">
        <f ca="1">VTL20namcamket!F243</f>
        <v>60</v>
      </c>
      <c r="P242" s="541">
        <f ca="1">IF('Tinh phi QL'!$H$9="Nam",VLOOKUP(VTLCOI!$I$22,VTLCOI!$D$3:$F$103,2,0)*N242/1000/12,IF('Tinh phi QL'!$H$9="Nữ",VLOOKUP(VTLCOI!$I$22,VTLCOI!$D$3:$F$103,3,0)*N242/1000/12,0))</f>
        <v>369.93147405879694</v>
      </c>
      <c r="Q242" s="1043"/>
      <c r="R242" s="539">
        <f ca="1">IF('Tinh phi QL'!$H$9="Nam",VLOOKUP(VTLCOI!$I$22,VTLCOI!$D$3:$F$103,2,0)*S242/1000/12,IF('Tinh phi QL'!$H$9="Nữ",VLOOKUP(VTLCOI!$I$22,VTLCOI!$D$3:$F$103,3,0)*S242/1000/12,0))</f>
        <v>339.42906993533524</v>
      </c>
      <c r="S242" s="554">
        <f t="shared" ca="1" si="50"/>
        <v>788147.99520588678</v>
      </c>
      <c r="T242" s="553">
        <f ca="1">(T241-O242-P242)*(1+VTL20namcamket!$W$3)+Q231</f>
        <v>140954.50542173805</v>
      </c>
      <c r="U242" s="1044"/>
      <c r="V242" s="543">
        <f ca="1">(V241-O242-R242)*(1+VTL20namMH!$P$3)+U231</f>
        <v>212546.54043124177</v>
      </c>
    </row>
  </sheetData>
  <sheetProtection algorithmName="SHA-512" hashValue="460YhZdquMW3bCwx4BLOpKmNzbTwwoLccD5waswoP7IzhTPWJpYSRUPXSxck8KYYq9PDxOvXx/JtNXK0YdWVqw==" saltValue="LGBLvv4bKtkdXpxw4oz4Fw==" spinCount="100000" sheet="1" objects="1" scenarios="1"/>
  <mergeCells count="73">
    <mergeCell ref="L183:L194"/>
    <mergeCell ref="L195:L206"/>
    <mergeCell ref="L207:L218"/>
    <mergeCell ref="L219:L230"/>
    <mergeCell ref="L231:L242"/>
    <mergeCell ref="K231:K242"/>
    <mergeCell ref="Q231:Q242"/>
    <mergeCell ref="U231:U242"/>
    <mergeCell ref="Q51:Q62"/>
    <mergeCell ref="K207:K218"/>
    <mergeCell ref="Q207:Q218"/>
    <mergeCell ref="U207:U218"/>
    <mergeCell ref="K219:K230"/>
    <mergeCell ref="Q219:Q230"/>
    <mergeCell ref="U219:U230"/>
    <mergeCell ref="K183:K194"/>
    <mergeCell ref="Q183:Q194"/>
    <mergeCell ref="U183:U194"/>
    <mergeCell ref="K195:K206"/>
    <mergeCell ref="Q195:Q206"/>
    <mergeCell ref="U195:U206"/>
    <mergeCell ref="K159:K170"/>
    <mergeCell ref="Q159:Q170"/>
    <mergeCell ref="U159:U170"/>
    <mergeCell ref="K171:K182"/>
    <mergeCell ref="Q171:Q182"/>
    <mergeCell ref="U171:U182"/>
    <mergeCell ref="L159:L170"/>
    <mergeCell ref="L171:L182"/>
    <mergeCell ref="K135:K146"/>
    <mergeCell ref="Q135:Q146"/>
    <mergeCell ref="U135:U146"/>
    <mergeCell ref="K147:K158"/>
    <mergeCell ref="Q147:Q158"/>
    <mergeCell ref="U147:U158"/>
    <mergeCell ref="L135:L146"/>
    <mergeCell ref="L147:L158"/>
    <mergeCell ref="K123:K134"/>
    <mergeCell ref="Q123:Q134"/>
    <mergeCell ref="U123:U134"/>
    <mergeCell ref="Q99:Q110"/>
    <mergeCell ref="U99:U110"/>
    <mergeCell ref="L99:L110"/>
    <mergeCell ref="L111:L122"/>
    <mergeCell ref="L123:L134"/>
    <mergeCell ref="K99:K110"/>
    <mergeCell ref="K111:K122"/>
    <mergeCell ref="Q111:Q122"/>
    <mergeCell ref="U111:U122"/>
    <mergeCell ref="K87:K98"/>
    <mergeCell ref="Q87:Q98"/>
    <mergeCell ref="U87:U98"/>
    <mergeCell ref="L87:L98"/>
    <mergeCell ref="K3:K14"/>
    <mergeCell ref="K15:K26"/>
    <mergeCell ref="K27:K38"/>
    <mergeCell ref="K39:K50"/>
    <mergeCell ref="Q39:Q50"/>
    <mergeCell ref="L3:L14"/>
    <mergeCell ref="L15:L26"/>
    <mergeCell ref="L27:L38"/>
    <mergeCell ref="L39:L50"/>
    <mergeCell ref="Q75:Q86"/>
    <mergeCell ref="U51:U62"/>
    <mergeCell ref="U75:U86"/>
    <mergeCell ref="K51:K62"/>
    <mergeCell ref="K63:K74"/>
    <mergeCell ref="Q63:Q74"/>
    <mergeCell ref="U63:U74"/>
    <mergeCell ref="K75:K86"/>
    <mergeCell ref="L51:L62"/>
    <mergeCell ref="L63:L74"/>
    <mergeCell ref="L75:L86"/>
  </mergeCells>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E13399-B125-47FF-89FD-622397CE44C2}">
  <sheetPr codeName="Sheet8"/>
  <dimension ref="A1:C77"/>
  <sheetViews>
    <sheetView zoomScale="85" zoomScaleNormal="85" workbookViewId="0">
      <selection activeCell="E72" sqref="E72"/>
    </sheetView>
  </sheetViews>
  <sheetFormatPr defaultColWidth="9.296875" defaultRowHeight="13"/>
  <cols>
    <col min="1" max="1" width="5.796875" customWidth="1"/>
    <col min="2" max="3" width="9.296875" style="246"/>
  </cols>
  <sheetData>
    <row r="1" spans="1:3" ht="21.75" customHeight="1">
      <c r="A1" s="236" t="s">
        <v>621</v>
      </c>
      <c r="B1" s="267" t="s">
        <v>619</v>
      </c>
      <c r="C1" s="245" t="s">
        <v>620</v>
      </c>
    </row>
    <row r="2" spans="1:3" ht="15.5">
      <c r="A2" s="237">
        <v>0</v>
      </c>
      <c r="B2" s="268">
        <v>55</v>
      </c>
      <c r="C2" s="268">
        <v>150</v>
      </c>
    </row>
    <row r="3" spans="1:3" ht="15.5">
      <c r="A3" s="237">
        <v>1</v>
      </c>
      <c r="B3" s="268">
        <v>55</v>
      </c>
      <c r="C3" s="268">
        <v>150</v>
      </c>
    </row>
    <row r="4" spans="1:3" ht="15.5">
      <c r="A4" s="237">
        <v>2</v>
      </c>
      <c r="B4" s="268">
        <v>55</v>
      </c>
      <c r="C4" s="268">
        <v>150</v>
      </c>
    </row>
    <row r="5" spans="1:3" ht="15.5">
      <c r="A5" s="237">
        <v>3</v>
      </c>
      <c r="B5" s="268">
        <v>55</v>
      </c>
      <c r="C5" s="268">
        <v>150</v>
      </c>
    </row>
    <row r="6" spans="1:3" ht="15.5">
      <c r="A6" s="237">
        <v>4</v>
      </c>
      <c r="B6" s="268">
        <v>55</v>
      </c>
      <c r="C6" s="268">
        <v>150</v>
      </c>
    </row>
    <row r="7" spans="1:3" ht="15.5">
      <c r="A7" s="237">
        <v>5</v>
      </c>
      <c r="B7" s="268">
        <v>55</v>
      </c>
      <c r="C7" s="268">
        <v>150</v>
      </c>
    </row>
    <row r="8" spans="1:3" ht="15.5">
      <c r="A8" s="237">
        <v>6</v>
      </c>
      <c r="B8" s="268">
        <v>55</v>
      </c>
      <c r="C8" s="268">
        <v>150</v>
      </c>
    </row>
    <row r="9" spans="1:3" ht="15.5">
      <c r="A9" s="237">
        <v>7</v>
      </c>
      <c r="B9" s="268">
        <v>50</v>
      </c>
      <c r="C9" s="268">
        <v>150</v>
      </c>
    </row>
    <row r="10" spans="1:3" ht="15.5">
      <c r="A10" s="237">
        <v>8</v>
      </c>
      <c r="B10" s="268">
        <v>50</v>
      </c>
      <c r="C10" s="268">
        <v>150</v>
      </c>
    </row>
    <row r="11" spans="1:3" ht="15.5">
      <c r="A11" s="237">
        <v>9</v>
      </c>
      <c r="B11" s="268">
        <v>50</v>
      </c>
      <c r="C11" s="268">
        <v>150</v>
      </c>
    </row>
    <row r="12" spans="1:3" ht="15.5">
      <c r="A12" s="237">
        <v>10</v>
      </c>
      <c r="B12" s="268">
        <v>45</v>
      </c>
      <c r="C12" s="268">
        <v>150</v>
      </c>
    </row>
    <row r="13" spans="1:3" ht="15.5">
      <c r="A13" s="237">
        <v>11</v>
      </c>
      <c r="B13" s="268">
        <v>45</v>
      </c>
      <c r="C13" s="268">
        <v>150</v>
      </c>
    </row>
    <row r="14" spans="1:3" ht="15.5">
      <c r="A14" s="237">
        <v>12</v>
      </c>
      <c r="B14" s="268">
        <v>45</v>
      </c>
      <c r="C14" s="268">
        <v>150</v>
      </c>
    </row>
    <row r="15" spans="1:3" ht="15.5">
      <c r="A15" s="237">
        <v>13</v>
      </c>
      <c r="B15" s="268">
        <v>45</v>
      </c>
      <c r="C15" s="268">
        <v>150</v>
      </c>
    </row>
    <row r="16" spans="1:3" ht="15.5">
      <c r="A16" s="237">
        <v>14</v>
      </c>
      <c r="B16" s="268">
        <v>45</v>
      </c>
      <c r="C16" s="268">
        <v>150</v>
      </c>
    </row>
    <row r="17" spans="1:3" ht="15.5">
      <c r="A17" s="237">
        <v>15</v>
      </c>
      <c r="B17" s="268">
        <v>45</v>
      </c>
      <c r="C17" s="268">
        <v>150</v>
      </c>
    </row>
    <row r="18" spans="1:3" ht="15.5">
      <c r="A18" s="237">
        <v>16</v>
      </c>
      <c r="B18" s="268">
        <v>45</v>
      </c>
      <c r="C18" s="268">
        <v>150</v>
      </c>
    </row>
    <row r="19" spans="1:3" ht="15.5">
      <c r="A19" s="237">
        <v>17</v>
      </c>
      <c r="B19" s="268">
        <v>40</v>
      </c>
      <c r="C19" s="268">
        <v>150</v>
      </c>
    </row>
    <row r="20" spans="1:3" ht="15.5">
      <c r="A20" s="237">
        <v>18</v>
      </c>
      <c r="B20" s="268">
        <v>40</v>
      </c>
      <c r="C20" s="268">
        <v>150</v>
      </c>
    </row>
    <row r="21" spans="1:3" ht="15.5">
      <c r="A21" s="237">
        <v>19</v>
      </c>
      <c r="B21" s="268">
        <v>40</v>
      </c>
      <c r="C21" s="268">
        <v>150</v>
      </c>
    </row>
    <row r="22" spans="1:3" ht="15.5">
      <c r="A22" s="237">
        <v>20</v>
      </c>
      <c r="B22" s="268">
        <v>35</v>
      </c>
      <c r="C22" s="268">
        <v>140</v>
      </c>
    </row>
    <row r="23" spans="1:3" ht="15.5">
      <c r="A23" s="237">
        <v>21</v>
      </c>
      <c r="B23" s="268">
        <v>35</v>
      </c>
      <c r="C23" s="268">
        <v>140</v>
      </c>
    </row>
    <row r="24" spans="1:3" ht="15.5">
      <c r="A24" s="237">
        <v>22</v>
      </c>
      <c r="B24" s="268">
        <v>35</v>
      </c>
      <c r="C24" s="268">
        <v>140</v>
      </c>
    </row>
    <row r="25" spans="1:3" ht="15.5">
      <c r="A25" s="237">
        <v>23</v>
      </c>
      <c r="B25" s="268">
        <v>35</v>
      </c>
      <c r="C25" s="268">
        <v>140</v>
      </c>
    </row>
    <row r="26" spans="1:3" ht="15.5">
      <c r="A26" s="237">
        <v>24</v>
      </c>
      <c r="B26" s="268">
        <v>35</v>
      </c>
      <c r="C26" s="268">
        <v>140</v>
      </c>
    </row>
    <row r="27" spans="1:3" ht="15.5">
      <c r="A27" s="237">
        <v>25</v>
      </c>
      <c r="B27" s="268">
        <v>35</v>
      </c>
      <c r="C27" s="268">
        <v>140</v>
      </c>
    </row>
    <row r="28" spans="1:3" ht="15.5">
      <c r="A28" s="237">
        <v>26</v>
      </c>
      <c r="B28" s="268">
        <v>35</v>
      </c>
      <c r="C28" s="268">
        <v>140</v>
      </c>
    </row>
    <row r="29" spans="1:3" ht="15.5">
      <c r="A29" s="237">
        <v>27</v>
      </c>
      <c r="B29" s="268">
        <v>35</v>
      </c>
      <c r="C29" s="268">
        <v>140</v>
      </c>
    </row>
    <row r="30" spans="1:3" ht="15.5">
      <c r="A30" s="237">
        <v>28</v>
      </c>
      <c r="B30" s="268">
        <v>35</v>
      </c>
      <c r="C30" s="268">
        <v>140</v>
      </c>
    </row>
    <row r="31" spans="1:3" ht="15.5">
      <c r="A31" s="237">
        <v>29</v>
      </c>
      <c r="B31" s="268">
        <v>35</v>
      </c>
      <c r="C31" s="268">
        <v>140</v>
      </c>
    </row>
    <row r="32" spans="1:3" ht="15.5">
      <c r="A32" s="237">
        <v>30</v>
      </c>
      <c r="B32" s="268">
        <v>25</v>
      </c>
      <c r="C32" s="268">
        <v>120</v>
      </c>
    </row>
    <row r="33" spans="1:3" ht="15.5">
      <c r="A33" s="237">
        <v>31</v>
      </c>
      <c r="B33" s="268">
        <v>25</v>
      </c>
      <c r="C33" s="268">
        <v>120</v>
      </c>
    </row>
    <row r="34" spans="1:3" ht="15.5">
      <c r="A34" s="237">
        <v>32</v>
      </c>
      <c r="B34" s="268">
        <v>25</v>
      </c>
      <c r="C34" s="268">
        <v>120</v>
      </c>
    </row>
    <row r="35" spans="1:3" ht="15.5">
      <c r="A35" s="237">
        <v>33</v>
      </c>
      <c r="B35" s="268">
        <v>25</v>
      </c>
      <c r="C35" s="268">
        <v>120</v>
      </c>
    </row>
    <row r="36" spans="1:3" ht="15.5">
      <c r="A36" s="237">
        <v>34</v>
      </c>
      <c r="B36" s="268">
        <v>25</v>
      </c>
      <c r="C36" s="268">
        <v>120</v>
      </c>
    </row>
    <row r="37" spans="1:3" ht="15.5">
      <c r="A37" s="237">
        <v>35</v>
      </c>
      <c r="B37" s="268">
        <v>20</v>
      </c>
      <c r="C37" s="268">
        <v>100</v>
      </c>
    </row>
    <row r="38" spans="1:3" ht="15.5">
      <c r="A38" s="237">
        <v>36</v>
      </c>
      <c r="B38" s="268">
        <v>20</v>
      </c>
      <c r="C38" s="268">
        <v>100</v>
      </c>
    </row>
    <row r="39" spans="1:3" ht="15.5">
      <c r="A39" s="237">
        <v>37</v>
      </c>
      <c r="B39" s="268">
        <v>20</v>
      </c>
      <c r="C39" s="268">
        <v>100</v>
      </c>
    </row>
    <row r="40" spans="1:3" ht="15.5">
      <c r="A40" s="237">
        <v>38</v>
      </c>
      <c r="B40" s="268">
        <v>20</v>
      </c>
      <c r="C40" s="268">
        <v>100</v>
      </c>
    </row>
    <row r="41" spans="1:3" ht="15.5">
      <c r="A41" s="237">
        <v>39</v>
      </c>
      <c r="B41" s="268">
        <v>20</v>
      </c>
      <c r="C41" s="268">
        <v>100</v>
      </c>
    </row>
    <row r="42" spans="1:3" ht="15.5">
      <c r="A42" s="237">
        <v>40</v>
      </c>
      <c r="B42" s="268">
        <v>20</v>
      </c>
      <c r="C42" s="268">
        <v>70</v>
      </c>
    </row>
    <row r="43" spans="1:3" ht="15.5">
      <c r="A43" s="237">
        <v>41</v>
      </c>
      <c r="B43" s="268">
        <v>20</v>
      </c>
      <c r="C43" s="268">
        <v>70</v>
      </c>
    </row>
    <row r="44" spans="1:3" ht="15.5">
      <c r="A44" s="237">
        <v>42</v>
      </c>
      <c r="B44" s="268">
        <v>20</v>
      </c>
      <c r="C44" s="268">
        <v>70</v>
      </c>
    </row>
    <row r="45" spans="1:3" ht="15.5">
      <c r="A45" s="237">
        <v>43</v>
      </c>
      <c r="B45" s="268">
        <v>20</v>
      </c>
      <c r="C45" s="268">
        <v>70</v>
      </c>
    </row>
    <row r="46" spans="1:3" ht="15.5">
      <c r="A46" s="237">
        <v>44</v>
      </c>
      <c r="B46" s="268">
        <v>20</v>
      </c>
      <c r="C46" s="268">
        <v>70</v>
      </c>
    </row>
    <row r="47" spans="1:3" ht="15.5">
      <c r="A47" s="237">
        <v>45</v>
      </c>
      <c r="B47" s="268">
        <v>20</v>
      </c>
      <c r="C47" s="268">
        <v>50</v>
      </c>
    </row>
    <row r="48" spans="1:3" ht="15.5">
      <c r="A48" s="237">
        <v>46</v>
      </c>
      <c r="B48" s="268">
        <v>20</v>
      </c>
      <c r="C48" s="268">
        <v>50</v>
      </c>
    </row>
    <row r="49" spans="1:3" ht="15.5">
      <c r="A49" s="237">
        <v>47</v>
      </c>
      <c r="B49" s="268">
        <v>20</v>
      </c>
      <c r="C49" s="268">
        <v>50</v>
      </c>
    </row>
    <row r="50" spans="1:3" ht="15.5">
      <c r="A50" s="237">
        <v>48</v>
      </c>
      <c r="B50" s="268">
        <v>20</v>
      </c>
      <c r="C50" s="268">
        <v>50</v>
      </c>
    </row>
    <row r="51" spans="1:3" ht="15.5">
      <c r="A51" s="237">
        <v>49</v>
      </c>
      <c r="B51" s="268">
        <v>20</v>
      </c>
      <c r="C51" s="268">
        <v>50</v>
      </c>
    </row>
    <row r="52" spans="1:3" ht="15.5">
      <c r="A52" s="237">
        <v>50</v>
      </c>
      <c r="B52" s="268">
        <v>15</v>
      </c>
      <c r="C52" s="268">
        <v>40</v>
      </c>
    </row>
    <row r="53" spans="1:3" ht="15.5">
      <c r="A53" s="237">
        <v>51</v>
      </c>
      <c r="B53" s="268">
        <v>15</v>
      </c>
      <c r="C53" s="268">
        <v>40</v>
      </c>
    </row>
    <row r="54" spans="1:3" ht="15.5">
      <c r="A54" s="237">
        <v>52</v>
      </c>
      <c r="B54" s="268">
        <v>15</v>
      </c>
      <c r="C54" s="268">
        <v>40</v>
      </c>
    </row>
    <row r="55" spans="1:3" ht="15.5">
      <c r="A55" s="237">
        <v>53</v>
      </c>
      <c r="B55" s="268">
        <v>15</v>
      </c>
      <c r="C55" s="268">
        <v>40</v>
      </c>
    </row>
    <row r="56" spans="1:3" ht="15.5">
      <c r="A56" s="237">
        <v>54</v>
      </c>
      <c r="B56" s="268">
        <v>15</v>
      </c>
      <c r="C56" s="268">
        <v>40</v>
      </c>
    </row>
    <row r="57" spans="1:3" ht="15.5">
      <c r="A57" s="237">
        <v>55</v>
      </c>
      <c r="B57" s="268">
        <v>8</v>
      </c>
      <c r="C57" s="268">
        <v>20</v>
      </c>
    </row>
    <row r="58" spans="1:3" ht="15.5">
      <c r="A58" s="237">
        <v>56</v>
      </c>
      <c r="B58" s="268">
        <v>8</v>
      </c>
      <c r="C58" s="268">
        <v>20</v>
      </c>
    </row>
    <row r="59" spans="1:3" ht="15.5">
      <c r="A59" s="237">
        <v>57</v>
      </c>
      <c r="B59" s="268">
        <v>8</v>
      </c>
      <c r="C59" s="268">
        <v>20</v>
      </c>
    </row>
    <row r="60" spans="1:3" ht="15.5">
      <c r="A60" s="237">
        <v>58</v>
      </c>
      <c r="B60" s="268">
        <v>8</v>
      </c>
      <c r="C60" s="268">
        <v>20</v>
      </c>
    </row>
    <row r="61" spans="1:3" ht="15.5">
      <c r="A61" s="237">
        <v>59</v>
      </c>
      <c r="B61" s="268">
        <v>8</v>
      </c>
      <c r="C61" s="268">
        <v>20</v>
      </c>
    </row>
    <row r="62" spans="1:3" ht="15.5">
      <c r="A62" s="237">
        <v>60</v>
      </c>
      <c r="B62" s="268">
        <v>5</v>
      </c>
      <c r="C62" s="268">
        <v>10</v>
      </c>
    </row>
    <row r="63" spans="1:3" ht="15.5">
      <c r="A63" s="237">
        <v>61</v>
      </c>
      <c r="B63" s="268">
        <v>5</v>
      </c>
      <c r="C63" s="268">
        <v>10</v>
      </c>
    </row>
    <row r="64" spans="1:3" ht="15.5">
      <c r="A64" s="237">
        <v>62</v>
      </c>
      <c r="B64" s="268">
        <v>5</v>
      </c>
      <c r="C64" s="268">
        <v>10</v>
      </c>
    </row>
    <row r="65" spans="1:3" ht="15.5">
      <c r="A65" s="237">
        <v>63</v>
      </c>
      <c r="B65" s="268">
        <v>5</v>
      </c>
      <c r="C65" s="268">
        <v>10</v>
      </c>
    </row>
    <row r="66" spans="1:3" ht="15.5">
      <c r="A66" s="237">
        <v>64</v>
      </c>
      <c r="B66" s="268">
        <v>5</v>
      </c>
      <c r="C66" s="268">
        <v>10</v>
      </c>
    </row>
    <row r="67" spans="1:3" ht="15.5">
      <c r="A67" s="237">
        <v>65</v>
      </c>
      <c r="B67" s="268">
        <v>5</v>
      </c>
      <c r="C67" s="268">
        <v>10</v>
      </c>
    </row>
    <row r="68" spans="1:3" ht="15.5">
      <c r="A68" s="237">
        <v>66</v>
      </c>
      <c r="B68" s="268">
        <v>5</v>
      </c>
      <c r="C68" s="268">
        <v>10</v>
      </c>
    </row>
    <row r="69" spans="1:3" ht="15.5">
      <c r="A69" s="237">
        <v>67</v>
      </c>
      <c r="B69" s="268">
        <v>5</v>
      </c>
      <c r="C69" s="268">
        <v>10</v>
      </c>
    </row>
    <row r="70" spans="1:3" ht="15.5">
      <c r="A70" s="237">
        <v>68</v>
      </c>
      <c r="B70" s="268">
        <v>5</v>
      </c>
      <c r="C70" s="268">
        <v>10</v>
      </c>
    </row>
    <row r="71" spans="1:3" ht="15.5">
      <c r="A71" s="237">
        <v>69</v>
      </c>
      <c r="B71" s="268">
        <v>5</v>
      </c>
      <c r="C71" s="268">
        <v>10</v>
      </c>
    </row>
    <row r="72" spans="1:3" ht="15.5">
      <c r="A72" s="237">
        <v>70</v>
      </c>
      <c r="B72" s="268">
        <v>5</v>
      </c>
      <c r="C72" s="268">
        <v>10</v>
      </c>
    </row>
    <row r="73" spans="1:3" ht="15.5">
      <c r="B73" s="268"/>
      <c r="C73" s="269"/>
    </row>
    <row r="74" spans="1:3" ht="15.5">
      <c r="B74" s="269"/>
      <c r="C74" s="269"/>
    </row>
    <row r="75" spans="1:3" ht="15.5">
      <c r="B75" s="269"/>
      <c r="C75" s="269"/>
    </row>
    <row r="76" spans="1:3" ht="15.5">
      <c r="B76" s="269"/>
      <c r="C76" s="269"/>
    </row>
    <row r="77" spans="1:3" ht="15.5">
      <c r="B77" s="269"/>
      <c r="C77" s="269"/>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9AE6F-ECA6-451E-B675-07840FDC019E}">
  <dimension ref="B1:W243"/>
  <sheetViews>
    <sheetView showGridLines="0" zoomScaleNormal="100" workbookViewId="0">
      <pane ySplit="3" topLeftCell="A219" activePane="bottomLeft" state="frozen"/>
      <selection pane="bottomLeft"/>
    </sheetView>
  </sheetViews>
  <sheetFormatPr defaultColWidth="7.796875" defaultRowHeight="9.75" customHeight="1"/>
  <cols>
    <col min="1" max="1" width="2.19921875" style="277" customWidth="1"/>
    <col min="2" max="2" width="5.796875" style="270" customWidth="1"/>
    <col min="3" max="3" width="6.796875" style="270" customWidth="1"/>
    <col min="4" max="4" width="9.19921875" style="270" customWidth="1"/>
    <col min="5" max="5" width="14.296875" style="271" customWidth="1"/>
    <col min="6" max="6" width="11.5" style="299" customWidth="1"/>
    <col min="7" max="7" width="13.796875" style="272" customWidth="1"/>
    <col min="8" max="8" width="14.796875" style="271" customWidth="1"/>
    <col min="9" max="9" width="17.296875" style="273" customWidth="1"/>
    <col min="10" max="10" width="15.796875" style="300" customWidth="1"/>
    <col min="11" max="11" width="2.19921875" style="318" hidden="1" customWidth="1"/>
    <col min="12" max="12" width="2.69921875" style="318" hidden="1" customWidth="1"/>
    <col min="13" max="13" width="8.19921875" style="319" hidden="1" customWidth="1"/>
    <col min="14" max="15" width="0" style="298" hidden="1" customWidth="1"/>
    <col min="16" max="23" width="8.19921875" style="277" hidden="1" customWidth="1"/>
    <col min="24" max="16384" width="7.796875" style="277"/>
  </cols>
  <sheetData>
    <row r="1" spans="2:23" ht="9.75" customHeight="1">
      <c r="F1" s="271"/>
      <c r="J1" s="274" t="s">
        <v>681</v>
      </c>
      <c r="N1" s="275" t="s">
        <v>682</v>
      </c>
      <c r="O1" s="275" t="s">
        <v>683</v>
      </c>
      <c r="P1" s="276">
        <v>1</v>
      </c>
      <c r="Q1" s="276">
        <v>2</v>
      </c>
      <c r="R1" s="314">
        <v>3</v>
      </c>
      <c r="S1" s="314">
        <v>4</v>
      </c>
      <c r="T1" s="314">
        <v>5</v>
      </c>
      <c r="U1" s="322" t="s">
        <v>682</v>
      </c>
      <c r="V1" s="322" t="s">
        <v>702</v>
      </c>
      <c r="W1" s="314" t="s">
        <v>703</v>
      </c>
    </row>
    <row r="2" spans="2:23" ht="12" customHeight="1">
      <c r="B2" s="956" t="s">
        <v>704</v>
      </c>
      <c r="C2" s="956"/>
      <c r="D2" s="956"/>
      <c r="E2" s="956"/>
      <c r="F2" s="956"/>
      <c r="G2" s="956"/>
      <c r="H2" s="956"/>
      <c r="I2" s="956"/>
      <c r="J2" s="274"/>
      <c r="N2" s="278">
        <v>0.02</v>
      </c>
      <c r="O2" s="279">
        <v>0.01</v>
      </c>
      <c r="P2" s="315">
        <v>3.5000000000000003E-2</v>
      </c>
      <c r="Q2" s="315">
        <v>0.03</v>
      </c>
      <c r="R2" s="315">
        <v>0.03</v>
      </c>
      <c r="S2" s="315">
        <v>0.02</v>
      </c>
      <c r="T2" s="315">
        <v>0.02</v>
      </c>
      <c r="U2" s="315">
        <v>1.4999999999999999E-2</v>
      </c>
      <c r="V2" s="315">
        <v>0.01</v>
      </c>
      <c r="W2" s="323">
        <v>5.0000000000000001E-3</v>
      </c>
    </row>
    <row r="3" spans="2:23" s="286" customFormat="1" ht="27" customHeight="1">
      <c r="B3" s="280" t="s">
        <v>670</v>
      </c>
      <c r="C3" s="280" t="s">
        <v>1</v>
      </c>
      <c r="D3" s="280" t="s">
        <v>671</v>
      </c>
      <c r="E3" s="281" t="s">
        <v>678</v>
      </c>
      <c r="F3" s="281" t="s">
        <v>684</v>
      </c>
      <c r="G3" s="282" t="s">
        <v>685</v>
      </c>
      <c r="H3" s="281" t="s">
        <v>686</v>
      </c>
      <c r="I3" s="283" t="s">
        <v>687</v>
      </c>
      <c r="J3" s="284" t="s">
        <v>688</v>
      </c>
      <c r="K3" s="320"/>
      <c r="L3" s="320"/>
      <c r="M3" s="321"/>
      <c r="N3" s="285">
        <f t="shared" ref="N3:W3" si="0">(1+N2)^(1/12)-1</f>
        <v>1.6515813019202241E-3</v>
      </c>
      <c r="O3" s="285">
        <f t="shared" si="0"/>
        <v>8.295381143461622E-4</v>
      </c>
      <c r="P3" s="316">
        <f t="shared" si="0"/>
        <v>2.8708987190766422E-3</v>
      </c>
      <c r="Q3" s="316">
        <f t="shared" si="0"/>
        <v>2.4662697723036864E-3</v>
      </c>
      <c r="R3" s="316">
        <f t="shared" si="0"/>
        <v>2.4662697723036864E-3</v>
      </c>
      <c r="S3" s="316">
        <f t="shared" si="0"/>
        <v>1.6515813019202241E-3</v>
      </c>
      <c r="T3" s="316">
        <f t="shared" si="0"/>
        <v>1.6515813019202241E-3</v>
      </c>
      <c r="U3" s="316">
        <f t="shared" si="0"/>
        <v>1.2414877164492744E-3</v>
      </c>
      <c r="V3" s="316">
        <f t="shared" si="0"/>
        <v>8.295381143461622E-4</v>
      </c>
      <c r="W3" s="316">
        <f t="shared" si="0"/>
        <v>4.1571484472902043E-4</v>
      </c>
    </row>
    <row r="4" spans="2:23" ht="9.75" customHeight="1">
      <c r="B4" s="954">
        <v>1</v>
      </c>
      <c r="C4" s="952">
        <f ca="1">'Tinh phi QL'!I8</f>
        <v>30</v>
      </c>
      <c r="D4" s="287">
        <f ca="1">'Hoach dinh tai chinh'!J3</f>
        <v>46229</v>
      </c>
      <c r="E4" s="288">
        <f>'Tinh phi QL'!E13/1000</f>
        <v>1000000</v>
      </c>
      <c r="F4" s="289">
        <f ca="1">IF(YEAR(D4)=2025,40000,IF(YEAR(D4)=2026,40000,IF(YEAR(D4)=2027,40000,IF(YEAR(D4)=2028,40000,IF(YEAR(D4)=2029,40000,IF(YEAR(D4)=2030,50000,IF(YEAR(D4)=2031,50000,IF(YEAR(D4)=2032,50000,IF(YEAR(D4)=2033,50000,IF(YEAR(D4)=2034,50000,IF(YEAR(D4)&gt;=2035,60000,0)))))))))))/1000</f>
        <v>40</v>
      </c>
      <c r="G4" s="290">
        <f ca="1">VTLCOI!P3</f>
        <v>116.08333333333333</v>
      </c>
      <c r="H4" s="290">
        <f ca="1">(VTLGTTKcamket!F7-VTL20namcamket!F4-G4)*(1+VTL20namcamket!P3)</f>
        <v>4857.8230608203139</v>
      </c>
      <c r="I4" s="291"/>
      <c r="J4" s="292">
        <f ca="1">H4</f>
        <v>4857.8230608203139</v>
      </c>
      <c r="K4" s="949">
        <f ca="1">J15</f>
        <v>3265.5581049188945</v>
      </c>
      <c r="L4" s="949"/>
      <c r="M4" s="949"/>
      <c r="N4" s="950">
        <f ca="1">SUM(F4:F15)</f>
        <v>480</v>
      </c>
      <c r="O4" s="950"/>
      <c r="P4" s="950">
        <f ca="1">SUM(G4:G15)</f>
        <v>1394.1057395550015</v>
      </c>
      <c r="Q4" s="950"/>
    </row>
    <row r="5" spans="2:23" ht="9.75" customHeight="1">
      <c r="B5" s="954"/>
      <c r="C5" s="952"/>
      <c r="D5" s="287">
        <f t="shared" ref="D5:D68" ca="1" si="1">EDATE(D4,1)</f>
        <v>46260</v>
      </c>
      <c r="E5" s="288">
        <f>E4</f>
        <v>1000000</v>
      </c>
      <c r="F5" s="289">
        <f t="shared" ref="F5:F68" ca="1" si="2">IF(YEAR(D5)=2025,40000,IF(YEAR(D5)=2026,40000,IF(YEAR(D5)=2027,40000,IF(YEAR(D5)=2028,40000,IF(YEAR(D5)=2029,40000,IF(YEAR(D5)=2030,50000,IF(YEAR(D5)=2031,50000,IF(YEAR(D5)=2032,50000,IF(YEAR(D5)=2033,50000,IF(YEAR(D5)=2034,50000,IF(YEAR(D5)&gt;=2035,60000,0)))))))))))/1000</f>
        <v>40</v>
      </c>
      <c r="G5" s="290">
        <f ca="1">VTLCOI!P4</f>
        <v>116.09992064290428</v>
      </c>
      <c r="H5" s="290">
        <f t="shared" ref="H5:H15" ca="1" si="3">(H4-F5-G5)*(1+$P$3)</f>
        <v>4715.2213111179981</v>
      </c>
      <c r="I5" s="291"/>
      <c r="J5" s="292">
        <f t="shared" ref="J5:J68" ca="1" si="4">H5</f>
        <v>4715.2213111179981</v>
      </c>
      <c r="K5" s="949"/>
      <c r="L5" s="949"/>
      <c r="M5" s="949"/>
      <c r="N5" s="950"/>
      <c r="O5" s="950"/>
      <c r="P5" s="950"/>
      <c r="Q5" s="950"/>
    </row>
    <row r="6" spans="2:23" ht="9.75" customHeight="1">
      <c r="B6" s="954"/>
      <c r="C6" s="952"/>
      <c r="D6" s="287">
        <f t="shared" ca="1" si="1"/>
        <v>46291</v>
      </c>
      <c r="E6" s="288">
        <f t="shared" ref="E6:E69" si="5">E5</f>
        <v>1000000</v>
      </c>
      <c r="F6" s="289">
        <f t="shared" ca="1" si="2"/>
        <v>40</v>
      </c>
      <c r="G6" s="290">
        <f ca="1">VTLCOI!P5</f>
        <v>116.1165575137029</v>
      </c>
      <c r="H6" s="290">
        <f t="shared" ca="1" si="3"/>
        <v>4572.1934816015537</v>
      </c>
      <c r="I6" s="291"/>
      <c r="J6" s="292">
        <f t="shared" ca="1" si="4"/>
        <v>4572.1934816015537</v>
      </c>
      <c r="K6" s="949"/>
      <c r="L6" s="949"/>
      <c r="M6" s="949"/>
      <c r="N6" s="950"/>
      <c r="O6" s="950"/>
      <c r="P6" s="950"/>
      <c r="Q6" s="950"/>
    </row>
    <row r="7" spans="2:23" ht="9.75" customHeight="1">
      <c r="B7" s="954"/>
      <c r="C7" s="952"/>
      <c r="D7" s="287">
        <f t="shared" ca="1" si="1"/>
        <v>46321</v>
      </c>
      <c r="E7" s="288">
        <f t="shared" si="5"/>
        <v>1000000</v>
      </c>
      <c r="F7" s="289">
        <f t="shared" ca="1" si="2"/>
        <v>40</v>
      </c>
      <c r="G7" s="290">
        <f ca="1">VTLCOI!P6</f>
        <v>116.13324409381313</v>
      </c>
      <c r="H7" s="290">
        <f t="shared" ca="1" si="3"/>
        <v>4428.7382991869672</v>
      </c>
      <c r="I7" s="291"/>
      <c r="J7" s="292">
        <f t="shared" ca="1" si="4"/>
        <v>4428.7382991869672</v>
      </c>
      <c r="K7" s="949"/>
      <c r="L7" s="949"/>
      <c r="M7" s="949"/>
      <c r="N7" s="950"/>
      <c r="O7" s="950"/>
      <c r="P7" s="950"/>
      <c r="Q7" s="950"/>
    </row>
    <row r="8" spans="2:23" ht="9.75" customHeight="1">
      <c r="B8" s="954"/>
      <c r="C8" s="952"/>
      <c r="D8" s="287">
        <f t="shared" ca="1" si="1"/>
        <v>46352</v>
      </c>
      <c r="E8" s="288">
        <f t="shared" si="5"/>
        <v>1000000</v>
      </c>
      <c r="F8" s="289">
        <f t="shared" ca="1" si="2"/>
        <v>40</v>
      </c>
      <c r="G8" s="290">
        <f ca="1">VTLCOI!P7</f>
        <v>116.14998053176151</v>
      </c>
      <c r="H8" s="290">
        <f t="shared" ca="1" si="3"/>
        <v>4284.8544869863745</v>
      </c>
      <c r="I8" s="291"/>
      <c r="J8" s="292">
        <f t="shared" ca="1" si="4"/>
        <v>4284.8544869863745</v>
      </c>
      <c r="K8" s="949"/>
      <c r="L8" s="949"/>
      <c r="M8" s="949"/>
      <c r="N8" s="950"/>
      <c r="O8" s="950"/>
      <c r="P8" s="950"/>
      <c r="Q8" s="950"/>
    </row>
    <row r="9" spans="2:23" ht="9.75" customHeight="1">
      <c r="B9" s="954"/>
      <c r="C9" s="952"/>
      <c r="D9" s="287">
        <f t="shared" ca="1" si="1"/>
        <v>46382</v>
      </c>
      <c r="E9" s="288">
        <f t="shared" si="5"/>
        <v>1000000</v>
      </c>
      <c r="F9" s="289">
        <f t="shared" ca="1" si="2"/>
        <v>40</v>
      </c>
      <c r="G9" s="290">
        <f ca="1">VTLCOI!P8</f>
        <v>116.16676697651825</v>
      </c>
      <c r="H9" s="290">
        <f t="shared" ca="1" si="3"/>
        <v>4140.5407642967002</v>
      </c>
      <c r="I9" s="291"/>
      <c r="J9" s="292">
        <f t="shared" ca="1" si="4"/>
        <v>4140.5407642967002</v>
      </c>
      <c r="K9" s="949"/>
      <c r="L9" s="949"/>
      <c r="M9" s="949"/>
      <c r="N9" s="950"/>
      <c r="O9" s="950"/>
      <c r="P9" s="950"/>
      <c r="Q9" s="950"/>
    </row>
    <row r="10" spans="2:23" ht="9.75" customHeight="1">
      <c r="B10" s="954"/>
      <c r="C10" s="952"/>
      <c r="D10" s="287">
        <f t="shared" ca="1" si="1"/>
        <v>46413</v>
      </c>
      <c r="E10" s="288">
        <f t="shared" si="5"/>
        <v>1000000</v>
      </c>
      <c r="F10" s="289">
        <f t="shared" ca="1" si="2"/>
        <v>40</v>
      </c>
      <c r="G10" s="290">
        <f ca="1">VTLCOI!P9</f>
        <v>116.18360357749872</v>
      </c>
      <c r="H10" s="290">
        <f t="shared" ca="1" si="3"/>
        <v>3995.7958465882543</v>
      </c>
      <c r="I10" s="291"/>
      <c r="J10" s="292">
        <f t="shared" ca="1" si="4"/>
        <v>3995.7958465882543</v>
      </c>
      <c r="K10" s="949"/>
      <c r="L10" s="949"/>
      <c r="M10" s="949"/>
      <c r="N10" s="950"/>
      <c r="O10" s="950"/>
      <c r="P10" s="950"/>
      <c r="Q10" s="950"/>
    </row>
    <row r="11" spans="2:23" ht="9.75" customHeight="1">
      <c r="B11" s="954"/>
      <c r="C11" s="952"/>
      <c r="D11" s="287">
        <f t="shared" ca="1" si="1"/>
        <v>46444</v>
      </c>
      <c r="E11" s="288">
        <f t="shared" si="5"/>
        <v>1000000</v>
      </c>
      <c r="F11" s="289">
        <f t="shared" ca="1" si="2"/>
        <v>40</v>
      </c>
      <c r="G11" s="290">
        <f ca="1">VTLCOI!P10</f>
        <v>116.2004904845647</v>
      </c>
      <c r="H11" s="290">
        <f t="shared" ca="1" si="3"/>
        <v>3850.6184454933</v>
      </c>
      <c r="I11" s="291"/>
      <c r="J11" s="292">
        <f t="shared" ca="1" si="4"/>
        <v>3850.6184454933</v>
      </c>
      <c r="K11" s="949"/>
      <c r="L11" s="949"/>
      <c r="M11" s="949"/>
      <c r="N11" s="950"/>
      <c r="O11" s="950"/>
      <c r="P11" s="950"/>
      <c r="Q11" s="950"/>
    </row>
    <row r="12" spans="2:23" ht="9.75" customHeight="1">
      <c r="B12" s="954"/>
      <c r="C12" s="952"/>
      <c r="D12" s="287">
        <f t="shared" ca="1" si="1"/>
        <v>46472</v>
      </c>
      <c r="E12" s="288">
        <f t="shared" si="5"/>
        <v>1000000</v>
      </c>
      <c r="F12" s="289">
        <f t="shared" ca="1" si="2"/>
        <v>40</v>
      </c>
      <c r="G12" s="290">
        <f ca="1">VTLCOI!P11</f>
        <v>116.21742784802576</v>
      </c>
      <c r="H12" s="290">
        <f t="shared" ca="1" si="3"/>
        <v>3705.0072687945876</v>
      </c>
      <c r="I12" s="291"/>
      <c r="J12" s="292">
        <f t="shared" ca="1" si="4"/>
        <v>3705.0072687945876</v>
      </c>
      <c r="K12" s="949"/>
      <c r="L12" s="949"/>
      <c r="M12" s="949"/>
      <c r="N12" s="950"/>
      <c r="O12" s="950"/>
      <c r="P12" s="950"/>
      <c r="Q12" s="950"/>
    </row>
    <row r="13" spans="2:23" ht="9.75" customHeight="1">
      <c r="B13" s="954"/>
      <c r="C13" s="952"/>
      <c r="D13" s="287">
        <f t="shared" ca="1" si="1"/>
        <v>46503</v>
      </c>
      <c r="E13" s="288">
        <f t="shared" si="5"/>
        <v>1000000</v>
      </c>
      <c r="F13" s="289">
        <f t="shared" ca="1" si="2"/>
        <v>40</v>
      </c>
      <c r="G13" s="290">
        <f ca="1">VTLCOI!P12</f>
        <v>116.23441581864063</v>
      </c>
      <c r="H13" s="290">
        <f t="shared" ca="1" si="3"/>
        <v>3558.9610204138494</v>
      </c>
      <c r="I13" s="291"/>
      <c r="J13" s="292">
        <f t="shared" ca="1" si="4"/>
        <v>3558.9610204138494</v>
      </c>
      <c r="K13" s="949"/>
      <c r="L13" s="949"/>
      <c r="M13" s="949"/>
      <c r="N13" s="950"/>
      <c r="O13" s="950"/>
      <c r="P13" s="950"/>
      <c r="Q13" s="950"/>
    </row>
    <row r="14" spans="2:23" ht="9.75" customHeight="1">
      <c r="B14" s="954"/>
      <c r="C14" s="952"/>
      <c r="D14" s="287">
        <f t="shared" ca="1" si="1"/>
        <v>46533</v>
      </c>
      <c r="E14" s="288">
        <f t="shared" si="5"/>
        <v>1000000</v>
      </c>
      <c r="F14" s="289">
        <f t="shared" ca="1" si="2"/>
        <v>40</v>
      </c>
      <c r="G14" s="290">
        <f ca="1">VTLCOI!P13</f>
        <v>116.25145454761838</v>
      </c>
      <c r="H14" s="290">
        <f t="shared" ca="1" si="3"/>
        <v>3412.4784004002663</v>
      </c>
      <c r="I14" s="291"/>
      <c r="J14" s="292">
        <f t="shared" ca="1" si="4"/>
        <v>3412.4784004002663</v>
      </c>
      <c r="K14" s="949"/>
      <c r="L14" s="949"/>
      <c r="M14" s="949"/>
      <c r="N14" s="950"/>
      <c r="O14" s="950"/>
      <c r="P14" s="950"/>
      <c r="Q14" s="950"/>
    </row>
    <row r="15" spans="2:23" ht="9.75" customHeight="1">
      <c r="B15" s="954"/>
      <c r="C15" s="952"/>
      <c r="D15" s="287">
        <f t="shared" ca="1" si="1"/>
        <v>46564</v>
      </c>
      <c r="E15" s="288">
        <f t="shared" si="5"/>
        <v>1000000</v>
      </c>
      <c r="F15" s="289">
        <f t="shared" ca="1" si="2"/>
        <v>40</v>
      </c>
      <c r="G15" s="290">
        <f ca="1">VTLCOI!P14</f>
        <v>116.26854418661996</v>
      </c>
      <c r="H15" s="290">
        <f t="shared" ca="1" si="3"/>
        <v>3265.5581049188945</v>
      </c>
      <c r="I15" s="291"/>
      <c r="J15" s="293">
        <f t="shared" ca="1" si="4"/>
        <v>3265.5581049188945</v>
      </c>
      <c r="K15" s="949"/>
      <c r="L15" s="949"/>
      <c r="M15" s="949"/>
      <c r="N15" s="950"/>
      <c r="O15" s="950"/>
      <c r="P15" s="950"/>
      <c r="Q15" s="950"/>
    </row>
    <row r="16" spans="2:23" ht="9.75" customHeight="1">
      <c r="B16" s="955">
        <v>2</v>
      </c>
      <c r="C16" s="947">
        <f ca="1">C4+1</f>
        <v>31</v>
      </c>
      <c r="D16" s="294">
        <f t="shared" ca="1" si="1"/>
        <v>46594</v>
      </c>
      <c r="E16" s="359">
        <f t="shared" si="5"/>
        <v>1000000</v>
      </c>
      <c r="F16" s="360">
        <f t="shared" ca="1" si="2"/>
        <v>40</v>
      </c>
      <c r="G16" s="295">
        <f ca="1">VTLCOI!P15</f>
        <v>118.76813302740972</v>
      </c>
      <c r="H16" s="295">
        <f ca="1">(H15+VTLGTTKcamket!F8-F16-G16)*(1+Q3)</f>
        <v>10131.716042494183</v>
      </c>
      <c r="I16" s="324"/>
      <c r="J16" s="296">
        <f t="shared" ca="1" si="4"/>
        <v>10131.716042494183</v>
      </c>
      <c r="K16" s="949">
        <f ca="1">J27</f>
        <v>8636.406581123736</v>
      </c>
      <c r="L16" s="949"/>
      <c r="M16" s="949"/>
      <c r="N16" s="950">
        <f ca="1">SUM(F16:F27)</f>
        <v>480</v>
      </c>
      <c r="O16" s="950"/>
      <c r="P16" s="950">
        <f ca="1">SUM(G16:G27)</f>
        <v>1426.2868183237224</v>
      </c>
      <c r="Q16" s="950"/>
    </row>
    <row r="17" spans="2:17" ht="9.75" customHeight="1">
      <c r="B17" s="955"/>
      <c r="C17" s="947"/>
      <c r="D17" s="294">
        <f t="shared" ca="1" si="1"/>
        <v>46625</v>
      </c>
      <c r="E17" s="359">
        <f t="shared" si="5"/>
        <v>1000000</v>
      </c>
      <c r="F17" s="360">
        <f t="shared" ca="1" si="2"/>
        <v>40</v>
      </c>
      <c r="G17" s="295">
        <f ca="1">VTLCOI!P16</f>
        <v>118.78419407490071</v>
      </c>
      <c r="H17" s="295">
        <f ca="1">(H16-F17-G17)*(1+$Q$3)</f>
        <v>9997.5277887782831</v>
      </c>
      <c r="I17" s="324"/>
      <c r="J17" s="296">
        <f t="shared" ca="1" si="4"/>
        <v>9997.5277887782831</v>
      </c>
      <c r="K17" s="949"/>
      <c r="L17" s="949"/>
      <c r="M17" s="949"/>
      <c r="N17" s="950"/>
      <c r="O17" s="950"/>
      <c r="P17" s="950"/>
      <c r="Q17" s="950"/>
    </row>
    <row r="18" spans="2:17" ht="9.75" customHeight="1">
      <c r="B18" s="955"/>
      <c r="C18" s="947"/>
      <c r="D18" s="294">
        <f t="shared" ca="1" si="1"/>
        <v>46656</v>
      </c>
      <c r="E18" s="359">
        <f t="shared" si="5"/>
        <v>1000000</v>
      </c>
      <c r="F18" s="360">
        <f t="shared" ca="1" si="2"/>
        <v>40</v>
      </c>
      <c r="G18" s="295">
        <f ca="1">VTLCOI!P17</f>
        <v>118.80029666534659</v>
      </c>
      <c r="H18" s="295">
        <f t="shared" ref="H18:H27" ca="1" si="6">(H17-F18-G18)*(1+$Q$3)</f>
        <v>9862.9924483246687</v>
      </c>
      <c r="I18" s="324"/>
      <c r="J18" s="296">
        <f t="shared" ca="1" si="4"/>
        <v>9862.9924483246687</v>
      </c>
      <c r="K18" s="949"/>
      <c r="L18" s="949"/>
      <c r="M18" s="949"/>
      <c r="N18" s="950"/>
      <c r="O18" s="950"/>
      <c r="P18" s="950"/>
      <c r="Q18" s="950"/>
    </row>
    <row r="19" spans="2:17" ht="9.75" customHeight="1">
      <c r="B19" s="955"/>
      <c r="C19" s="947"/>
      <c r="D19" s="294">
        <f t="shared" ca="1" si="1"/>
        <v>46686</v>
      </c>
      <c r="E19" s="359">
        <f t="shared" si="5"/>
        <v>1000000</v>
      </c>
      <c r="F19" s="360">
        <f t="shared" ca="1" si="2"/>
        <v>40</v>
      </c>
      <c r="G19" s="295">
        <f ca="1">VTLCOI!P18</f>
        <v>118.81644090620102</v>
      </c>
      <c r="H19" s="295">
        <f t="shared" ca="1" si="6"/>
        <v>9728.1091233706793</v>
      </c>
      <c r="I19" s="324"/>
      <c r="J19" s="296">
        <f t="shared" ca="1" si="4"/>
        <v>9728.1091233706793</v>
      </c>
      <c r="K19" s="949"/>
      <c r="L19" s="949"/>
      <c r="M19" s="949"/>
      <c r="N19" s="950"/>
      <c r="O19" s="950"/>
      <c r="P19" s="950"/>
      <c r="Q19" s="950"/>
    </row>
    <row r="20" spans="2:17" ht="9.75" customHeight="1">
      <c r="B20" s="955"/>
      <c r="C20" s="947"/>
      <c r="D20" s="294">
        <f t="shared" ca="1" si="1"/>
        <v>46717</v>
      </c>
      <c r="E20" s="359">
        <f t="shared" si="5"/>
        <v>1000000</v>
      </c>
      <c r="F20" s="360">
        <f t="shared" ca="1" si="2"/>
        <v>40</v>
      </c>
      <c r="G20" s="295">
        <f ca="1">VTLCOI!P19</f>
        <v>118.83262690519551</v>
      </c>
      <c r="H20" s="295">
        <f t="shared" ca="1" si="6"/>
        <v>9592.8769138315329</v>
      </c>
      <c r="I20" s="324"/>
      <c r="J20" s="296">
        <f t="shared" ca="1" si="4"/>
        <v>9592.8769138315329</v>
      </c>
      <c r="K20" s="949"/>
      <c r="L20" s="949"/>
      <c r="M20" s="949"/>
      <c r="N20" s="950"/>
      <c r="O20" s="950"/>
      <c r="P20" s="950"/>
      <c r="Q20" s="950"/>
    </row>
    <row r="21" spans="2:17" ht="9.75" customHeight="1">
      <c r="B21" s="955"/>
      <c r="C21" s="947"/>
      <c r="D21" s="294">
        <f t="shared" ca="1" si="1"/>
        <v>46747</v>
      </c>
      <c r="E21" s="359">
        <f t="shared" si="5"/>
        <v>1000000</v>
      </c>
      <c r="F21" s="360">
        <f t="shared" ca="1" si="2"/>
        <v>40</v>
      </c>
      <c r="G21" s="295">
        <f ca="1">VTLCOI!P20</f>
        <v>118.8488547703402</v>
      </c>
      <c r="H21" s="295">
        <f t="shared" ca="1" si="6"/>
        <v>9457.2949172943208</v>
      </c>
      <c r="I21" s="324"/>
      <c r="J21" s="296">
        <f t="shared" ca="1" si="4"/>
        <v>9457.2949172943208</v>
      </c>
      <c r="K21" s="949"/>
      <c r="L21" s="949"/>
      <c r="M21" s="949"/>
      <c r="N21" s="950"/>
      <c r="O21" s="950"/>
      <c r="P21" s="950"/>
      <c r="Q21" s="950"/>
    </row>
    <row r="22" spans="2:17" ht="9.75" customHeight="1">
      <c r="B22" s="955"/>
      <c r="C22" s="947"/>
      <c r="D22" s="294">
        <f t="shared" ca="1" si="1"/>
        <v>46778</v>
      </c>
      <c r="E22" s="359">
        <f t="shared" si="5"/>
        <v>1000000</v>
      </c>
      <c r="F22" s="360">
        <f t="shared" ca="1" si="2"/>
        <v>40</v>
      </c>
      <c r="G22" s="295">
        <f ca="1">VTLCOI!P21</f>
        <v>118.86512460992468</v>
      </c>
      <c r="H22" s="295">
        <f t="shared" ca="1" si="6"/>
        <v>9321.362229011982</v>
      </c>
      <c r="I22" s="324"/>
      <c r="J22" s="296">
        <f t="shared" ca="1" si="4"/>
        <v>9321.362229011982</v>
      </c>
      <c r="K22" s="949"/>
      <c r="L22" s="949"/>
      <c r="M22" s="949"/>
      <c r="N22" s="950"/>
      <c r="O22" s="950"/>
      <c r="P22" s="950"/>
      <c r="Q22" s="950"/>
    </row>
    <row r="23" spans="2:17" ht="9.75" customHeight="1">
      <c r="B23" s="955"/>
      <c r="C23" s="947"/>
      <c r="D23" s="294">
        <f t="shared" ca="1" si="1"/>
        <v>46809</v>
      </c>
      <c r="E23" s="359">
        <f t="shared" si="5"/>
        <v>1000000</v>
      </c>
      <c r="F23" s="360">
        <f t="shared" ca="1" si="2"/>
        <v>40</v>
      </c>
      <c r="G23" s="295">
        <f ca="1">VTLCOI!P22</f>
        <v>118.88143653251855</v>
      </c>
      <c r="H23" s="295">
        <f t="shared" ca="1" si="6"/>
        <v>9185.0779418972688</v>
      </c>
      <c r="I23" s="324"/>
      <c r="J23" s="296">
        <f t="shared" ca="1" si="4"/>
        <v>9185.0779418972688</v>
      </c>
      <c r="K23" s="949"/>
      <c r="L23" s="949"/>
      <c r="M23" s="949"/>
      <c r="N23" s="950"/>
      <c r="O23" s="950"/>
      <c r="P23" s="950"/>
      <c r="Q23" s="950"/>
    </row>
    <row r="24" spans="2:17" ht="9.75" customHeight="1">
      <c r="B24" s="955"/>
      <c r="C24" s="947"/>
      <c r="D24" s="294">
        <f t="shared" ca="1" si="1"/>
        <v>46838</v>
      </c>
      <c r="E24" s="359">
        <f t="shared" si="5"/>
        <v>1000000</v>
      </c>
      <c r="F24" s="360">
        <f t="shared" ca="1" si="2"/>
        <v>40</v>
      </c>
      <c r="G24" s="295">
        <f ca="1">VTLCOI!P23</f>
        <v>118.8977906469723</v>
      </c>
      <c r="H24" s="295">
        <f t="shared" ca="1" si="6"/>
        <v>9048.4411465166941</v>
      </c>
      <c r="I24" s="324"/>
      <c r="J24" s="296">
        <f t="shared" ca="1" si="4"/>
        <v>9048.4411465166941</v>
      </c>
      <c r="K24" s="949"/>
      <c r="L24" s="949"/>
      <c r="M24" s="949"/>
      <c r="N24" s="950"/>
      <c r="O24" s="950"/>
      <c r="P24" s="950"/>
      <c r="Q24" s="950"/>
    </row>
    <row r="25" spans="2:17" ht="9.75" customHeight="1">
      <c r="B25" s="955"/>
      <c r="C25" s="947"/>
      <c r="D25" s="294">
        <f t="shared" ca="1" si="1"/>
        <v>46869</v>
      </c>
      <c r="E25" s="359">
        <f t="shared" si="5"/>
        <v>1000000</v>
      </c>
      <c r="F25" s="360">
        <f t="shared" ca="1" si="2"/>
        <v>40</v>
      </c>
      <c r="G25" s="295">
        <f ca="1">VTLCOI!P24</f>
        <v>118.91418706241798</v>
      </c>
      <c r="H25" s="295">
        <f t="shared" ca="1" si="6"/>
        <v>8911.4509310844569</v>
      </c>
      <c r="I25" s="324"/>
      <c r="J25" s="296">
        <f t="shared" ca="1" si="4"/>
        <v>8911.4509310844569</v>
      </c>
      <c r="K25" s="949"/>
      <c r="L25" s="949"/>
      <c r="M25" s="949"/>
      <c r="N25" s="950"/>
      <c r="O25" s="950"/>
      <c r="P25" s="950"/>
      <c r="Q25" s="950"/>
    </row>
    <row r="26" spans="2:17" ht="9.75" customHeight="1">
      <c r="B26" s="955"/>
      <c r="C26" s="947"/>
      <c r="D26" s="294">
        <f t="shared" ca="1" si="1"/>
        <v>46899</v>
      </c>
      <c r="E26" s="359">
        <f t="shared" si="5"/>
        <v>1000000</v>
      </c>
      <c r="F26" s="360">
        <f t="shared" ca="1" si="2"/>
        <v>40</v>
      </c>
      <c r="G26" s="295">
        <f ca="1">VTLCOI!P25</f>
        <v>118.93062588826986</v>
      </c>
      <c r="H26" s="295">
        <f t="shared" ca="1" si="6"/>
        <v>8774.1063814563659</v>
      </c>
      <c r="I26" s="324"/>
      <c r="J26" s="296">
        <f t="shared" ca="1" si="4"/>
        <v>8774.1063814563659</v>
      </c>
      <c r="K26" s="949"/>
      <c r="L26" s="949"/>
      <c r="M26" s="949"/>
      <c r="N26" s="950"/>
      <c r="O26" s="950"/>
      <c r="P26" s="950"/>
      <c r="Q26" s="950"/>
    </row>
    <row r="27" spans="2:17" ht="9.75" customHeight="1">
      <c r="B27" s="955"/>
      <c r="C27" s="947"/>
      <c r="D27" s="294">
        <f t="shared" ca="1" si="1"/>
        <v>46930</v>
      </c>
      <c r="E27" s="359">
        <f t="shared" si="5"/>
        <v>1000000</v>
      </c>
      <c r="F27" s="360">
        <f t="shared" ca="1" si="2"/>
        <v>40</v>
      </c>
      <c r="G27" s="295">
        <f ca="1">VTLCOI!P26</f>
        <v>118.94710723422524</v>
      </c>
      <c r="H27" s="295">
        <f t="shared" ca="1" si="6"/>
        <v>8636.406581123736</v>
      </c>
      <c r="I27" s="324"/>
      <c r="J27" s="297">
        <f t="shared" ca="1" si="4"/>
        <v>8636.406581123736</v>
      </c>
      <c r="K27" s="949"/>
      <c r="L27" s="949"/>
      <c r="M27" s="949"/>
      <c r="N27" s="950"/>
      <c r="O27" s="950"/>
      <c r="P27" s="950"/>
      <c r="Q27" s="950"/>
    </row>
    <row r="28" spans="2:17" ht="9.75" customHeight="1">
      <c r="B28" s="954">
        <v>3</v>
      </c>
      <c r="C28" s="952">
        <f ca="1">C16+1</f>
        <v>32</v>
      </c>
      <c r="D28" s="287">
        <f t="shared" ca="1" si="1"/>
        <v>46960</v>
      </c>
      <c r="E28" s="288">
        <f t="shared" si="5"/>
        <v>1000000</v>
      </c>
      <c r="F28" s="289">
        <f t="shared" ca="1" si="2"/>
        <v>40</v>
      </c>
      <c r="G28" s="290">
        <f ca="1">VTLCOI!P27</f>
        <v>122.59266131288656</v>
      </c>
      <c r="H28" s="290">
        <f ca="1">(H27+VTLGTTKcamket!F9-F28-G28)*(1+$R$3)</f>
        <v>16514.442789115838</v>
      </c>
      <c r="I28" s="291"/>
      <c r="J28" s="292">
        <f t="shared" ca="1" si="4"/>
        <v>16514.442789115838</v>
      </c>
      <c r="K28" s="949">
        <f ca="1">J39</f>
        <v>15151.801353824552</v>
      </c>
      <c r="L28" s="949"/>
      <c r="M28" s="949"/>
      <c r="N28" s="950">
        <f t="shared" ref="N28" ca="1" si="7">SUM(F28:F39)</f>
        <v>480</v>
      </c>
      <c r="O28" s="950"/>
      <c r="P28" s="950">
        <f t="shared" ref="P28" ca="1" si="8">SUM(G28:G39)</f>
        <v>1472.1241724487106</v>
      </c>
      <c r="Q28" s="950"/>
    </row>
    <row r="29" spans="2:17" ht="9.75" customHeight="1">
      <c r="B29" s="954"/>
      <c r="C29" s="952"/>
      <c r="D29" s="287">
        <f t="shared" ca="1" si="1"/>
        <v>46991</v>
      </c>
      <c r="E29" s="288">
        <f t="shared" si="5"/>
        <v>1000000</v>
      </c>
      <c r="F29" s="289">
        <f t="shared" ca="1" si="2"/>
        <v>40</v>
      </c>
      <c r="G29" s="290">
        <f ca="1">VTLCOI!P28</f>
        <v>122.60786613229021</v>
      </c>
      <c r="H29" s="290">
        <f ca="1">(H28-F29-G29)*(1+$R$3)</f>
        <v>16392.162959175803</v>
      </c>
      <c r="I29" s="291"/>
      <c r="J29" s="292">
        <f t="shared" ca="1" si="4"/>
        <v>16392.162959175803</v>
      </c>
      <c r="K29" s="949"/>
      <c r="L29" s="949"/>
      <c r="M29" s="949"/>
      <c r="N29" s="950"/>
      <c r="O29" s="950"/>
      <c r="P29" s="950"/>
      <c r="Q29" s="950"/>
    </row>
    <row r="30" spans="2:17" ht="9.75" customHeight="1">
      <c r="B30" s="954"/>
      <c r="C30" s="952"/>
      <c r="D30" s="287">
        <f t="shared" ca="1" si="1"/>
        <v>47022</v>
      </c>
      <c r="E30" s="288">
        <f t="shared" si="5"/>
        <v>1000000</v>
      </c>
      <c r="F30" s="289">
        <f t="shared" ca="1" si="2"/>
        <v>40</v>
      </c>
      <c r="G30" s="290">
        <f ca="1">VTLCOI!P29</f>
        <v>122.62311035108944</v>
      </c>
      <c r="H30" s="290">
        <f t="shared" ref="H30:H39" ca="1" si="9">(H29-F30-G30)*(1+$R$3)</f>
        <v>16269.566272372269</v>
      </c>
      <c r="I30" s="291"/>
      <c r="J30" s="292">
        <f t="shared" ca="1" si="4"/>
        <v>16269.566272372269</v>
      </c>
      <c r="K30" s="949"/>
      <c r="L30" s="949"/>
      <c r="M30" s="949"/>
      <c r="N30" s="950"/>
      <c r="O30" s="950"/>
      <c r="P30" s="950"/>
      <c r="Q30" s="950"/>
    </row>
    <row r="31" spans="2:17" ht="9.75" customHeight="1">
      <c r="B31" s="954"/>
      <c r="C31" s="952"/>
      <c r="D31" s="287">
        <f t="shared" ca="1" si="1"/>
        <v>47052</v>
      </c>
      <c r="E31" s="288">
        <f t="shared" si="5"/>
        <v>1000000</v>
      </c>
      <c r="F31" s="289">
        <f t="shared" ca="1" si="2"/>
        <v>40</v>
      </c>
      <c r="G31" s="290">
        <f ca="1">VTLCOI!P30</f>
        <v>122.6383940713776</v>
      </c>
      <c r="H31" s="290">
        <f t="shared" ca="1" si="9"/>
        <v>16146.651907651822</v>
      </c>
      <c r="I31" s="291"/>
      <c r="J31" s="292">
        <f t="shared" ca="1" si="4"/>
        <v>16146.651907651822</v>
      </c>
      <c r="K31" s="949"/>
      <c r="L31" s="949"/>
      <c r="M31" s="949"/>
      <c r="N31" s="950"/>
      <c r="O31" s="950"/>
      <c r="P31" s="950"/>
      <c r="Q31" s="950"/>
    </row>
    <row r="32" spans="2:17" ht="9.75" customHeight="1">
      <c r="B32" s="954"/>
      <c r="C32" s="952"/>
      <c r="D32" s="287">
        <f t="shared" ca="1" si="1"/>
        <v>47083</v>
      </c>
      <c r="E32" s="288">
        <f t="shared" si="5"/>
        <v>1000000</v>
      </c>
      <c r="F32" s="289">
        <f t="shared" ca="1" si="2"/>
        <v>40</v>
      </c>
      <c r="G32" s="290">
        <f ca="1">VTLCOI!P31</f>
        <v>122.65371739551273</v>
      </c>
      <c r="H32" s="290">
        <f t="shared" ca="1" si="9"/>
        <v>16023.419041833495</v>
      </c>
      <c r="I32" s="291"/>
      <c r="J32" s="292">
        <f t="shared" ca="1" si="4"/>
        <v>16023.419041833495</v>
      </c>
      <c r="K32" s="949"/>
      <c r="L32" s="949"/>
      <c r="M32" s="949"/>
      <c r="N32" s="950"/>
      <c r="O32" s="950"/>
      <c r="P32" s="950"/>
      <c r="Q32" s="950"/>
    </row>
    <row r="33" spans="2:17" ht="9.75" customHeight="1">
      <c r="B33" s="954"/>
      <c r="C33" s="952"/>
      <c r="D33" s="287">
        <f t="shared" ca="1" si="1"/>
        <v>47113</v>
      </c>
      <c r="E33" s="288">
        <f t="shared" si="5"/>
        <v>1000000</v>
      </c>
      <c r="F33" s="289">
        <f t="shared" ca="1" si="2"/>
        <v>40</v>
      </c>
      <c r="G33" s="290">
        <f ca="1">VTLCOI!P32</f>
        <v>122.66908042611807</v>
      </c>
      <c r="H33" s="290">
        <f t="shared" ca="1" si="9"/>
        <v>15899.866849603262</v>
      </c>
      <c r="I33" s="291"/>
      <c r="J33" s="292">
        <f t="shared" ca="1" si="4"/>
        <v>15899.866849603262</v>
      </c>
      <c r="K33" s="949"/>
      <c r="L33" s="949"/>
      <c r="M33" s="949"/>
      <c r="N33" s="950"/>
      <c r="O33" s="950"/>
      <c r="P33" s="950"/>
      <c r="Q33" s="950"/>
    </row>
    <row r="34" spans="2:17" ht="9.75" customHeight="1">
      <c r="B34" s="954"/>
      <c r="C34" s="952"/>
      <c r="D34" s="287">
        <f t="shared" ca="1" si="1"/>
        <v>47144</v>
      </c>
      <c r="E34" s="288">
        <f t="shared" si="5"/>
        <v>1000000</v>
      </c>
      <c r="F34" s="289">
        <f t="shared" ca="1" si="2"/>
        <v>40</v>
      </c>
      <c r="G34" s="290">
        <f ca="1">VTLCOI!P33</f>
        <v>122.68448326608279</v>
      </c>
      <c r="H34" s="290">
        <f t="shared" ca="1" si="9"/>
        <v>15775.994503508507</v>
      </c>
      <c r="I34" s="291"/>
      <c r="J34" s="292">
        <f t="shared" ca="1" si="4"/>
        <v>15775.994503508507</v>
      </c>
      <c r="K34" s="949"/>
      <c r="L34" s="949"/>
      <c r="M34" s="949"/>
      <c r="N34" s="950"/>
      <c r="O34" s="950"/>
      <c r="P34" s="950"/>
      <c r="Q34" s="950"/>
    </row>
    <row r="35" spans="2:17" ht="9.75" customHeight="1">
      <c r="B35" s="954"/>
      <c r="C35" s="952"/>
      <c r="D35" s="287">
        <f t="shared" ca="1" si="1"/>
        <v>47175</v>
      </c>
      <c r="E35" s="288">
        <f t="shared" si="5"/>
        <v>1000000</v>
      </c>
      <c r="F35" s="289">
        <f t="shared" ca="1" si="2"/>
        <v>40</v>
      </c>
      <c r="G35" s="290">
        <f ca="1">VTLCOI!P34</f>
        <v>122.69992601856261</v>
      </c>
      <c r="H35" s="290">
        <f t="shared" ca="1" si="9"/>
        <v>15651.801173952483</v>
      </c>
      <c r="I35" s="291"/>
      <c r="J35" s="292">
        <f t="shared" ca="1" si="4"/>
        <v>15651.801173952483</v>
      </c>
      <c r="K35" s="949"/>
      <c r="L35" s="949"/>
      <c r="M35" s="949"/>
      <c r="N35" s="950"/>
      <c r="O35" s="950"/>
      <c r="P35" s="950"/>
      <c r="Q35" s="950"/>
    </row>
    <row r="36" spans="2:17" ht="9.75" customHeight="1">
      <c r="B36" s="954"/>
      <c r="C36" s="952"/>
      <c r="D36" s="287">
        <f t="shared" ca="1" si="1"/>
        <v>47203</v>
      </c>
      <c r="E36" s="288">
        <f t="shared" si="5"/>
        <v>1000000</v>
      </c>
      <c r="F36" s="289">
        <f t="shared" ca="1" si="2"/>
        <v>40</v>
      </c>
      <c r="G36" s="290">
        <f ca="1">VTLCOI!P35</f>
        <v>122.7154087869806</v>
      </c>
      <c r="H36" s="290">
        <f t="shared" ca="1" si="9"/>
        <v>15527.28602918875</v>
      </c>
      <c r="I36" s="291"/>
      <c r="J36" s="292">
        <f t="shared" ca="1" si="4"/>
        <v>15527.28602918875</v>
      </c>
      <c r="K36" s="949"/>
      <c r="L36" s="949"/>
      <c r="M36" s="949"/>
      <c r="N36" s="950"/>
      <c r="O36" s="950"/>
      <c r="P36" s="950"/>
      <c r="Q36" s="950"/>
    </row>
    <row r="37" spans="2:17" ht="9.75" customHeight="1">
      <c r="B37" s="954"/>
      <c r="C37" s="952"/>
      <c r="D37" s="287">
        <f t="shared" ca="1" si="1"/>
        <v>47234</v>
      </c>
      <c r="E37" s="288">
        <f t="shared" si="5"/>
        <v>1000000</v>
      </c>
      <c r="F37" s="289">
        <f t="shared" ca="1" si="2"/>
        <v>40</v>
      </c>
      <c r="G37" s="290">
        <f ca="1">VTLCOI!P36</f>
        <v>122.7309316750278</v>
      </c>
      <c r="H37" s="290">
        <f t="shared" ca="1" si="9"/>
        <v>15402.448235315616</v>
      </c>
      <c r="I37" s="291"/>
      <c r="J37" s="292">
        <f t="shared" ca="1" si="4"/>
        <v>15402.448235315616</v>
      </c>
      <c r="K37" s="949"/>
      <c r="L37" s="949"/>
      <c r="M37" s="949"/>
      <c r="N37" s="950"/>
      <c r="O37" s="950"/>
      <c r="P37" s="950"/>
      <c r="Q37" s="950"/>
    </row>
    <row r="38" spans="2:17" ht="9.75" customHeight="1">
      <c r="B38" s="954"/>
      <c r="C38" s="952"/>
      <c r="D38" s="287">
        <f t="shared" ca="1" si="1"/>
        <v>47264</v>
      </c>
      <c r="E38" s="288">
        <f t="shared" si="5"/>
        <v>1000000</v>
      </c>
      <c r="F38" s="289">
        <f t="shared" ca="1" si="2"/>
        <v>40</v>
      </c>
      <c r="G38" s="290">
        <f ca="1">VTLCOI!P37</f>
        <v>122.746494786664</v>
      </c>
      <c r="H38" s="290">
        <f t="shared" ca="1" si="9"/>
        <v>15277.286956270542</v>
      </c>
      <c r="I38" s="291"/>
      <c r="J38" s="292">
        <f t="shared" ca="1" si="4"/>
        <v>15277.286956270542</v>
      </c>
      <c r="K38" s="949"/>
      <c r="L38" s="949"/>
      <c r="M38" s="949"/>
      <c r="N38" s="950"/>
      <c r="O38" s="950"/>
      <c r="P38" s="950"/>
      <c r="Q38" s="950"/>
    </row>
    <row r="39" spans="2:17" ht="9.75" customHeight="1">
      <c r="B39" s="954"/>
      <c r="C39" s="952"/>
      <c r="D39" s="287">
        <f t="shared" ca="1" si="1"/>
        <v>47295</v>
      </c>
      <c r="E39" s="288">
        <f t="shared" si="5"/>
        <v>1000000</v>
      </c>
      <c r="F39" s="289">
        <f t="shared" ca="1" si="2"/>
        <v>40</v>
      </c>
      <c r="G39" s="290">
        <f ca="1">VTLCOI!P38</f>
        <v>122.76209822611827</v>
      </c>
      <c r="H39" s="290">
        <f t="shared" ca="1" si="9"/>
        <v>15151.801353824552</v>
      </c>
      <c r="I39" s="291"/>
      <c r="J39" s="293">
        <f t="shared" ca="1" si="4"/>
        <v>15151.801353824552</v>
      </c>
      <c r="K39" s="949"/>
      <c r="L39" s="949"/>
      <c r="M39" s="949"/>
      <c r="N39" s="950"/>
      <c r="O39" s="950"/>
      <c r="P39" s="950"/>
      <c r="Q39" s="950"/>
    </row>
    <row r="40" spans="2:17" ht="9.75" customHeight="1">
      <c r="B40" s="955">
        <v>4</v>
      </c>
      <c r="C40" s="947">
        <f ca="1">C28+1</f>
        <v>33</v>
      </c>
      <c r="D40" s="294">
        <f t="shared" ca="1" si="1"/>
        <v>47325</v>
      </c>
      <c r="E40" s="359">
        <f t="shared" si="5"/>
        <v>1000000</v>
      </c>
      <c r="F40" s="360">
        <f t="shared" ca="1" si="2"/>
        <v>40</v>
      </c>
      <c r="G40" s="295">
        <f ca="1">VTLCOI!P39</f>
        <v>126.9902658240028</v>
      </c>
      <c r="H40" s="295">
        <f ca="1">(H39+VTLGTTKcamket!F10-F40-G40)*(1+S3)</f>
        <v>23022.772372221658</v>
      </c>
      <c r="I40" s="948"/>
      <c r="J40" s="296">
        <f t="shared" ca="1" si="4"/>
        <v>23022.772372221658</v>
      </c>
      <c r="K40" s="949">
        <f ca="1">J51</f>
        <v>21527.822029320545</v>
      </c>
      <c r="L40" s="949"/>
      <c r="M40" s="949"/>
      <c r="N40" s="950">
        <f t="shared" ref="N40" ca="1" si="10">SUM(F40:F51)</f>
        <v>540</v>
      </c>
      <c r="O40" s="950"/>
      <c r="P40" s="950">
        <f t="shared" ref="P40" ca="1" si="11">SUM(G40:G51)</f>
        <v>1525.0164388920534</v>
      </c>
      <c r="Q40" s="950"/>
    </row>
    <row r="41" spans="2:17" ht="9.75" customHeight="1">
      <c r="B41" s="955"/>
      <c r="C41" s="946"/>
      <c r="D41" s="294">
        <f t="shared" ca="1" si="1"/>
        <v>47356</v>
      </c>
      <c r="E41" s="359">
        <f t="shared" si="5"/>
        <v>1000000</v>
      </c>
      <c r="F41" s="360">
        <f t="shared" ca="1" si="2"/>
        <v>40</v>
      </c>
      <c r="G41" s="295">
        <f ca="1">VTLCOI!P40</f>
        <v>127.00703959161119</v>
      </c>
      <c r="H41" s="295">
        <f ca="1">(H40-F41-G41)*(1+$S$3)</f>
        <v>22893.513487294495</v>
      </c>
      <c r="I41" s="948"/>
      <c r="J41" s="296">
        <f t="shared" ca="1" si="4"/>
        <v>22893.513487294495</v>
      </c>
      <c r="K41" s="949"/>
      <c r="L41" s="949"/>
      <c r="M41" s="949"/>
      <c r="N41" s="950"/>
      <c r="O41" s="950"/>
      <c r="P41" s="950"/>
      <c r="Q41" s="950"/>
    </row>
    <row r="42" spans="2:17" ht="9.75" customHeight="1">
      <c r="B42" s="955"/>
      <c r="C42" s="946"/>
      <c r="D42" s="294">
        <f t="shared" ca="1" si="1"/>
        <v>47387</v>
      </c>
      <c r="E42" s="359">
        <f t="shared" si="5"/>
        <v>1000000</v>
      </c>
      <c r="F42" s="360">
        <f t="shared" ca="1" si="2"/>
        <v>40</v>
      </c>
      <c r="G42" s="295">
        <f ca="1">VTLCOI!P41</f>
        <v>127.02384324665172</v>
      </c>
      <c r="H42" s="295">
        <f t="shared" ref="H42:H51" ca="1" si="12">(H41-F42-G42)*(1+$S$3)</f>
        <v>22764.024289402238</v>
      </c>
      <c r="I42" s="948"/>
      <c r="J42" s="296">
        <f t="shared" ca="1" si="4"/>
        <v>22764.024289402238</v>
      </c>
      <c r="K42" s="949"/>
      <c r="L42" s="949"/>
      <c r="M42" s="949"/>
      <c r="N42" s="950"/>
      <c r="O42" s="950"/>
      <c r="P42" s="950"/>
      <c r="Q42" s="950"/>
    </row>
    <row r="43" spans="2:17" ht="9.75" customHeight="1">
      <c r="B43" s="955"/>
      <c r="C43" s="946"/>
      <c r="D43" s="294">
        <f t="shared" ca="1" si="1"/>
        <v>47417</v>
      </c>
      <c r="E43" s="359">
        <f t="shared" si="5"/>
        <v>1000000</v>
      </c>
      <c r="F43" s="360">
        <f t="shared" ca="1" si="2"/>
        <v>40</v>
      </c>
      <c r="G43" s="295">
        <f ca="1">VTLCOI!P42</f>
        <v>127.04067684237771</v>
      </c>
      <c r="H43" s="295">
        <f t="shared" ca="1" si="12"/>
        <v>22634.304368174162</v>
      </c>
      <c r="I43" s="948"/>
      <c r="J43" s="296">
        <f t="shared" ca="1" si="4"/>
        <v>22634.304368174162</v>
      </c>
      <c r="K43" s="949"/>
      <c r="L43" s="949"/>
      <c r="M43" s="949"/>
      <c r="N43" s="950"/>
      <c r="O43" s="950"/>
      <c r="P43" s="950"/>
      <c r="Q43" s="950"/>
    </row>
    <row r="44" spans="2:17" ht="9.75" customHeight="1">
      <c r="B44" s="955"/>
      <c r="C44" s="946"/>
      <c r="D44" s="294">
        <f t="shared" ca="1" si="1"/>
        <v>47448</v>
      </c>
      <c r="E44" s="359">
        <f t="shared" si="5"/>
        <v>1000000</v>
      </c>
      <c r="F44" s="360">
        <f t="shared" ca="1" si="2"/>
        <v>40</v>
      </c>
      <c r="G44" s="295">
        <f ca="1">VTLCOI!P43</f>
        <v>127.05754043213737</v>
      </c>
      <c r="H44" s="295">
        <f t="shared" ca="1" si="12"/>
        <v>22504.353312508349</v>
      </c>
      <c r="I44" s="948"/>
      <c r="J44" s="296">
        <f t="shared" ca="1" si="4"/>
        <v>22504.353312508349</v>
      </c>
      <c r="K44" s="949"/>
      <c r="L44" s="949"/>
      <c r="M44" s="949"/>
      <c r="N44" s="950"/>
      <c r="O44" s="950"/>
      <c r="P44" s="950"/>
      <c r="Q44" s="950"/>
    </row>
    <row r="45" spans="2:17" ht="9.75" customHeight="1">
      <c r="B45" s="955"/>
      <c r="C45" s="946"/>
      <c r="D45" s="294">
        <f t="shared" ca="1" si="1"/>
        <v>47478</v>
      </c>
      <c r="E45" s="359">
        <f t="shared" si="5"/>
        <v>1000000</v>
      </c>
      <c r="F45" s="360">
        <f t="shared" ca="1" si="2"/>
        <v>40</v>
      </c>
      <c r="G45" s="295">
        <f ca="1">VTLCOI!P44</f>
        <v>127.07443406937392</v>
      </c>
      <c r="H45" s="295">
        <f t="shared" ca="1" si="12"/>
        <v>22374.170710570383</v>
      </c>
      <c r="I45" s="948"/>
      <c r="J45" s="296">
        <f t="shared" ca="1" si="4"/>
        <v>22374.170710570383</v>
      </c>
      <c r="K45" s="949"/>
      <c r="L45" s="949"/>
      <c r="M45" s="949"/>
      <c r="N45" s="950"/>
      <c r="O45" s="950"/>
      <c r="P45" s="950"/>
      <c r="Q45" s="950"/>
    </row>
    <row r="46" spans="2:17" ht="9.75" customHeight="1">
      <c r="B46" s="955"/>
      <c r="C46" s="946"/>
      <c r="D46" s="294">
        <f t="shared" ca="1" si="1"/>
        <v>47509</v>
      </c>
      <c r="E46" s="359">
        <f t="shared" si="5"/>
        <v>1000000</v>
      </c>
      <c r="F46" s="360">
        <f t="shared" ca="1" si="2"/>
        <v>50</v>
      </c>
      <c r="G46" s="295">
        <f ca="1">VTLCOI!P45</f>
        <v>127.09135780762584</v>
      </c>
      <c r="H46" s="295">
        <f t="shared" ca="1" si="12"/>
        <v>22233.739633979021</v>
      </c>
      <c r="I46" s="948"/>
      <c r="J46" s="296">
        <f t="shared" ca="1" si="4"/>
        <v>22233.739633979021</v>
      </c>
      <c r="K46" s="949"/>
      <c r="L46" s="949"/>
      <c r="M46" s="949"/>
      <c r="N46" s="950"/>
      <c r="O46" s="950"/>
      <c r="P46" s="950"/>
      <c r="Q46" s="950"/>
    </row>
    <row r="47" spans="2:17" ht="9.75" customHeight="1">
      <c r="B47" s="955"/>
      <c r="C47" s="946"/>
      <c r="D47" s="294">
        <f t="shared" ca="1" si="1"/>
        <v>47540</v>
      </c>
      <c r="E47" s="359">
        <f t="shared" si="5"/>
        <v>1000000</v>
      </c>
      <c r="F47" s="360">
        <f t="shared" ca="1" si="2"/>
        <v>50</v>
      </c>
      <c r="G47" s="295">
        <f ca="1">VTLCOI!P46</f>
        <v>127.10961384758274</v>
      </c>
      <c r="H47" s="295">
        <f t="shared" ca="1" si="12"/>
        <v>22093.058337856059</v>
      </c>
      <c r="I47" s="948"/>
      <c r="J47" s="296">
        <f t="shared" ca="1" si="4"/>
        <v>22093.058337856059</v>
      </c>
      <c r="K47" s="949"/>
      <c r="L47" s="949"/>
      <c r="M47" s="949"/>
      <c r="N47" s="950"/>
      <c r="O47" s="950"/>
      <c r="P47" s="950"/>
      <c r="Q47" s="950"/>
    </row>
    <row r="48" spans="2:17" ht="9.75" customHeight="1">
      <c r="B48" s="955"/>
      <c r="C48" s="946"/>
      <c r="D48" s="294">
        <f t="shared" ca="1" si="1"/>
        <v>47568</v>
      </c>
      <c r="E48" s="359">
        <f t="shared" si="5"/>
        <v>1000000</v>
      </c>
      <c r="F48" s="360">
        <f t="shared" ca="1" si="2"/>
        <v>50</v>
      </c>
      <c r="G48" s="295">
        <f ca="1">VTLCOI!P47</f>
        <v>127.12790241607873</v>
      </c>
      <c r="H48" s="295">
        <f t="shared" ca="1" si="12"/>
        <v>21952.126376361335</v>
      </c>
      <c r="I48" s="948"/>
      <c r="J48" s="296">
        <f t="shared" ca="1" si="4"/>
        <v>21952.126376361335</v>
      </c>
      <c r="K48" s="949"/>
      <c r="L48" s="949"/>
      <c r="M48" s="949"/>
      <c r="N48" s="950"/>
      <c r="O48" s="950"/>
      <c r="P48" s="950"/>
      <c r="Q48" s="950"/>
    </row>
    <row r="49" spans="2:17" ht="9.75" customHeight="1">
      <c r="B49" s="955"/>
      <c r="C49" s="946"/>
      <c r="D49" s="294">
        <f t="shared" ca="1" si="1"/>
        <v>47599</v>
      </c>
      <c r="E49" s="359">
        <f t="shared" si="5"/>
        <v>1000000</v>
      </c>
      <c r="F49" s="360">
        <f t="shared" ca="1" si="2"/>
        <v>50</v>
      </c>
      <c r="G49" s="295">
        <f ca="1">VTLCOI!P48</f>
        <v>127.14622357107304</v>
      </c>
      <c r="H49" s="295">
        <f t="shared" ca="1" si="12"/>
        <v>21810.943302860294</v>
      </c>
      <c r="I49" s="948"/>
      <c r="J49" s="296">
        <f t="shared" ca="1" si="4"/>
        <v>21810.943302860294</v>
      </c>
      <c r="K49" s="949"/>
      <c r="L49" s="949"/>
      <c r="M49" s="949"/>
      <c r="N49" s="950"/>
      <c r="O49" s="950"/>
      <c r="P49" s="950"/>
      <c r="Q49" s="950"/>
    </row>
    <row r="50" spans="2:17" ht="9.75" customHeight="1">
      <c r="B50" s="955"/>
      <c r="C50" s="946"/>
      <c r="D50" s="294">
        <f t="shared" ca="1" si="1"/>
        <v>47629</v>
      </c>
      <c r="E50" s="359">
        <f t="shared" si="5"/>
        <v>1000000</v>
      </c>
      <c r="F50" s="360">
        <f t="shared" ca="1" si="2"/>
        <v>50</v>
      </c>
      <c r="G50" s="295">
        <f ca="1">VTLCOI!P49</f>
        <v>127.16457737062818</v>
      </c>
      <c r="H50" s="295">
        <f t="shared" ca="1" si="12"/>
        <v>21669.508669922565</v>
      </c>
      <c r="I50" s="948"/>
      <c r="J50" s="296">
        <f t="shared" ca="1" si="4"/>
        <v>21669.508669922565</v>
      </c>
      <c r="K50" s="949"/>
      <c r="L50" s="949"/>
      <c r="M50" s="949"/>
      <c r="N50" s="950"/>
      <c r="O50" s="950"/>
      <c r="P50" s="950"/>
      <c r="Q50" s="950"/>
    </row>
    <row r="51" spans="2:17" ht="9.75" customHeight="1">
      <c r="B51" s="955"/>
      <c r="C51" s="946"/>
      <c r="D51" s="294">
        <f t="shared" ca="1" si="1"/>
        <v>47660</v>
      </c>
      <c r="E51" s="359">
        <f t="shared" si="5"/>
        <v>1000000</v>
      </c>
      <c r="F51" s="360">
        <f t="shared" ca="1" si="2"/>
        <v>50</v>
      </c>
      <c r="G51" s="295">
        <f ca="1">VTLCOI!P50</f>
        <v>127.18296387291007</v>
      </c>
      <c r="H51" s="295">
        <f t="shared" ca="1" si="12"/>
        <v>21527.822029320545</v>
      </c>
      <c r="I51" s="948"/>
      <c r="J51" s="297">
        <f ca="1">H51+I40</f>
        <v>21527.822029320545</v>
      </c>
      <c r="K51" s="949"/>
      <c r="L51" s="949"/>
      <c r="M51" s="949"/>
      <c r="N51" s="950"/>
      <c r="O51" s="950"/>
      <c r="P51" s="950"/>
      <c r="Q51" s="950"/>
    </row>
    <row r="52" spans="2:17" ht="9.75" customHeight="1">
      <c r="B52" s="954">
        <v>5</v>
      </c>
      <c r="C52" s="952">
        <f ca="1">C40+1</f>
        <v>34</v>
      </c>
      <c r="D52" s="287">
        <f t="shared" ca="1" si="1"/>
        <v>47690</v>
      </c>
      <c r="E52" s="288">
        <f t="shared" si="5"/>
        <v>1000000</v>
      </c>
      <c r="F52" s="289">
        <f t="shared" ca="1" si="2"/>
        <v>50</v>
      </c>
      <c r="G52" s="290">
        <f ca="1">VTLCOI!P51</f>
        <v>132.63119765599285</v>
      </c>
      <c r="H52" s="290">
        <f ca="1">(J51+VTLGTTKcamket!F11-F52-G52)*(1+T3)</f>
        <v>29393.65680014341</v>
      </c>
      <c r="I52" s="953">
        <f>IF(COUNTIF(VTLGTTKcamket!$E$7:E11,0)&gt;0,0,3%*'Tinh phi QL'!$H$13/1000)</f>
        <v>300</v>
      </c>
      <c r="J52" s="292">
        <f t="shared" ca="1" si="4"/>
        <v>29393.65680014341</v>
      </c>
      <c r="K52" s="949">
        <f ca="1">J63</f>
        <v>28201.907721263469</v>
      </c>
      <c r="L52" s="949"/>
      <c r="M52" s="949"/>
      <c r="N52" s="950">
        <f t="shared" ref="N52" ca="1" si="13">SUM(F52:F63)</f>
        <v>600</v>
      </c>
      <c r="O52" s="950"/>
      <c r="P52" s="950">
        <f t="shared" ref="P52" ca="1" si="14">SUM(G52:G63)</f>
        <v>1592.791785880255</v>
      </c>
      <c r="Q52" s="950"/>
    </row>
    <row r="53" spans="2:17" ht="9.75" customHeight="1">
      <c r="B53" s="954"/>
      <c r="C53" s="951"/>
      <c r="D53" s="287">
        <f t="shared" ca="1" si="1"/>
        <v>47721</v>
      </c>
      <c r="E53" s="288">
        <f t="shared" si="5"/>
        <v>1000000</v>
      </c>
      <c r="F53" s="289">
        <f t="shared" ca="1" si="2"/>
        <v>50</v>
      </c>
      <c r="G53" s="290">
        <f ca="1">VTLCOI!P52</f>
        <v>132.64953357064707</v>
      </c>
      <c r="H53" s="290">
        <f ca="1">(H52-F53-G53)*(1+$T$3)</f>
        <v>29259.25161998449</v>
      </c>
      <c r="I53" s="953"/>
      <c r="J53" s="292">
        <f t="shared" ca="1" si="4"/>
        <v>29259.25161998449</v>
      </c>
      <c r="K53" s="949"/>
      <c r="L53" s="949"/>
      <c r="M53" s="949"/>
      <c r="N53" s="950"/>
      <c r="O53" s="950"/>
      <c r="P53" s="950"/>
      <c r="Q53" s="950"/>
    </row>
    <row r="54" spans="2:17" ht="9.75" customHeight="1">
      <c r="B54" s="954"/>
      <c r="C54" s="951"/>
      <c r="D54" s="287">
        <f t="shared" ca="1" si="1"/>
        <v>47752</v>
      </c>
      <c r="E54" s="288">
        <f t="shared" si="5"/>
        <v>1000000</v>
      </c>
      <c r="F54" s="289">
        <f t="shared" ca="1" si="2"/>
        <v>50</v>
      </c>
      <c r="G54" s="290">
        <f ca="1">VTLCOI!P53</f>
        <v>132.6679022786021</v>
      </c>
      <c r="H54" s="290">
        <f t="shared" ref="H54:H63" ca="1" si="15">(H53-F54-G54)*(1+$T$3)</f>
        <v>29124.60605969777</v>
      </c>
      <c r="I54" s="953"/>
      <c r="J54" s="292">
        <f t="shared" ca="1" si="4"/>
        <v>29124.60605969777</v>
      </c>
      <c r="K54" s="949"/>
      <c r="L54" s="949"/>
      <c r="M54" s="949"/>
      <c r="N54" s="950"/>
      <c r="O54" s="950"/>
      <c r="P54" s="950"/>
      <c r="Q54" s="950"/>
    </row>
    <row r="55" spans="2:17" ht="9.75" customHeight="1">
      <c r="B55" s="954"/>
      <c r="C55" s="951"/>
      <c r="D55" s="287">
        <f t="shared" ca="1" si="1"/>
        <v>47782</v>
      </c>
      <c r="E55" s="288">
        <f t="shared" si="5"/>
        <v>1000000</v>
      </c>
      <c r="F55" s="289">
        <f t="shared" ca="1" si="2"/>
        <v>50</v>
      </c>
      <c r="G55" s="290">
        <f ca="1">VTLCOI!P54</f>
        <v>132.68630383850794</v>
      </c>
      <c r="H55" s="290">
        <f t="shared" ca="1" si="15"/>
        <v>28989.719689369715</v>
      </c>
      <c r="I55" s="953"/>
      <c r="J55" s="292">
        <f t="shared" ca="1" si="4"/>
        <v>28989.719689369715</v>
      </c>
      <c r="K55" s="949"/>
      <c r="L55" s="949"/>
      <c r="M55" s="949"/>
      <c r="N55" s="950"/>
      <c r="O55" s="950"/>
      <c r="P55" s="950"/>
      <c r="Q55" s="950"/>
    </row>
    <row r="56" spans="2:17" ht="9.75" customHeight="1">
      <c r="B56" s="954"/>
      <c r="C56" s="951"/>
      <c r="D56" s="287">
        <f t="shared" ca="1" si="1"/>
        <v>47813</v>
      </c>
      <c r="E56" s="288">
        <f t="shared" si="5"/>
        <v>1000000</v>
      </c>
      <c r="F56" s="289">
        <f t="shared" ca="1" si="2"/>
        <v>50</v>
      </c>
      <c r="G56" s="290">
        <f ca="1">VTLCOI!P55</f>
        <v>132.70473830911948</v>
      </c>
      <c r="H56" s="290">
        <f t="shared" ca="1" si="15"/>
        <v>28854.592078317903</v>
      </c>
      <c r="I56" s="953"/>
      <c r="J56" s="292">
        <f t="shared" ca="1" si="4"/>
        <v>28854.592078317903</v>
      </c>
      <c r="K56" s="949"/>
      <c r="L56" s="949"/>
      <c r="M56" s="949"/>
      <c r="N56" s="950"/>
      <c r="O56" s="950"/>
      <c r="P56" s="950"/>
      <c r="Q56" s="950"/>
    </row>
    <row r="57" spans="2:17" ht="9.75" customHeight="1">
      <c r="B57" s="954"/>
      <c r="C57" s="951"/>
      <c r="D57" s="287">
        <f t="shared" ca="1" si="1"/>
        <v>47843</v>
      </c>
      <c r="E57" s="288">
        <f t="shared" si="5"/>
        <v>1000000</v>
      </c>
      <c r="F57" s="289">
        <f t="shared" ca="1" si="2"/>
        <v>50</v>
      </c>
      <c r="G57" s="290">
        <f ca="1">VTLCOI!P56</f>
        <v>132.72320574929654</v>
      </c>
      <c r="H57" s="290">
        <f t="shared" ca="1" si="15"/>
        <v>28719.222795089652</v>
      </c>
      <c r="I57" s="953"/>
      <c r="J57" s="292">
        <f t="shared" ca="1" si="4"/>
        <v>28719.222795089652</v>
      </c>
      <c r="K57" s="949"/>
      <c r="L57" s="949"/>
      <c r="M57" s="949"/>
      <c r="N57" s="950"/>
      <c r="O57" s="950"/>
      <c r="P57" s="950"/>
      <c r="Q57" s="950"/>
    </row>
    <row r="58" spans="2:17" ht="9.75" customHeight="1">
      <c r="B58" s="954"/>
      <c r="C58" s="951"/>
      <c r="D58" s="287">
        <f t="shared" ca="1" si="1"/>
        <v>47874</v>
      </c>
      <c r="E58" s="288">
        <f t="shared" si="5"/>
        <v>1000000</v>
      </c>
      <c r="F58" s="289">
        <f t="shared" ca="1" si="2"/>
        <v>50</v>
      </c>
      <c r="G58" s="290">
        <f ca="1">VTLCOI!P57</f>
        <v>132.7417062180044</v>
      </c>
      <c r="H58" s="290">
        <f t="shared" ca="1" si="15"/>
        <v>28583.61140746063</v>
      </c>
      <c r="I58" s="953"/>
      <c r="J58" s="292">
        <f t="shared" ca="1" si="4"/>
        <v>28583.61140746063</v>
      </c>
      <c r="K58" s="949"/>
      <c r="L58" s="949"/>
      <c r="M58" s="949"/>
      <c r="N58" s="950"/>
      <c r="O58" s="950"/>
      <c r="P58" s="950"/>
      <c r="Q58" s="950"/>
    </row>
    <row r="59" spans="2:17" ht="9.75" customHeight="1">
      <c r="B59" s="954"/>
      <c r="C59" s="951"/>
      <c r="D59" s="287">
        <f t="shared" ca="1" si="1"/>
        <v>47905</v>
      </c>
      <c r="E59" s="288">
        <f t="shared" si="5"/>
        <v>1000000</v>
      </c>
      <c r="F59" s="289">
        <f t="shared" ca="1" si="2"/>
        <v>50</v>
      </c>
      <c r="G59" s="290">
        <f ca="1">VTLCOI!P58</f>
        <v>132.7602397743137</v>
      </c>
      <c r="H59" s="290">
        <f t="shared" ca="1" si="15"/>
        <v>28447.757482433488</v>
      </c>
      <c r="I59" s="953"/>
      <c r="J59" s="292">
        <f t="shared" ca="1" si="4"/>
        <v>28447.757482433488</v>
      </c>
      <c r="K59" s="949"/>
      <c r="L59" s="949"/>
      <c r="M59" s="949"/>
      <c r="N59" s="950"/>
      <c r="O59" s="950"/>
      <c r="P59" s="950"/>
      <c r="Q59" s="950"/>
    </row>
    <row r="60" spans="2:17" ht="9.75" customHeight="1">
      <c r="B60" s="954"/>
      <c r="C60" s="951"/>
      <c r="D60" s="287">
        <f t="shared" ca="1" si="1"/>
        <v>47933</v>
      </c>
      <c r="E60" s="288">
        <f t="shared" si="5"/>
        <v>1000000</v>
      </c>
      <c r="F60" s="289">
        <f t="shared" ca="1" si="2"/>
        <v>50</v>
      </c>
      <c r="G60" s="290">
        <f ca="1">VTLCOI!P59</f>
        <v>132.77880647740076</v>
      </c>
      <c r="H60" s="290">
        <f t="shared" ca="1" si="15"/>
        <v>28311.66058623647</v>
      </c>
      <c r="I60" s="953"/>
      <c r="J60" s="292">
        <f t="shared" ca="1" si="4"/>
        <v>28311.66058623647</v>
      </c>
      <c r="K60" s="949"/>
      <c r="L60" s="949"/>
      <c r="M60" s="949"/>
      <c r="N60" s="950"/>
      <c r="O60" s="950"/>
      <c r="P60" s="950"/>
      <c r="Q60" s="950"/>
    </row>
    <row r="61" spans="2:17" ht="9.75" customHeight="1">
      <c r="B61" s="954"/>
      <c r="C61" s="951"/>
      <c r="D61" s="287">
        <f t="shared" ca="1" si="1"/>
        <v>47964</v>
      </c>
      <c r="E61" s="288">
        <f t="shared" si="5"/>
        <v>1000000</v>
      </c>
      <c r="F61" s="289">
        <f t="shared" ca="1" si="2"/>
        <v>50</v>
      </c>
      <c r="G61" s="290">
        <f ca="1">VTLCOI!P60</f>
        <v>132.79740638654766</v>
      </c>
      <c r="H61" s="290">
        <f t="shared" ca="1" si="15"/>
        <v>28175.320284322035</v>
      </c>
      <c r="I61" s="953"/>
      <c r="J61" s="292">
        <f t="shared" ca="1" si="4"/>
        <v>28175.320284322035</v>
      </c>
      <c r="K61" s="949"/>
      <c r="L61" s="949"/>
      <c r="M61" s="949"/>
      <c r="N61" s="950"/>
      <c r="O61" s="950"/>
      <c r="P61" s="950"/>
      <c r="Q61" s="950"/>
    </row>
    <row r="62" spans="2:17" ht="9.75" customHeight="1">
      <c r="B62" s="954"/>
      <c r="C62" s="951"/>
      <c r="D62" s="287">
        <f t="shared" ca="1" si="1"/>
        <v>47994</v>
      </c>
      <c r="E62" s="288">
        <f t="shared" si="5"/>
        <v>1000000</v>
      </c>
      <c r="F62" s="289">
        <f t="shared" ca="1" si="2"/>
        <v>50</v>
      </c>
      <c r="G62" s="290">
        <f ca="1">VTLCOI!P61</f>
        <v>132.81603956114265</v>
      </c>
      <c r="H62" s="290">
        <f t="shared" ca="1" si="15"/>
        <v>28038.736141365465</v>
      </c>
      <c r="I62" s="953"/>
      <c r="J62" s="292">
        <f t="shared" ca="1" si="4"/>
        <v>28038.736141365465</v>
      </c>
      <c r="K62" s="949"/>
      <c r="L62" s="949"/>
      <c r="M62" s="949"/>
      <c r="N62" s="950"/>
      <c r="O62" s="950"/>
      <c r="P62" s="950"/>
      <c r="Q62" s="950"/>
    </row>
    <row r="63" spans="2:17" ht="9.75" customHeight="1">
      <c r="B63" s="954"/>
      <c r="C63" s="951"/>
      <c r="D63" s="287">
        <f t="shared" ca="1" si="1"/>
        <v>48025</v>
      </c>
      <c r="E63" s="288">
        <f t="shared" si="5"/>
        <v>1000000</v>
      </c>
      <c r="F63" s="289">
        <f t="shared" ca="1" si="2"/>
        <v>50</v>
      </c>
      <c r="G63" s="290">
        <f ca="1">VTLCOI!P62</f>
        <v>132.83470606068002</v>
      </c>
      <c r="H63" s="290">
        <f t="shared" ca="1" si="15"/>
        <v>27901.907721263469</v>
      </c>
      <c r="I63" s="953"/>
      <c r="J63" s="293">
        <f ca="1">H63+I52</f>
        <v>28201.907721263469</v>
      </c>
      <c r="K63" s="949"/>
      <c r="L63" s="949"/>
      <c r="M63" s="949"/>
      <c r="N63" s="950"/>
      <c r="O63" s="950"/>
      <c r="P63" s="950"/>
      <c r="Q63" s="950"/>
    </row>
    <row r="64" spans="2:17" ht="9.75" customHeight="1">
      <c r="B64" s="946">
        <f>B52+1</f>
        <v>6</v>
      </c>
      <c r="C64" s="947">
        <f ca="1">C52+1</f>
        <v>35</v>
      </c>
      <c r="D64" s="294">
        <f t="shared" ca="1" si="1"/>
        <v>48055</v>
      </c>
      <c r="E64" s="359">
        <f t="shared" si="5"/>
        <v>1000000</v>
      </c>
      <c r="F64" s="360">
        <f t="shared" ca="1" si="2"/>
        <v>50</v>
      </c>
      <c r="G64" s="295">
        <f ca="1">VTLCOI!P63</f>
        <v>139.16905734965721</v>
      </c>
      <c r="H64" s="295">
        <f ca="1">(J63+VTLGTTKcamket!F12-F64-G64)*(1+U3)</f>
        <v>37859.682714490365</v>
      </c>
      <c r="I64" s="953">
        <f>IF(COUNTIF(VTLGTTKcamket!$E$7:E12,0)&gt;0,0,3%*'Tinh phi QL'!$H$13/1000)</f>
        <v>300</v>
      </c>
      <c r="J64" s="296">
        <f t="shared" ca="1" si="4"/>
        <v>37859.682714490365</v>
      </c>
      <c r="K64" s="949">
        <f ca="1">J75</f>
        <v>36582.134006224667</v>
      </c>
      <c r="L64" s="949"/>
      <c r="M64" s="949"/>
      <c r="N64" s="950">
        <f t="shared" ref="N64" ca="1" si="16">SUM(F64:F75)</f>
        <v>600</v>
      </c>
      <c r="O64" s="950"/>
      <c r="P64" s="950">
        <f t="shared" ref="P64" ca="1" si="17">SUM(G64:G75)</f>
        <v>1671.3929474854699</v>
      </c>
      <c r="Q64" s="950"/>
    </row>
    <row r="65" spans="2:17" ht="9.75" customHeight="1">
      <c r="B65" s="946"/>
      <c r="C65" s="946"/>
      <c r="D65" s="294">
        <f t="shared" ca="1" si="1"/>
        <v>48086</v>
      </c>
      <c r="E65" s="359">
        <f t="shared" si="5"/>
        <v>1000000</v>
      </c>
      <c r="F65" s="360">
        <f t="shared" ca="1" si="2"/>
        <v>50</v>
      </c>
      <c r="G65" s="295">
        <f ca="1">VTLCOI!P64</f>
        <v>139.18963256730373</v>
      </c>
      <c r="H65" s="295">
        <f ca="1">(H64-F65-G65)*(1+$U$3)</f>
        <v>37717.260536356858</v>
      </c>
      <c r="I65" s="953"/>
      <c r="J65" s="296">
        <f t="shared" ca="1" si="4"/>
        <v>37717.260536356858</v>
      </c>
      <c r="K65" s="949"/>
      <c r="L65" s="949"/>
      <c r="M65" s="949"/>
      <c r="N65" s="950"/>
      <c r="O65" s="950"/>
      <c r="P65" s="950"/>
      <c r="Q65" s="950"/>
    </row>
    <row r="66" spans="2:17" ht="9.75" customHeight="1">
      <c r="B66" s="946"/>
      <c r="C66" s="946"/>
      <c r="D66" s="294">
        <f t="shared" ca="1" si="1"/>
        <v>48117</v>
      </c>
      <c r="E66" s="359">
        <f t="shared" si="5"/>
        <v>1000000</v>
      </c>
      <c r="F66" s="360">
        <f t="shared" ca="1" si="2"/>
        <v>50</v>
      </c>
      <c r="G66" s="295">
        <f ca="1">VTLCOI!P65</f>
        <v>139.21023630907371</v>
      </c>
      <c r="H66" s="295">
        <f t="shared" ref="H66:H75" ca="1" si="18">(H65-F66-G66)*(1+$U$3)</f>
        <v>37574.640913517585</v>
      </c>
      <c r="I66" s="953"/>
      <c r="J66" s="296">
        <f t="shared" ca="1" si="4"/>
        <v>37574.640913517585</v>
      </c>
      <c r="K66" s="949"/>
      <c r="L66" s="949"/>
      <c r="M66" s="949"/>
      <c r="N66" s="950"/>
      <c r="O66" s="950"/>
      <c r="P66" s="950"/>
      <c r="Q66" s="950"/>
    </row>
    <row r="67" spans="2:17" ht="9.75" customHeight="1">
      <c r="B67" s="946"/>
      <c r="C67" s="946"/>
      <c r="D67" s="294">
        <f t="shared" ca="1" si="1"/>
        <v>48147</v>
      </c>
      <c r="E67" s="359">
        <f t="shared" si="5"/>
        <v>1000000</v>
      </c>
      <c r="F67" s="360">
        <f t="shared" ca="1" si="2"/>
        <v>50</v>
      </c>
      <c r="G67" s="295">
        <f ca="1">VTLCOI!P66</f>
        <v>139.23086861451111</v>
      </c>
      <c r="H67" s="295">
        <f t="shared" ca="1" si="18"/>
        <v>37431.823572248242</v>
      </c>
      <c r="I67" s="953"/>
      <c r="J67" s="296">
        <f t="shared" ca="1" si="4"/>
        <v>37431.823572248242</v>
      </c>
      <c r="K67" s="949"/>
      <c r="L67" s="949"/>
      <c r="M67" s="949"/>
      <c r="N67" s="950"/>
      <c r="O67" s="950"/>
      <c r="P67" s="950"/>
      <c r="Q67" s="950"/>
    </row>
    <row r="68" spans="2:17" ht="9.75" customHeight="1">
      <c r="B68" s="946"/>
      <c r="C68" s="946"/>
      <c r="D68" s="294">
        <f t="shared" ca="1" si="1"/>
        <v>48178</v>
      </c>
      <c r="E68" s="359">
        <f t="shared" si="5"/>
        <v>1000000</v>
      </c>
      <c r="F68" s="360">
        <f t="shared" ca="1" si="2"/>
        <v>50</v>
      </c>
      <c r="G68" s="295">
        <f ca="1">VTLCOI!P67</f>
        <v>139.25152952321477</v>
      </c>
      <c r="H68" s="295">
        <f t="shared" ca="1" si="18"/>
        <v>37288.808238445046</v>
      </c>
      <c r="I68" s="953"/>
      <c r="J68" s="296">
        <f t="shared" ca="1" si="4"/>
        <v>37288.808238445046</v>
      </c>
      <c r="K68" s="949"/>
      <c r="L68" s="949"/>
      <c r="M68" s="949"/>
      <c r="N68" s="950"/>
      <c r="O68" s="950"/>
      <c r="P68" s="950"/>
      <c r="Q68" s="950"/>
    </row>
    <row r="69" spans="2:17" ht="9.75" customHeight="1">
      <c r="B69" s="946"/>
      <c r="C69" s="946"/>
      <c r="D69" s="294">
        <f t="shared" ref="D69:D132" ca="1" si="19">EDATE(D68,1)</f>
        <v>48208</v>
      </c>
      <c r="E69" s="359">
        <f t="shared" si="5"/>
        <v>1000000</v>
      </c>
      <c r="F69" s="360">
        <f t="shared" ref="F69:F132" ca="1" si="20">IF(YEAR(D69)=2025,40000,IF(YEAR(D69)=2026,40000,IF(YEAR(D69)=2027,40000,IF(YEAR(D69)=2028,40000,IF(YEAR(D69)=2029,40000,IF(YEAR(D69)=2030,50000,IF(YEAR(D69)=2031,50000,IF(YEAR(D69)=2032,50000,IF(YEAR(D69)=2033,50000,IF(YEAR(D69)=2034,50000,IF(YEAR(D69)&gt;=2035,60000,0)))))))))))/1000</f>
        <v>50</v>
      </c>
      <c r="G69" s="295">
        <f ca="1">VTLCOI!P68</f>
        <v>139.27221907483826</v>
      </c>
      <c r="H69" s="295">
        <f t="shared" ca="1" si="18"/>
        <v>37145.594637624221</v>
      </c>
      <c r="I69" s="953"/>
      <c r="J69" s="296">
        <f t="shared" ref="J69:J132" ca="1" si="21">H69</f>
        <v>37145.594637624221</v>
      </c>
      <c r="K69" s="949"/>
      <c r="L69" s="949"/>
      <c r="M69" s="949"/>
      <c r="N69" s="950"/>
      <c r="O69" s="950"/>
      <c r="P69" s="950"/>
      <c r="Q69" s="950"/>
    </row>
    <row r="70" spans="2:17" ht="9.75" customHeight="1">
      <c r="B70" s="946"/>
      <c r="C70" s="946"/>
      <c r="D70" s="294">
        <f t="shared" ca="1" si="19"/>
        <v>48239</v>
      </c>
      <c r="E70" s="359">
        <f t="shared" ref="E70:E133" si="22">E69</f>
        <v>1000000</v>
      </c>
      <c r="F70" s="360">
        <f t="shared" ca="1" si="20"/>
        <v>50</v>
      </c>
      <c r="G70" s="295">
        <f ca="1">VTLCOI!P69</f>
        <v>139.29293730909038</v>
      </c>
      <c r="H70" s="295">
        <f t="shared" ca="1" si="18"/>
        <v>37002.182494921464</v>
      </c>
      <c r="I70" s="953"/>
      <c r="J70" s="296">
        <f t="shared" ca="1" si="21"/>
        <v>37002.182494921464</v>
      </c>
      <c r="K70" s="949"/>
      <c r="L70" s="949"/>
      <c r="M70" s="949"/>
      <c r="N70" s="950"/>
      <c r="O70" s="950"/>
      <c r="P70" s="950"/>
      <c r="Q70" s="950"/>
    </row>
    <row r="71" spans="2:17" ht="9.75" customHeight="1">
      <c r="B71" s="946"/>
      <c r="C71" s="946"/>
      <c r="D71" s="294">
        <f t="shared" ca="1" si="19"/>
        <v>48270</v>
      </c>
      <c r="E71" s="359">
        <f t="shared" si="22"/>
        <v>1000000</v>
      </c>
      <c r="F71" s="360">
        <f t="shared" ca="1" si="20"/>
        <v>50</v>
      </c>
      <c r="G71" s="295">
        <f ca="1">VTLCOI!P70</f>
        <v>139.31368426573468</v>
      </c>
      <c r="H71" s="295">
        <f t="shared" ca="1" si="18"/>
        <v>36858.571535091418</v>
      </c>
      <c r="I71" s="953"/>
      <c r="J71" s="296">
        <f t="shared" ca="1" si="21"/>
        <v>36858.571535091418</v>
      </c>
      <c r="K71" s="949"/>
      <c r="L71" s="949"/>
      <c r="M71" s="949"/>
      <c r="N71" s="950"/>
      <c r="O71" s="950"/>
      <c r="P71" s="950"/>
      <c r="Q71" s="950"/>
    </row>
    <row r="72" spans="2:17" ht="9.75" customHeight="1">
      <c r="B72" s="946"/>
      <c r="C72" s="946"/>
      <c r="D72" s="294">
        <f t="shared" ca="1" si="19"/>
        <v>48299</v>
      </c>
      <c r="E72" s="359">
        <f t="shared" si="22"/>
        <v>1000000</v>
      </c>
      <c r="F72" s="360">
        <f t="shared" ca="1" si="20"/>
        <v>50</v>
      </c>
      <c r="G72" s="295">
        <f ca="1">VTLCOI!P71</f>
        <v>139.3344599845901</v>
      </c>
      <c r="H72" s="295">
        <f t="shared" ca="1" si="18"/>
        <v>36714.761482507143</v>
      </c>
      <c r="I72" s="953"/>
      <c r="J72" s="296">
        <f t="shared" ca="1" si="21"/>
        <v>36714.761482507143</v>
      </c>
      <c r="K72" s="949"/>
      <c r="L72" s="949"/>
      <c r="M72" s="949"/>
      <c r="N72" s="950"/>
      <c r="O72" s="950"/>
      <c r="P72" s="950"/>
      <c r="Q72" s="950"/>
    </row>
    <row r="73" spans="2:17" ht="9.75" customHeight="1">
      <c r="B73" s="946"/>
      <c r="C73" s="946"/>
      <c r="D73" s="294">
        <f t="shared" ca="1" si="19"/>
        <v>48330</v>
      </c>
      <c r="E73" s="359">
        <f t="shared" si="22"/>
        <v>1000000</v>
      </c>
      <c r="F73" s="360">
        <f t="shared" ca="1" si="20"/>
        <v>50</v>
      </c>
      <c r="G73" s="295">
        <f ca="1">VTLCOI!P72</f>
        <v>139.35526450553064</v>
      </c>
      <c r="H73" s="295">
        <f t="shared" ca="1" si="18"/>
        <v>36570.752061159583</v>
      </c>
      <c r="I73" s="953"/>
      <c r="J73" s="296">
        <f t="shared" ca="1" si="21"/>
        <v>36570.752061159583</v>
      </c>
      <c r="K73" s="949"/>
      <c r="L73" s="949"/>
      <c r="M73" s="949"/>
      <c r="N73" s="950"/>
      <c r="O73" s="950"/>
      <c r="P73" s="950"/>
      <c r="Q73" s="950"/>
    </row>
    <row r="74" spans="2:17" ht="9.75" customHeight="1">
      <c r="B74" s="946"/>
      <c r="C74" s="946"/>
      <c r="D74" s="294">
        <f t="shared" ca="1" si="19"/>
        <v>48360</v>
      </c>
      <c r="E74" s="359">
        <f t="shared" si="22"/>
        <v>1000000</v>
      </c>
      <c r="F74" s="360">
        <f t="shared" ca="1" si="20"/>
        <v>50</v>
      </c>
      <c r="G74" s="295">
        <f ca="1">VTLCOI!P73</f>
        <v>139.37609786848557</v>
      </c>
      <c r="H74" s="295">
        <f t="shared" ca="1" si="18"/>
        <v>36426.542994657044</v>
      </c>
      <c r="I74" s="953"/>
      <c r="J74" s="296">
        <f t="shared" ca="1" si="21"/>
        <v>36426.542994657044</v>
      </c>
      <c r="K74" s="949"/>
      <c r="L74" s="949"/>
      <c r="M74" s="949"/>
      <c r="N74" s="950"/>
      <c r="O74" s="950"/>
      <c r="P74" s="950"/>
      <c r="Q74" s="950"/>
    </row>
    <row r="75" spans="2:17" ht="9.75" customHeight="1">
      <c r="B75" s="946"/>
      <c r="C75" s="946"/>
      <c r="D75" s="294">
        <f t="shared" ca="1" si="19"/>
        <v>48391</v>
      </c>
      <c r="E75" s="359">
        <f t="shared" si="22"/>
        <v>1000000</v>
      </c>
      <c r="F75" s="360">
        <f t="shared" ca="1" si="20"/>
        <v>50</v>
      </c>
      <c r="G75" s="295">
        <f ca="1">VTLCOI!P74</f>
        <v>139.3969601134396</v>
      </c>
      <c r="H75" s="295">
        <f t="shared" ca="1" si="18"/>
        <v>36282.134006224667</v>
      </c>
      <c r="I75" s="953"/>
      <c r="J75" s="297">
        <f ca="1">H75+I64</f>
        <v>36582.134006224667</v>
      </c>
      <c r="K75" s="949"/>
      <c r="L75" s="949"/>
      <c r="M75" s="949"/>
      <c r="N75" s="950"/>
      <c r="O75" s="950"/>
      <c r="P75" s="950"/>
      <c r="Q75" s="950"/>
    </row>
    <row r="76" spans="2:17" ht="9.75" customHeight="1">
      <c r="B76" s="951">
        <f>B64+1</f>
        <v>7</v>
      </c>
      <c r="C76" s="952">
        <f ca="1">C64+1</f>
        <v>36</v>
      </c>
      <c r="D76" s="287">
        <f t="shared" ca="1" si="19"/>
        <v>48421</v>
      </c>
      <c r="E76" s="288">
        <f t="shared" si="22"/>
        <v>1000000</v>
      </c>
      <c r="F76" s="289">
        <f t="shared" ca="1" si="20"/>
        <v>50</v>
      </c>
      <c r="G76" s="290">
        <f ca="1">VTLCOI!P75</f>
        <v>147.49289660703727</v>
      </c>
      <c r="H76" s="290">
        <f ca="1">(J75+VTLGTTKcamket!F13-F76-G76)*(1+$U$3)</f>
        <v>46241.978774243842</v>
      </c>
      <c r="I76" s="953">
        <f>IF(COUNTIF(VTLGTTKcamket!$E$7:E13,0)&gt;0,0,3%*'Tinh phi QL'!$H$13/1000)</f>
        <v>300</v>
      </c>
      <c r="J76" s="292">
        <f t="shared" ca="1" si="21"/>
        <v>46241.978774243842</v>
      </c>
      <c r="K76" s="949">
        <f ca="1">J87</f>
        <v>44987.29436649906</v>
      </c>
      <c r="L76" s="949"/>
      <c r="M76" s="949"/>
      <c r="N76" s="950">
        <f t="shared" ref="N76" ca="1" si="23">SUM(F76:F87)</f>
        <v>600</v>
      </c>
      <c r="O76" s="950"/>
      <c r="P76" s="950">
        <f t="shared" ref="P76" ca="1" si="24">SUM(G76:G87)</f>
        <v>1771.3521440584841</v>
      </c>
      <c r="Q76" s="950"/>
    </row>
    <row r="77" spans="2:17" ht="9.75" customHeight="1">
      <c r="B77" s="951"/>
      <c r="C77" s="951"/>
      <c r="D77" s="287">
        <f t="shared" ca="1" si="19"/>
        <v>48452</v>
      </c>
      <c r="E77" s="288">
        <f t="shared" si="22"/>
        <v>1000000</v>
      </c>
      <c r="F77" s="289">
        <f t="shared" ca="1" si="20"/>
        <v>50</v>
      </c>
      <c r="G77" s="290">
        <f ca="1">VTLCOI!P76</f>
        <v>147.51457394958365</v>
      </c>
      <c r="H77" s="290">
        <f ca="1">(H76-F77-G77)*(1+$U$3)</f>
        <v>46101.627837009408</v>
      </c>
      <c r="I77" s="953"/>
      <c r="J77" s="292">
        <f t="shared" ca="1" si="21"/>
        <v>46101.627837009408</v>
      </c>
      <c r="K77" s="949"/>
      <c r="L77" s="949"/>
      <c r="M77" s="949"/>
      <c r="N77" s="950"/>
      <c r="O77" s="950"/>
      <c r="P77" s="950"/>
      <c r="Q77" s="950"/>
    </row>
    <row r="78" spans="2:17" ht="9.75" customHeight="1">
      <c r="B78" s="951"/>
      <c r="C78" s="951"/>
      <c r="D78" s="287">
        <f t="shared" ca="1" si="19"/>
        <v>48483</v>
      </c>
      <c r="E78" s="288">
        <f t="shared" si="22"/>
        <v>1000000</v>
      </c>
      <c r="F78" s="289">
        <f t="shared" ca="1" si="20"/>
        <v>50</v>
      </c>
      <c r="G78" s="290">
        <f ca="1">VTLCOI!P77</f>
        <v>147.53628156120922</v>
      </c>
      <c r="H78" s="290">
        <f t="shared" ref="H78:H87" ca="1" si="25">(H77-F78-G78)*(1+$U$3)</f>
        <v>45961.080921249049</v>
      </c>
      <c r="I78" s="953"/>
      <c r="J78" s="292">
        <f t="shared" ca="1" si="21"/>
        <v>45961.080921249049</v>
      </c>
      <c r="K78" s="949"/>
      <c r="L78" s="949"/>
      <c r="M78" s="949"/>
      <c r="N78" s="950"/>
      <c r="O78" s="950"/>
      <c r="P78" s="950"/>
      <c r="Q78" s="950"/>
    </row>
    <row r="79" spans="2:17" ht="9.75" customHeight="1">
      <c r="B79" s="951"/>
      <c r="C79" s="951"/>
      <c r="D79" s="287">
        <f t="shared" ca="1" si="19"/>
        <v>48513</v>
      </c>
      <c r="E79" s="288">
        <f t="shared" si="22"/>
        <v>1000000</v>
      </c>
      <c r="F79" s="289">
        <f t="shared" ca="1" si="20"/>
        <v>50</v>
      </c>
      <c r="G79" s="290">
        <f ca="1">VTLCOI!P78</f>
        <v>147.55801948418016</v>
      </c>
      <c r="H79" s="290">
        <f t="shared" ca="1" si="25"/>
        <v>45820.33775330885</v>
      </c>
      <c r="I79" s="953"/>
      <c r="J79" s="292">
        <f t="shared" ca="1" si="21"/>
        <v>45820.33775330885</v>
      </c>
      <c r="K79" s="949"/>
      <c r="L79" s="949"/>
      <c r="M79" s="949"/>
      <c r="N79" s="950"/>
      <c r="O79" s="950"/>
      <c r="P79" s="950"/>
      <c r="Q79" s="950"/>
    </row>
    <row r="80" spans="2:17" ht="9.75" customHeight="1">
      <c r="B80" s="951"/>
      <c r="C80" s="951"/>
      <c r="D80" s="287">
        <f t="shared" ca="1" si="19"/>
        <v>48544</v>
      </c>
      <c r="E80" s="288">
        <f t="shared" si="22"/>
        <v>1000000</v>
      </c>
      <c r="F80" s="289">
        <f t="shared" ca="1" si="20"/>
        <v>50</v>
      </c>
      <c r="G80" s="290">
        <f ca="1">VTLCOI!P79</f>
        <v>147.57978776082157</v>
      </c>
      <c r="H80" s="290">
        <f t="shared" ca="1" si="25"/>
        <v>45679.398059152794</v>
      </c>
      <c r="I80" s="953"/>
      <c r="J80" s="292">
        <f t="shared" ca="1" si="21"/>
        <v>45679.398059152794</v>
      </c>
      <c r="K80" s="949"/>
      <c r="L80" s="949"/>
      <c r="M80" s="949"/>
      <c r="N80" s="950"/>
      <c r="O80" s="950"/>
      <c r="P80" s="950"/>
      <c r="Q80" s="950"/>
    </row>
    <row r="81" spans="2:17" ht="9.75" customHeight="1">
      <c r="B81" s="951"/>
      <c r="C81" s="951"/>
      <c r="D81" s="287">
        <f t="shared" ca="1" si="19"/>
        <v>48574</v>
      </c>
      <c r="E81" s="288">
        <f t="shared" si="22"/>
        <v>1000000</v>
      </c>
      <c r="F81" s="289">
        <f t="shared" ca="1" si="20"/>
        <v>50</v>
      </c>
      <c r="G81" s="290">
        <f ca="1">VTLCOI!P80</f>
        <v>147.60158643351772</v>
      </c>
      <c r="H81" s="290">
        <f t="shared" ca="1" si="25"/>
        <v>45538.261564362198</v>
      </c>
      <c r="I81" s="953"/>
      <c r="J81" s="292">
        <f t="shared" ca="1" si="21"/>
        <v>45538.261564362198</v>
      </c>
      <c r="K81" s="949"/>
      <c r="L81" s="949"/>
      <c r="M81" s="949"/>
      <c r="N81" s="950"/>
      <c r="O81" s="950"/>
      <c r="P81" s="950"/>
      <c r="Q81" s="950"/>
    </row>
    <row r="82" spans="2:17" ht="9.75" customHeight="1">
      <c r="B82" s="951"/>
      <c r="C82" s="951"/>
      <c r="D82" s="287">
        <f t="shared" ca="1" si="19"/>
        <v>48605</v>
      </c>
      <c r="E82" s="288">
        <f t="shared" si="22"/>
        <v>1000000</v>
      </c>
      <c r="F82" s="289">
        <f t="shared" ca="1" si="20"/>
        <v>50</v>
      </c>
      <c r="G82" s="290">
        <f ca="1">VTLCOI!P81</f>
        <v>147.623415544712</v>
      </c>
      <c r="H82" s="290">
        <f t="shared" ca="1" si="25"/>
        <v>45396.927994135214</v>
      </c>
      <c r="I82" s="953"/>
      <c r="J82" s="292">
        <f t="shared" ca="1" si="21"/>
        <v>45396.927994135214</v>
      </c>
      <c r="K82" s="949"/>
      <c r="L82" s="949"/>
      <c r="M82" s="949"/>
      <c r="N82" s="950"/>
      <c r="O82" s="950"/>
      <c r="P82" s="950"/>
      <c r="Q82" s="950"/>
    </row>
    <row r="83" spans="2:17" ht="9.75" customHeight="1">
      <c r="B83" s="951"/>
      <c r="C83" s="951"/>
      <c r="D83" s="287">
        <f t="shared" ca="1" si="19"/>
        <v>48636</v>
      </c>
      <c r="E83" s="288">
        <f t="shared" si="22"/>
        <v>1000000</v>
      </c>
      <c r="F83" s="289">
        <f t="shared" ca="1" si="20"/>
        <v>50</v>
      </c>
      <c r="G83" s="290">
        <f ca="1">VTLCOI!P82</f>
        <v>147.64527513690709</v>
      </c>
      <c r="H83" s="290">
        <f t="shared" ca="1" si="25"/>
        <v>45255.397073286258</v>
      </c>
      <c r="I83" s="953"/>
      <c r="J83" s="292">
        <f t="shared" ca="1" si="21"/>
        <v>45255.397073286258</v>
      </c>
      <c r="K83" s="949"/>
      <c r="L83" s="949"/>
      <c r="M83" s="949"/>
      <c r="N83" s="950"/>
      <c r="O83" s="950"/>
      <c r="P83" s="950"/>
      <c r="Q83" s="950"/>
    </row>
    <row r="84" spans="2:17" ht="9.75" customHeight="1">
      <c r="B84" s="951"/>
      <c r="C84" s="951"/>
      <c r="D84" s="287">
        <f t="shared" ca="1" si="19"/>
        <v>48664</v>
      </c>
      <c r="E84" s="288">
        <f t="shared" si="22"/>
        <v>1000000</v>
      </c>
      <c r="F84" s="289">
        <f t="shared" ca="1" si="20"/>
        <v>50</v>
      </c>
      <c r="G84" s="290">
        <f ca="1">VTLCOI!P83</f>
        <v>147.66716525266509</v>
      </c>
      <c r="H84" s="290">
        <f t="shared" ca="1" si="25"/>
        <v>45113.668526245507</v>
      </c>
      <c r="I84" s="953"/>
      <c r="J84" s="292">
        <f t="shared" ca="1" si="21"/>
        <v>45113.668526245507</v>
      </c>
      <c r="K84" s="949"/>
      <c r="L84" s="949"/>
      <c r="M84" s="949"/>
      <c r="N84" s="950"/>
      <c r="O84" s="950"/>
      <c r="P84" s="950"/>
      <c r="Q84" s="950"/>
    </row>
    <row r="85" spans="2:17" ht="9.75" customHeight="1">
      <c r="B85" s="951"/>
      <c r="C85" s="951"/>
      <c r="D85" s="287">
        <f t="shared" ca="1" si="19"/>
        <v>48695</v>
      </c>
      <c r="E85" s="288">
        <f t="shared" si="22"/>
        <v>1000000</v>
      </c>
      <c r="F85" s="289">
        <f t="shared" ca="1" si="20"/>
        <v>50</v>
      </c>
      <c r="G85" s="290">
        <f ca="1">VTLCOI!P84</f>
        <v>147.68908593460736</v>
      </c>
      <c r="H85" s="290">
        <f t="shared" ca="1" si="25"/>
        <v>44971.742077058334</v>
      </c>
      <c r="I85" s="953"/>
      <c r="J85" s="292">
        <f t="shared" ca="1" si="21"/>
        <v>44971.742077058334</v>
      </c>
      <c r="K85" s="949"/>
      <c r="L85" s="949"/>
      <c r="M85" s="949"/>
      <c r="N85" s="950"/>
      <c r="O85" s="950"/>
      <c r="P85" s="950"/>
      <c r="Q85" s="950"/>
    </row>
    <row r="86" spans="2:17" ht="9.75" customHeight="1">
      <c r="B86" s="951"/>
      <c r="C86" s="951"/>
      <c r="D86" s="287">
        <f t="shared" ca="1" si="19"/>
        <v>48725</v>
      </c>
      <c r="E86" s="288">
        <f t="shared" si="22"/>
        <v>1000000</v>
      </c>
      <c r="F86" s="289">
        <f t="shared" ca="1" si="20"/>
        <v>50</v>
      </c>
      <c r="G86" s="290">
        <f ca="1">VTLCOI!P85</f>
        <v>147.711037225415</v>
      </c>
      <c r="H86" s="290">
        <f t="shared" ca="1" si="25"/>
        <v>44829.617449384787</v>
      </c>
      <c r="I86" s="953"/>
      <c r="J86" s="292">
        <f t="shared" ca="1" si="21"/>
        <v>44829.617449384787</v>
      </c>
      <c r="K86" s="949"/>
      <c r="L86" s="949"/>
      <c r="M86" s="949"/>
      <c r="N86" s="950"/>
      <c r="O86" s="950"/>
      <c r="P86" s="950"/>
      <c r="Q86" s="950"/>
    </row>
    <row r="87" spans="2:17" ht="9.75" customHeight="1">
      <c r="B87" s="951"/>
      <c r="C87" s="951"/>
      <c r="D87" s="287">
        <f t="shared" ca="1" si="19"/>
        <v>48756</v>
      </c>
      <c r="E87" s="288">
        <f t="shared" si="22"/>
        <v>1000000</v>
      </c>
      <c r="F87" s="289">
        <f t="shared" ca="1" si="20"/>
        <v>50</v>
      </c>
      <c r="G87" s="290">
        <f ca="1">VTLCOI!P86</f>
        <v>147.73301916782847</v>
      </c>
      <c r="H87" s="290">
        <f t="shared" ca="1" si="25"/>
        <v>44687.29436649906</v>
      </c>
      <c r="I87" s="953"/>
      <c r="J87" s="293">
        <f ca="1">H87+I76</f>
        <v>44987.29436649906</v>
      </c>
      <c r="K87" s="949"/>
      <c r="L87" s="949"/>
      <c r="M87" s="949"/>
      <c r="N87" s="950"/>
      <c r="O87" s="950"/>
      <c r="P87" s="950"/>
      <c r="Q87" s="950"/>
    </row>
    <row r="88" spans="2:17" ht="9.75" customHeight="1">
      <c r="B88" s="946">
        <f>B76+1</f>
        <v>8</v>
      </c>
      <c r="C88" s="947">
        <f ca="1">C76+1</f>
        <v>37</v>
      </c>
      <c r="D88" s="294">
        <f t="shared" ca="1" si="19"/>
        <v>48786</v>
      </c>
      <c r="E88" s="359">
        <f t="shared" si="22"/>
        <v>1000000</v>
      </c>
      <c r="F88" s="360">
        <f t="shared" ca="1" si="20"/>
        <v>50</v>
      </c>
      <c r="G88" s="295">
        <f ca="1">VTLCOI!P87</f>
        <v>156.90530913516116</v>
      </c>
      <c r="H88" s="295">
        <f ca="1">(J87+VTLGTTKcamket!F14-F88-G88)*(1+U3)</f>
        <v>54648.149939937641</v>
      </c>
      <c r="I88" s="953">
        <f>IF(COUNTIF(VTLGTTKcamket!$E$7:E14,0)&gt;0,0,3%*'Tinh phi QL'!$H$13/1000)</f>
        <v>300</v>
      </c>
      <c r="J88" s="296">
        <f t="shared" ca="1" si="21"/>
        <v>54648.149939937641</v>
      </c>
      <c r="K88" s="949">
        <f ca="1">J99</f>
        <v>53404.572793545594</v>
      </c>
      <c r="L88" s="949"/>
      <c r="M88" s="949"/>
      <c r="N88" s="950">
        <f t="shared" ref="N88" ca="1" si="26">SUM(F88:F99)</f>
        <v>600</v>
      </c>
      <c r="O88" s="950"/>
      <c r="P88" s="950">
        <f t="shared" ref="P88" ca="1" si="27">SUM(G88:G99)</f>
        <v>1884.3953519398162</v>
      </c>
      <c r="Q88" s="950"/>
    </row>
    <row r="89" spans="2:17" ht="9.75" customHeight="1">
      <c r="B89" s="946"/>
      <c r="C89" s="946"/>
      <c r="D89" s="294">
        <f t="shared" ca="1" si="19"/>
        <v>48817</v>
      </c>
      <c r="E89" s="359">
        <f t="shared" si="22"/>
        <v>1000000</v>
      </c>
      <c r="F89" s="360">
        <f t="shared" ca="1" si="20"/>
        <v>50</v>
      </c>
      <c r="G89" s="295">
        <f ca="1">VTLCOI!P88</f>
        <v>156.92840710997035</v>
      </c>
      <c r="H89" s="295">
        <f ca="1">(H88-F89-G89)*(1+$U$3)</f>
        <v>54508.809640629173</v>
      </c>
      <c r="I89" s="953"/>
      <c r="J89" s="296">
        <f t="shared" ca="1" si="21"/>
        <v>54508.809640629173</v>
      </c>
      <c r="K89" s="949"/>
      <c r="L89" s="949"/>
      <c r="M89" s="949"/>
      <c r="N89" s="950"/>
      <c r="O89" s="950"/>
      <c r="P89" s="950"/>
      <c r="Q89" s="950"/>
    </row>
    <row r="90" spans="2:17" ht="9.75" customHeight="1">
      <c r="B90" s="946"/>
      <c r="C90" s="946"/>
      <c r="D90" s="294">
        <f t="shared" ca="1" si="19"/>
        <v>48848</v>
      </c>
      <c r="E90" s="359">
        <f t="shared" si="22"/>
        <v>1000000</v>
      </c>
      <c r="F90" s="360">
        <f t="shared" ca="1" si="20"/>
        <v>50</v>
      </c>
      <c r="G90" s="295">
        <f ca="1">VTLCOI!P89</f>
        <v>156.95153759965555</v>
      </c>
      <c r="H90" s="295">
        <f t="shared" ref="H90:H99" ca="1" si="28">(H89-F90-G90)*(1+$U$3)</f>
        <v>54369.273192844797</v>
      </c>
      <c r="I90" s="953"/>
      <c r="J90" s="296">
        <f t="shared" ca="1" si="21"/>
        <v>54369.273192844797</v>
      </c>
      <c r="K90" s="949"/>
      <c r="L90" s="949"/>
      <c r="M90" s="949"/>
      <c r="N90" s="950"/>
      <c r="O90" s="950"/>
      <c r="P90" s="950"/>
      <c r="Q90" s="950"/>
    </row>
    <row r="91" spans="2:17" ht="9.75" customHeight="1">
      <c r="B91" s="946"/>
      <c r="C91" s="946"/>
      <c r="D91" s="294">
        <f t="shared" ca="1" si="19"/>
        <v>48878</v>
      </c>
      <c r="E91" s="359">
        <f t="shared" si="22"/>
        <v>1000000</v>
      </c>
      <c r="F91" s="360">
        <f t="shared" ca="1" si="20"/>
        <v>50</v>
      </c>
      <c r="G91" s="295">
        <f ca="1">VTLCOI!P90</f>
        <v>156.97470064998774</v>
      </c>
      <c r="H91" s="295">
        <f t="shared" ca="1" si="28"/>
        <v>54229.540320467524</v>
      </c>
      <c r="I91" s="953"/>
      <c r="J91" s="296">
        <f t="shared" ca="1" si="21"/>
        <v>54229.540320467524</v>
      </c>
      <c r="K91" s="949"/>
      <c r="L91" s="949"/>
      <c r="M91" s="949"/>
      <c r="N91" s="950"/>
      <c r="O91" s="950"/>
      <c r="P91" s="950"/>
      <c r="Q91" s="950"/>
    </row>
    <row r="92" spans="2:17" ht="9.75" customHeight="1">
      <c r="B92" s="946"/>
      <c r="C92" s="946"/>
      <c r="D92" s="294">
        <f t="shared" ca="1" si="19"/>
        <v>48909</v>
      </c>
      <c r="E92" s="359">
        <f t="shared" si="22"/>
        <v>1000000</v>
      </c>
      <c r="F92" s="360">
        <f t="shared" ca="1" si="20"/>
        <v>50</v>
      </c>
      <c r="G92" s="295">
        <f ca="1">VTLCOI!P91</f>
        <v>156.99789630680237</v>
      </c>
      <c r="H92" s="295">
        <f t="shared" ca="1" si="28"/>
        <v>54089.610746991682</v>
      </c>
      <c r="I92" s="953"/>
      <c r="J92" s="296">
        <f t="shared" ca="1" si="21"/>
        <v>54089.610746991682</v>
      </c>
      <c r="K92" s="949"/>
      <c r="L92" s="949"/>
      <c r="M92" s="949"/>
      <c r="N92" s="950"/>
      <c r="O92" s="950"/>
      <c r="P92" s="950"/>
      <c r="Q92" s="950"/>
    </row>
    <row r="93" spans="2:17" ht="9.75" customHeight="1">
      <c r="B93" s="946"/>
      <c r="C93" s="946"/>
      <c r="D93" s="294">
        <f t="shared" ca="1" si="19"/>
        <v>48939</v>
      </c>
      <c r="E93" s="359">
        <f t="shared" si="22"/>
        <v>1000000</v>
      </c>
      <c r="F93" s="360">
        <f t="shared" ca="1" si="20"/>
        <v>50</v>
      </c>
      <c r="G93" s="295">
        <f ca="1">VTLCOI!P92</f>
        <v>157.02112461599938</v>
      </c>
      <c r="H93" s="295">
        <f t="shared" ca="1" si="28"/>
        <v>53949.484195522346</v>
      </c>
      <c r="I93" s="953"/>
      <c r="J93" s="296">
        <f t="shared" ca="1" si="21"/>
        <v>53949.484195522346</v>
      </c>
      <c r="K93" s="949"/>
      <c r="L93" s="949"/>
      <c r="M93" s="949"/>
      <c r="N93" s="950"/>
      <c r="O93" s="950"/>
      <c r="P93" s="950"/>
      <c r="Q93" s="950"/>
    </row>
    <row r="94" spans="2:17" ht="9.75" customHeight="1">
      <c r="B94" s="946"/>
      <c r="C94" s="946"/>
      <c r="D94" s="294">
        <f t="shared" ca="1" si="19"/>
        <v>48970</v>
      </c>
      <c r="E94" s="359">
        <f t="shared" si="22"/>
        <v>1000000</v>
      </c>
      <c r="F94" s="360">
        <f t="shared" ca="1" si="20"/>
        <v>50</v>
      </c>
      <c r="G94" s="295">
        <f ca="1">VTLCOI!P93</f>
        <v>157.04438562354329</v>
      </c>
      <c r="H94" s="295">
        <f t="shared" ca="1" si="28"/>
        <v>53809.160388774806</v>
      </c>
      <c r="I94" s="953"/>
      <c r="J94" s="296">
        <f t="shared" ca="1" si="21"/>
        <v>53809.160388774806</v>
      </c>
      <c r="K94" s="949"/>
      <c r="L94" s="949"/>
      <c r="M94" s="949"/>
      <c r="N94" s="950"/>
      <c r="O94" s="950"/>
      <c r="P94" s="950"/>
      <c r="Q94" s="950"/>
    </row>
    <row r="95" spans="2:17" ht="9.75" customHeight="1">
      <c r="B95" s="946"/>
      <c r="C95" s="946"/>
      <c r="D95" s="294">
        <f t="shared" ca="1" si="19"/>
        <v>49001</v>
      </c>
      <c r="E95" s="359">
        <f t="shared" si="22"/>
        <v>1000000</v>
      </c>
      <c r="F95" s="360">
        <f t="shared" ca="1" si="20"/>
        <v>50</v>
      </c>
      <c r="G95" s="295">
        <f ca="1">VTLCOI!P94</f>
        <v>157.06767937546337</v>
      </c>
      <c r="H95" s="295">
        <f t="shared" ca="1" si="28"/>
        <v>53668.639049074038</v>
      </c>
      <c r="I95" s="953"/>
      <c r="J95" s="296">
        <f t="shared" ca="1" si="21"/>
        <v>53668.639049074038</v>
      </c>
      <c r="K95" s="949"/>
      <c r="L95" s="949"/>
      <c r="M95" s="949"/>
      <c r="N95" s="950"/>
      <c r="O95" s="950"/>
      <c r="P95" s="950"/>
      <c r="Q95" s="950"/>
    </row>
    <row r="96" spans="2:17" ht="9.75" customHeight="1">
      <c r="B96" s="946"/>
      <c r="C96" s="946"/>
      <c r="D96" s="294">
        <f t="shared" ca="1" si="19"/>
        <v>49029</v>
      </c>
      <c r="E96" s="359">
        <f t="shared" si="22"/>
        <v>1000000</v>
      </c>
      <c r="F96" s="360">
        <f t="shared" ca="1" si="20"/>
        <v>50</v>
      </c>
      <c r="G96" s="295">
        <f ca="1">VTLCOI!P95</f>
        <v>157.09100591785372</v>
      </c>
      <c r="H96" s="295">
        <f t="shared" ca="1" si="28"/>
        <v>53527.919898354121</v>
      </c>
      <c r="I96" s="953"/>
      <c r="J96" s="296">
        <f t="shared" ca="1" si="21"/>
        <v>53527.919898354121</v>
      </c>
      <c r="K96" s="949"/>
      <c r="L96" s="949"/>
      <c r="M96" s="949"/>
      <c r="N96" s="950"/>
      <c r="O96" s="950"/>
      <c r="P96" s="950"/>
      <c r="Q96" s="950"/>
    </row>
    <row r="97" spans="2:17" ht="9.75" customHeight="1">
      <c r="B97" s="946"/>
      <c r="C97" s="946"/>
      <c r="D97" s="294">
        <f t="shared" ca="1" si="19"/>
        <v>49060</v>
      </c>
      <c r="E97" s="359">
        <f t="shared" si="22"/>
        <v>1000000</v>
      </c>
      <c r="F97" s="360">
        <f t="shared" ca="1" si="20"/>
        <v>50</v>
      </c>
      <c r="G97" s="295">
        <f ca="1">VTLCOI!P96</f>
        <v>157.11436529687322</v>
      </c>
      <c r="H97" s="295">
        <f t="shared" ca="1" si="28"/>
        <v>53387.002658157719</v>
      </c>
      <c r="I97" s="953"/>
      <c r="J97" s="296">
        <f t="shared" ca="1" si="21"/>
        <v>53387.002658157719</v>
      </c>
      <c r="K97" s="949"/>
      <c r="L97" s="949"/>
      <c r="M97" s="949"/>
      <c r="N97" s="950"/>
      <c r="O97" s="950"/>
      <c r="P97" s="950"/>
      <c r="Q97" s="950"/>
    </row>
    <row r="98" spans="2:17" ht="9.75" customHeight="1">
      <c r="B98" s="946"/>
      <c r="C98" s="946"/>
      <c r="D98" s="294">
        <f t="shared" ca="1" si="19"/>
        <v>49090</v>
      </c>
      <c r="E98" s="359">
        <f t="shared" si="22"/>
        <v>1000000</v>
      </c>
      <c r="F98" s="360">
        <f t="shared" ca="1" si="20"/>
        <v>50</v>
      </c>
      <c r="G98" s="295">
        <f ca="1">VTLCOI!P97</f>
        <v>157.13775755874582</v>
      </c>
      <c r="H98" s="295">
        <f t="shared" ca="1" si="28"/>
        <v>53245.887049635494</v>
      </c>
      <c r="I98" s="953"/>
      <c r="J98" s="296">
        <f t="shared" ca="1" si="21"/>
        <v>53245.887049635494</v>
      </c>
      <c r="K98" s="949"/>
      <c r="L98" s="949"/>
      <c r="M98" s="949"/>
      <c r="N98" s="950"/>
      <c r="O98" s="950"/>
      <c r="P98" s="950"/>
      <c r="Q98" s="950"/>
    </row>
    <row r="99" spans="2:17" ht="9.75" customHeight="1">
      <c r="B99" s="946"/>
      <c r="C99" s="946"/>
      <c r="D99" s="294">
        <f t="shared" ca="1" si="19"/>
        <v>49121</v>
      </c>
      <c r="E99" s="359">
        <f t="shared" si="22"/>
        <v>1000000</v>
      </c>
      <c r="F99" s="360">
        <f t="shared" ca="1" si="20"/>
        <v>50</v>
      </c>
      <c r="G99" s="295">
        <f ca="1">VTLCOI!P98</f>
        <v>157.16118274976051</v>
      </c>
      <c r="H99" s="295">
        <f t="shared" ca="1" si="28"/>
        <v>53104.572793545594</v>
      </c>
      <c r="I99" s="953"/>
      <c r="J99" s="297">
        <f ca="1">H99+I88</f>
        <v>53404.572793545594</v>
      </c>
      <c r="K99" s="949"/>
      <c r="L99" s="949"/>
      <c r="M99" s="949"/>
      <c r="N99" s="950"/>
      <c r="O99" s="950"/>
      <c r="P99" s="950"/>
      <c r="Q99" s="950"/>
    </row>
    <row r="100" spans="2:17" ht="9.75" customHeight="1">
      <c r="B100" s="951">
        <f>B88+1</f>
        <v>9</v>
      </c>
      <c r="C100" s="952">
        <f ca="1">C88+1</f>
        <v>38</v>
      </c>
      <c r="D100" s="287">
        <f t="shared" ca="1" si="19"/>
        <v>49151</v>
      </c>
      <c r="E100" s="288">
        <f t="shared" si="22"/>
        <v>1000000</v>
      </c>
      <c r="F100" s="289">
        <f t="shared" ca="1" si="20"/>
        <v>50</v>
      </c>
      <c r="G100" s="290">
        <f ca="1">VTLCOI!P99</f>
        <v>167.3741163275532</v>
      </c>
      <c r="H100" s="290">
        <f ca="1">(J99+VTLGTTKcamket!F15-F100-G100)*(1+$U$3)</f>
        <v>63065.396510669358</v>
      </c>
      <c r="I100" s="953">
        <f>IF(COUNTIF(VTLGTTKcamket!$E$7:E15,0)&gt;0,0,3%*'Tinh phi QL'!$H$13/1000)</f>
        <v>300</v>
      </c>
      <c r="J100" s="292">
        <f t="shared" ca="1" si="21"/>
        <v>63065.396510669358</v>
      </c>
      <c r="K100" s="949">
        <f ca="1">J111</f>
        <v>61761.060157285443</v>
      </c>
      <c r="L100" s="949"/>
      <c r="M100" s="949"/>
      <c r="N100" s="950">
        <f t="shared" ref="N100" ca="1" si="29">SUM(F100:F111)</f>
        <v>660</v>
      </c>
      <c r="O100" s="950"/>
      <c r="P100" s="950">
        <f t="shared" ref="P100" ca="1" si="30">SUM(G100:G111)</f>
        <v>2010.1652419383611</v>
      </c>
      <c r="Q100" s="950"/>
    </row>
    <row r="101" spans="2:17" ht="9.75" customHeight="1">
      <c r="B101" s="951"/>
      <c r="C101" s="951"/>
      <c r="D101" s="287">
        <f t="shared" ca="1" si="19"/>
        <v>49182</v>
      </c>
      <c r="E101" s="288">
        <f t="shared" si="22"/>
        <v>1000000</v>
      </c>
      <c r="F101" s="289">
        <f t="shared" ca="1" si="20"/>
        <v>50</v>
      </c>
      <c r="G101" s="290">
        <f ca="1">VTLCOI!P100</f>
        <v>167.39898249009374</v>
      </c>
      <c r="H101" s="290">
        <f ca="1">(H100-F101-G101)*(1+$U$3)</f>
        <v>62926.022545113934</v>
      </c>
      <c r="I101" s="953"/>
      <c r="J101" s="292">
        <f t="shared" ca="1" si="21"/>
        <v>62926.022545113934</v>
      </c>
      <c r="K101" s="949"/>
      <c r="L101" s="949"/>
      <c r="M101" s="949"/>
      <c r="N101" s="950"/>
      <c r="O101" s="950"/>
      <c r="P101" s="950"/>
      <c r="Q101" s="950"/>
    </row>
    <row r="102" spans="2:17" ht="9.75" customHeight="1">
      <c r="B102" s="951"/>
      <c r="C102" s="951"/>
      <c r="D102" s="287">
        <f t="shared" ca="1" si="19"/>
        <v>49213</v>
      </c>
      <c r="E102" s="288">
        <f t="shared" si="22"/>
        <v>1000000</v>
      </c>
      <c r="F102" s="289">
        <f t="shared" ca="1" si="20"/>
        <v>50</v>
      </c>
      <c r="G102" s="290">
        <f ca="1">VTLCOI!P101</f>
        <v>167.42388397193966</v>
      </c>
      <c r="H102" s="290">
        <f t="shared" ref="H102:H111" ca="1" si="31">(H101-F102-G102)*(1+$U$3)</f>
        <v>62786.45061609555</v>
      </c>
      <c r="I102" s="953"/>
      <c r="J102" s="292">
        <f t="shared" ca="1" si="21"/>
        <v>62786.45061609555</v>
      </c>
      <c r="K102" s="949"/>
      <c r="L102" s="949"/>
      <c r="M102" s="949"/>
      <c r="N102" s="950"/>
      <c r="O102" s="950"/>
      <c r="P102" s="950"/>
      <c r="Q102" s="950"/>
    </row>
    <row r="103" spans="2:17" ht="9.75" customHeight="1">
      <c r="B103" s="951"/>
      <c r="C103" s="951"/>
      <c r="D103" s="287">
        <f t="shared" ca="1" si="19"/>
        <v>49243</v>
      </c>
      <c r="E103" s="288">
        <f t="shared" si="22"/>
        <v>1000000</v>
      </c>
      <c r="F103" s="289">
        <f t="shared" ca="1" si="20"/>
        <v>50</v>
      </c>
      <c r="G103" s="290">
        <f ca="1">VTLCOI!P102</f>
        <v>167.44882082325759</v>
      </c>
      <c r="H103" s="290">
        <f t="shared" ca="1" si="31"/>
        <v>62646.680442431614</v>
      </c>
      <c r="I103" s="953"/>
      <c r="J103" s="292">
        <f t="shared" ca="1" si="21"/>
        <v>62646.680442431614</v>
      </c>
      <c r="K103" s="949"/>
      <c r="L103" s="949"/>
      <c r="M103" s="949"/>
      <c r="N103" s="950"/>
      <c r="O103" s="950"/>
      <c r="P103" s="950"/>
      <c r="Q103" s="950"/>
    </row>
    <row r="104" spans="2:17" ht="9.75" customHeight="1">
      <c r="B104" s="951"/>
      <c r="C104" s="951"/>
      <c r="D104" s="287">
        <f t="shared" ca="1" si="19"/>
        <v>49274</v>
      </c>
      <c r="E104" s="288">
        <f t="shared" si="22"/>
        <v>1000000</v>
      </c>
      <c r="F104" s="289">
        <f t="shared" ca="1" si="20"/>
        <v>50</v>
      </c>
      <c r="G104" s="290">
        <f ca="1">VTLCOI!P103</f>
        <v>167.47379309428558</v>
      </c>
      <c r="H104" s="290">
        <f t="shared" ca="1" si="31"/>
        <v>62506.711742540152</v>
      </c>
      <c r="I104" s="953"/>
      <c r="J104" s="292">
        <f t="shared" ca="1" si="21"/>
        <v>62506.711742540152</v>
      </c>
      <c r="K104" s="949"/>
      <c r="L104" s="949"/>
      <c r="M104" s="949"/>
      <c r="N104" s="950"/>
      <c r="O104" s="950"/>
      <c r="P104" s="950"/>
      <c r="Q104" s="950"/>
    </row>
    <row r="105" spans="2:17" ht="9.75" customHeight="1">
      <c r="B105" s="951"/>
      <c r="C105" s="951"/>
      <c r="D105" s="287">
        <f t="shared" ca="1" si="19"/>
        <v>49304</v>
      </c>
      <c r="E105" s="288">
        <f t="shared" si="22"/>
        <v>1000000</v>
      </c>
      <c r="F105" s="289">
        <f t="shared" ca="1" si="20"/>
        <v>50</v>
      </c>
      <c r="G105" s="290">
        <f ca="1">VTLCOI!P104</f>
        <v>167.49880083533284</v>
      </c>
      <c r="H105" s="290">
        <f t="shared" ca="1" si="31"/>
        <v>62366.544234439243</v>
      </c>
      <c r="I105" s="953"/>
      <c r="J105" s="292">
        <f t="shared" ca="1" si="21"/>
        <v>62366.544234439243</v>
      </c>
      <c r="K105" s="949"/>
      <c r="L105" s="949"/>
      <c r="M105" s="949"/>
      <c r="N105" s="950"/>
      <c r="O105" s="950"/>
      <c r="P105" s="950"/>
      <c r="Q105" s="950"/>
    </row>
    <row r="106" spans="2:17" ht="9.75" customHeight="1">
      <c r="B106" s="951"/>
      <c r="C106" s="951"/>
      <c r="D106" s="287">
        <f t="shared" ca="1" si="19"/>
        <v>49335</v>
      </c>
      <c r="E106" s="288">
        <f t="shared" si="22"/>
        <v>1000000</v>
      </c>
      <c r="F106" s="289">
        <f t="shared" ca="1" si="20"/>
        <v>60</v>
      </c>
      <c r="G106" s="290">
        <f ca="1">VTLCOI!P105</f>
        <v>167.52384409678021</v>
      </c>
      <c r="H106" s="290">
        <f t="shared" ca="1" si="31"/>
        <v>62216.165220869261</v>
      </c>
      <c r="I106" s="953"/>
      <c r="J106" s="292">
        <f t="shared" ca="1" si="21"/>
        <v>62216.165220869261</v>
      </c>
      <c r="K106" s="949"/>
      <c r="L106" s="949"/>
      <c r="M106" s="949"/>
      <c r="N106" s="950"/>
      <c r="O106" s="950"/>
      <c r="P106" s="950"/>
      <c r="Q106" s="950"/>
    </row>
    <row r="107" spans="2:17" ht="9.75" customHeight="1">
      <c r="B107" s="951"/>
      <c r="C107" s="951"/>
      <c r="D107" s="287">
        <f t="shared" ca="1" si="19"/>
        <v>49366</v>
      </c>
      <c r="E107" s="288">
        <f t="shared" si="22"/>
        <v>1000000</v>
      </c>
      <c r="F107" s="289">
        <f t="shared" ca="1" si="20"/>
        <v>60</v>
      </c>
      <c r="G107" s="290">
        <f ca="1">VTLCOI!P106</f>
        <v>167.55071181387137</v>
      </c>
      <c r="H107" s="290">
        <f t="shared" ca="1" si="31"/>
        <v>62065.572612528093</v>
      </c>
      <c r="I107" s="953"/>
      <c r="J107" s="292">
        <f t="shared" ca="1" si="21"/>
        <v>62065.572612528093</v>
      </c>
      <c r="K107" s="949"/>
      <c r="L107" s="949"/>
      <c r="M107" s="949"/>
      <c r="N107" s="950"/>
      <c r="O107" s="950"/>
      <c r="P107" s="950"/>
      <c r="Q107" s="950"/>
    </row>
    <row r="108" spans="2:17" ht="9.75" customHeight="1">
      <c r="B108" s="951"/>
      <c r="C108" s="951"/>
      <c r="D108" s="287">
        <f t="shared" ca="1" si="19"/>
        <v>49394</v>
      </c>
      <c r="E108" s="288">
        <f t="shared" si="22"/>
        <v>1000000</v>
      </c>
      <c r="F108" s="289">
        <f t="shared" ca="1" si="20"/>
        <v>60</v>
      </c>
      <c r="G108" s="290">
        <f ca="1">VTLCOI!P107</f>
        <v>167.57761769322832</v>
      </c>
      <c r="H108" s="290">
        <f t="shared" ca="1" si="31"/>
        <v>61914.766106030802</v>
      </c>
      <c r="I108" s="953"/>
      <c r="J108" s="292">
        <f t="shared" ca="1" si="21"/>
        <v>61914.766106030802</v>
      </c>
      <c r="K108" s="949"/>
      <c r="L108" s="949"/>
      <c r="M108" s="949"/>
      <c r="N108" s="950"/>
      <c r="O108" s="950"/>
      <c r="P108" s="950"/>
      <c r="Q108" s="950"/>
    </row>
    <row r="109" spans="2:17" ht="9.75" customHeight="1">
      <c r="B109" s="951"/>
      <c r="C109" s="951"/>
      <c r="D109" s="287">
        <f t="shared" ca="1" si="19"/>
        <v>49425</v>
      </c>
      <c r="E109" s="288">
        <f t="shared" si="22"/>
        <v>1000000</v>
      </c>
      <c r="F109" s="289">
        <f t="shared" ca="1" si="20"/>
        <v>60</v>
      </c>
      <c r="G109" s="290">
        <f ca="1">VTLCOI!P108</f>
        <v>167.60456178905585</v>
      </c>
      <c r="H109" s="290">
        <f t="shared" ca="1" si="31"/>
        <v>61763.745397561543</v>
      </c>
      <c r="I109" s="953"/>
      <c r="J109" s="292">
        <f t="shared" ca="1" si="21"/>
        <v>61763.745397561543</v>
      </c>
      <c r="K109" s="949"/>
      <c r="L109" s="949"/>
      <c r="M109" s="949"/>
      <c r="N109" s="950"/>
      <c r="O109" s="950"/>
      <c r="P109" s="950"/>
      <c r="Q109" s="950"/>
    </row>
    <row r="110" spans="2:17" ht="9.75" customHeight="1">
      <c r="B110" s="951"/>
      <c r="C110" s="951"/>
      <c r="D110" s="287">
        <f t="shared" ca="1" si="19"/>
        <v>49455</v>
      </c>
      <c r="E110" s="288">
        <f t="shared" si="22"/>
        <v>1000000</v>
      </c>
      <c r="F110" s="289">
        <f t="shared" ca="1" si="20"/>
        <v>60</v>
      </c>
      <c r="G110" s="290">
        <f ca="1">VTLCOI!P109</f>
        <v>167.63154415563568</v>
      </c>
      <c r="H110" s="290">
        <f t="shared" ca="1" si="31"/>
        <v>61612.510182872931</v>
      </c>
      <c r="I110" s="953"/>
      <c r="J110" s="292">
        <f t="shared" ca="1" si="21"/>
        <v>61612.510182872931</v>
      </c>
      <c r="K110" s="949"/>
      <c r="L110" s="949"/>
      <c r="M110" s="949"/>
      <c r="N110" s="950"/>
      <c r="O110" s="950"/>
      <c r="P110" s="950"/>
      <c r="Q110" s="950"/>
    </row>
    <row r="111" spans="2:17" ht="9.75" customHeight="1">
      <c r="B111" s="951"/>
      <c r="C111" s="951"/>
      <c r="D111" s="287">
        <f t="shared" ca="1" si="19"/>
        <v>49486</v>
      </c>
      <c r="E111" s="288">
        <f t="shared" si="22"/>
        <v>1000000</v>
      </c>
      <c r="F111" s="289">
        <f t="shared" ca="1" si="20"/>
        <v>60</v>
      </c>
      <c r="G111" s="290">
        <f ca="1">VTLCOI!P110</f>
        <v>167.65856484732672</v>
      </c>
      <c r="H111" s="290">
        <f t="shared" ca="1" si="31"/>
        <v>61461.060157285443</v>
      </c>
      <c r="I111" s="953"/>
      <c r="J111" s="293">
        <f ca="1">H111+I100</f>
        <v>61761.060157285443</v>
      </c>
      <c r="K111" s="949"/>
      <c r="L111" s="949"/>
      <c r="M111" s="949"/>
      <c r="N111" s="950"/>
      <c r="O111" s="950"/>
      <c r="P111" s="950"/>
      <c r="Q111" s="950"/>
    </row>
    <row r="112" spans="2:17" ht="9.75" customHeight="1">
      <c r="B112" s="946">
        <f>B100+1</f>
        <v>10</v>
      </c>
      <c r="C112" s="947">
        <f ca="1">C100+1</f>
        <v>39</v>
      </c>
      <c r="D112" s="294">
        <f t="shared" ca="1" si="19"/>
        <v>49516</v>
      </c>
      <c r="E112" s="359">
        <f t="shared" si="22"/>
        <v>1000000</v>
      </c>
      <c r="F112" s="360">
        <f t="shared" ca="1" si="20"/>
        <v>60</v>
      </c>
      <c r="G112" s="295">
        <f ca="1">VTLCOI!P111</f>
        <v>179.49819503625812</v>
      </c>
      <c r="H112" s="295">
        <f ca="1">(J111+VTLGTTKcamket!F16-F112-G112)*(1+$U$3)</f>
        <v>71410.106805343297</v>
      </c>
      <c r="I112" s="953">
        <f>IF(COUNTIF(VTLGTTKcamket!$E$7:E16,0)&gt;0,0,3%*'Tinh phi QL'!$H$13/1000)</f>
        <v>300</v>
      </c>
      <c r="J112" s="296">
        <f t="shared" ca="1" si="21"/>
        <v>71410.106805343297</v>
      </c>
      <c r="K112" s="949">
        <f ca="1">J123</f>
        <v>70035.253920093368</v>
      </c>
      <c r="L112" s="949"/>
      <c r="M112" s="949"/>
      <c r="N112" s="950">
        <f t="shared" ref="N112" ca="1" si="32">SUM(F112:F123)</f>
        <v>720</v>
      </c>
      <c r="O112" s="950"/>
      <c r="P112" s="950">
        <f t="shared" ref="P112" ca="1" si="33">SUM(G112:G123)</f>
        <v>2155.9137489051473</v>
      </c>
      <c r="Q112" s="950"/>
    </row>
    <row r="113" spans="2:17" ht="9.75" customHeight="1">
      <c r="B113" s="946"/>
      <c r="C113" s="946"/>
      <c r="D113" s="294">
        <f t="shared" ca="1" si="19"/>
        <v>49547</v>
      </c>
      <c r="E113" s="359">
        <f t="shared" si="22"/>
        <v>1000000</v>
      </c>
      <c r="F113" s="360">
        <f t="shared" ca="1" si="20"/>
        <v>60</v>
      </c>
      <c r="G113" s="295">
        <f ca="1">VTLCOI!P112</f>
        <v>179.52737935096695</v>
      </c>
      <c r="H113" s="295">
        <f ca="1">(H112-F113-G113)*(1+$U$3)</f>
        <v>71258.93682612227</v>
      </c>
      <c r="I113" s="953"/>
      <c r="J113" s="296">
        <f t="shared" ca="1" si="21"/>
        <v>71258.93682612227</v>
      </c>
      <c r="K113" s="949"/>
      <c r="L113" s="949"/>
      <c r="M113" s="949"/>
      <c r="N113" s="950"/>
      <c r="O113" s="950"/>
      <c r="P113" s="950"/>
      <c r="Q113" s="950"/>
    </row>
    <row r="114" spans="2:17" ht="9.75" customHeight="1">
      <c r="B114" s="946"/>
      <c r="C114" s="946"/>
      <c r="D114" s="294">
        <f t="shared" ca="1" si="19"/>
        <v>49578</v>
      </c>
      <c r="E114" s="359">
        <f t="shared" si="22"/>
        <v>1000000</v>
      </c>
      <c r="F114" s="360">
        <f t="shared" ca="1" si="20"/>
        <v>60</v>
      </c>
      <c r="G114" s="295">
        <f ca="1">VTLCOI!P113</f>
        <v>179.55660554694973</v>
      </c>
      <c r="H114" s="295">
        <f t="shared" ref="H114:H123" ca="1" si="34">(H113-F114-G114)*(1+$U$3)</f>
        <v>71107.549908749002</v>
      </c>
      <c r="I114" s="953"/>
      <c r="J114" s="296">
        <f t="shared" ca="1" si="21"/>
        <v>71107.549908749002</v>
      </c>
      <c r="K114" s="949"/>
      <c r="L114" s="949"/>
      <c r="M114" s="949"/>
      <c r="N114" s="950"/>
      <c r="O114" s="950"/>
      <c r="P114" s="950"/>
      <c r="Q114" s="950"/>
    </row>
    <row r="115" spans="2:17" ht="9.75" customHeight="1">
      <c r="B115" s="946"/>
      <c r="C115" s="946"/>
      <c r="D115" s="294">
        <f t="shared" ca="1" si="19"/>
        <v>49608</v>
      </c>
      <c r="E115" s="359">
        <f t="shared" si="22"/>
        <v>1000000</v>
      </c>
      <c r="F115" s="360">
        <f t="shared" ca="1" si="20"/>
        <v>60</v>
      </c>
      <c r="G115" s="295">
        <f ca="1">VTLCOI!P114</f>
        <v>179.5858736843085</v>
      </c>
      <c r="H115" s="295">
        <f t="shared" ca="1" si="34"/>
        <v>70955.945741903997</v>
      </c>
      <c r="I115" s="953"/>
      <c r="J115" s="296">
        <f t="shared" ca="1" si="21"/>
        <v>70955.945741903997</v>
      </c>
      <c r="K115" s="949"/>
      <c r="L115" s="949"/>
      <c r="M115" s="949"/>
      <c r="N115" s="950"/>
      <c r="O115" s="950"/>
      <c r="P115" s="950"/>
      <c r="Q115" s="950"/>
    </row>
    <row r="116" spans="2:17" ht="9.75" customHeight="1">
      <c r="B116" s="946"/>
      <c r="C116" s="946"/>
      <c r="D116" s="294">
        <f t="shared" ca="1" si="19"/>
        <v>49639</v>
      </c>
      <c r="E116" s="359">
        <f t="shared" si="22"/>
        <v>1000000</v>
      </c>
      <c r="F116" s="360">
        <f t="shared" ca="1" si="20"/>
        <v>60</v>
      </c>
      <c r="G116" s="295">
        <f ca="1">VTLCOI!P115</f>
        <v>179.61518382323189</v>
      </c>
      <c r="H116" s="295">
        <f t="shared" ca="1" si="34"/>
        <v>70804.124013820983</v>
      </c>
      <c r="I116" s="953"/>
      <c r="J116" s="296">
        <f t="shared" ca="1" si="21"/>
        <v>70804.124013820983</v>
      </c>
      <c r="K116" s="949"/>
      <c r="L116" s="949"/>
      <c r="M116" s="949"/>
      <c r="N116" s="950"/>
      <c r="O116" s="950"/>
      <c r="P116" s="950"/>
      <c r="Q116" s="950"/>
    </row>
    <row r="117" spans="2:17" ht="9.75" customHeight="1">
      <c r="B117" s="946"/>
      <c r="C117" s="946"/>
      <c r="D117" s="294">
        <f t="shared" ca="1" si="19"/>
        <v>49669</v>
      </c>
      <c r="E117" s="359">
        <f t="shared" si="22"/>
        <v>1000000</v>
      </c>
      <c r="F117" s="360">
        <f t="shared" ca="1" si="20"/>
        <v>60</v>
      </c>
      <c r="G117" s="295">
        <f ca="1">VTLCOI!P116</f>
        <v>179.64453602399462</v>
      </c>
      <c r="H117" s="295">
        <f t="shared" ca="1" si="34"/>
        <v>70652.08441228632</v>
      </c>
      <c r="I117" s="953"/>
      <c r="J117" s="296">
        <f t="shared" ca="1" si="21"/>
        <v>70652.08441228632</v>
      </c>
      <c r="K117" s="949"/>
      <c r="L117" s="949"/>
      <c r="M117" s="949"/>
      <c r="N117" s="950"/>
      <c r="O117" s="950"/>
      <c r="P117" s="950"/>
      <c r="Q117" s="950"/>
    </row>
    <row r="118" spans="2:17" ht="9.75" customHeight="1">
      <c r="B118" s="946"/>
      <c r="C118" s="946"/>
      <c r="D118" s="294">
        <f t="shared" ca="1" si="19"/>
        <v>49700</v>
      </c>
      <c r="E118" s="359">
        <f t="shared" si="22"/>
        <v>1000000</v>
      </c>
      <c r="F118" s="360">
        <f t="shared" ca="1" si="20"/>
        <v>60</v>
      </c>
      <c r="G118" s="295">
        <f ca="1">VTLCOI!P117</f>
        <v>179.67393034695797</v>
      </c>
      <c r="H118" s="295">
        <f t="shared" ca="1" si="34"/>
        <v>70499.826624638285</v>
      </c>
      <c r="I118" s="953"/>
      <c r="J118" s="296">
        <f t="shared" ca="1" si="21"/>
        <v>70499.826624638285</v>
      </c>
      <c r="K118" s="949"/>
      <c r="L118" s="949"/>
      <c r="M118" s="949"/>
      <c r="N118" s="950"/>
      <c r="O118" s="950"/>
      <c r="P118" s="950"/>
      <c r="Q118" s="950"/>
    </row>
    <row r="119" spans="2:17" ht="9.75" customHeight="1">
      <c r="B119" s="946"/>
      <c r="C119" s="946"/>
      <c r="D119" s="294">
        <f t="shared" ca="1" si="19"/>
        <v>49731</v>
      </c>
      <c r="E119" s="359">
        <f t="shared" si="22"/>
        <v>1000000</v>
      </c>
      <c r="F119" s="360">
        <f t="shared" ca="1" si="20"/>
        <v>60</v>
      </c>
      <c r="G119" s="295">
        <f ca="1">VTLCOI!P118</f>
        <v>179.70336685256993</v>
      </c>
      <c r="H119" s="295">
        <f t="shared" ca="1" si="34"/>
        <v>70347.350337766475</v>
      </c>
      <c r="I119" s="953"/>
      <c r="J119" s="296">
        <f t="shared" ca="1" si="21"/>
        <v>70347.350337766475</v>
      </c>
      <c r="K119" s="949"/>
      <c r="L119" s="949"/>
      <c r="M119" s="949"/>
      <c r="N119" s="950"/>
      <c r="O119" s="950"/>
      <c r="P119" s="950"/>
      <c r="Q119" s="950"/>
    </row>
    <row r="120" spans="2:17" ht="9.75" customHeight="1">
      <c r="B120" s="946"/>
      <c r="C120" s="946"/>
      <c r="D120" s="294">
        <f t="shared" ca="1" si="19"/>
        <v>49760</v>
      </c>
      <c r="E120" s="359">
        <f t="shared" si="22"/>
        <v>1000000</v>
      </c>
      <c r="F120" s="360">
        <f t="shared" ca="1" si="20"/>
        <v>60</v>
      </c>
      <c r="G120" s="295">
        <f ca="1">VTLCOI!P119</f>
        <v>179.73284560136514</v>
      </c>
      <c r="H120" s="295">
        <f t="shared" ca="1" si="34"/>
        <v>70194.655238111154</v>
      </c>
      <c r="I120" s="953"/>
      <c r="J120" s="296">
        <f t="shared" ca="1" si="21"/>
        <v>70194.655238111154</v>
      </c>
      <c r="K120" s="949"/>
      <c r="L120" s="949"/>
      <c r="M120" s="949"/>
      <c r="N120" s="950"/>
      <c r="O120" s="950"/>
      <c r="P120" s="950"/>
      <c r="Q120" s="950"/>
    </row>
    <row r="121" spans="2:17" ht="9.75" customHeight="1">
      <c r="B121" s="946"/>
      <c r="C121" s="946"/>
      <c r="D121" s="294">
        <f t="shared" ca="1" si="19"/>
        <v>49791</v>
      </c>
      <c r="E121" s="359">
        <f t="shared" si="22"/>
        <v>1000000</v>
      </c>
      <c r="F121" s="360">
        <f t="shared" ca="1" si="20"/>
        <v>60</v>
      </c>
      <c r="G121" s="295">
        <f ca="1">VTLCOI!P120</f>
        <v>179.76236665396516</v>
      </c>
      <c r="H121" s="295">
        <f t="shared" ca="1" si="34"/>
        <v>70041.741011662642</v>
      </c>
      <c r="I121" s="953"/>
      <c r="J121" s="296">
        <f t="shared" ca="1" si="21"/>
        <v>70041.741011662642</v>
      </c>
      <c r="K121" s="949"/>
      <c r="L121" s="949"/>
      <c r="M121" s="949"/>
      <c r="N121" s="950"/>
      <c r="O121" s="950"/>
      <c r="P121" s="950"/>
      <c r="Q121" s="950"/>
    </row>
    <row r="122" spans="2:17" ht="9.75" customHeight="1">
      <c r="B122" s="946"/>
      <c r="C122" s="946"/>
      <c r="D122" s="294">
        <f t="shared" ca="1" si="19"/>
        <v>49821</v>
      </c>
      <c r="E122" s="359">
        <f t="shared" si="22"/>
        <v>1000000</v>
      </c>
      <c r="F122" s="360">
        <f t="shared" ca="1" si="20"/>
        <v>60</v>
      </c>
      <c r="G122" s="295">
        <f ca="1">VTLCOI!P121</f>
        <v>179.79193007107855</v>
      </c>
      <c r="H122" s="295">
        <f t="shared" ca="1" si="34"/>
        <v>69888.607343960583</v>
      </c>
      <c r="I122" s="953"/>
      <c r="J122" s="296">
        <f t="shared" ca="1" si="21"/>
        <v>69888.607343960583</v>
      </c>
      <c r="K122" s="949"/>
      <c r="L122" s="949"/>
      <c r="M122" s="949"/>
      <c r="N122" s="950"/>
      <c r="O122" s="950"/>
      <c r="P122" s="950"/>
      <c r="Q122" s="950"/>
    </row>
    <row r="123" spans="2:17" ht="9.75" customHeight="1">
      <c r="B123" s="946"/>
      <c r="C123" s="946"/>
      <c r="D123" s="294">
        <f t="shared" ca="1" si="19"/>
        <v>49852</v>
      </c>
      <c r="E123" s="359">
        <f t="shared" si="22"/>
        <v>1000000</v>
      </c>
      <c r="F123" s="360">
        <f t="shared" ca="1" si="20"/>
        <v>60</v>
      </c>
      <c r="G123" s="295">
        <f ca="1">VTLCOI!P122</f>
        <v>179.82153591350095</v>
      </c>
      <c r="H123" s="295">
        <f t="shared" ca="1" si="34"/>
        <v>69735.253920093368</v>
      </c>
      <c r="I123" s="953"/>
      <c r="J123" s="297">
        <f ca="1">H123+I112</f>
        <v>70035.253920093368</v>
      </c>
      <c r="K123" s="949"/>
      <c r="L123" s="949"/>
      <c r="M123" s="949"/>
      <c r="N123" s="950"/>
      <c r="O123" s="950"/>
      <c r="P123" s="950"/>
      <c r="Q123" s="950"/>
    </row>
    <row r="124" spans="2:17" ht="9.75" customHeight="1">
      <c r="B124" s="951">
        <f>B112+1</f>
        <v>11</v>
      </c>
      <c r="C124" s="952">
        <f ca="1">C112+1</f>
        <v>40</v>
      </c>
      <c r="D124" s="287">
        <f t="shared" ca="1" si="19"/>
        <v>49882</v>
      </c>
      <c r="E124" s="288">
        <f t="shared" si="22"/>
        <v>1000000</v>
      </c>
      <c r="F124" s="289">
        <f t="shared" ca="1" si="20"/>
        <v>60</v>
      </c>
      <c r="G124" s="290">
        <f ca="1">VTLCOI!P123</f>
        <v>193.19259667678037</v>
      </c>
      <c r="H124" s="290">
        <f ca="1">(J123+VTLGTTKcamket!F17-F124-G124)*(1+$V$3)</f>
        <v>79848.243584125477</v>
      </c>
      <c r="I124" s="953">
        <f>IF(COUNTIF(VTLGTTKcamket!$E$7:E17,0)&gt;0,0,3%*'Tinh phi QL'!$H$13/1000)</f>
        <v>300</v>
      </c>
      <c r="J124" s="292">
        <f t="shared" ca="1" si="21"/>
        <v>79848.243584125477</v>
      </c>
      <c r="K124" s="949">
        <f ca="1">J135</f>
        <v>78078.252470709369</v>
      </c>
      <c r="L124" s="949"/>
      <c r="M124" s="949"/>
      <c r="N124" s="950">
        <f t="shared" ref="N124" ca="1" si="35">SUM(F124:F135)</f>
        <v>720</v>
      </c>
      <c r="O124" s="950"/>
      <c r="P124" s="950">
        <f t="shared" ref="P124" ca="1" si="36">SUM(G124:G135)</f>
        <v>2320.9121274143358</v>
      </c>
      <c r="Q124" s="950"/>
    </row>
    <row r="125" spans="2:17" ht="9.75" customHeight="1">
      <c r="B125" s="951"/>
      <c r="C125" s="951"/>
      <c r="D125" s="287">
        <f t="shared" ca="1" si="19"/>
        <v>49913</v>
      </c>
      <c r="E125" s="288">
        <f t="shared" si="22"/>
        <v>1000000</v>
      </c>
      <c r="F125" s="289">
        <f t="shared" ca="1" si="20"/>
        <v>60</v>
      </c>
      <c r="G125" s="290">
        <f ca="1">VTLCOI!P124</f>
        <v>193.23186884733363</v>
      </c>
      <c r="H125" s="290">
        <f ca="1">(H124-F125-G125)*(1+$V$3)</f>
        <v>79661.038811207793</v>
      </c>
      <c r="I125" s="953"/>
      <c r="J125" s="292">
        <f t="shared" ca="1" si="21"/>
        <v>79661.038811207793</v>
      </c>
      <c r="K125" s="949"/>
      <c r="L125" s="949"/>
      <c r="M125" s="949"/>
      <c r="N125" s="950"/>
      <c r="O125" s="950"/>
      <c r="P125" s="950"/>
      <c r="Q125" s="950"/>
    </row>
    <row r="126" spans="2:17" ht="9.75" customHeight="1">
      <c r="B126" s="951"/>
      <c r="C126" s="951"/>
      <c r="D126" s="287">
        <f t="shared" ca="1" si="19"/>
        <v>49944</v>
      </c>
      <c r="E126" s="288">
        <f t="shared" si="22"/>
        <v>1000000</v>
      </c>
      <c r="F126" s="289">
        <f t="shared" ca="1" si="20"/>
        <v>60</v>
      </c>
      <c r="G126" s="290">
        <f ca="1">VTLCOI!P125</f>
        <v>193.27118184964638</v>
      </c>
      <c r="H126" s="290">
        <f t="shared" ref="H126:H135" ca="1" si="37">(H125-F126-G126)*(1+$V$3)</f>
        <v>79473.639399181848</v>
      </c>
      <c r="I126" s="953"/>
      <c r="J126" s="292">
        <f t="shared" ca="1" si="21"/>
        <v>79473.639399181848</v>
      </c>
      <c r="K126" s="949"/>
      <c r="L126" s="949"/>
      <c r="M126" s="949"/>
      <c r="N126" s="950"/>
      <c r="O126" s="950"/>
      <c r="P126" s="950"/>
      <c r="Q126" s="950"/>
    </row>
    <row r="127" spans="2:17" ht="9.75" customHeight="1">
      <c r="B127" s="951"/>
      <c r="C127" s="951"/>
      <c r="D127" s="287">
        <f t="shared" ca="1" si="19"/>
        <v>49974</v>
      </c>
      <c r="E127" s="288">
        <f t="shared" si="22"/>
        <v>1000000</v>
      </c>
      <c r="F127" s="289">
        <f t="shared" ca="1" si="20"/>
        <v>60</v>
      </c>
      <c r="G127" s="290">
        <f ca="1">VTLCOI!P126</f>
        <v>193.31053572617179</v>
      </c>
      <c r="H127" s="290">
        <f t="shared" ca="1" si="37"/>
        <v>79286.04514567896</v>
      </c>
      <c r="I127" s="953"/>
      <c r="J127" s="292">
        <f t="shared" ca="1" si="21"/>
        <v>79286.04514567896</v>
      </c>
      <c r="K127" s="949"/>
      <c r="L127" s="949"/>
      <c r="M127" s="949"/>
      <c r="N127" s="950"/>
      <c r="O127" s="950"/>
      <c r="P127" s="950"/>
      <c r="Q127" s="950"/>
    </row>
    <row r="128" spans="2:17" ht="9.75" customHeight="1">
      <c r="B128" s="951"/>
      <c r="C128" s="951"/>
      <c r="D128" s="287">
        <f t="shared" ca="1" si="19"/>
        <v>50005</v>
      </c>
      <c r="E128" s="288">
        <f t="shared" si="22"/>
        <v>1000000</v>
      </c>
      <c r="F128" s="289">
        <f t="shared" ca="1" si="20"/>
        <v>60</v>
      </c>
      <c r="G128" s="290">
        <f ca="1">VTLCOI!P127</f>
        <v>193.34993051940742</v>
      </c>
      <c r="H128" s="290">
        <f t="shared" ca="1" si="37"/>
        <v>79098.255848120025</v>
      </c>
      <c r="I128" s="953"/>
      <c r="J128" s="292">
        <f t="shared" ca="1" si="21"/>
        <v>79098.255848120025</v>
      </c>
      <c r="K128" s="949"/>
      <c r="L128" s="949"/>
      <c r="M128" s="949"/>
      <c r="N128" s="950"/>
      <c r="O128" s="950"/>
      <c r="P128" s="950"/>
      <c r="Q128" s="950"/>
    </row>
    <row r="129" spans="2:17" ht="9.75" customHeight="1">
      <c r="B129" s="951"/>
      <c r="C129" s="951"/>
      <c r="D129" s="287">
        <f t="shared" ca="1" si="19"/>
        <v>50035</v>
      </c>
      <c r="E129" s="288">
        <f t="shared" si="22"/>
        <v>1000000</v>
      </c>
      <c r="F129" s="289">
        <f t="shared" ca="1" si="20"/>
        <v>60</v>
      </c>
      <c r="G129" s="290">
        <f ca="1">VTLCOI!P128</f>
        <v>193.3893662718948</v>
      </c>
      <c r="H129" s="290">
        <f t="shared" ca="1" si="37"/>
        <v>78910.271303715359</v>
      </c>
      <c r="I129" s="953"/>
      <c r="J129" s="292">
        <f t="shared" ca="1" si="21"/>
        <v>78910.271303715359</v>
      </c>
      <c r="K129" s="949"/>
      <c r="L129" s="949"/>
      <c r="M129" s="949"/>
      <c r="N129" s="950"/>
      <c r="O129" s="950"/>
      <c r="P129" s="950"/>
      <c r="Q129" s="950"/>
    </row>
    <row r="130" spans="2:17" ht="9.75" customHeight="1">
      <c r="B130" s="951"/>
      <c r="C130" s="951"/>
      <c r="D130" s="287">
        <f t="shared" ca="1" si="19"/>
        <v>50066</v>
      </c>
      <c r="E130" s="288">
        <f t="shared" si="22"/>
        <v>1000000</v>
      </c>
      <c r="F130" s="289">
        <f t="shared" ca="1" si="20"/>
        <v>60</v>
      </c>
      <c r="G130" s="290">
        <f ca="1">VTLCOI!P129</f>
        <v>193.42884302621974</v>
      </c>
      <c r="H130" s="290">
        <f t="shared" ca="1" si="37"/>
        <v>78722.091309464391</v>
      </c>
      <c r="I130" s="953"/>
      <c r="J130" s="292">
        <f t="shared" ca="1" si="21"/>
        <v>78722.091309464391</v>
      </c>
      <c r="K130" s="949"/>
      <c r="L130" s="949"/>
      <c r="M130" s="949"/>
      <c r="N130" s="950"/>
      <c r="O130" s="950"/>
      <c r="P130" s="950"/>
      <c r="Q130" s="950"/>
    </row>
    <row r="131" spans="2:17" ht="9.75" customHeight="1">
      <c r="B131" s="951"/>
      <c r="C131" s="951"/>
      <c r="D131" s="287">
        <f t="shared" ca="1" si="19"/>
        <v>50097</v>
      </c>
      <c r="E131" s="288">
        <f t="shared" si="22"/>
        <v>1000000</v>
      </c>
      <c r="F131" s="289">
        <f t="shared" ca="1" si="20"/>
        <v>60</v>
      </c>
      <c r="G131" s="290">
        <f ca="1">VTLCOI!P130</f>
        <v>193.46836082501247</v>
      </c>
      <c r="H131" s="290">
        <f t="shared" ca="1" si="37"/>
        <v>78533.715662155533</v>
      </c>
      <c r="I131" s="953"/>
      <c r="J131" s="292">
        <f t="shared" ca="1" si="21"/>
        <v>78533.715662155533</v>
      </c>
      <c r="K131" s="949"/>
      <c r="L131" s="949"/>
      <c r="M131" s="949"/>
      <c r="N131" s="950"/>
      <c r="O131" s="950"/>
      <c r="P131" s="950"/>
      <c r="Q131" s="950"/>
    </row>
    <row r="132" spans="2:17" ht="9.75" customHeight="1">
      <c r="B132" s="951"/>
      <c r="C132" s="951"/>
      <c r="D132" s="287">
        <f t="shared" ca="1" si="19"/>
        <v>50125</v>
      </c>
      <c r="E132" s="288">
        <f t="shared" si="22"/>
        <v>1000000</v>
      </c>
      <c r="F132" s="289">
        <f t="shared" ca="1" si="20"/>
        <v>60</v>
      </c>
      <c r="G132" s="290">
        <f ca="1">VTLCOI!P131</f>
        <v>193.50791971094736</v>
      </c>
      <c r="H132" s="290">
        <f t="shared" ca="1" si="37"/>
        <v>78345.144158365889</v>
      </c>
      <c r="I132" s="953"/>
      <c r="J132" s="292">
        <f t="shared" ca="1" si="21"/>
        <v>78345.144158365889</v>
      </c>
      <c r="K132" s="949"/>
      <c r="L132" s="949"/>
      <c r="M132" s="949"/>
      <c r="N132" s="950"/>
      <c r="O132" s="950"/>
      <c r="P132" s="950"/>
      <c r="Q132" s="950"/>
    </row>
    <row r="133" spans="2:17" ht="9.75" customHeight="1">
      <c r="B133" s="951"/>
      <c r="C133" s="951"/>
      <c r="D133" s="287">
        <f t="shared" ref="D133:D196" ca="1" si="38">EDATE(D132,1)</f>
        <v>50156</v>
      </c>
      <c r="E133" s="288">
        <f t="shared" si="22"/>
        <v>1000000</v>
      </c>
      <c r="F133" s="289">
        <f t="shared" ref="F133:F196" ca="1" si="39">IF(YEAR(D133)=2025,40000,IF(YEAR(D133)=2026,40000,IF(YEAR(D133)=2027,40000,IF(YEAR(D133)=2028,40000,IF(YEAR(D133)=2029,40000,IF(YEAR(D133)=2030,50000,IF(YEAR(D133)=2031,50000,IF(YEAR(D133)=2032,50000,IF(YEAR(D133)=2033,50000,IF(YEAR(D133)=2034,50000,IF(YEAR(D133)&gt;=2035,60000,0)))))))))))/1000</f>
        <v>60</v>
      </c>
      <c r="G133" s="290">
        <f ca="1">VTLCOI!P132</f>
        <v>193.54751972674316</v>
      </c>
      <c r="H133" s="290">
        <f t="shared" ca="1" si="37"/>
        <v>78156.37659446105</v>
      </c>
      <c r="I133" s="953"/>
      <c r="J133" s="292">
        <f t="shared" ref="J133:J196" ca="1" si="40">H133</f>
        <v>78156.37659446105</v>
      </c>
      <c r="K133" s="949"/>
      <c r="L133" s="949"/>
      <c r="M133" s="949"/>
      <c r="N133" s="950"/>
      <c r="O133" s="950"/>
      <c r="P133" s="950"/>
      <c r="Q133" s="950"/>
    </row>
    <row r="134" spans="2:17" ht="9.75" customHeight="1">
      <c r="B134" s="951"/>
      <c r="C134" s="951"/>
      <c r="D134" s="287">
        <f t="shared" ca="1" si="38"/>
        <v>50186</v>
      </c>
      <c r="E134" s="288">
        <f t="shared" ref="E134:E197" si="41">E133</f>
        <v>1000000</v>
      </c>
      <c r="F134" s="289">
        <f t="shared" ca="1" si="39"/>
        <v>60</v>
      </c>
      <c r="G134" s="290">
        <f ca="1">VTLCOI!P133</f>
        <v>193.5871609151632</v>
      </c>
      <c r="H134" s="290">
        <f t="shared" ca="1" si="37"/>
        <v>77967.412766594891</v>
      </c>
      <c r="I134" s="953"/>
      <c r="J134" s="292">
        <f t="shared" ca="1" si="40"/>
        <v>77967.412766594891</v>
      </c>
      <c r="K134" s="949"/>
      <c r="L134" s="949"/>
      <c r="M134" s="949"/>
      <c r="N134" s="950"/>
      <c r="O134" s="950"/>
      <c r="P134" s="950"/>
      <c r="Q134" s="950"/>
    </row>
    <row r="135" spans="2:17" ht="9.75" customHeight="1">
      <c r="B135" s="951"/>
      <c r="C135" s="951"/>
      <c r="D135" s="287">
        <f t="shared" ca="1" si="38"/>
        <v>50217</v>
      </c>
      <c r="E135" s="288">
        <f t="shared" si="41"/>
        <v>1000000</v>
      </c>
      <c r="F135" s="289">
        <f t="shared" ca="1" si="39"/>
        <v>60</v>
      </c>
      <c r="G135" s="290">
        <f ca="1">VTLCOI!P134</f>
        <v>193.62684331901508</v>
      </c>
      <c r="H135" s="290">
        <f t="shared" ca="1" si="37"/>
        <v>77778.252470709369</v>
      </c>
      <c r="I135" s="953"/>
      <c r="J135" s="293">
        <f ca="1">H135+I124</f>
        <v>78078.252470709369</v>
      </c>
      <c r="K135" s="949"/>
      <c r="L135" s="949"/>
      <c r="M135" s="949"/>
      <c r="N135" s="950"/>
      <c r="O135" s="950"/>
      <c r="P135" s="950"/>
      <c r="Q135" s="950"/>
    </row>
    <row r="136" spans="2:17" ht="9.75" customHeight="1">
      <c r="B136" s="946">
        <f>B124+1</f>
        <v>12</v>
      </c>
      <c r="C136" s="947">
        <f ca="1">C124+1</f>
        <v>41</v>
      </c>
      <c r="D136" s="294">
        <f t="shared" ca="1" si="38"/>
        <v>50247</v>
      </c>
      <c r="E136" s="359">
        <f t="shared" si="41"/>
        <v>1000000</v>
      </c>
      <c r="F136" s="360">
        <f t="shared" ca="1" si="39"/>
        <v>60</v>
      </c>
      <c r="G136" s="295">
        <f ca="1">VTLCOI!P135</f>
        <v>207.91815843667825</v>
      </c>
      <c r="H136" s="295">
        <f ca="1">(J135+VTLGTTKcamket!F18-F136-G136)*(1+$V$3)</f>
        <v>87883.176331418203</v>
      </c>
      <c r="I136" s="953">
        <f>IF(COUNTIF(VTLGTTKcamket!$E$7:E18,0)&gt;0,0,3%*'Tinh phi QL'!$H$13/1000)</f>
        <v>300</v>
      </c>
      <c r="J136" s="296">
        <f t="shared" ca="1" si="40"/>
        <v>87883.176331418203</v>
      </c>
      <c r="K136" s="949">
        <f ca="1">J147</f>
        <v>86023.672405073448</v>
      </c>
      <c r="L136" s="949"/>
      <c r="M136" s="949"/>
      <c r="N136" s="950">
        <f t="shared" ref="N136" ca="1" si="42">SUM(F136:F147)</f>
        <v>720</v>
      </c>
      <c r="O136" s="950"/>
      <c r="P136" s="950">
        <f t="shared" ref="P136" ca="1" si="43">SUM(G136:G147)</f>
        <v>2497.9637815388546</v>
      </c>
      <c r="Q136" s="950"/>
    </row>
    <row r="137" spans="2:17" ht="9.75" customHeight="1">
      <c r="B137" s="946"/>
      <c r="C137" s="946"/>
      <c r="D137" s="294">
        <f t="shared" ca="1" si="38"/>
        <v>50278</v>
      </c>
      <c r="E137" s="359">
        <f t="shared" si="41"/>
        <v>1000000</v>
      </c>
      <c r="F137" s="360">
        <f t="shared" ca="1" si="39"/>
        <v>60</v>
      </c>
      <c r="G137" s="295">
        <f ca="1">VTLCOI!P136</f>
        <v>207.96263579643664</v>
      </c>
      <c r="H137" s="295">
        <f ca="1">(H136-F137-G137)*(1+$V$3)</f>
        <v>87687.893854778871</v>
      </c>
      <c r="I137" s="953"/>
      <c r="J137" s="296">
        <f t="shared" ca="1" si="40"/>
        <v>87687.893854778871</v>
      </c>
      <c r="K137" s="949"/>
      <c r="L137" s="949"/>
      <c r="M137" s="949"/>
      <c r="N137" s="950"/>
      <c r="O137" s="950"/>
      <c r="P137" s="950"/>
      <c r="Q137" s="950"/>
    </row>
    <row r="138" spans="2:17" ht="9.75" customHeight="1">
      <c r="B138" s="946"/>
      <c r="C138" s="946"/>
      <c r="D138" s="294">
        <f t="shared" ca="1" si="38"/>
        <v>50309</v>
      </c>
      <c r="E138" s="359">
        <f t="shared" si="41"/>
        <v>1000000</v>
      </c>
      <c r="F138" s="360">
        <f t="shared" ca="1" si="39"/>
        <v>60</v>
      </c>
      <c r="G138" s="295">
        <f ca="1">VTLCOI!P137</f>
        <v>208.00716020111045</v>
      </c>
      <c r="H138" s="295">
        <f t="shared" ref="H138:H147" ca="1" si="44">(H137-F138-G138)*(1+$V$3)</f>
        <v>87492.404822542725</v>
      </c>
      <c r="I138" s="953"/>
      <c r="J138" s="296">
        <f t="shared" ca="1" si="40"/>
        <v>87492.404822542725</v>
      </c>
      <c r="K138" s="949"/>
      <c r="L138" s="949"/>
      <c r="M138" s="949"/>
      <c r="N138" s="950"/>
      <c r="O138" s="950"/>
      <c r="P138" s="950"/>
      <c r="Q138" s="950"/>
    </row>
    <row r="139" spans="2:17" ht="9.75" customHeight="1">
      <c r="B139" s="946"/>
      <c r="C139" s="946"/>
      <c r="D139" s="294">
        <f t="shared" ca="1" si="38"/>
        <v>50339</v>
      </c>
      <c r="E139" s="359">
        <f t="shared" si="41"/>
        <v>1000000</v>
      </c>
      <c r="F139" s="360">
        <f t="shared" ca="1" si="39"/>
        <v>60</v>
      </c>
      <c r="G139" s="295">
        <f ca="1">VTLCOI!P138</f>
        <v>208.05173170046029</v>
      </c>
      <c r="H139" s="295">
        <f t="shared" ca="1" si="44"/>
        <v>87296.709016230307</v>
      </c>
      <c r="I139" s="953"/>
      <c r="J139" s="296">
        <f t="shared" ca="1" si="40"/>
        <v>87296.709016230307</v>
      </c>
      <c r="K139" s="949"/>
      <c r="L139" s="949"/>
      <c r="M139" s="949"/>
      <c r="N139" s="950"/>
      <c r="O139" s="950"/>
      <c r="P139" s="950"/>
      <c r="Q139" s="950"/>
    </row>
    <row r="140" spans="2:17" ht="9.75" customHeight="1">
      <c r="B140" s="946"/>
      <c r="C140" s="946"/>
      <c r="D140" s="294">
        <f t="shared" ca="1" si="38"/>
        <v>50370</v>
      </c>
      <c r="E140" s="359">
        <f t="shared" si="41"/>
        <v>1000000</v>
      </c>
      <c r="F140" s="360">
        <f t="shared" ca="1" si="39"/>
        <v>60</v>
      </c>
      <c r="G140" s="295">
        <f ca="1">VTLCOI!P139</f>
        <v>208.09635034429948</v>
      </c>
      <c r="H140" s="295">
        <f t="shared" ca="1" si="44"/>
        <v>87100.806217131016</v>
      </c>
      <c r="I140" s="953"/>
      <c r="J140" s="296">
        <f t="shared" ca="1" si="40"/>
        <v>87100.806217131016</v>
      </c>
      <c r="K140" s="949"/>
      <c r="L140" s="949"/>
      <c r="M140" s="949"/>
      <c r="N140" s="950"/>
      <c r="O140" s="950"/>
      <c r="P140" s="950"/>
      <c r="Q140" s="950"/>
    </row>
    <row r="141" spans="2:17" ht="9.75" customHeight="1">
      <c r="B141" s="946"/>
      <c r="C141" s="946"/>
      <c r="D141" s="294">
        <f t="shared" ca="1" si="38"/>
        <v>50400</v>
      </c>
      <c r="E141" s="359">
        <f t="shared" si="41"/>
        <v>1000000</v>
      </c>
      <c r="F141" s="360">
        <f t="shared" ca="1" si="39"/>
        <v>60</v>
      </c>
      <c r="G141" s="295">
        <f ca="1">VTLCOI!P140</f>
        <v>208.14101618249416</v>
      </c>
      <c r="H141" s="295">
        <f t="shared" ca="1" si="44"/>
        <v>86904.696206302979</v>
      </c>
      <c r="I141" s="953"/>
      <c r="J141" s="296">
        <f t="shared" ca="1" si="40"/>
        <v>86904.696206302979</v>
      </c>
      <c r="K141" s="949"/>
      <c r="L141" s="949"/>
      <c r="M141" s="949"/>
      <c r="N141" s="950"/>
      <c r="O141" s="950"/>
      <c r="P141" s="950"/>
      <c r="Q141" s="950"/>
    </row>
    <row r="142" spans="2:17" ht="9.75" customHeight="1">
      <c r="B142" s="946"/>
      <c r="C142" s="946"/>
      <c r="D142" s="294">
        <f t="shared" ca="1" si="38"/>
        <v>50431</v>
      </c>
      <c r="E142" s="359">
        <f t="shared" si="41"/>
        <v>1000000</v>
      </c>
      <c r="F142" s="360">
        <f t="shared" ca="1" si="39"/>
        <v>60</v>
      </c>
      <c r="G142" s="295">
        <f ca="1">VTLCOI!P141</f>
        <v>208.18572926496293</v>
      </c>
      <c r="H142" s="295">
        <f t="shared" ca="1" si="44"/>
        <v>86708.37876457267</v>
      </c>
      <c r="I142" s="953"/>
      <c r="J142" s="296">
        <f t="shared" ca="1" si="40"/>
        <v>86708.37876457267</v>
      </c>
      <c r="K142" s="949"/>
      <c r="L142" s="949"/>
      <c r="M142" s="949"/>
      <c r="N142" s="950"/>
      <c r="O142" s="950"/>
      <c r="P142" s="950"/>
      <c r="Q142" s="950"/>
    </row>
    <row r="143" spans="2:17" ht="9.75" customHeight="1">
      <c r="B143" s="946"/>
      <c r="C143" s="946"/>
      <c r="D143" s="294">
        <f t="shared" ca="1" si="38"/>
        <v>50462</v>
      </c>
      <c r="E143" s="359">
        <f t="shared" si="41"/>
        <v>1000000</v>
      </c>
      <c r="F143" s="360">
        <f t="shared" ca="1" si="39"/>
        <v>60</v>
      </c>
      <c r="G143" s="295">
        <f ca="1">VTLCOI!P142</f>
        <v>208.23048964167742</v>
      </c>
      <c r="H143" s="295">
        <f t="shared" ca="1" si="44"/>
        <v>86511.85367253478</v>
      </c>
      <c r="I143" s="953"/>
      <c r="J143" s="296">
        <f t="shared" ca="1" si="40"/>
        <v>86511.85367253478</v>
      </c>
      <c r="K143" s="949"/>
      <c r="L143" s="949"/>
      <c r="M143" s="949"/>
      <c r="N143" s="950"/>
      <c r="O143" s="950"/>
      <c r="P143" s="950"/>
      <c r="Q143" s="950"/>
    </row>
    <row r="144" spans="2:17" ht="9.75" customHeight="1">
      <c r="B144" s="946"/>
      <c r="C144" s="946"/>
      <c r="D144" s="294">
        <f t="shared" ca="1" si="38"/>
        <v>50490</v>
      </c>
      <c r="E144" s="359">
        <f t="shared" si="41"/>
        <v>1000000</v>
      </c>
      <c r="F144" s="360">
        <f t="shared" ca="1" si="39"/>
        <v>60</v>
      </c>
      <c r="G144" s="295">
        <f ca="1">VTLCOI!P143</f>
        <v>208.27529736266206</v>
      </c>
      <c r="H144" s="295">
        <f t="shared" ca="1" si="44"/>
        <v>86315.120710551928</v>
      </c>
      <c r="I144" s="953"/>
      <c r="J144" s="296">
        <f t="shared" ca="1" si="40"/>
        <v>86315.120710551928</v>
      </c>
      <c r="K144" s="949"/>
      <c r="L144" s="949"/>
      <c r="M144" s="949"/>
      <c r="N144" s="950"/>
      <c r="O144" s="950"/>
      <c r="P144" s="950"/>
      <c r="Q144" s="950"/>
    </row>
    <row r="145" spans="2:17" ht="9.75" customHeight="1">
      <c r="B145" s="946"/>
      <c r="C145" s="946"/>
      <c r="D145" s="294">
        <f t="shared" ca="1" si="38"/>
        <v>50521</v>
      </c>
      <c r="E145" s="359">
        <f t="shared" si="41"/>
        <v>1000000</v>
      </c>
      <c r="F145" s="360">
        <f t="shared" ca="1" si="39"/>
        <v>60</v>
      </c>
      <c r="G145" s="295">
        <f ca="1">VTLCOI!P144</f>
        <v>208.32015247799416</v>
      </c>
      <c r="H145" s="295">
        <f t="shared" ca="1" si="44"/>
        <v>86118.179658754409</v>
      </c>
      <c r="I145" s="953"/>
      <c r="J145" s="296">
        <f t="shared" ca="1" si="40"/>
        <v>86118.179658754409</v>
      </c>
      <c r="K145" s="949"/>
      <c r="L145" s="949"/>
      <c r="M145" s="949"/>
      <c r="N145" s="950"/>
      <c r="O145" s="950"/>
      <c r="P145" s="950"/>
      <c r="Q145" s="950"/>
    </row>
    <row r="146" spans="2:17" ht="9.75" customHeight="1">
      <c r="B146" s="946"/>
      <c r="C146" s="946"/>
      <c r="D146" s="294">
        <f t="shared" ca="1" si="38"/>
        <v>50551</v>
      </c>
      <c r="E146" s="359">
        <f t="shared" si="41"/>
        <v>1000000</v>
      </c>
      <c r="F146" s="360">
        <f t="shared" ca="1" si="39"/>
        <v>60</v>
      </c>
      <c r="G146" s="295">
        <f ca="1">VTLCOI!P145</f>
        <v>208.36505503780404</v>
      </c>
      <c r="H146" s="295">
        <f t="shared" ca="1" si="44"/>
        <v>85921.030297039935</v>
      </c>
      <c r="I146" s="953"/>
      <c r="J146" s="296">
        <f t="shared" ca="1" si="40"/>
        <v>85921.030297039935</v>
      </c>
      <c r="K146" s="949"/>
      <c r="L146" s="949"/>
      <c r="M146" s="949"/>
      <c r="N146" s="950"/>
      <c r="O146" s="950"/>
      <c r="P146" s="950"/>
      <c r="Q146" s="950"/>
    </row>
    <row r="147" spans="2:17" ht="9.75" customHeight="1">
      <c r="B147" s="946"/>
      <c r="C147" s="946"/>
      <c r="D147" s="294">
        <f t="shared" ca="1" si="38"/>
        <v>50582</v>
      </c>
      <c r="E147" s="359">
        <f t="shared" si="41"/>
        <v>1000000</v>
      </c>
      <c r="F147" s="360">
        <f t="shared" ca="1" si="39"/>
        <v>60</v>
      </c>
      <c r="G147" s="295">
        <f ca="1">VTLCOI!P146</f>
        <v>208.4100050922749</v>
      </c>
      <c r="H147" s="295">
        <f t="shared" ca="1" si="44"/>
        <v>85723.672405073448</v>
      </c>
      <c r="I147" s="953"/>
      <c r="J147" s="297">
        <f ca="1">H147+I136</f>
        <v>86023.672405073448</v>
      </c>
      <c r="K147" s="949"/>
      <c r="L147" s="949"/>
      <c r="M147" s="949"/>
      <c r="N147" s="950"/>
      <c r="O147" s="950"/>
      <c r="P147" s="950"/>
      <c r="Q147" s="950"/>
    </row>
    <row r="148" spans="2:17" ht="9.75" customHeight="1">
      <c r="B148" s="951">
        <f>B136+1</f>
        <v>13</v>
      </c>
      <c r="C148" s="952">
        <f ca="1">C136+1</f>
        <v>42</v>
      </c>
      <c r="D148" s="287">
        <f t="shared" ca="1" si="38"/>
        <v>50612</v>
      </c>
      <c r="E148" s="288">
        <f t="shared" si="41"/>
        <v>1000000</v>
      </c>
      <c r="F148" s="289">
        <f t="shared" ca="1" si="39"/>
        <v>60</v>
      </c>
      <c r="G148" s="290">
        <f ca="1">VTLCOI!P147</f>
        <v>223.58347835847852</v>
      </c>
      <c r="H148" s="290">
        <f ca="1">(J147+VTLGTTKcamket!F19-F148-G148)*(1+$V$3)</f>
        <v>95819.508979550577</v>
      </c>
      <c r="I148" s="953">
        <f>IF(COUNTIF(VTLGTTKcamket!$E$7:E19,0)&gt;0,0,3%*'Tinh phi QL'!$H$13/1000)</f>
        <v>300</v>
      </c>
      <c r="J148" s="292">
        <f t="shared" ca="1" si="40"/>
        <v>95819.508979550577</v>
      </c>
      <c r="K148" s="949">
        <f ca="1">J159</f>
        <v>93859.145688521501</v>
      </c>
      <c r="L148" s="949"/>
      <c r="M148" s="949"/>
      <c r="N148" s="950">
        <f t="shared" ref="N148" ca="1" si="45">SUM(F148:F159)</f>
        <v>720</v>
      </c>
      <c r="O148" s="950"/>
      <c r="P148" s="950">
        <f t="shared" ref="P148" ca="1" si="46">SUM(G148:G159)</f>
        <v>2686.346498580489</v>
      </c>
      <c r="Q148" s="950"/>
    </row>
    <row r="149" spans="2:17" ht="9.75" customHeight="1">
      <c r="B149" s="951"/>
      <c r="C149" s="951"/>
      <c r="D149" s="287">
        <f t="shared" ca="1" si="38"/>
        <v>50643</v>
      </c>
      <c r="E149" s="288">
        <f t="shared" si="41"/>
        <v>1000000</v>
      </c>
      <c r="F149" s="289">
        <f t="shared" ca="1" si="39"/>
        <v>60</v>
      </c>
      <c r="G149" s="290">
        <f ca="1">VTLCOI!P148</f>
        <v>223.63397477905781</v>
      </c>
      <c r="H149" s="290">
        <f ca="1">(H148-F149-G149)*(1+$V$3)</f>
        <v>95615.125654375384</v>
      </c>
      <c r="I149" s="953"/>
      <c r="J149" s="292">
        <f t="shared" ca="1" si="40"/>
        <v>95615.125654375384</v>
      </c>
      <c r="K149" s="949"/>
      <c r="L149" s="949"/>
      <c r="M149" s="949"/>
      <c r="N149" s="950"/>
      <c r="O149" s="950"/>
      <c r="P149" s="950"/>
      <c r="Q149" s="950"/>
    </row>
    <row r="150" spans="2:17" ht="9.75" customHeight="1">
      <c r="B150" s="951"/>
      <c r="C150" s="951"/>
      <c r="D150" s="287">
        <f t="shared" ca="1" si="38"/>
        <v>50674</v>
      </c>
      <c r="E150" s="288">
        <f t="shared" si="41"/>
        <v>1000000</v>
      </c>
      <c r="F150" s="289">
        <f t="shared" ca="1" si="39"/>
        <v>60</v>
      </c>
      <c r="G150" s="290">
        <f ca="1">VTLCOI!P149</f>
        <v>223.68452558815113</v>
      </c>
      <c r="H150" s="290">
        <f t="shared" ref="H150:H159" ca="1" si="47">(H149-F150-G150)*(1+$V$3)</f>
        <v>95410.522192699107</v>
      </c>
      <c r="I150" s="953"/>
      <c r="J150" s="292">
        <f t="shared" ca="1" si="40"/>
        <v>95410.522192699107</v>
      </c>
      <c r="K150" s="949"/>
      <c r="L150" s="949"/>
      <c r="M150" s="949"/>
      <c r="N150" s="950"/>
      <c r="O150" s="950"/>
      <c r="P150" s="950"/>
      <c r="Q150" s="950"/>
    </row>
    <row r="151" spans="2:17" ht="9.75" customHeight="1">
      <c r="B151" s="951"/>
      <c r="C151" s="951"/>
      <c r="D151" s="287">
        <f t="shared" ca="1" si="38"/>
        <v>50704</v>
      </c>
      <c r="E151" s="288">
        <f t="shared" si="41"/>
        <v>1000000</v>
      </c>
      <c r="F151" s="289">
        <f t="shared" ca="1" si="39"/>
        <v>60</v>
      </c>
      <c r="G151" s="290">
        <f ca="1">VTLCOI!P150</f>
        <v>223.73513084433907</v>
      </c>
      <c r="H151" s="290">
        <f t="shared" ca="1" si="47"/>
        <v>95205.698357417874</v>
      </c>
      <c r="I151" s="953"/>
      <c r="J151" s="292">
        <f t="shared" ca="1" si="40"/>
        <v>95205.698357417874</v>
      </c>
      <c r="K151" s="949"/>
      <c r="L151" s="949"/>
      <c r="M151" s="949"/>
      <c r="N151" s="950"/>
      <c r="O151" s="950"/>
      <c r="P151" s="950"/>
      <c r="Q151" s="950"/>
    </row>
    <row r="152" spans="2:17" ht="9.75" customHeight="1">
      <c r="B152" s="951"/>
      <c r="C152" s="951"/>
      <c r="D152" s="287">
        <f t="shared" ca="1" si="38"/>
        <v>50735</v>
      </c>
      <c r="E152" s="288">
        <f t="shared" si="41"/>
        <v>1000000</v>
      </c>
      <c r="F152" s="289">
        <f t="shared" ca="1" si="39"/>
        <v>60</v>
      </c>
      <c r="G152" s="290">
        <f ca="1">VTLCOI!P151</f>
        <v>223.78579060626532</v>
      </c>
      <c r="H152" s="290">
        <f t="shared" ca="1" si="47"/>
        <v>95000.653911172412</v>
      </c>
      <c r="I152" s="953"/>
      <c r="J152" s="292">
        <f t="shared" ca="1" si="40"/>
        <v>95000.653911172412</v>
      </c>
      <c r="K152" s="949"/>
      <c r="L152" s="949"/>
      <c r="M152" s="949"/>
      <c r="N152" s="950"/>
      <c r="O152" s="950"/>
      <c r="P152" s="950"/>
      <c r="Q152" s="950"/>
    </row>
    <row r="153" spans="2:17" ht="9.75" customHeight="1">
      <c r="B153" s="951"/>
      <c r="C153" s="951"/>
      <c r="D153" s="287">
        <f t="shared" ca="1" si="38"/>
        <v>50765</v>
      </c>
      <c r="E153" s="288">
        <f t="shared" si="41"/>
        <v>1000000</v>
      </c>
      <c r="F153" s="289">
        <f t="shared" ca="1" si="39"/>
        <v>60</v>
      </c>
      <c r="G153" s="290">
        <f ca="1">VTLCOI!P152</f>
        <v>223.8365049326367</v>
      </c>
      <c r="H153" s="290">
        <f t="shared" ca="1" si="47"/>
        <v>94795.388616347816</v>
      </c>
      <c r="I153" s="953"/>
      <c r="J153" s="292">
        <f t="shared" ca="1" si="40"/>
        <v>94795.388616347816</v>
      </c>
      <c r="K153" s="949"/>
      <c r="L153" s="949"/>
      <c r="M153" s="949"/>
      <c r="N153" s="950"/>
      <c r="O153" s="950"/>
      <c r="P153" s="950"/>
      <c r="Q153" s="950"/>
    </row>
    <row r="154" spans="2:17" ht="9.75" customHeight="1">
      <c r="B154" s="951"/>
      <c r="C154" s="951"/>
      <c r="D154" s="287">
        <f t="shared" ca="1" si="38"/>
        <v>50796</v>
      </c>
      <c r="E154" s="288">
        <f t="shared" si="41"/>
        <v>1000000</v>
      </c>
      <c r="F154" s="289">
        <f t="shared" ca="1" si="39"/>
        <v>60</v>
      </c>
      <c r="G154" s="290">
        <f ca="1">VTLCOI!P153</f>
        <v>223.8872738822233</v>
      </c>
      <c r="H154" s="290">
        <f t="shared" ca="1" si="47"/>
        <v>94589.902235073241</v>
      </c>
      <c r="I154" s="953"/>
      <c r="J154" s="292">
        <f t="shared" ca="1" si="40"/>
        <v>94589.902235073241</v>
      </c>
      <c r="K154" s="949"/>
      <c r="L154" s="949"/>
      <c r="M154" s="949"/>
      <c r="N154" s="950"/>
      <c r="O154" s="950"/>
      <c r="P154" s="950"/>
      <c r="Q154" s="950"/>
    </row>
    <row r="155" spans="2:17" ht="9.75" customHeight="1">
      <c r="B155" s="951"/>
      <c r="C155" s="951"/>
      <c r="D155" s="287">
        <f t="shared" ca="1" si="38"/>
        <v>50827</v>
      </c>
      <c r="E155" s="288">
        <f t="shared" si="41"/>
        <v>1000000</v>
      </c>
      <c r="F155" s="289">
        <f t="shared" ca="1" si="39"/>
        <v>60</v>
      </c>
      <c r="G155" s="290">
        <f ca="1">VTLCOI!P154</f>
        <v>223.93809751385854</v>
      </c>
      <c r="H155" s="290">
        <f t="shared" ca="1" si="47"/>
        <v>94384.194529221641</v>
      </c>
      <c r="I155" s="953"/>
      <c r="J155" s="292">
        <f t="shared" ca="1" si="40"/>
        <v>94384.194529221641</v>
      </c>
      <c r="K155" s="949"/>
      <c r="L155" s="949"/>
      <c r="M155" s="949"/>
      <c r="N155" s="950"/>
      <c r="O155" s="950"/>
      <c r="P155" s="950"/>
      <c r="Q155" s="950"/>
    </row>
    <row r="156" spans="2:17" ht="9.75" customHeight="1">
      <c r="B156" s="951"/>
      <c r="C156" s="951"/>
      <c r="D156" s="287">
        <f t="shared" ca="1" si="38"/>
        <v>50855</v>
      </c>
      <c r="E156" s="288">
        <f t="shared" si="41"/>
        <v>1000000</v>
      </c>
      <c r="F156" s="289">
        <f t="shared" ca="1" si="39"/>
        <v>60</v>
      </c>
      <c r="G156" s="290">
        <f ca="1">VTLCOI!P155</f>
        <v>223.98897588643919</v>
      </c>
      <c r="H156" s="290">
        <f t="shared" ca="1" si="47"/>
        <v>94178.265260409491</v>
      </c>
      <c r="I156" s="953"/>
      <c r="J156" s="292">
        <f t="shared" ca="1" si="40"/>
        <v>94178.265260409491</v>
      </c>
      <c r="K156" s="949"/>
      <c r="L156" s="949"/>
      <c r="M156" s="949"/>
      <c r="N156" s="950"/>
      <c r="O156" s="950"/>
      <c r="P156" s="950"/>
      <c r="Q156" s="950"/>
    </row>
    <row r="157" spans="2:17" ht="9.75" customHeight="1">
      <c r="B157" s="951"/>
      <c r="C157" s="951"/>
      <c r="D157" s="287">
        <f t="shared" ca="1" si="38"/>
        <v>50886</v>
      </c>
      <c r="E157" s="288">
        <f t="shared" si="41"/>
        <v>1000000</v>
      </c>
      <c r="F157" s="289">
        <f t="shared" ca="1" si="39"/>
        <v>60</v>
      </c>
      <c r="G157" s="290">
        <f ca="1">VTLCOI!P156</f>
        <v>224.03990905892536</v>
      </c>
      <c r="H157" s="290">
        <f t="shared" ca="1" si="47"/>
        <v>93972.11418999653</v>
      </c>
      <c r="I157" s="953"/>
      <c r="J157" s="292">
        <f t="shared" ca="1" si="40"/>
        <v>93972.11418999653</v>
      </c>
      <c r="K157" s="949"/>
      <c r="L157" s="949"/>
      <c r="M157" s="949"/>
      <c r="N157" s="950"/>
      <c r="O157" s="950"/>
      <c r="P157" s="950"/>
      <c r="Q157" s="950"/>
    </row>
    <row r="158" spans="2:17" ht="9.75" customHeight="1">
      <c r="B158" s="951"/>
      <c r="C158" s="951"/>
      <c r="D158" s="287">
        <f t="shared" ca="1" si="38"/>
        <v>50916</v>
      </c>
      <c r="E158" s="288">
        <f t="shared" si="41"/>
        <v>1000000</v>
      </c>
      <c r="F158" s="289">
        <f t="shared" ca="1" si="39"/>
        <v>60</v>
      </c>
      <c r="G158" s="290">
        <f ca="1">VTLCOI!P157</f>
        <v>224.09089709034083</v>
      </c>
      <c r="H158" s="290">
        <f t="shared" ca="1" si="47"/>
        <v>93765.741079085405</v>
      </c>
      <c r="I158" s="953"/>
      <c r="J158" s="292">
        <f t="shared" ca="1" si="40"/>
        <v>93765.741079085405</v>
      </c>
      <c r="K158" s="949"/>
      <c r="L158" s="949"/>
      <c r="M158" s="949"/>
      <c r="N158" s="950"/>
      <c r="O158" s="950"/>
      <c r="P158" s="950"/>
      <c r="Q158" s="950"/>
    </row>
    <row r="159" spans="2:17" ht="9.75" customHeight="1">
      <c r="B159" s="951"/>
      <c r="C159" s="951"/>
      <c r="D159" s="287">
        <f t="shared" ca="1" si="38"/>
        <v>50947</v>
      </c>
      <c r="E159" s="288">
        <f t="shared" si="41"/>
        <v>1000000</v>
      </c>
      <c r="F159" s="289">
        <f t="shared" ca="1" si="39"/>
        <v>60</v>
      </c>
      <c r="G159" s="290">
        <f ca="1">VTLCOI!P158</f>
        <v>224.14194003977289</v>
      </c>
      <c r="H159" s="290">
        <f t="shared" ca="1" si="47"/>
        <v>93559.145688521501</v>
      </c>
      <c r="I159" s="953"/>
      <c r="J159" s="293">
        <f ca="1">H159+I148</f>
        <v>93859.145688521501</v>
      </c>
      <c r="K159" s="949"/>
      <c r="L159" s="949"/>
      <c r="M159" s="949"/>
      <c r="N159" s="950"/>
      <c r="O159" s="950"/>
      <c r="P159" s="950"/>
      <c r="Q159" s="950"/>
    </row>
    <row r="160" spans="2:17" ht="9.75" customHeight="1">
      <c r="B160" s="946">
        <f>B148+1</f>
        <v>14</v>
      </c>
      <c r="C160" s="947">
        <f ca="1">C148+1</f>
        <v>43</v>
      </c>
      <c r="D160" s="294">
        <f t="shared" ca="1" si="38"/>
        <v>50977</v>
      </c>
      <c r="E160" s="359">
        <f t="shared" si="41"/>
        <v>1000000</v>
      </c>
      <c r="F160" s="360">
        <f t="shared" ca="1" si="39"/>
        <v>60</v>
      </c>
      <c r="G160" s="295">
        <f ca="1">VTLCOI!P159</f>
        <v>240.76317619168393</v>
      </c>
      <c r="H160" s="295">
        <f ca="1">(J159+VTLGTTKcamket!F20-F160-G160)*(1+$V$3)</f>
        <v>103644.28813768383</v>
      </c>
      <c r="I160" s="953">
        <f>IF(COUNTIF(VTLGTTKcamket!$E$7:E20,0)&gt;0,0,3%*'Tinh phi QL'!$H$13/1000)</f>
        <v>300</v>
      </c>
      <c r="J160" s="296">
        <f t="shared" ca="1" si="40"/>
        <v>103644.28813768383</v>
      </c>
      <c r="K160" s="949">
        <f ca="1">J171</f>
        <v>101565.22154425261</v>
      </c>
      <c r="L160" s="949"/>
      <c r="M160" s="949"/>
      <c r="N160" s="950">
        <f t="shared" ref="N160" ca="1" si="48">SUM(F160:F171)</f>
        <v>720</v>
      </c>
      <c r="O160" s="950"/>
      <c r="P160" s="950">
        <f t="shared" ref="P160" ca="1" si="49">SUM(G160:G171)</f>
        <v>2892.9819524249083</v>
      </c>
      <c r="Q160" s="950"/>
    </row>
    <row r="161" spans="2:17" ht="9.75" customHeight="1">
      <c r="B161" s="946"/>
      <c r="C161" s="946"/>
      <c r="D161" s="294">
        <f t="shared" ca="1" si="38"/>
        <v>51008</v>
      </c>
      <c r="E161" s="359">
        <f t="shared" si="41"/>
        <v>1000000</v>
      </c>
      <c r="F161" s="360">
        <f t="shared" ca="1" si="39"/>
        <v>60</v>
      </c>
      <c r="G161" s="295">
        <f ca="1">VTLCOI!P160</f>
        <v>240.82090125367563</v>
      </c>
      <c r="H161" s="295">
        <f ca="1">(H160-F161-G161)*(1+$V$3)</f>
        <v>103429.19458137146</v>
      </c>
      <c r="I161" s="953"/>
      <c r="J161" s="296">
        <f t="shared" ca="1" si="40"/>
        <v>103429.19458137146</v>
      </c>
      <c r="K161" s="949"/>
      <c r="L161" s="949"/>
      <c r="M161" s="949"/>
      <c r="N161" s="950"/>
      <c r="O161" s="950"/>
      <c r="P161" s="950"/>
      <c r="Q161" s="950"/>
    </row>
    <row r="162" spans="2:17" ht="9.75" customHeight="1">
      <c r="B162" s="946"/>
      <c r="C162" s="946"/>
      <c r="D162" s="294">
        <f t="shared" ca="1" si="38"/>
        <v>51039</v>
      </c>
      <c r="E162" s="359">
        <f t="shared" si="41"/>
        <v>1000000</v>
      </c>
      <c r="F162" s="360">
        <f t="shared" ca="1" si="39"/>
        <v>60</v>
      </c>
      <c r="G162" s="295">
        <f ca="1">VTLCOI!P161</f>
        <v>240.87868972247153</v>
      </c>
      <c r="H162" s="295">
        <f t="shared" ref="H162:H171" ca="1" si="50">(H161-F162-G162)*(1+$V$3)</f>
        <v>103213.86476034943</v>
      </c>
      <c r="I162" s="953"/>
      <c r="J162" s="296">
        <f t="shared" ca="1" si="40"/>
        <v>103213.86476034943</v>
      </c>
      <c r="K162" s="949"/>
      <c r="L162" s="949"/>
      <c r="M162" s="949"/>
      <c r="N162" s="950"/>
      <c r="O162" s="950"/>
      <c r="P162" s="950"/>
      <c r="Q162" s="950"/>
    </row>
    <row r="163" spans="2:17" ht="9.75" customHeight="1">
      <c r="B163" s="946"/>
      <c r="C163" s="946"/>
      <c r="D163" s="294">
        <f t="shared" ca="1" si="38"/>
        <v>51069</v>
      </c>
      <c r="E163" s="359">
        <f t="shared" si="41"/>
        <v>1000000</v>
      </c>
      <c r="F163" s="360">
        <f t="shared" ca="1" si="39"/>
        <v>60</v>
      </c>
      <c r="G163" s="295">
        <f ca="1">VTLCOI!P162</f>
        <v>240.93654166771947</v>
      </c>
      <c r="H163" s="295">
        <f t="shared" ca="1" si="50"/>
        <v>102998.29841509808</v>
      </c>
      <c r="I163" s="953"/>
      <c r="J163" s="296">
        <f t="shared" ca="1" si="40"/>
        <v>102998.29841509808</v>
      </c>
      <c r="K163" s="949"/>
      <c r="L163" s="949"/>
      <c r="M163" s="949"/>
      <c r="N163" s="950"/>
      <c r="O163" s="950"/>
      <c r="P163" s="950"/>
      <c r="Q163" s="950"/>
    </row>
    <row r="164" spans="2:17" ht="9.75" customHeight="1">
      <c r="B164" s="946"/>
      <c r="C164" s="946"/>
      <c r="D164" s="294">
        <f t="shared" ca="1" si="38"/>
        <v>51100</v>
      </c>
      <c r="E164" s="359">
        <f t="shared" si="41"/>
        <v>1000000</v>
      </c>
      <c r="F164" s="360">
        <f t="shared" ca="1" si="39"/>
        <v>60</v>
      </c>
      <c r="G164" s="295">
        <f ca="1">VTLCOI!P163</f>
        <v>240.99445715914362</v>
      </c>
      <c r="H164" s="295">
        <f t="shared" ca="1" si="50"/>
        <v>102782.49528581263</v>
      </c>
      <c r="I164" s="953"/>
      <c r="J164" s="296">
        <f t="shared" ca="1" si="40"/>
        <v>102782.49528581263</v>
      </c>
      <c r="K164" s="949"/>
      <c r="L164" s="949"/>
      <c r="M164" s="949"/>
      <c r="N164" s="950"/>
      <c r="O164" s="950"/>
      <c r="P164" s="950"/>
      <c r="Q164" s="950"/>
    </row>
    <row r="165" spans="2:17" ht="9.75" customHeight="1">
      <c r="B165" s="946"/>
      <c r="C165" s="946"/>
      <c r="D165" s="294">
        <f t="shared" ca="1" si="38"/>
        <v>51130</v>
      </c>
      <c r="E165" s="359">
        <f t="shared" si="41"/>
        <v>1000000</v>
      </c>
      <c r="F165" s="360">
        <f t="shared" ca="1" si="39"/>
        <v>60</v>
      </c>
      <c r="G165" s="295">
        <f ca="1">VTLCOI!P164</f>
        <v>241.05243626654502</v>
      </c>
      <c r="H165" s="295">
        <f t="shared" ca="1" si="50"/>
        <v>102566.45511240298</v>
      </c>
      <c r="I165" s="953"/>
      <c r="J165" s="296">
        <f t="shared" ca="1" si="40"/>
        <v>102566.45511240298</v>
      </c>
      <c r="K165" s="949"/>
      <c r="L165" s="949"/>
      <c r="M165" s="949"/>
      <c r="N165" s="950"/>
      <c r="O165" s="950"/>
      <c r="P165" s="950"/>
      <c r="Q165" s="950"/>
    </row>
    <row r="166" spans="2:17" ht="9.75" customHeight="1">
      <c r="B166" s="946"/>
      <c r="C166" s="946"/>
      <c r="D166" s="294">
        <f t="shared" ca="1" si="38"/>
        <v>51161</v>
      </c>
      <c r="E166" s="359">
        <f t="shared" si="41"/>
        <v>1000000</v>
      </c>
      <c r="F166" s="360">
        <f t="shared" ca="1" si="39"/>
        <v>60</v>
      </c>
      <c r="G166" s="295">
        <f ca="1">VTLCOI!P165</f>
        <v>241.11047905980107</v>
      </c>
      <c r="H166" s="295">
        <f t="shared" ca="1" si="50"/>
        <v>102350.17763449329</v>
      </c>
      <c r="I166" s="953"/>
      <c r="J166" s="296">
        <f t="shared" ca="1" si="40"/>
        <v>102350.17763449329</v>
      </c>
      <c r="K166" s="949"/>
      <c r="L166" s="949"/>
      <c r="M166" s="949"/>
      <c r="N166" s="950"/>
      <c r="O166" s="950"/>
      <c r="P166" s="950"/>
      <c r="Q166" s="950"/>
    </row>
    <row r="167" spans="2:17" ht="9.75" customHeight="1">
      <c r="B167" s="946"/>
      <c r="C167" s="946"/>
      <c r="D167" s="294">
        <f t="shared" ca="1" si="38"/>
        <v>51192</v>
      </c>
      <c r="E167" s="359">
        <f t="shared" si="41"/>
        <v>1000000</v>
      </c>
      <c r="F167" s="360">
        <f t="shared" ca="1" si="39"/>
        <v>60</v>
      </c>
      <c r="G167" s="295">
        <f ca="1">VTLCOI!P166</f>
        <v>241.16858560886615</v>
      </c>
      <c r="H167" s="295">
        <f t="shared" ca="1" si="50"/>
        <v>102133.66259142171</v>
      </c>
      <c r="I167" s="953"/>
      <c r="J167" s="296">
        <f t="shared" ca="1" si="40"/>
        <v>102133.66259142171</v>
      </c>
      <c r="K167" s="949"/>
      <c r="L167" s="949"/>
      <c r="M167" s="949"/>
      <c r="N167" s="950"/>
      <c r="O167" s="950"/>
      <c r="P167" s="950"/>
      <c r="Q167" s="950"/>
    </row>
    <row r="168" spans="2:17" ht="9.75" customHeight="1">
      <c r="B168" s="946"/>
      <c r="C168" s="946"/>
      <c r="D168" s="294">
        <f t="shared" ca="1" si="38"/>
        <v>51221</v>
      </c>
      <c r="E168" s="359">
        <f t="shared" si="41"/>
        <v>1000000</v>
      </c>
      <c r="F168" s="360">
        <f t="shared" ca="1" si="39"/>
        <v>60</v>
      </c>
      <c r="G168" s="295">
        <f ca="1">VTLCOI!P167</f>
        <v>241.22675598377137</v>
      </c>
      <c r="H168" s="295">
        <f t="shared" ca="1" si="50"/>
        <v>101916.90972224015</v>
      </c>
      <c r="I168" s="953"/>
      <c r="J168" s="296">
        <f t="shared" ca="1" si="40"/>
        <v>101916.90972224015</v>
      </c>
      <c r="K168" s="949"/>
      <c r="L168" s="949"/>
      <c r="M168" s="949"/>
      <c r="N168" s="950"/>
      <c r="O168" s="950"/>
      <c r="P168" s="950"/>
      <c r="Q168" s="950"/>
    </row>
    <row r="169" spans="2:17" ht="9.75" customHeight="1">
      <c r="B169" s="946"/>
      <c r="C169" s="946"/>
      <c r="D169" s="294">
        <f t="shared" ca="1" si="38"/>
        <v>51252</v>
      </c>
      <c r="E169" s="359">
        <f t="shared" si="41"/>
        <v>1000000</v>
      </c>
      <c r="F169" s="360">
        <f t="shared" ca="1" si="39"/>
        <v>60</v>
      </c>
      <c r="G169" s="295">
        <f ca="1">VTLCOI!P168</f>
        <v>241.28499025462483</v>
      </c>
      <c r="H169" s="295">
        <f t="shared" ca="1" si="50"/>
        <v>101699.9187657138</v>
      </c>
      <c r="I169" s="953"/>
      <c r="J169" s="296">
        <f t="shared" ca="1" si="40"/>
        <v>101699.9187657138</v>
      </c>
      <c r="K169" s="949"/>
      <c r="L169" s="949"/>
      <c r="M169" s="949"/>
      <c r="N169" s="950"/>
      <c r="O169" s="950"/>
      <c r="P169" s="950"/>
      <c r="Q169" s="950"/>
    </row>
    <row r="170" spans="2:17" ht="9.75" customHeight="1">
      <c r="B170" s="946"/>
      <c r="C170" s="946"/>
      <c r="D170" s="294">
        <f t="shared" ca="1" si="38"/>
        <v>51282</v>
      </c>
      <c r="E170" s="359">
        <f t="shared" si="41"/>
        <v>1000000</v>
      </c>
      <c r="F170" s="360">
        <f t="shared" ca="1" si="39"/>
        <v>60</v>
      </c>
      <c r="G170" s="295">
        <f ca="1">VTLCOI!P169</f>
        <v>241.34328849161156</v>
      </c>
      <c r="H170" s="295">
        <f t="shared" ca="1" si="50"/>
        <v>101482.68946032095</v>
      </c>
      <c r="I170" s="953"/>
      <c r="J170" s="296">
        <f t="shared" ca="1" si="40"/>
        <v>101482.68946032095</v>
      </c>
      <c r="K170" s="949"/>
      <c r="L170" s="949"/>
      <c r="M170" s="949"/>
      <c r="N170" s="950"/>
      <c r="O170" s="950"/>
      <c r="P170" s="950"/>
      <c r="Q170" s="950"/>
    </row>
    <row r="171" spans="2:17" ht="9.75" customHeight="1">
      <c r="B171" s="946"/>
      <c r="C171" s="946"/>
      <c r="D171" s="294">
        <f t="shared" ca="1" si="38"/>
        <v>51313</v>
      </c>
      <c r="E171" s="359">
        <f t="shared" si="41"/>
        <v>1000000</v>
      </c>
      <c r="F171" s="360">
        <f t="shared" ca="1" si="39"/>
        <v>60</v>
      </c>
      <c r="G171" s="295">
        <f ca="1">VTLCOI!P170</f>
        <v>241.40165076499378</v>
      </c>
      <c r="H171" s="295">
        <f t="shared" ca="1" si="50"/>
        <v>101265.22154425261</v>
      </c>
      <c r="I171" s="953"/>
      <c r="J171" s="297">
        <f ca="1">H171+I160</f>
        <v>101565.22154425261</v>
      </c>
      <c r="K171" s="949"/>
      <c r="L171" s="949"/>
      <c r="M171" s="949"/>
      <c r="N171" s="950"/>
      <c r="O171" s="950"/>
      <c r="P171" s="950"/>
      <c r="Q171" s="950"/>
    </row>
    <row r="172" spans="2:17" ht="9.75" customHeight="1">
      <c r="B172" s="951">
        <f>B160+1</f>
        <v>15</v>
      </c>
      <c r="C172" s="952">
        <f ca="1">C160+1</f>
        <v>44</v>
      </c>
      <c r="D172" s="287">
        <f t="shared" ca="1" si="38"/>
        <v>51343</v>
      </c>
      <c r="E172" s="288">
        <f t="shared" si="41"/>
        <v>1000000</v>
      </c>
      <c r="F172" s="289">
        <f t="shared" ca="1" si="39"/>
        <v>60</v>
      </c>
      <c r="G172" s="290">
        <f ca="1">VTLCOI!P171</f>
        <v>258.8306654567744</v>
      </c>
      <c r="H172" s="290">
        <f ca="1">(J171+VTLGTTKcamket!F20-F172-G172)*(1+$V$3)</f>
        <v>111338.67400011324</v>
      </c>
      <c r="I172" s="953">
        <f>IF(COUNTIF(VTLGTTKcamket!$E$7:E21,0)&gt;0,0,3%*'Tinh phi QL'!$H$13/1000)</f>
        <v>300</v>
      </c>
      <c r="J172" s="292">
        <f t="shared" ca="1" si="40"/>
        <v>111338.67400011324</v>
      </c>
      <c r="K172" s="949">
        <f ca="1">J183</f>
        <v>109129.8251740868</v>
      </c>
      <c r="L172" s="949"/>
      <c r="M172" s="949"/>
      <c r="N172" s="950">
        <f t="shared" ref="N172" ca="1" si="51">SUM(F172:F183)</f>
        <v>720</v>
      </c>
      <c r="O172" s="950"/>
      <c r="P172" s="950">
        <f t="shared" ref="P172" ca="1" si="52">SUM(G172:G183)</f>
        <v>3110.3403615694779</v>
      </c>
      <c r="Q172" s="950"/>
    </row>
    <row r="173" spans="2:17" ht="9.75" customHeight="1">
      <c r="B173" s="951"/>
      <c r="C173" s="951"/>
      <c r="D173" s="287">
        <f t="shared" ca="1" si="38"/>
        <v>51374</v>
      </c>
      <c r="E173" s="288">
        <f t="shared" si="41"/>
        <v>1000000</v>
      </c>
      <c r="F173" s="289">
        <f t="shared" ca="1" si="39"/>
        <v>60</v>
      </c>
      <c r="G173" s="290">
        <f ca="1">VTLCOI!P172</f>
        <v>258.896666307967</v>
      </c>
      <c r="H173" s="290">
        <f ca="1">(H172-F173-G173)*(1+$V$3)</f>
        <v>111111.87247054989</v>
      </c>
      <c r="I173" s="953"/>
      <c r="J173" s="292">
        <f t="shared" ca="1" si="40"/>
        <v>111111.87247054989</v>
      </c>
      <c r="K173" s="949"/>
      <c r="L173" s="949"/>
      <c r="M173" s="949"/>
      <c r="N173" s="950"/>
      <c r="O173" s="950"/>
      <c r="P173" s="950"/>
      <c r="Q173" s="950"/>
    </row>
    <row r="174" spans="2:17" ht="9.75" customHeight="1">
      <c r="B174" s="951"/>
      <c r="C174" s="951"/>
      <c r="D174" s="287">
        <f t="shared" ca="1" si="38"/>
        <v>51405</v>
      </c>
      <c r="E174" s="288">
        <f t="shared" si="41"/>
        <v>1000000</v>
      </c>
      <c r="F174" s="289">
        <f t="shared" ca="1" si="39"/>
        <v>60</v>
      </c>
      <c r="G174" s="290">
        <f ca="1">VTLCOI!P173</f>
        <v>258.96274115357977</v>
      </c>
      <c r="H174" s="290">
        <f t="shared" ref="H174:H183" ca="1" si="53">(H173-F174-G174)*(1+$V$3)</f>
        <v>110884.81667081616</v>
      </c>
      <c r="I174" s="953"/>
      <c r="J174" s="292">
        <f t="shared" ca="1" si="40"/>
        <v>110884.81667081616</v>
      </c>
      <c r="K174" s="949"/>
      <c r="L174" s="949"/>
      <c r="M174" s="949"/>
      <c r="N174" s="950"/>
      <c r="O174" s="950"/>
      <c r="P174" s="950"/>
      <c r="Q174" s="950"/>
    </row>
    <row r="175" spans="2:17" ht="9.75" customHeight="1">
      <c r="B175" s="951"/>
      <c r="C175" s="951"/>
      <c r="D175" s="287">
        <f t="shared" ca="1" si="38"/>
        <v>51435</v>
      </c>
      <c r="E175" s="288">
        <f t="shared" si="41"/>
        <v>1000000</v>
      </c>
      <c r="F175" s="289">
        <f t="shared" ca="1" si="39"/>
        <v>60</v>
      </c>
      <c r="G175" s="290">
        <f ca="1">VTLCOI!P174</f>
        <v>259.02889007656887</v>
      </c>
      <c r="H175" s="290">
        <f t="shared" ca="1" si="53"/>
        <v>110657.50631584642</v>
      </c>
      <c r="I175" s="953"/>
      <c r="J175" s="292">
        <f t="shared" ca="1" si="40"/>
        <v>110657.50631584642</v>
      </c>
      <c r="K175" s="949"/>
      <c r="L175" s="949"/>
      <c r="M175" s="949"/>
      <c r="N175" s="950"/>
      <c r="O175" s="950"/>
      <c r="P175" s="950"/>
      <c r="Q175" s="950"/>
    </row>
    <row r="176" spans="2:17" ht="9.75" customHeight="1">
      <c r="B176" s="951"/>
      <c r="C176" s="951"/>
      <c r="D176" s="287">
        <f t="shared" ca="1" si="38"/>
        <v>51466</v>
      </c>
      <c r="E176" s="288">
        <f t="shared" si="41"/>
        <v>1000000</v>
      </c>
      <c r="F176" s="289">
        <f t="shared" ca="1" si="39"/>
        <v>60</v>
      </c>
      <c r="G176" s="290">
        <f ca="1">VTLCOI!P175</f>
        <v>259.09511315998338</v>
      </c>
      <c r="H176" s="290">
        <f t="shared" ca="1" si="53"/>
        <v>110429.94112025546</v>
      </c>
      <c r="I176" s="953"/>
      <c r="J176" s="292">
        <f t="shared" ca="1" si="40"/>
        <v>110429.94112025546</v>
      </c>
      <c r="K176" s="949"/>
      <c r="L176" s="949"/>
      <c r="M176" s="949"/>
      <c r="N176" s="950"/>
      <c r="O176" s="950"/>
      <c r="P176" s="950"/>
      <c r="Q176" s="950"/>
    </row>
    <row r="177" spans="2:17" ht="9.75" customHeight="1">
      <c r="B177" s="951"/>
      <c r="C177" s="951"/>
      <c r="D177" s="287">
        <f t="shared" ca="1" si="38"/>
        <v>51496</v>
      </c>
      <c r="E177" s="288">
        <f t="shared" si="41"/>
        <v>1000000</v>
      </c>
      <c r="F177" s="289">
        <f t="shared" ca="1" si="39"/>
        <v>60</v>
      </c>
      <c r="G177" s="290">
        <f ca="1">VTLCOI!P176</f>
        <v>259.16141048696556</v>
      </c>
      <c r="H177" s="290">
        <f t="shared" ca="1" si="53"/>
        <v>110202.12079833812</v>
      </c>
      <c r="I177" s="953"/>
      <c r="J177" s="292">
        <f t="shared" ca="1" si="40"/>
        <v>110202.12079833812</v>
      </c>
      <c r="K177" s="949"/>
      <c r="L177" s="949"/>
      <c r="M177" s="949"/>
      <c r="N177" s="950"/>
      <c r="O177" s="950"/>
      <c r="P177" s="950"/>
      <c r="Q177" s="950"/>
    </row>
    <row r="178" spans="2:17" ht="9.75" customHeight="1">
      <c r="B178" s="951"/>
      <c r="C178" s="951"/>
      <c r="D178" s="287">
        <f t="shared" ca="1" si="38"/>
        <v>51527</v>
      </c>
      <c r="E178" s="288">
        <f t="shared" si="41"/>
        <v>1000000</v>
      </c>
      <c r="F178" s="289">
        <f t="shared" ca="1" si="39"/>
        <v>60</v>
      </c>
      <c r="G178" s="290">
        <f ca="1">VTLCOI!P177</f>
        <v>259.22778214075083</v>
      </c>
      <c r="H178" s="290">
        <f t="shared" ca="1" si="53"/>
        <v>109974.04506406892</v>
      </c>
      <c r="I178" s="953"/>
      <c r="J178" s="292">
        <f t="shared" ca="1" si="40"/>
        <v>109974.04506406892</v>
      </c>
      <c r="K178" s="949"/>
      <c r="L178" s="949"/>
      <c r="M178" s="949"/>
      <c r="N178" s="950"/>
      <c r="O178" s="950"/>
      <c r="P178" s="950"/>
      <c r="Q178" s="950"/>
    </row>
    <row r="179" spans="2:17" ht="9.75" customHeight="1">
      <c r="B179" s="951"/>
      <c r="C179" s="951"/>
      <c r="D179" s="287">
        <f t="shared" ca="1" si="38"/>
        <v>51558</v>
      </c>
      <c r="E179" s="288">
        <f t="shared" si="41"/>
        <v>1000000</v>
      </c>
      <c r="F179" s="289">
        <f t="shared" ca="1" si="39"/>
        <v>60</v>
      </c>
      <c r="G179" s="290">
        <f ca="1">VTLCOI!P178</f>
        <v>259.29422820466795</v>
      </c>
      <c r="H179" s="290">
        <f t="shared" ca="1" si="53"/>
        <v>109745.71363110174</v>
      </c>
      <c r="I179" s="953"/>
      <c r="J179" s="292">
        <f t="shared" ca="1" si="40"/>
        <v>109745.71363110174</v>
      </c>
      <c r="K179" s="949"/>
      <c r="L179" s="949"/>
      <c r="M179" s="949"/>
      <c r="N179" s="950"/>
      <c r="O179" s="950"/>
      <c r="P179" s="950"/>
      <c r="Q179" s="950"/>
    </row>
    <row r="180" spans="2:17" ht="9.75" customHeight="1">
      <c r="B180" s="951"/>
      <c r="C180" s="951"/>
      <c r="D180" s="287">
        <f t="shared" ca="1" si="38"/>
        <v>51586</v>
      </c>
      <c r="E180" s="288">
        <f t="shared" si="41"/>
        <v>1000000</v>
      </c>
      <c r="F180" s="289">
        <f t="shared" ca="1" si="39"/>
        <v>60</v>
      </c>
      <c r="G180" s="290">
        <f ca="1">VTLCOI!P179</f>
        <v>259.360748762139</v>
      </c>
      <c r="H180" s="290">
        <f t="shared" ca="1" si="53"/>
        <v>109517.12621276939</v>
      </c>
      <c r="I180" s="953"/>
      <c r="J180" s="292">
        <f t="shared" ca="1" si="40"/>
        <v>109517.12621276939</v>
      </c>
      <c r="K180" s="949"/>
      <c r="L180" s="949"/>
      <c r="M180" s="949"/>
      <c r="N180" s="950"/>
      <c r="O180" s="950"/>
      <c r="P180" s="950"/>
      <c r="Q180" s="950"/>
    </row>
    <row r="181" spans="2:17" ht="9.75" customHeight="1">
      <c r="B181" s="951"/>
      <c r="C181" s="951"/>
      <c r="D181" s="287">
        <f t="shared" ca="1" si="38"/>
        <v>51617</v>
      </c>
      <c r="E181" s="288">
        <f t="shared" si="41"/>
        <v>1000000</v>
      </c>
      <c r="F181" s="289">
        <f t="shared" ca="1" si="39"/>
        <v>60</v>
      </c>
      <c r="G181" s="290">
        <f ca="1">VTLCOI!P180</f>
        <v>259.42734389667982</v>
      </c>
      <c r="H181" s="290">
        <f t="shared" ca="1" si="53"/>
        <v>109288.28252208333</v>
      </c>
      <c r="I181" s="953"/>
      <c r="J181" s="292">
        <f t="shared" ca="1" si="40"/>
        <v>109288.28252208333</v>
      </c>
      <c r="K181" s="949"/>
      <c r="L181" s="949"/>
      <c r="M181" s="949"/>
      <c r="N181" s="950"/>
      <c r="O181" s="950"/>
      <c r="P181" s="950"/>
      <c r="Q181" s="950"/>
    </row>
    <row r="182" spans="2:17" ht="9.75" customHeight="1">
      <c r="B182" s="951"/>
      <c r="C182" s="951"/>
      <c r="D182" s="287">
        <f t="shared" ca="1" si="38"/>
        <v>51647</v>
      </c>
      <c r="E182" s="288">
        <f t="shared" si="41"/>
        <v>1000000</v>
      </c>
      <c r="F182" s="289">
        <f t="shared" ca="1" si="39"/>
        <v>60</v>
      </c>
      <c r="G182" s="290">
        <f ca="1">VTLCOI!P181</f>
        <v>259.49401369189974</v>
      </c>
      <c r="H182" s="290">
        <f t="shared" ca="1" si="53"/>
        <v>109059.18227173327</v>
      </c>
      <c r="I182" s="953"/>
      <c r="J182" s="292">
        <f t="shared" ca="1" si="40"/>
        <v>109059.18227173327</v>
      </c>
      <c r="K182" s="949"/>
      <c r="L182" s="949"/>
      <c r="M182" s="949"/>
      <c r="N182" s="950"/>
      <c r="O182" s="950"/>
      <c r="P182" s="950"/>
      <c r="Q182" s="950"/>
    </row>
    <row r="183" spans="2:17" ht="9.75" customHeight="1">
      <c r="B183" s="951"/>
      <c r="C183" s="951"/>
      <c r="D183" s="287">
        <f t="shared" ca="1" si="38"/>
        <v>51678</v>
      </c>
      <c r="E183" s="288">
        <f t="shared" si="41"/>
        <v>1000000</v>
      </c>
      <c r="F183" s="289">
        <f t="shared" ca="1" si="39"/>
        <v>60</v>
      </c>
      <c r="G183" s="290">
        <f ca="1">VTLCOI!P182</f>
        <v>259.56075823150172</v>
      </c>
      <c r="H183" s="290">
        <f t="shared" ca="1" si="53"/>
        <v>108829.8251740868</v>
      </c>
      <c r="I183" s="953"/>
      <c r="J183" s="293">
        <f ca="1">H183+I172</f>
        <v>109129.8251740868</v>
      </c>
      <c r="K183" s="949"/>
      <c r="L183" s="949"/>
      <c r="M183" s="949"/>
      <c r="N183" s="950"/>
      <c r="O183" s="950"/>
      <c r="P183" s="950"/>
      <c r="Q183" s="950"/>
    </row>
    <row r="184" spans="2:17" ht="9.75" customHeight="1">
      <c r="B184" s="946">
        <f>B172+1</f>
        <v>16</v>
      </c>
      <c r="C184" s="947">
        <f ca="1">C172+1</f>
        <v>45</v>
      </c>
      <c r="D184" s="294">
        <f t="shared" ca="1" si="38"/>
        <v>51708</v>
      </c>
      <c r="E184" s="359">
        <f t="shared" si="41"/>
        <v>1000000</v>
      </c>
      <c r="F184" s="360">
        <f t="shared" ca="1" si="39"/>
        <v>60</v>
      </c>
      <c r="G184" s="295">
        <f ca="1">VTLCOI!P183</f>
        <v>277.76772846177124</v>
      </c>
      <c r="H184" s="295">
        <f ca="1">(J183+VTLGTTKcamket!F21-F184-G184)*(1+$W$3)</f>
        <v>118841.44106734107</v>
      </c>
      <c r="I184" s="953">
        <f>IF(COUNTIF(VTLGTTKcamket!$E$7:E22,0)&gt;0,0,3%*'Tinh phi QL'!$H$13/1000)</f>
        <v>300</v>
      </c>
      <c r="J184" s="296">
        <f t="shared" ca="1" si="40"/>
        <v>118841.44106734107</v>
      </c>
      <c r="K184" s="949">
        <f ca="1">J195</f>
        <v>115955.26512671042</v>
      </c>
      <c r="L184" s="949"/>
      <c r="M184" s="949"/>
      <c r="N184" s="950">
        <f t="shared" ref="N184" ca="1" si="54">SUM(F184:F195)</f>
        <v>720</v>
      </c>
      <c r="O184" s="950"/>
      <c r="P184" s="950">
        <f t="shared" ref="P184" ca="1" si="55">SUM(G184:G195)</f>
        <v>3339.2292437588308</v>
      </c>
      <c r="Q184" s="950"/>
    </row>
    <row r="185" spans="2:17" ht="9.75" customHeight="1">
      <c r="B185" s="946"/>
      <c r="C185" s="946"/>
      <c r="D185" s="294">
        <f t="shared" ca="1" si="38"/>
        <v>51739</v>
      </c>
      <c r="E185" s="359">
        <f t="shared" si="41"/>
        <v>1000000</v>
      </c>
      <c r="F185" s="360">
        <f t="shared" ca="1" si="39"/>
        <v>60</v>
      </c>
      <c r="G185" s="295">
        <f ca="1">VTLCOI!P184</f>
        <v>277.85866558343179</v>
      </c>
      <c r="H185" s="295">
        <f ca="1">(H184-F185-G185)*(1+$W$3)</f>
        <v>118552.84610011561</v>
      </c>
      <c r="I185" s="953"/>
      <c r="J185" s="296">
        <f t="shared" ca="1" si="40"/>
        <v>118552.84610011561</v>
      </c>
      <c r="K185" s="949"/>
      <c r="L185" s="949"/>
      <c r="M185" s="949"/>
      <c r="N185" s="950"/>
      <c r="O185" s="950"/>
      <c r="P185" s="950"/>
      <c r="Q185" s="950"/>
    </row>
    <row r="186" spans="2:17" ht="9.75" customHeight="1">
      <c r="B186" s="946"/>
      <c r="C186" s="946"/>
      <c r="D186" s="294">
        <f t="shared" ca="1" si="38"/>
        <v>51770</v>
      </c>
      <c r="E186" s="359">
        <f t="shared" si="41"/>
        <v>1000000</v>
      </c>
      <c r="F186" s="360">
        <f t="shared" ca="1" si="39"/>
        <v>60</v>
      </c>
      <c r="G186" s="295">
        <f ca="1">VTLCOI!P185</f>
        <v>277.94966919643019</v>
      </c>
      <c r="H186" s="295">
        <f t="shared" ref="H186:H243" ca="1" si="56">(H185-F186-G186)*(1+$W$3)</f>
        <v>118264.04011823362</v>
      </c>
      <c r="I186" s="953"/>
      <c r="J186" s="296">
        <f t="shared" ca="1" si="40"/>
        <v>118264.04011823362</v>
      </c>
      <c r="K186" s="949"/>
      <c r="L186" s="949"/>
      <c r="M186" s="949"/>
      <c r="N186" s="950"/>
      <c r="O186" s="950"/>
      <c r="P186" s="950"/>
      <c r="Q186" s="950"/>
    </row>
    <row r="187" spans="2:17" ht="9.75" customHeight="1">
      <c r="B187" s="946"/>
      <c r="C187" s="946"/>
      <c r="D187" s="294">
        <f t="shared" ca="1" si="38"/>
        <v>51800</v>
      </c>
      <c r="E187" s="359">
        <f t="shared" si="41"/>
        <v>1000000</v>
      </c>
      <c r="F187" s="360">
        <f t="shared" ca="1" si="39"/>
        <v>60</v>
      </c>
      <c r="G187" s="295">
        <f ca="1">VTLCOI!P186</f>
        <v>278.04073934938361</v>
      </c>
      <c r="H187" s="295">
        <f t="shared" ca="1" si="56"/>
        <v>117975.02296740554</v>
      </c>
      <c r="I187" s="953"/>
      <c r="J187" s="296">
        <f t="shared" ca="1" si="40"/>
        <v>117975.02296740554</v>
      </c>
      <c r="K187" s="949"/>
      <c r="L187" s="949"/>
      <c r="M187" s="949"/>
      <c r="N187" s="950"/>
      <c r="O187" s="950"/>
      <c r="P187" s="950"/>
      <c r="Q187" s="950"/>
    </row>
    <row r="188" spans="2:17" ht="9.75" customHeight="1">
      <c r="B188" s="946"/>
      <c r="C188" s="946"/>
      <c r="D188" s="294">
        <f t="shared" ca="1" si="38"/>
        <v>51831</v>
      </c>
      <c r="E188" s="359">
        <f t="shared" si="41"/>
        <v>1000000</v>
      </c>
      <c r="F188" s="360">
        <f t="shared" ca="1" si="39"/>
        <v>60</v>
      </c>
      <c r="G188" s="295">
        <f ca="1">VTLCOI!P187</f>
        <v>278.13187609094479</v>
      </c>
      <c r="H188" s="295">
        <f t="shared" ca="1" si="56"/>
        <v>117685.79449322903</v>
      </c>
      <c r="I188" s="953"/>
      <c r="J188" s="296">
        <f t="shared" ca="1" si="40"/>
        <v>117685.79449322903</v>
      </c>
      <c r="K188" s="949"/>
      <c r="L188" s="949"/>
      <c r="M188" s="949"/>
      <c r="N188" s="950"/>
      <c r="O188" s="950"/>
      <c r="P188" s="950"/>
      <c r="Q188" s="950"/>
    </row>
    <row r="189" spans="2:17" ht="9.75" customHeight="1">
      <c r="B189" s="946"/>
      <c r="C189" s="946"/>
      <c r="D189" s="294">
        <f t="shared" ca="1" si="38"/>
        <v>51861</v>
      </c>
      <c r="E189" s="359">
        <f t="shared" si="41"/>
        <v>1000000</v>
      </c>
      <c r="F189" s="360">
        <f t="shared" ca="1" si="39"/>
        <v>60</v>
      </c>
      <c r="G189" s="295">
        <f ca="1">VTLCOI!P188</f>
        <v>278.2230794698018</v>
      </c>
      <c r="H189" s="295">
        <f t="shared" ca="1" si="56"/>
        <v>117396.35454118883</v>
      </c>
      <c r="I189" s="953"/>
      <c r="J189" s="296">
        <f t="shared" ca="1" si="40"/>
        <v>117396.35454118883</v>
      </c>
      <c r="K189" s="949"/>
      <c r="L189" s="949"/>
      <c r="M189" s="949"/>
      <c r="N189" s="950"/>
      <c r="O189" s="950"/>
      <c r="P189" s="950"/>
      <c r="Q189" s="950"/>
    </row>
    <row r="190" spans="2:17" ht="9.75" customHeight="1">
      <c r="B190" s="946"/>
      <c r="C190" s="946"/>
      <c r="D190" s="294">
        <f t="shared" ca="1" si="38"/>
        <v>51892</v>
      </c>
      <c r="E190" s="359">
        <f t="shared" si="41"/>
        <v>1000000</v>
      </c>
      <c r="F190" s="360">
        <f t="shared" ca="1" si="39"/>
        <v>60</v>
      </c>
      <c r="G190" s="295">
        <f ca="1">VTLCOI!P189</f>
        <v>278.31434953467846</v>
      </c>
      <c r="H190" s="295">
        <f t="shared" ca="1" si="56"/>
        <v>117106.70295665672</v>
      </c>
      <c r="I190" s="953"/>
      <c r="J190" s="296">
        <f t="shared" ca="1" si="40"/>
        <v>117106.70295665672</v>
      </c>
      <c r="K190" s="949"/>
      <c r="L190" s="949"/>
      <c r="M190" s="949"/>
      <c r="N190" s="950"/>
      <c r="O190" s="950"/>
      <c r="P190" s="950"/>
      <c r="Q190" s="950"/>
    </row>
    <row r="191" spans="2:17" ht="9.75" customHeight="1">
      <c r="B191" s="946"/>
      <c r="C191" s="946"/>
      <c r="D191" s="294">
        <f t="shared" ca="1" si="38"/>
        <v>51923</v>
      </c>
      <c r="E191" s="359">
        <f t="shared" si="41"/>
        <v>1000000</v>
      </c>
      <c r="F191" s="360">
        <f t="shared" ca="1" si="39"/>
        <v>60</v>
      </c>
      <c r="G191" s="295">
        <f ca="1">VTLCOI!P190</f>
        <v>278.40568633433423</v>
      </c>
      <c r="H191" s="295">
        <f t="shared" ca="1" si="56"/>
        <v>116816.83958489139</v>
      </c>
      <c r="I191" s="953"/>
      <c r="J191" s="296">
        <f t="shared" ca="1" si="40"/>
        <v>116816.83958489139</v>
      </c>
      <c r="K191" s="949"/>
      <c r="L191" s="949"/>
      <c r="M191" s="949"/>
      <c r="N191" s="950"/>
      <c r="O191" s="950"/>
      <c r="P191" s="950"/>
      <c r="Q191" s="950"/>
    </row>
    <row r="192" spans="2:17" ht="9.75" customHeight="1">
      <c r="B192" s="946"/>
      <c r="C192" s="946"/>
      <c r="D192" s="294">
        <f t="shared" ca="1" si="38"/>
        <v>51951</v>
      </c>
      <c r="E192" s="359">
        <f t="shared" si="41"/>
        <v>1000000</v>
      </c>
      <c r="F192" s="360">
        <f t="shared" ca="1" si="39"/>
        <v>60</v>
      </c>
      <c r="G192" s="295">
        <f ca="1">VTLCOI!P191</f>
        <v>278.49708991756421</v>
      </c>
      <c r="H192" s="295">
        <f t="shared" ca="1" si="56"/>
        <v>116526.76427103842</v>
      </c>
      <c r="I192" s="953"/>
      <c r="J192" s="296">
        <f t="shared" ca="1" si="40"/>
        <v>116526.76427103842</v>
      </c>
      <c r="K192" s="949"/>
      <c r="L192" s="949"/>
      <c r="M192" s="949"/>
      <c r="N192" s="950"/>
      <c r="O192" s="950"/>
      <c r="P192" s="950"/>
      <c r="Q192" s="950"/>
    </row>
    <row r="193" spans="2:17" ht="9.75" customHeight="1">
      <c r="B193" s="946"/>
      <c r="C193" s="946"/>
      <c r="D193" s="294">
        <f t="shared" ca="1" si="38"/>
        <v>51982</v>
      </c>
      <c r="E193" s="359">
        <f t="shared" si="41"/>
        <v>1000000</v>
      </c>
      <c r="F193" s="360">
        <f t="shared" ca="1" si="39"/>
        <v>60</v>
      </c>
      <c r="G193" s="295">
        <f ca="1">VTLCOI!P192</f>
        <v>278.58856033319915</v>
      </c>
      <c r="H193" s="295">
        <f t="shared" ca="1" si="56"/>
        <v>116236.47686013015</v>
      </c>
      <c r="I193" s="953"/>
      <c r="J193" s="296">
        <f t="shared" ca="1" si="40"/>
        <v>116236.47686013015</v>
      </c>
      <c r="K193" s="949"/>
      <c r="L193" s="949"/>
      <c r="M193" s="949"/>
      <c r="N193" s="950"/>
      <c r="O193" s="950"/>
      <c r="P193" s="950"/>
      <c r="Q193" s="950"/>
    </row>
    <row r="194" spans="2:17" ht="9.75" customHeight="1">
      <c r="B194" s="946"/>
      <c r="C194" s="946"/>
      <c r="D194" s="294">
        <f t="shared" ca="1" si="38"/>
        <v>52012</v>
      </c>
      <c r="E194" s="359">
        <f t="shared" si="41"/>
        <v>1000000</v>
      </c>
      <c r="F194" s="360">
        <f t="shared" ca="1" si="39"/>
        <v>60</v>
      </c>
      <c r="G194" s="295">
        <f ca="1">VTLCOI!P193</f>
        <v>278.68009763010559</v>
      </c>
      <c r="H194" s="295">
        <f t="shared" ca="1" si="56"/>
        <v>115945.97719708561</v>
      </c>
      <c r="I194" s="953"/>
      <c r="J194" s="296">
        <f t="shared" ca="1" si="40"/>
        <v>115945.97719708561</v>
      </c>
      <c r="K194" s="949"/>
      <c r="L194" s="949"/>
      <c r="M194" s="949"/>
      <c r="N194" s="950"/>
      <c r="O194" s="950"/>
      <c r="P194" s="950"/>
      <c r="Q194" s="950"/>
    </row>
    <row r="195" spans="2:17" ht="9.75" customHeight="1">
      <c r="B195" s="946"/>
      <c r="C195" s="946"/>
      <c r="D195" s="294">
        <f t="shared" ca="1" si="38"/>
        <v>52043</v>
      </c>
      <c r="E195" s="359">
        <f t="shared" si="41"/>
        <v>1000000</v>
      </c>
      <c r="F195" s="360">
        <f t="shared" ca="1" si="39"/>
        <v>60</v>
      </c>
      <c r="G195" s="295">
        <f ca="1">VTLCOI!P194</f>
        <v>278.77170185718563</v>
      </c>
      <c r="H195" s="295">
        <f t="shared" ca="1" si="56"/>
        <v>115655.26512671042</v>
      </c>
      <c r="I195" s="953"/>
      <c r="J195" s="297">
        <f ca="1">H195+I184</f>
        <v>115955.26512671042</v>
      </c>
      <c r="K195" s="949"/>
      <c r="L195" s="949"/>
      <c r="M195" s="949"/>
      <c r="N195" s="950"/>
      <c r="O195" s="950"/>
      <c r="P195" s="950"/>
      <c r="Q195" s="950"/>
    </row>
    <row r="196" spans="2:17" ht="9.75" customHeight="1">
      <c r="B196" s="951">
        <f>B184+1</f>
        <v>17</v>
      </c>
      <c r="C196" s="952">
        <f ca="1">C184+1</f>
        <v>46</v>
      </c>
      <c r="D196" s="287">
        <f t="shared" ca="1" si="38"/>
        <v>52073</v>
      </c>
      <c r="E196" s="288">
        <f t="shared" si="41"/>
        <v>1000000</v>
      </c>
      <c r="F196" s="289">
        <f t="shared" ca="1" si="39"/>
        <v>60</v>
      </c>
      <c r="G196" s="290">
        <f ca="1">VTLCOI!P195</f>
        <v>298.3406028367495</v>
      </c>
      <c r="H196" s="290">
        <f ca="1">(J195+VTLGTTKcamket!F23-F196-G196)*(1+$W$3)</f>
        <v>125649.13702985056</v>
      </c>
      <c r="I196" s="953">
        <f>IF(COUNTIF(VTLGTTKcamket!$E$7:E23,0)&gt;0,0,3%*'Tinh phi QL'!$H$13/1000)</f>
        <v>300</v>
      </c>
      <c r="J196" s="292">
        <f t="shared" ca="1" si="40"/>
        <v>125649.13702985056</v>
      </c>
      <c r="K196" s="949">
        <f ca="1">J207</f>
        <v>122566.39067299145</v>
      </c>
      <c r="L196" s="949"/>
      <c r="M196" s="949"/>
      <c r="N196" s="950">
        <f t="shared" ref="N196" ca="1" si="57">SUM(F196:F207)</f>
        <v>720</v>
      </c>
      <c r="O196" s="950"/>
      <c r="P196" s="950">
        <f t="shared" ref="P196" ca="1" si="58">SUM(G196:G207)</f>
        <v>3587.0011239190999</v>
      </c>
      <c r="Q196" s="950"/>
    </row>
    <row r="197" spans="2:17" ht="9.75" customHeight="1">
      <c r="B197" s="951"/>
      <c r="C197" s="951"/>
      <c r="D197" s="287">
        <f t="shared" ref="D197:D243" ca="1" si="59">EDATE(D196,1)</f>
        <v>52104</v>
      </c>
      <c r="E197" s="288">
        <f t="shared" si="41"/>
        <v>1000000</v>
      </c>
      <c r="F197" s="289">
        <f t="shared" ref="F197:F243" ca="1" si="60">IF(YEAR(D197)=2025,40000,IF(YEAR(D197)=2026,40000,IF(YEAR(D197)=2027,40000,IF(YEAR(D197)=2028,40000,IF(YEAR(D197)=2029,40000,IF(YEAR(D197)=2030,50000,IF(YEAR(D197)=2031,50000,IF(YEAR(D197)=2032,50000,IF(YEAR(D197)=2033,50000,IF(YEAR(D197)=2034,50000,IF(YEAR(D197)&gt;=2035,60000,0)))))))))))/1000</f>
        <v>60</v>
      </c>
      <c r="G197" s="290">
        <f ca="1">VTLCOI!P196</f>
        <v>298.44509456047768</v>
      </c>
      <c r="H197" s="290">
        <f t="shared" ca="1" si="56"/>
        <v>125342.77713583395</v>
      </c>
      <c r="I197" s="953"/>
      <c r="J197" s="292">
        <f t="shared" ref="J197:J242" ca="1" si="61">H197</f>
        <v>125342.77713583395</v>
      </c>
      <c r="K197" s="949"/>
      <c r="L197" s="949"/>
      <c r="M197" s="949"/>
      <c r="N197" s="950"/>
      <c r="O197" s="950"/>
      <c r="P197" s="950"/>
      <c r="Q197" s="950"/>
    </row>
    <row r="198" spans="2:17" ht="9.75" customHeight="1">
      <c r="B198" s="951"/>
      <c r="C198" s="951"/>
      <c r="D198" s="287">
        <f t="shared" ca="1" si="59"/>
        <v>52135</v>
      </c>
      <c r="E198" s="288">
        <f t="shared" ref="E198:E243" si="62">E197</f>
        <v>1000000</v>
      </c>
      <c r="F198" s="289">
        <f t="shared" ca="1" si="60"/>
        <v>60</v>
      </c>
      <c r="G198" s="290">
        <f ca="1">VTLCOI!P197</f>
        <v>298.549665404302</v>
      </c>
      <c r="H198" s="290">
        <f t="shared" ca="1" si="56"/>
        <v>125036.1852691461</v>
      </c>
      <c r="I198" s="953"/>
      <c r="J198" s="292">
        <f t="shared" ca="1" si="61"/>
        <v>125036.1852691461</v>
      </c>
      <c r="K198" s="949"/>
      <c r="L198" s="949"/>
      <c r="M198" s="949"/>
      <c r="N198" s="950"/>
      <c r="O198" s="950"/>
      <c r="P198" s="950"/>
      <c r="Q198" s="950"/>
    </row>
    <row r="199" spans="2:17" ht="9.75" customHeight="1">
      <c r="B199" s="951"/>
      <c r="C199" s="951"/>
      <c r="D199" s="287">
        <f t="shared" ca="1" si="59"/>
        <v>52165</v>
      </c>
      <c r="E199" s="288">
        <f t="shared" si="62"/>
        <v>1000000</v>
      </c>
      <c r="F199" s="289">
        <f t="shared" ca="1" si="60"/>
        <v>60</v>
      </c>
      <c r="G199" s="290">
        <f ca="1">VTLCOI!P198</f>
        <v>298.65431542813144</v>
      </c>
      <c r="H199" s="290">
        <f t="shared" ca="1" si="56"/>
        <v>124729.3612541396</v>
      </c>
      <c r="I199" s="953"/>
      <c r="J199" s="292">
        <f t="shared" ca="1" si="61"/>
        <v>124729.3612541396</v>
      </c>
      <c r="K199" s="949"/>
      <c r="L199" s="949"/>
      <c r="M199" s="949"/>
      <c r="N199" s="950"/>
      <c r="O199" s="950"/>
      <c r="P199" s="950"/>
      <c r="Q199" s="950"/>
    </row>
    <row r="200" spans="2:17" ht="9.75" customHeight="1">
      <c r="B200" s="951"/>
      <c r="C200" s="951"/>
      <c r="D200" s="287">
        <f t="shared" ca="1" si="59"/>
        <v>52196</v>
      </c>
      <c r="E200" s="288">
        <f t="shared" si="62"/>
        <v>1000000</v>
      </c>
      <c r="F200" s="289">
        <f t="shared" ca="1" si="60"/>
        <v>60</v>
      </c>
      <c r="G200" s="290">
        <f ca="1">VTLCOI!P199</f>
        <v>298.75904469192034</v>
      </c>
      <c r="H200" s="290">
        <f t="shared" ca="1" si="56"/>
        <v>124422.30491503404</v>
      </c>
      <c r="I200" s="953"/>
      <c r="J200" s="292">
        <f t="shared" ca="1" si="61"/>
        <v>124422.30491503404</v>
      </c>
      <c r="K200" s="949"/>
      <c r="L200" s="949"/>
      <c r="M200" s="949"/>
      <c r="N200" s="950"/>
      <c r="O200" s="950"/>
      <c r="P200" s="950"/>
      <c r="Q200" s="950"/>
    </row>
    <row r="201" spans="2:17" ht="9.75" customHeight="1">
      <c r="B201" s="951"/>
      <c r="C201" s="951"/>
      <c r="D201" s="287">
        <f t="shared" ca="1" si="59"/>
        <v>52226</v>
      </c>
      <c r="E201" s="288">
        <f t="shared" si="62"/>
        <v>1000000</v>
      </c>
      <c r="F201" s="289">
        <f t="shared" ca="1" si="60"/>
        <v>60</v>
      </c>
      <c r="G201" s="290">
        <f ca="1">VTLCOI!P200</f>
        <v>298.8638532556684</v>
      </c>
      <c r="H201" s="290">
        <f t="shared" ca="1" si="56"/>
        <v>124115.01607591592</v>
      </c>
      <c r="I201" s="953"/>
      <c r="J201" s="292">
        <f t="shared" ca="1" si="61"/>
        <v>124115.01607591592</v>
      </c>
      <c r="K201" s="949"/>
      <c r="L201" s="949"/>
      <c r="M201" s="949"/>
      <c r="N201" s="950"/>
      <c r="O201" s="950"/>
      <c r="P201" s="950"/>
      <c r="Q201" s="950"/>
    </row>
    <row r="202" spans="2:17" ht="9.75" customHeight="1">
      <c r="B202" s="951"/>
      <c r="C202" s="951"/>
      <c r="D202" s="287">
        <f t="shared" ca="1" si="59"/>
        <v>52257</v>
      </c>
      <c r="E202" s="288">
        <f t="shared" si="62"/>
        <v>1000000</v>
      </c>
      <c r="F202" s="289">
        <f t="shared" ca="1" si="60"/>
        <v>60</v>
      </c>
      <c r="G202" s="290">
        <f ca="1">VTLCOI!P201</f>
        <v>298.96874117942076</v>
      </c>
      <c r="H202" s="290">
        <f t="shared" ca="1" si="56"/>
        <v>123807.49456073855</v>
      </c>
      <c r="I202" s="953"/>
      <c r="J202" s="292">
        <f t="shared" ca="1" si="61"/>
        <v>123807.49456073855</v>
      </c>
      <c r="K202" s="949"/>
      <c r="L202" s="949"/>
      <c r="M202" s="949"/>
      <c r="N202" s="950"/>
      <c r="O202" s="950"/>
      <c r="P202" s="950"/>
      <c r="Q202" s="950"/>
    </row>
    <row r="203" spans="2:17" ht="9.75" customHeight="1">
      <c r="B203" s="951"/>
      <c r="C203" s="951"/>
      <c r="D203" s="287">
        <f t="shared" ca="1" si="59"/>
        <v>52288</v>
      </c>
      <c r="E203" s="288">
        <f t="shared" si="62"/>
        <v>1000000</v>
      </c>
      <c r="F203" s="289">
        <f t="shared" ca="1" si="60"/>
        <v>60</v>
      </c>
      <c r="G203" s="290">
        <f ca="1">VTLCOI!P202</f>
        <v>299.07370852326795</v>
      </c>
      <c r="H203" s="290">
        <f t="shared" ca="1" si="56"/>
        <v>123499.74019332189</v>
      </c>
      <c r="I203" s="953"/>
      <c r="J203" s="292">
        <f t="shared" ca="1" si="61"/>
        <v>123499.74019332189</v>
      </c>
      <c r="K203" s="949"/>
      <c r="L203" s="949"/>
      <c r="M203" s="949"/>
      <c r="N203" s="950"/>
      <c r="O203" s="950"/>
      <c r="P203" s="950"/>
      <c r="Q203" s="950"/>
    </row>
    <row r="204" spans="2:17" ht="9.75" customHeight="1">
      <c r="B204" s="951"/>
      <c r="C204" s="951"/>
      <c r="D204" s="287">
        <f t="shared" ca="1" si="59"/>
        <v>52316</v>
      </c>
      <c r="E204" s="288">
        <f t="shared" si="62"/>
        <v>1000000</v>
      </c>
      <c r="F204" s="289">
        <f t="shared" ca="1" si="60"/>
        <v>60</v>
      </c>
      <c r="G204" s="290">
        <f ca="1">VTLCOI!P203</f>
        <v>299.17875534734617</v>
      </c>
      <c r="H204" s="290">
        <f t="shared" ca="1" si="56"/>
        <v>123191.75279735259</v>
      </c>
      <c r="I204" s="953"/>
      <c r="J204" s="292">
        <f t="shared" ca="1" si="61"/>
        <v>123191.75279735259</v>
      </c>
      <c r="K204" s="949"/>
      <c r="L204" s="949"/>
      <c r="M204" s="949"/>
      <c r="N204" s="950"/>
      <c r="O204" s="950"/>
      <c r="P204" s="950"/>
      <c r="Q204" s="950"/>
    </row>
    <row r="205" spans="2:17" ht="9.75" customHeight="1">
      <c r="B205" s="951"/>
      <c r="C205" s="951"/>
      <c r="D205" s="287">
        <f t="shared" ca="1" si="59"/>
        <v>52347</v>
      </c>
      <c r="E205" s="288">
        <f t="shared" si="62"/>
        <v>1000000</v>
      </c>
      <c r="F205" s="289">
        <f t="shared" ca="1" si="60"/>
        <v>60</v>
      </c>
      <c r="G205" s="290">
        <f ca="1">VTLCOI!P204</f>
        <v>299.28388171183695</v>
      </c>
      <c r="H205" s="290">
        <f t="shared" ca="1" si="56"/>
        <v>122883.53219638371</v>
      </c>
      <c r="I205" s="953"/>
      <c r="J205" s="292">
        <f t="shared" ca="1" si="61"/>
        <v>122883.53219638371</v>
      </c>
      <c r="K205" s="949"/>
      <c r="L205" s="949"/>
      <c r="M205" s="949"/>
      <c r="N205" s="950"/>
      <c r="O205" s="950"/>
      <c r="P205" s="950"/>
      <c r="Q205" s="950"/>
    </row>
    <row r="206" spans="2:17" ht="9.75" customHeight="1">
      <c r="B206" s="951"/>
      <c r="C206" s="951"/>
      <c r="D206" s="287">
        <f t="shared" ca="1" si="59"/>
        <v>52377</v>
      </c>
      <c r="E206" s="288">
        <f t="shared" si="62"/>
        <v>1000000</v>
      </c>
      <c r="F206" s="289">
        <f t="shared" ca="1" si="60"/>
        <v>60</v>
      </c>
      <c r="G206" s="290">
        <f ca="1">VTLCOI!P205</f>
        <v>299.38908767696768</v>
      </c>
      <c r="H206" s="290">
        <f t="shared" ca="1" si="56"/>
        <v>122575.07821383473</v>
      </c>
      <c r="I206" s="953"/>
      <c r="J206" s="292">
        <f t="shared" ca="1" si="61"/>
        <v>122575.07821383473</v>
      </c>
      <c r="K206" s="949"/>
      <c r="L206" s="949"/>
      <c r="M206" s="949"/>
      <c r="N206" s="950"/>
      <c r="O206" s="950"/>
      <c r="P206" s="950"/>
      <c r="Q206" s="950"/>
    </row>
    <row r="207" spans="2:17" ht="9.75" customHeight="1">
      <c r="B207" s="951"/>
      <c r="C207" s="951"/>
      <c r="D207" s="287">
        <f t="shared" ca="1" si="59"/>
        <v>52408</v>
      </c>
      <c r="E207" s="288">
        <f t="shared" si="62"/>
        <v>1000000</v>
      </c>
      <c r="F207" s="289">
        <f t="shared" ca="1" si="60"/>
        <v>60</v>
      </c>
      <c r="G207" s="290">
        <f ca="1">VTLCOI!P206</f>
        <v>299.49437330301112</v>
      </c>
      <c r="H207" s="290">
        <f t="shared" ca="1" si="56"/>
        <v>122266.39067299145</v>
      </c>
      <c r="I207" s="953"/>
      <c r="J207" s="293">
        <f ca="1">H207+I196</f>
        <v>122566.39067299145</v>
      </c>
      <c r="K207" s="949"/>
      <c r="L207" s="949"/>
      <c r="M207" s="949"/>
      <c r="N207" s="950"/>
      <c r="O207" s="950"/>
      <c r="P207" s="950"/>
      <c r="Q207" s="950"/>
    </row>
    <row r="208" spans="2:17" ht="9.75" customHeight="1">
      <c r="B208" s="946">
        <f>B196+1</f>
        <v>18</v>
      </c>
      <c r="C208" s="947">
        <f ca="1">C196+1</f>
        <v>47</v>
      </c>
      <c r="D208" s="294">
        <f t="shared" ca="1" si="59"/>
        <v>52438</v>
      </c>
      <c r="E208" s="359">
        <f t="shared" si="62"/>
        <v>1000000</v>
      </c>
      <c r="F208" s="360">
        <f t="shared" ca="1" si="60"/>
        <v>60</v>
      </c>
      <c r="G208" s="295">
        <f ca="1">VTLCOI!P207</f>
        <v>319.79385730522387</v>
      </c>
      <c r="H208" s="295">
        <f ca="1">(J207+VTLGTTKcamket!F24-F208-G208)*(1+$W$3)</f>
        <v>132241.54874625674</v>
      </c>
      <c r="I208" s="953">
        <f>IF(COUNTIF(VTLGTTKcamket!$E$7:E24,0)&gt;0,0,3%*'Tinh phi QL'!$H$13/1000)</f>
        <v>300</v>
      </c>
      <c r="J208" s="296">
        <f t="shared" ca="1" si="61"/>
        <v>132241.54874625674</v>
      </c>
      <c r="K208" s="949">
        <f ca="1">J219</f>
        <v>128951.42340202915</v>
      </c>
      <c r="L208" s="949"/>
      <c r="M208" s="949"/>
      <c r="N208" s="950">
        <f t="shared" ref="N208" ca="1" si="63">SUM(F208:F219)</f>
        <v>720</v>
      </c>
      <c r="O208" s="950"/>
      <c r="P208" s="950">
        <f t="shared" ref="P208" ca="1" si="64">SUM(G208:G219)</f>
        <v>3845.4510479733262</v>
      </c>
      <c r="Q208" s="950"/>
    </row>
    <row r="209" spans="2:17" ht="9.75" customHeight="1">
      <c r="B209" s="946"/>
      <c r="C209" s="946"/>
      <c r="D209" s="294">
        <f t="shared" ca="1" si="59"/>
        <v>52469</v>
      </c>
      <c r="E209" s="359">
        <f t="shared" si="62"/>
        <v>1000000</v>
      </c>
      <c r="F209" s="360">
        <f t="shared" ca="1" si="60"/>
        <v>60</v>
      </c>
      <c r="G209" s="295">
        <f ca="1">VTLCOI!P208</f>
        <v>319.9136156955467</v>
      </c>
      <c r="H209" s="295">
        <f t="shared" ca="1" si="56"/>
        <v>131916.45196973521</v>
      </c>
      <c r="I209" s="953"/>
      <c r="J209" s="296">
        <f t="shared" ca="1" si="61"/>
        <v>131916.45196973521</v>
      </c>
      <c r="K209" s="949"/>
      <c r="L209" s="949"/>
      <c r="M209" s="949"/>
      <c r="N209" s="950"/>
      <c r="O209" s="950"/>
      <c r="P209" s="950"/>
      <c r="Q209" s="950"/>
    </row>
    <row r="210" spans="2:17" ht="9.75" customHeight="1">
      <c r="B210" s="946"/>
      <c r="C210" s="946"/>
      <c r="D210" s="294">
        <f t="shared" ca="1" si="59"/>
        <v>52500</v>
      </c>
      <c r="E210" s="359">
        <f t="shared" si="62"/>
        <v>1000000</v>
      </c>
      <c r="F210" s="360">
        <f t="shared" ca="1" si="60"/>
        <v>60</v>
      </c>
      <c r="G210" s="295">
        <f ca="1">VTLCOI!P209</f>
        <v>320.03346804049096</v>
      </c>
      <c r="H210" s="295">
        <f t="shared" ca="1" si="56"/>
        <v>131591.10014348835</v>
      </c>
      <c r="I210" s="953"/>
      <c r="J210" s="296">
        <f t="shared" ca="1" si="61"/>
        <v>131591.10014348835</v>
      </c>
      <c r="K210" s="949"/>
      <c r="L210" s="949"/>
      <c r="M210" s="949"/>
      <c r="N210" s="950"/>
      <c r="O210" s="950"/>
      <c r="P210" s="950"/>
      <c r="Q210" s="950"/>
    </row>
    <row r="211" spans="2:17" ht="9.75" customHeight="1">
      <c r="B211" s="946"/>
      <c r="C211" s="946"/>
      <c r="D211" s="294">
        <f t="shared" ca="1" si="59"/>
        <v>52530</v>
      </c>
      <c r="E211" s="359">
        <f t="shared" si="62"/>
        <v>1000000</v>
      </c>
      <c r="F211" s="360">
        <f t="shared" ca="1" si="60"/>
        <v>60</v>
      </c>
      <c r="G211" s="295">
        <f ca="1">VTLCOI!P210</f>
        <v>320.15341441376734</v>
      </c>
      <c r="H211" s="295">
        <f t="shared" ca="1" si="56"/>
        <v>131265.49306742082</v>
      </c>
      <c r="I211" s="953"/>
      <c r="J211" s="296">
        <f t="shared" ca="1" si="61"/>
        <v>131265.49306742082</v>
      </c>
      <c r="K211" s="949"/>
      <c r="L211" s="949"/>
      <c r="M211" s="949"/>
      <c r="N211" s="950"/>
      <c r="O211" s="950"/>
      <c r="P211" s="950"/>
      <c r="Q211" s="950"/>
    </row>
    <row r="212" spans="2:17" ht="9.75" customHeight="1">
      <c r="B212" s="946"/>
      <c r="C212" s="946"/>
      <c r="D212" s="294">
        <f t="shared" ca="1" si="59"/>
        <v>52561</v>
      </c>
      <c r="E212" s="359">
        <f t="shared" si="62"/>
        <v>1000000</v>
      </c>
      <c r="F212" s="360">
        <f t="shared" ca="1" si="60"/>
        <v>60</v>
      </c>
      <c r="G212" s="295">
        <f ca="1">VTLCOI!P211</f>
        <v>320.27345488914426</v>
      </c>
      <c r="H212" s="295">
        <f t="shared" ca="1" si="56"/>
        <v>130939.63054128022</v>
      </c>
      <c r="I212" s="953"/>
      <c r="J212" s="296">
        <f t="shared" ca="1" si="61"/>
        <v>130939.63054128022</v>
      </c>
      <c r="K212" s="949"/>
      <c r="L212" s="949"/>
      <c r="M212" s="949"/>
      <c r="N212" s="950"/>
      <c r="O212" s="950"/>
      <c r="P212" s="950"/>
      <c r="Q212" s="950"/>
    </row>
    <row r="213" spans="2:17" ht="9.75" customHeight="1">
      <c r="B213" s="946"/>
      <c r="C213" s="946"/>
      <c r="D213" s="294">
        <f t="shared" ca="1" si="59"/>
        <v>52591</v>
      </c>
      <c r="E213" s="359">
        <f t="shared" si="62"/>
        <v>1000000</v>
      </c>
      <c r="F213" s="360">
        <f t="shared" ca="1" si="60"/>
        <v>60</v>
      </c>
      <c r="G213" s="295">
        <f ca="1">VTLCOI!P212</f>
        <v>320.39358954044803</v>
      </c>
      <c r="H213" s="295">
        <f t="shared" ca="1" si="56"/>
        <v>130613.5123646571</v>
      </c>
      <c r="I213" s="953"/>
      <c r="J213" s="296">
        <f t="shared" ca="1" si="61"/>
        <v>130613.5123646571</v>
      </c>
      <c r="K213" s="949"/>
      <c r="L213" s="949"/>
      <c r="M213" s="949"/>
      <c r="N213" s="950"/>
      <c r="O213" s="950"/>
      <c r="P213" s="950"/>
      <c r="Q213" s="950"/>
    </row>
    <row r="214" spans="2:17" ht="9.75" customHeight="1">
      <c r="B214" s="946"/>
      <c r="C214" s="946"/>
      <c r="D214" s="294">
        <f t="shared" ca="1" si="59"/>
        <v>52622</v>
      </c>
      <c r="E214" s="359">
        <f t="shared" si="62"/>
        <v>1000000</v>
      </c>
      <c r="F214" s="360">
        <f t="shared" ca="1" si="60"/>
        <v>60</v>
      </c>
      <c r="G214" s="295">
        <f ca="1">VTLCOI!P213</f>
        <v>320.5138184415631</v>
      </c>
      <c r="H214" s="295">
        <f t="shared" ca="1" si="56"/>
        <v>130287.13833698476</v>
      </c>
      <c r="I214" s="953"/>
      <c r="J214" s="296">
        <f t="shared" ca="1" si="61"/>
        <v>130287.13833698476</v>
      </c>
      <c r="K214" s="949"/>
      <c r="L214" s="949"/>
      <c r="M214" s="949"/>
      <c r="N214" s="950"/>
      <c r="O214" s="950"/>
      <c r="P214" s="950"/>
      <c r="Q214" s="950"/>
    </row>
    <row r="215" spans="2:17" ht="9.75" customHeight="1">
      <c r="B215" s="946"/>
      <c r="C215" s="946"/>
      <c r="D215" s="294">
        <f t="shared" ca="1" si="59"/>
        <v>52653</v>
      </c>
      <c r="E215" s="359">
        <f t="shared" si="62"/>
        <v>1000000</v>
      </c>
      <c r="F215" s="360">
        <f t="shared" ca="1" si="60"/>
        <v>60</v>
      </c>
      <c r="G215" s="295">
        <f ca="1">VTLCOI!P214</f>
        <v>320.63414166643162</v>
      </c>
      <c r="H215" s="295">
        <f t="shared" ca="1" si="56"/>
        <v>129960.50825753917</v>
      </c>
      <c r="I215" s="953"/>
      <c r="J215" s="296">
        <f t="shared" ca="1" si="61"/>
        <v>129960.50825753917</v>
      </c>
      <c r="K215" s="949"/>
      <c r="L215" s="949"/>
      <c r="M215" s="949"/>
      <c r="N215" s="950"/>
      <c r="O215" s="950"/>
      <c r="P215" s="950"/>
      <c r="Q215" s="950"/>
    </row>
    <row r="216" spans="2:17" ht="9.75" customHeight="1">
      <c r="B216" s="946"/>
      <c r="C216" s="946"/>
      <c r="D216" s="294">
        <f t="shared" ca="1" si="59"/>
        <v>52682</v>
      </c>
      <c r="E216" s="359">
        <f t="shared" si="62"/>
        <v>1000000</v>
      </c>
      <c r="F216" s="360">
        <f t="shared" ca="1" si="60"/>
        <v>60</v>
      </c>
      <c r="G216" s="295">
        <f ca="1">VTLCOI!P215</f>
        <v>320.75455928905393</v>
      </c>
      <c r="H216" s="295">
        <f t="shared" ca="1" si="56"/>
        <v>129633.62192543881</v>
      </c>
      <c r="I216" s="953"/>
      <c r="J216" s="296">
        <f t="shared" ca="1" si="61"/>
        <v>129633.62192543881</v>
      </c>
      <c r="K216" s="949"/>
      <c r="L216" s="949"/>
      <c r="M216" s="949"/>
      <c r="N216" s="950"/>
      <c r="O216" s="950"/>
      <c r="P216" s="950"/>
      <c r="Q216" s="950"/>
    </row>
    <row r="217" spans="2:17" ht="9.75" customHeight="1">
      <c r="B217" s="946"/>
      <c r="C217" s="946"/>
      <c r="D217" s="294">
        <f t="shared" ca="1" si="59"/>
        <v>52713</v>
      </c>
      <c r="E217" s="359">
        <f t="shared" si="62"/>
        <v>1000000</v>
      </c>
      <c r="F217" s="360">
        <f t="shared" ca="1" si="60"/>
        <v>60</v>
      </c>
      <c r="G217" s="295">
        <f ca="1">VTLCOI!P216</f>
        <v>320.87507138348832</v>
      </c>
      <c r="H217" s="295">
        <f t="shared" ca="1" si="56"/>
        <v>129306.47913964455</v>
      </c>
      <c r="I217" s="953"/>
      <c r="J217" s="296">
        <f t="shared" ca="1" si="61"/>
        <v>129306.47913964455</v>
      </c>
      <c r="K217" s="949"/>
      <c r="L217" s="949"/>
      <c r="M217" s="949"/>
      <c r="N217" s="950"/>
      <c r="O217" s="950"/>
      <c r="P217" s="950"/>
      <c r="Q217" s="950"/>
    </row>
    <row r="218" spans="2:17" ht="9.75" customHeight="1">
      <c r="B218" s="946"/>
      <c r="C218" s="946"/>
      <c r="D218" s="294">
        <f t="shared" ca="1" si="59"/>
        <v>52743</v>
      </c>
      <c r="E218" s="359">
        <f t="shared" si="62"/>
        <v>1000000</v>
      </c>
      <c r="F218" s="360">
        <f t="shared" ca="1" si="60"/>
        <v>60</v>
      </c>
      <c r="G218" s="295">
        <f ca="1">VTLCOI!P217</f>
        <v>320.9956780238511</v>
      </c>
      <c r="H218" s="295">
        <f t="shared" ca="1" si="56"/>
        <v>128979.07969895955</v>
      </c>
      <c r="I218" s="953"/>
      <c r="J218" s="296">
        <f t="shared" ca="1" si="61"/>
        <v>128979.07969895955</v>
      </c>
      <c r="K218" s="949"/>
      <c r="L218" s="949"/>
      <c r="M218" s="949"/>
      <c r="N218" s="950"/>
      <c r="O218" s="950"/>
      <c r="P218" s="950"/>
      <c r="Q218" s="950"/>
    </row>
    <row r="219" spans="2:17" ht="9.75" customHeight="1">
      <c r="B219" s="946"/>
      <c r="C219" s="946"/>
      <c r="D219" s="294">
        <f t="shared" ca="1" si="59"/>
        <v>52774</v>
      </c>
      <c r="E219" s="359">
        <f t="shared" si="62"/>
        <v>1000000</v>
      </c>
      <c r="F219" s="360">
        <f t="shared" ca="1" si="60"/>
        <v>60</v>
      </c>
      <c r="G219" s="295">
        <f ca="1">VTLCOI!P218</f>
        <v>321.11637928431691</v>
      </c>
      <c r="H219" s="295">
        <f t="shared" ca="1" si="56"/>
        <v>128651.42340202915</v>
      </c>
      <c r="I219" s="953"/>
      <c r="J219" s="297">
        <f ca="1">H219+I208</f>
        <v>128951.42340202915</v>
      </c>
      <c r="K219" s="949"/>
      <c r="L219" s="949"/>
      <c r="M219" s="949"/>
      <c r="N219" s="950"/>
      <c r="O219" s="950"/>
      <c r="P219" s="950"/>
      <c r="Q219" s="950"/>
    </row>
    <row r="220" spans="2:17" ht="9.75" customHeight="1">
      <c r="B220" s="951">
        <f>B208+1</f>
        <v>19</v>
      </c>
      <c r="C220" s="952">
        <f ca="1">C208+1</f>
        <v>48</v>
      </c>
      <c r="D220" s="287">
        <f t="shared" ca="1" si="59"/>
        <v>52804</v>
      </c>
      <c r="E220" s="288">
        <f t="shared" si="62"/>
        <v>1000000</v>
      </c>
      <c r="F220" s="289">
        <f t="shared" ca="1" si="60"/>
        <v>60</v>
      </c>
      <c r="G220" s="290">
        <f ca="1">VTLCOI!P219</f>
        <v>342.69733348599237</v>
      </c>
      <c r="H220" s="290">
        <f ca="1">(J219+VTLGTTKcamket!F25-F220-G220)*(1+$W$3)</f>
        <v>138606.32283068815</v>
      </c>
      <c r="I220" s="953">
        <f>IF(COUNTIF(VTLGTTKcamket!$E$7:E25,0)&gt;0,0,3%*'Tinh phi QL'!$H$13/1000)</f>
        <v>300</v>
      </c>
      <c r="J220" s="292">
        <f t="shared" ca="1" si="61"/>
        <v>138606.32283068815</v>
      </c>
      <c r="K220" s="949">
        <f ca="1">J231</f>
        <v>135091.62870610628</v>
      </c>
      <c r="L220" s="949"/>
      <c r="M220" s="949"/>
      <c r="N220" s="950">
        <f t="shared" ref="N220" ca="1" si="65">SUM(F220:F231)</f>
        <v>720</v>
      </c>
      <c r="O220" s="950"/>
      <c r="P220" s="950">
        <f t="shared" ref="P220" ca="1" si="66">SUM(G220:G231)</f>
        <v>4121.4577417600058</v>
      </c>
      <c r="Q220" s="950"/>
    </row>
    <row r="221" spans="2:17" ht="9.75" customHeight="1">
      <c r="B221" s="951"/>
      <c r="C221" s="951"/>
      <c r="D221" s="287">
        <f t="shared" ca="1" si="59"/>
        <v>52835</v>
      </c>
      <c r="E221" s="288">
        <f t="shared" si="62"/>
        <v>1000000</v>
      </c>
      <c r="F221" s="289">
        <f t="shared" ca="1" si="60"/>
        <v>60</v>
      </c>
      <c r="G221" s="290">
        <f ca="1">VTLCOI!P220</f>
        <v>342.8346835133861</v>
      </c>
      <c r="H221" s="290">
        <f t="shared" ca="1" si="56"/>
        <v>138260.94138879087</v>
      </c>
      <c r="I221" s="953"/>
      <c r="J221" s="292">
        <f t="shared" ca="1" si="61"/>
        <v>138260.94138879087</v>
      </c>
      <c r="K221" s="949"/>
      <c r="L221" s="949"/>
      <c r="M221" s="949"/>
      <c r="N221" s="950"/>
      <c r="O221" s="950"/>
      <c r="P221" s="950"/>
      <c r="Q221" s="950"/>
    </row>
    <row r="222" spans="2:17" ht="9.75" customHeight="1">
      <c r="B222" s="951"/>
      <c r="C222" s="951"/>
      <c r="D222" s="287">
        <f t="shared" ca="1" si="59"/>
        <v>52866</v>
      </c>
      <c r="E222" s="288">
        <f t="shared" si="62"/>
        <v>1000000</v>
      </c>
      <c r="F222" s="289">
        <f t="shared" ca="1" si="60"/>
        <v>60</v>
      </c>
      <c r="G222" s="290">
        <f ca="1">VTLCOI!P221</f>
        <v>342.97214532726122</v>
      </c>
      <c r="H222" s="290">
        <f t="shared" ca="1" si="56"/>
        <v>137915.27884774233</v>
      </c>
      <c r="I222" s="953"/>
      <c r="J222" s="292">
        <f t="shared" ca="1" si="61"/>
        <v>137915.27884774233</v>
      </c>
      <c r="K222" s="949"/>
      <c r="L222" s="949"/>
      <c r="M222" s="949"/>
      <c r="N222" s="950"/>
      <c r="O222" s="950"/>
      <c r="P222" s="950"/>
      <c r="Q222" s="950"/>
    </row>
    <row r="223" spans="2:17" ht="9.75" customHeight="1">
      <c r="B223" s="951"/>
      <c r="C223" s="951"/>
      <c r="D223" s="287">
        <f t="shared" ca="1" si="59"/>
        <v>52896</v>
      </c>
      <c r="E223" s="288">
        <f t="shared" si="62"/>
        <v>1000000</v>
      </c>
      <c r="F223" s="289">
        <f t="shared" ca="1" si="60"/>
        <v>60</v>
      </c>
      <c r="G223" s="290">
        <f ca="1">VTLCOI!P222</f>
        <v>343.10971901859853</v>
      </c>
      <c r="H223" s="290">
        <f t="shared" ca="1" si="56"/>
        <v>137569.33497876144</v>
      </c>
      <c r="I223" s="953"/>
      <c r="J223" s="292">
        <f t="shared" ca="1" si="61"/>
        <v>137569.33497876144</v>
      </c>
      <c r="K223" s="949"/>
      <c r="L223" s="949"/>
      <c r="M223" s="949"/>
      <c r="N223" s="950"/>
      <c r="O223" s="950"/>
      <c r="P223" s="950"/>
      <c r="Q223" s="950"/>
    </row>
    <row r="224" spans="2:17" ht="9.75" customHeight="1">
      <c r="B224" s="951"/>
      <c r="C224" s="951"/>
      <c r="D224" s="287">
        <f t="shared" ca="1" si="59"/>
        <v>52927</v>
      </c>
      <c r="E224" s="288">
        <f t="shared" si="62"/>
        <v>1000000</v>
      </c>
      <c r="F224" s="289">
        <f t="shared" ca="1" si="60"/>
        <v>60</v>
      </c>
      <c r="G224" s="290">
        <f ca="1">VTLCOI!P223</f>
        <v>343.24740467845294</v>
      </c>
      <c r="H224" s="290">
        <f t="shared" ca="1" si="56"/>
        <v>137223.10955288092</v>
      </c>
      <c r="I224" s="953"/>
      <c r="J224" s="292">
        <f t="shared" ca="1" si="61"/>
        <v>137223.10955288092</v>
      </c>
      <c r="K224" s="949"/>
      <c r="L224" s="949"/>
      <c r="M224" s="949"/>
      <c r="N224" s="950"/>
      <c r="O224" s="950"/>
      <c r="P224" s="950"/>
      <c r="Q224" s="950"/>
    </row>
    <row r="225" spans="2:17" ht="9.75" customHeight="1">
      <c r="B225" s="951"/>
      <c r="C225" s="951"/>
      <c r="D225" s="287">
        <f t="shared" ca="1" si="59"/>
        <v>52957</v>
      </c>
      <c r="E225" s="288">
        <f t="shared" si="62"/>
        <v>1000000</v>
      </c>
      <c r="F225" s="289">
        <f t="shared" ca="1" si="60"/>
        <v>60</v>
      </c>
      <c r="G225" s="290">
        <f ca="1">VTLCOI!P224</f>
        <v>343.38520239795338</v>
      </c>
      <c r="H225" s="290">
        <f t="shared" ca="1" si="56"/>
        <v>136876.6023409472</v>
      </c>
      <c r="I225" s="953"/>
      <c r="J225" s="292">
        <f t="shared" ca="1" si="61"/>
        <v>136876.6023409472</v>
      </c>
      <c r="K225" s="949"/>
      <c r="L225" s="949"/>
      <c r="M225" s="949"/>
      <c r="N225" s="950"/>
      <c r="O225" s="950"/>
      <c r="P225" s="950"/>
      <c r="Q225" s="950"/>
    </row>
    <row r="226" spans="2:17" ht="9.75" customHeight="1">
      <c r="B226" s="951"/>
      <c r="C226" s="951"/>
      <c r="D226" s="287">
        <f t="shared" ca="1" si="59"/>
        <v>52988</v>
      </c>
      <c r="E226" s="288">
        <f t="shared" si="62"/>
        <v>1000000</v>
      </c>
      <c r="F226" s="289">
        <f t="shared" ca="1" si="60"/>
        <v>60</v>
      </c>
      <c r="G226" s="290">
        <f ca="1">VTLCOI!P225</f>
        <v>343.52311226830301</v>
      </c>
      <c r="H226" s="290">
        <f t="shared" ca="1" si="56"/>
        <v>136529.81311362013</v>
      </c>
      <c r="I226" s="953"/>
      <c r="J226" s="292">
        <f t="shared" ca="1" si="61"/>
        <v>136529.81311362013</v>
      </c>
      <c r="K226" s="949"/>
      <c r="L226" s="949"/>
      <c r="M226" s="949"/>
      <c r="N226" s="950"/>
      <c r="O226" s="950"/>
      <c r="P226" s="950"/>
      <c r="Q226" s="950"/>
    </row>
    <row r="227" spans="2:17" ht="9.75" customHeight="1">
      <c r="B227" s="951"/>
      <c r="C227" s="951"/>
      <c r="D227" s="287">
        <f t="shared" ca="1" si="59"/>
        <v>53019</v>
      </c>
      <c r="E227" s="288">
        <f t="shared" si="62"/>
        <v>1000000</v>
      </c>
      <c r="F227" s="289">
        <f t="shared" ca="1" si="60"/>
        <v>60</v>
      </c>
      <c r="G227" s="290">
        <f ca="1">VTLCOI!P226</f>
        <v>343.66113438077917</v>
      </c>
      <c r="H227" s="290">
        <f t="shared" ca="1" si="56"/>
        <v>136182.74164137294</v>
      </c>
      <c r="I227" s="953"/>
      <c r="J227" s="292">
        <f t="shared" ca="1" si="61"/>
        <v>136182.74164137294</v>
      </c>
      <c r="K227" s="949"/>
      <c r="L227" s="949"/>
      <c r="M227" s="949"/>
      <c r="N227" s="950"/>
      <c r="O227" s="950"/>
      <c r="P227" s="950"/>
      <c r="Q227" s="950"/>
    </row>
    <row r="228" spans="2:17" ht="9.75" customHeight="1">
      <c r="B228" s="951"/>
      <c r="C228" s="951"/>
      <c r="D228" s="287">
        <f t="shared" ca="1" si="59"/>
        <v>53047</v>
      </c>
      <c r="E228" s="288">
        <f t="shared" si="62"/>
        <v>1000000</v>
      </c>
      <c r="F228" s="289">
        <f t="shared" ca="1" si="60"/>
        <v>60</v>
      </c>
      <c r="G228" s="290">
        <f ca="1">VTLCOI!P227</f>
        <v>343.79926882673357</v>
      </c>
      <c r="H228" s="290">
        <f t="shared" ca="1" si="56"/>
        <v>135835.38769449209</v>
      </c>
      <c r="I228" s="953"/>
      <c r="J228" s="292">
        <f t="shared" ca="1" si="61"/>
        <v>135835.38769449209</v>
      </c>
      <c r="K228" s="949"/>
      <c r="L228" s="949"/>
      <c r="M228" s="949"/>
      <c r="N228" s="950"/>
      <c r="O228" s="950"/>
      <c r="P228" s="950"/>
      <c r="Q228" s="950"/>
    </row>
    <row r="229" spans="2:17" ht="9.75" customHeight="1">
      <c r="B229" s="951"/>
      <c r="C229" s="951"/>
      <c r="D229" s="287">
        <f t="shared" ca="1" si="59"/>
        <v>53078</v>
      </c>
      <c r="E229" s="288">
        <f t="shared" si="62"/>
        <v>1000000</v>
      </c>
      <c r="F229" s="289">
        <f t="shared" ca="1" si="60"/>
        <v>60</v>
      </c>
      <c r="G229" s="290">
        <f ca="1">VTLCOI!P228</f>
        <v>343.93751569759212</v>
      </c>
      <c r="H229" s="290">
        <f t="shared" ca="1" si="56"/>
        <v>135487.75104307701</v>
      </c>
      <c r="I229" s="953"/>
      <c r="J229" s="292">
        <f t="shared" ca="1" si="61"/>
        <v>135487.75104307701</v>
      </c>
      <c r="K229" s="949"/>
      <c r="L229" s="949"/>
      <c r="M229" s="949"/>
      <c r="N229" s="950"/>
      <c r="O229" s="950"/>
      <c r="P229" s="950"/>
      <c r="Q229" s="950"/>
    </row>
    <row r="230" spans="2:17" ht="9.75" customHeight="1">
      <c r="B230" s="951"/>
      <c r="C230" s="951"/>
      <c r="D230" s="287">
        <f t="shared" ca="1" si="59"/>
        <v>53108</v>
      </c>
      <c r="E230" s="288">
        <f t="shared" si="62"/>
        <v>1000000</v>
      </c>
      <c r="F230" s="289">
        <f t="shared" ca="1" si="60"/>
        <v>60</v>
      </c>
      <c r="G230" s="290">
        <f ca="1">VTLCOI!P229</f>
        <v>344.0758750848554</v>
      </c>
      <c r="H230" s="290">
        <f t="shared" ca="1" si="56"/>
        <v>135139.83145704004</v>
      </c>
      <c r="I230" s="953"/>
      <c r="J230" s="292">
        <f t="shared" ca="1" si="61"/>
        <v>135139.83145704004</v>
      </c>
      <c r="K230" s="949"/>
      <c r="L230" s="949"/>
      <c r="M230" s="949"/>
      <c r="N230" s="950"/>
      <c r="O230" s="950"/>
      <c r="P230" s="950"/>
      <c r="Q230" s="950"/>
    </row>
    <row r="231" spans="2:17" ht="9.75" customHeight="1">
      <c r="B231" s="951"/>
      <c r="C231" s="951"/>
      <c r="D231" s="287">
        <f t="shared" ca="1" si="59"/>
        <v>53139</v>
      </c>
      <c r="E231" s="288">
        <f t="shared" si="62"/>
        <v>1000000</v>
      </c>
      <c r="F231" s="289">
        <f t="shared" ca="1" si="60"/>
        <v>60</v>
      </c>
      <c r="G231" s="290">
        <f ca="1">VTLCOI!P230</f>
        <v>344.21434708009809</v>
      </c>
      <c r="H231" s="290">
        <f t="shared" ca="1" si="56"/>
        <v>134791.62870610628</v>
      </c>
      <c r="I231" s="953"/>
      <c r="J231" s="293">
        <f ca="1">H231+I220</f>
        <v>135091.62870610628</v>
      </c>
      <c r="K231" s="949"/>
      <c r="L231" s="949"/>
      <c r="M231" s="949"/>
      <c r="N231" s="950"/>
      <c r="O231" s="950"/>
      <c r="P231" s="950"/>
      <c r="Q231" s="950"/>
    </row>
    <row r="232" spans="2:17" ht="9.75" customHeight="1">
      <c r="B232" s="946">
        <f>B220+1</f>
        <v>20</v>
      </c>
      <c r="C232" s="947">
        <f ca="1">C220+1</f>
        <v>49</v>
      </c>
      <c r="D232" s="294">
        <f t="shared" ca="1" si="59"/>
        <v>53169</v>
      </c>
      <c r="E232" s="359">
        <f t="shared" si="62"/>
        <v>1000000</v>
      </c>
      <c r="F232" s="360">
        <f t="shared" ca="1" si="60"/>
        <v>60</v>
      </c>
      <c r="G232" s="295">
        <f ca="1">VTLCOI!P231</f>
        <v>368.18053857057026</v>
      </c>
      <c r="H232" s="295">
        <f ca="1">(J231+VTLGTTKcamket!F26-F232-G232)*(1+$W$3)</f>
        <v>144723.58691042865</v>
      </c>
      <c r="I232" s="953">
        <f>IF(COUNTIF(VTLGTTKcamket!$E$7:E26,0)&gt;0,0,3%*'Tinh phi QL'!$H$13/1000)</f>
        <v>300</v>
      </c>
      <c r="J232" s="296">
        <f t="shared" ca="1" si="61"/>
        <v>144723.58691042865</v>
      </c>
      <c r="K232" s="949">
        <f ca="1">J243</f>
        <v>140954.50542173805</v>
      </c>
      <c r="L232" s="949"/>
      <c r="M232" s="949"/>
      <c r="N232" s="950">
        <f t="shared" ref="N232" ca="1" si="67">SUM(F232:F243)</f>
        <v>720</v>
      </c>
      <c r="O232" s="950"/>
      <c r="P232" s="950">
        <f t="shared" ref="P232" ca="1" si="68">SUM(G232:G243)</f>
        <v>4428.6572593393776</v>
      </c>
      <c r="Q232" s="950"/>
    </row>
    <row r="233" spans="2:17" ht="9.75" customHeight="1">
      <c r="B233" s="946"/>
      <c r="C233" s="946"/>
      <c r="D233" s="294">
        <f t="shared" ca="1" si="59"/>
        <v>53200</v>
      </c>
      <c r="E233" s="359">
        <f t="shared" si="62"/>
        <v>1000000</v>
      </c>
      <c r="F233" s="360">
        <f t="shared" ca="1" si="60"/>
        <v>60</v>
      </c>
      <c r="G233" s="295">
        <f ca="1">VTLCOI!P232</f>
        <v>368.33904190390871</v>
      </c>
      <c r="H233" s="295">
        <f t="shared" ca="1" si="56"/>
        <v>144355.23354508754</v>
      </c>
      <c r="I233" s="953"/>
      <c r="J233" s="296">
        <f t="shared" ca="1" si="61"/>
        <v>144355.23354508754</v>
      </c>
      <c r="K233" s="949"/>
      <c r="L233" s="949"/>
      <c r="M233" s="949"/>
      <c r="N233" s="950"/>
      <c r="O233" s="950"/>
      <c r="P233" s="950"/>
      <c r="Q233" s="950"/>
    </row>
    <row r="234" spans="2:17" ht="9.75" customHeight="1">
      <c r="B234" s="946"/>
      <c r="C234" s="946"/>
      <c r="D234" s="294">
        <f t="shared" ca="1" si="59"/>
        <v>53231</v>
      </c>
      <c r="E234" s="359">
        <f t="shared" si="62"/>
        <v>1000000</v>
      </c>
      <c r="F234" s="360">
        <f t="shared" ca="1" si="60"/>
        <v>60</v>
      </c>
      <c r="G234" s="295">
        <f ca="1">VTLCOI!P233</f>
        <v>368.49767941991564</v>
      </c>
      <c r="H234" s="295">
        <f t="shared" ca="1" si="56"/>
        <v>143986.56834632039</v>
      </c>
      <c r="I234" s="953"/>
      <c r="J234" s="296">
        <f t="shared" ca="1" si="61"/>
        <v>143986.56834632039</v>
      </c>
      <c r="K234" s="949"/>
      <c r="L234" s="949"/>
      <c r="M234" s="949"/>
      <c r="N234" s="950"/>
      <c r="O234" s="950"/>
      <c r="P234" s="950"/>
      <c r="Q234" s="950"/>
    </row>
    <row r="235" spans="2:17" ht="9.75" customHeight="1">
      <c r="B235" s="946"/>
      <c r="C235" s="946"/>
      <c r="D235" s="294">
        <f t="shared" ca="1" si="59"/>
        <v>53261</v>
      </c>
      <c r="E235" s="359">
        <f t="shared" si="62"/>
        <v>1000000</v>
      </c>
      <c r="F235" s="360">
        <f t="shared" ca="1" si="60"/>
        <v>60</v>
      </c>
      <c r="G235" s="295">
        <f ca="1">VTLCOI!P234</f>
        <v>368.65645123218468</v>
      </c>
      <c r="H235" s="295">
        <f t="shared" ca="1" si="56"/>
        <v>143617.59105014129</v>
      </c>
      <c r="I235" s="953"/>
      <c r="J235" s="296">
        <f t="shared" ca="1" si="61"/>
        <v>143617.59105014129</v>
      </c>
      <c r="K235" s="949"/>
      <c r="L235" s="949"/>
      <c r="M235" s="949"/>
      <c r="N235" s="950"/>
      <c r="O235" s="950"/>
      <c r="P235" s="950"/>
      <c r="Q235" s="950"/>
    </row>
    <row r="236" spans="2:17" ht="9.75" customHeight="1">
      <c r="B236" s="946"/>
      <c r="C236" s="946"/>
      <c r="D236" s="294">
        <f t="shared" ca="1" si="59"/>
        <v>53292</v>
      </c>
      <c r="E236" s="359">
        <f t="shared" si="62"/>
        <v>1000000</v>
      </c>
      <c r="F236" s="360">
        <f t="shared" ca="1" si="60"/>
        <v>60</v>
      </c>
      <c r="G236" s="295">
        <f ca="1">VTLCOI!P235</f>
        <v>368.81535745440584</v>
      </c>
      <c r="H236" s="295">
        <f t="shared" ca="1" si="56"/>
        <v>143248.30139234089</v>
      </c>
      <c r="I236" s="953"/>
      <c r="J236" s="296">
        <f t="shared" ca="1" si="61"/>
        <v>143248.30139234089</v>
      </c>
      <c r="K236" s="949"/>
      <c r="L236" s="949"/>
      <c r="M236" s="949"/>
      <c r="N236" s="950"/>
      <c r="O236" s="950"/>
      <c r="P236" s="950"/>
      <c r="Q236" s="950"/>
    </row>
    <row r="237" spans="2:17" ht="9.75" customHeight="1">
      <c r="B237" s="946"/>
      <c r="C237" s="946"/>
      <c r="D237" s="294">
        <f t="shared" ca="1" si="59"/>
        <v>53322</v>
      </c>
      <c r="E237" s="359">
        <f t="shared" si="62"/>
        <v>1000000</v>
      </c>
      <c r="F237" s="360">
        <f t="shared" ca="1" si="60"/>
        <v>60</v>
      </c>
      <c r="G237" s="295">
        <f ca="1">VTLCOI!P236</f>
        <v>368.97439820036516</v>
      </c>
      <c r="H237" s="295">
        <f t="shared" ca="1" si="56"/>
        <v>142878.69910848618</v>
      </c>
      <c r="I237" s="953"/>
      <c r="J237" s="296">
        <f t="shared" ca="1" si="61"/>
        <v>142878.69910848618</v>
      </c>
      <c r="K237" s="949"/>
      <c r="L237" s="949"/>
      <c r="M237" s="949"/>
      <c r="N237" s="950"/>
      <c r="O237" s="950"/>
      <c r="P237" s="950"/>
      <c r="Q237" s="950"/>
    </row>
    <row r="238" spans="2:17" ht="9.75" customHeight="1">
      <c r="B238" s="946"/>
      <c r="C238" s="946"/>
      <c r="D238" s="294">
        <f t="shared" ca="1" si="59"/>
        <v>53353</v>
      </c>
      <c r="E238" s="359">
        <f t="shared" si="62"/>
        <v>1000000</v>
      </c>
      <c r="F238" s="360">
        <f t="shared" ca="1" si="60"/>
        <v>60</v>
      </c>
      <c r="G238" s="295">
        <f ca="1">VTLCOI!P237</f>
        <v>369.13357358394529</v>
      </c>
      <c r="H238" s="295">
        <f t="shared" ca="1" si="56"/>
        <v>142508.78393392029</v>
      </c>
      <c r="I238" s="953"/>
      <c r="J238" s="296">
        <f t="shared" ca="1" si="61"/>
        <v>142508.78393392029</v>
      </c>
      <c r="K238" s="949"/>
      <c r="L238" s="949"/>
      <c r="M238" s="949"/>
      <c r="N238" s="950"/>
      <c r="O238" s="950"/>
      <c r="P238" s="950"/>
      <c r="Q238" s="950"/>
    </row>
    <row r="239" spans="2:17" ht="9.75" customHeight="1">
      <c r="B239" s="946"/>
      <c r="C239" s="946"/>
      <c r="D239" s="294">
        <f t="shared" ca="1" si="59"/>
        <v>53384</v>
      </c>
      <c r="E239" s="359">
        <f t="shared" si="62"/>
        <v>1000000</v>
      </c>
      <c r="F239" s="360">
        <f t="shared" ca="1" si="60"/>
        <v>60</v>
      </c>
      <c r="G239" s="295">
        <f ca="1">VTLCOI!P238</f>
        <v>369.29288371912497</v>
      </c>
      <c r="H239" s="295">
        <f t="shared" ca="1" si="56"/>
        <v>142138.5556037623</v>
      </c>
      <c r="I239" s="953"/>
      <c r="J239" s="296">
        <f t="shared" ca="1" si="61"/>
        <v>142138.5556037623</v>
      </c>
      <c r="K239" s="949"/>
      <c r="L239" s="949"/>
      <c r="M239" s="949"/>
      <c r="N239" s="950"/>
      <c r="O239" s="950"/>
      <c r="P239" s="950"/>
      <c r="Q239" s="950"/>
    </row>
    <row r="240" spans="2:17" ht="9.75" customHeight="1">
      <c r="B240" s="946"/>
      <c r="C240" s="946"/>
      <c r="D240" s="294">
        <f t="shared" ca="1" si="59"/>
        <v>53412</v>
      </c>
      <c r="E240" s="359">
        <f t="shared" si="62"/>
        <v>1000000</v>
      </c>
      <c r="F240" s="360">
        <f t="shared" ca="1" si="60"/>
        <v>60</v>
      </c>
      <c r="G240" s="295">
        <f ca="1">VTLCOI!P239</f>
        <v>369.45232871997973</v>
      </c>
      <c r="H240" s="295">
        <f t="shared" ca="1" si="56"/>
        <v>141768.013852907</v>
      </c>
      <c r="I240" s="953"/>
      <c r="J240" s="296">
        <f t="shared" ca="1" si="61"/>
        <v>141768.013852907</v>
      </c>
      <c r="K240" s="949"/>
      <c r="L240" s="949"/>
      <c r="M240" s="949"/>
      <c r="N240" s="950"/>
      <c r="O240" s="950"/>
      <c r="P240" s="950"/>
      <c r="Q240" s="950"/>
    </row>
    <row r="241" spans="2:17" ht="9.75" customHeight="1">
      <c r="B241" s="946"/>
      <c r="C241" s="946"/>
      <c r="D241" s="294">
        <f t="shared" ca="1" si="59"/>
        <v>53443</v>
      </c>
      <c r="E241" s="359">
        <f t="shared" si="62"/>
        <v>1000000</v>
      </c>
      <c r="F241" s="360">
        <f t="shared" ca="1" si="60"/>
        <v>60</v>
      </c>
      <c r="G241" s="295">
        <f ca="1">VTLCOI!P240</f>
        <v>369.6119087006814</v>
      </c>
      <c r="H241" s="295">
        <f t="shared" ca="1" si="56"/>
        <v>141397.15841602479</v>
      </c>
      <c r="I241" s="953"/>
      <c r="J241" s="296">
        <f t="shared" ca="1" si="61"/>
        <v>141397.15841602479</v>
      </c>
      <c r="K241" s="949"/>
      <c r="L241" s="949"/>
      <c r="M241" s="949"/>
      <c r="N241" s="950"/>
      <c r="O241" s="950"/>
      <c r="P241" s="950"/>
      <c r="Q241" s="950"/>
    </row>
    <row r="242" spans="2:17" ht="9.75" customHeight="1">
      <c r="B242" s="946"/>
      <c r="C242" s="946"/>
      <c r="D242" s="294">
        <f t="shared" ca="1" si="59"/>
        <v>53473</v>
      </c>
      <c r="E242" s="359">
        <f t="shared" si="62"/>
        <v>1000000</v>
      </c>
      <c r="F242" s="360">
        <f t="shared" ca="1" si="60"/>
        <v>60</v>
      </c>
      <c r="G242" s="295">
        <f ca="1">VTLCOI!P241</f>
        <v>369.77162377549871</v>
      </c>
      <c r="H242" s="295">
        <f t="shared" ca="1" si="56"/>
        <v>141025.98902756147</v>
      </c>
      <c r="I242" s="953"/>
      <c r="J242" s="296">
        <f t="shared" ca="1" si="61"/>
        <v>141025.98902756147</v>
      </c>
      <c r="K242" s="949"/>
      <c r="L242" s="949"/>
      <c r="M242" s="949"/>
      <c r="N242" s="950"/>
      <c r="O242" s="950"/>
      <c r="P242" s="950"/>
      <c r="Q242" s="950"/>
    </row>
    <row r="243" spans="2:17" ht="9.75" customHeight="1">
      <c r="B243" s="946"/>
      <c r="C243" s="946"/>
      <c r="D243" s="294">
        <f t="shared" ca="1" si="59"/>
        <v>53504</v>
      </c>
      <c r="E243" s="359">
        <f t="shared" si="62"/>
        <v>1000000</v>
      </c>
      <c r="F243" s="360">
        <f t="shared" ca="1" si="60"/>
        <v>60</v>
      </c>
      <c r="G243" s="295">
        <f ca="1">VTLCOI!P242</f>
        <v>369.93147405879694</v>
      </c>
      <c r="H243" s="295">
        <f t="shared" ca="1" si="56"/>
        <v>140654.50542173805</v>
      </c>
      <c r="I243" s="953"/>
      <c r="J243" s="297">
        <f ca="1">H243+I232</f>
        <v>140954.50542173805</v>
      </c>
      <c r="K243" s="949"/>
      <c r="L243" s="949"/>
      <c r="M243" s="949"/>
      <c r="N243" s="950"/>
      <c r="O243" s="950"/>
      <c r="P243" s="950"/>
      <c r="Q243" s="950"/>
    </row>
  </sheetData>
  <sheetProtection selectLockedCells="1"/>
  <mergeCells count="118">
    <mergeCell ref="P184:Q195"/>
    <mergeCell ref="P196:Q207"/>
    <mergeCell ref="P208:Q219"/>
    <mergeCell ref="P220:Q231"/>
    <mergeCell ref="P232:Q243"/>
    <mergeCell ref="P124:Q135"/>
    <mergeCell ref="P136:Q147"/>
    <mergeCell ref="P148:Q159"/>
    <mergeCell ref="P160:Q171"/>
    <mergeCell ref="P172:Q183"/>
    <mergeCell ref="P64:Q75"/>
    <mergeCell ref="P76:Q87"/>
    <mergeCell ref="P88:Q99"/>
    <mergeCell ref="P100:Q111"/>
    <mergeCell ref="P112:Q123"/>
    <mergeCell ref="P4:Q15"/>
    <mergeCell ref="P16:Q27"/>
    <mergeCell ref="P28:Q39"/>
    <mergeCell ref="P40:Q51"/>
    <mergeCell ref="P52:Q63"/>
    <mergeCell ref="B208:B219"/>
    <mergeCell ref="C208:C219"/>
    <mergeCell ref="I208:I219"/>
    <mergeCell ref="K208:M219"/>
    <mergeCell ref="N208:O219"/>
    <mergeCell ref="N232:O243"/>
    <mergeCell ref="B220:B231"/>
    <mergeCell ref="C220:C231"/>
    <mergeCell ref="I220:I231"/>
    <mergeCell ref="K220:M231"/>
    <mergeCell ref="N220:O231"/>
    <mergeCell ref="B232:B243"/>
    <mergeCell ref="C232:C243"/>
    <mergeCell ref="I232:I243"/>
    <mergeCell ref="K232:M243"/>
    <mergeCell ref="B184:B195"/>
    <mergeCell ref="C184:C195"/>
    <mergeCell ref="I184:I195"/>
    <mergeCell ref="K184:M195"/>
    <mergeCell ref="N184:O195"/>
    <mergeCell ref="B196:B207"/>
    <mergeCell ref="C196:C207"/>
    <mergeCell ref="I196:I207"/>
    <mergeCell ref="K196:M207"/>
    <mergeCell ref="N196:O207"/>
    <mergeCell ref="B160:B171"/>
    <mergeCell ref="C160:C171"/>
    <mergeCell ref="I160:I171"/>
    <mergeCell ref="K160:M171"/>
    <mergeCell ref="N160:O171"/>
    <mergeCell ref="B172:B183"/>
    <mergeCell ref="C172:C183"/>
    <mergeCell ref="I172:I183"/>
    <mergeCell ref="K172:M183"/>
    <mergeCell ref="N172:O183"/>
    <mergeCell ref="B124:B135"/>
    <mergeCell ref="C124:C135"/>
    <mergeCell ref="I124:I135"/>
    <mergeCell ref="K124:M135"/>
    <mergeCell ref="N124:O135"/>
    <mergeCell ref="K100:M111"/>
    <mergeCell ref="N100:O111"/>
    <mergeCell ref="B112:B123"/>
    <mergeCell ref="C112:C123"/>
    <mergeCell ref="I112:I123"/>
    <mergeCell ref="K112:M123"/>
    <mergeCell ref="N112:O123"/>
    <mergeCell ref="I100:I111"/>
    <mergeCell ref="B100:B111"/>
    <mergeCell ref="C100:C111"/>
    <mergeCell ref="B136:B147"/>
    <mergeCell ref="C136:C147"/>
    <mergeCell ref="I136:I147"/>
    <mergeCell ref="K136:M147"/>
    <mergeCell ref="N136:O147"/>
    <mergeCell ref="B148:B159"/>
    <mergeCell ref="C148:C159"/>
    <mergeCell ref="I148:I159"/>
    <mergeCell ref="K148:M159"/>
    <mergeCell ref="N148:O159"/>
    <mergeCell ref="K52:M63"/>
    <mergeCell ref="N52:O63"/>
    <mergeCell ref="B64:B75"/>
    <mergeCell ref="C64:C75"/>
    <mergeCell ref="I64:I75"/>
    <mergeCell ref="K64:M75"/>
    <mergeCell ref="I52:I63"/>
    <mergeCell ref="B52:B63"/>
    <mergeCell ref="C52:C63"/>
    <mergeCell ref="K88:M99"/>
    <mergeCell ref="N88:O99"/>
    <mergeCell ref="N64:O75"/>
    <mergeCell ref="B76:B87"/>
    <mergeCell ref="C76:C87"/>
    <mergeCell ref="K76:M87"/>
    <mergeCell ref="N76:O87"/>
    <mergeCell ref="I76:I87"/>
    <mergeCell ref="B88:B99"/>
    <mergeCell ref="C88:C99"/>
    <mergeCell ref="I88:I99"/>
    <mergeCell ref="B2:I2"/>
    <mergeCell ref="B4:B15"/>
    <mergeCell ref="C4:C15"/>
    <mergeCell ref="K4:M15"/>
    <mergeCell ref="N4:O15"/>
    <mergeCell ref="K40:M51"/>
    <mergeCell ref="N40:O51"/>
    <mergeCell ref="B16:B27"/>
    <mergeCell ref="C16:C27"/>
    <mergeCell ref="K16:M27"/>
    <mergeCell ref="N16:O27"/>
    <mergeCell ref="B28:B39"/>
    <mergeCell ref="C28:C39"/>
    <mergeCell ref="K28:M39"/>
    <mergeCell ref="N28:O39"/>
    <mergeCell ref="B40:B51"/>
    <mergeCell ref="C40:C51"/>
    <mergeCell ref="I40:I51"/>
  </mergeCells>
  <conditionalFormatting sqref="H1:J52 H53:H243 J53:J243 I64 I76 I88 I100 I112 I124 I136 I148 I160 I172 I184 I196 I208 I220 I232 H244:J1048576">
    <cfRule type="cellIs" dxfId="126" priority="1" operator="lessThan">
      <formula>0</formula>
    </cfRule>
  </conditionalFormatting>
  <pageMargins left="0.75" right="0.75" top="1" bottom="1" header="0.5" footer="0.5"/>
  <drawing r:id="rId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22A0E6-FFEC-4A85-A35F-C30D75F77FD0}">
  <dimension ref="A1"/>
  <sheetViews>
    <sheetView showGridLines="0" workbookViewId="0"/>
  </sheetViews>
  <sheetFormatPr defaultRowHeight="13"/>
  <sheetData/>
  <pageMargins left="0.7" right="0.7" top="0.75" bottom="0.75" header="0.3" footer="0.3"/>
  <drawing r:id="rId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94F57B-ECD6-49C0-9382-0CD07153B4E6}">
  <dimension ref="A1"/>
  <sheetViews>
    <sheetView showGridLines="0" zoomScaleNormal="100" workbookViewId="0"/>
  </sheetViews>
  <sheetFormatPr defaultRowHeight="13"/>
  <sheetData/>
  <pageMargins left="0.7" right="0.7" top="0.75" bottom="0.75" header="0.3" footer="0.3"/>
  <drawing r:id="rId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02A521-ACAE-4B08-9928-181E7657FFBA}">
  <dimension ref="A1"/>
  <sheetViews>
    <sheetView showGridLines="0" workbookViewId="0"/>
  </sheetViews>
  <sheetFormatPr defaultRowHeight="13"/>
  <cols>
    <col min="17" max="17" width="2" customWidth="1"/>
  </cols>
  <sheetData/>
  <pageMargins left="0.7" right="0.7" top="0.75" bottom="0.75" header="0.3" footer="0.3"/>
  <drawing r:id="rId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025ADB-ABF9-4D30-B0BE-44254060BBE7}">
  <dimension ref="A1:HC54"/>
  <sheetViews>
    <sheetView showGridLines="0" zoomScale="55" zoomScaleNormal="55" workbookViewId="0">
      <pane ySplit="5" topLeftCell="A12" activePane="bottomLeft" state="frozen"/>
      <selection pane="bottomLeft"/>
    </sheetView>
  </sheetViews>
  <sheetFormatPr defaultColWidth="9.296875" defaultRowHeight="14"/>
  <cols>
    <col min="1" max="1" width="1.69921875" style="66" customWidth="1"/>
    <col min="2" max="5" width="11.5" style="66" customWidth="1"/>
    <col min="6" max="8" width="6" style="66" customWidth="1"/>
    <col min="9" max="9" width="8.5" style="66" customWidth="1"/>
    <col min="10" max="10" width="0.69921875" style="66" customWidth="1"/>
    <col min="11" max="24" width="2.19921875" style="67" customWidth="1"/>
    <col min="25" max="52" width="2.19921875" style="66" customWidth="1"/>
    <col min="53" max="53" width="0.69921875" style="68" customWidth="1"/>
    <col min="54" max="67" width="2.19921875" style="67" customWidth="1"/>
    <col min="68" max="95" width="2.19921875" style="66" customWidth="1"/>
    <col min="96" max="96" width="0.69921875" style="68" customWidth="1"/>
    <col min="97" max="110" width="2.19921875" style="67" customWidth="1"/>
    <col min="111" max="138" width="2.19921875" style="66" customWidth="1"/>
    <col min="139" max="139" width="7.796875" style="66" customWidth="1"/>
    <col min="140" max="16384" width="9.296875" style="66"/>
  </cols>
  <sheetData>
    <row r="1" spans="2:211" ht="7.5" customHeight="1"/>
    <row r="2" spans="2:211" ht="32.25" customHeight="1">
      <c r="B2" s="1068" t="s">
        <v>166</v>
      </c>
      <c r="C2" s="1069"/>
      <c r="D2" s="1069"/>
      <c r="E2" s="1069"/>
      <c r="F2" s="1069"/>
      <c r="G2" s="1069"/>
      <c r="H2" s="1069"/>
      <c r="I2" s="1069"/>
      <c r="K2" s="1070" t="s">
        <v>167</v>
      </c>
      <c r="L2" s="1070"/>
      <c r="M2" s="1070"/>
      <c r="N2" s="1070"/>
      <c r="O2" s="1070"/>
      <c r="P2" s="1070"/>
      <c r="Q2" s="1070"/>
      <c r="R2" s="1070"/>
      <c r="S2" s="1070"/>
      <c r="T2" s="1070"/>
      <c r="U2" s="1070"/>
      <c r="V2" s="1070"/>
      <c r="W2" s="1070"/>
      <c r="X2" s="1070"/>
      <c r="Y2" s="1070"/>
      <c r="Z2" s="1070"/>
      <c r="AA2" s="1070"/>
      <c r="AB2" s="1070"/>
      <c r="AC2" s="1070"/>
      <c r="AD2" s="1070"/>
      <c r="AE2" s="1070"/>
      <c r="AF2" s="1070"/>
      <c r="AG2" s="1070"/>
      <c r="AH2" s="1070"/>
      <c r="AI2" s="1070"/>
      <c r="AJ2" s="1070"/>
      <c r="AK2" s="1070"/>
      <c r="AL2" s="1070"/>
      <c r="AM2" s="1070"/>
      <c r="AN2" s="1070"/>
      <c r="AO2" s="1070"/>
      <c r="AP2" s="1070"/>
      <c r="AQ2" s="1070"/>
      <c r="AR2" s="1070"/>
      <c r="AS2" s="1070"/>
      <c r="AT2" s="1070"/>
      <c r="AU2" s="1070"/>
      <c r="AV2" s="1070"/>
      <c r="AW2" s="1070"/>
      <c r="AX2" s="1070"/>
      <c r="AY2" s="1070"/>
      <c r="AZ2" s="1070"/>
      <c r="BB2" s="1071" t="s">
        <v>168</v>
      </c>
      <c r="BC2" s="1072"/>
      <c r="BD2" s="1072"/>
      <c r="BE2" s="1072"/>
      <c r="BF2" s="1072"/>
      <c r="BG2" s="1072"/>
      <c r="BH2" s="1072"/>
      <c r="BI2" s="1072"/>
      <c r="BJ2" s="1072"/>
      <c r="BK2" s="1072"/>
      <c r="BL2" s="1072"/>
      <c r="BM2" s="1072"/>
      <c r="BN2" s="1072"/>
      <c r="BO2" s="1072"/>
      <c r="BP2" s="1072"/>
      <c r="BQ2" s="1072"/>
      <c r="BR2" s="1072"/>
      <c r="BS2" s="1072"/>
      <c r="BT2" s="1072"/>
      <c r="BU2" s="1072"/>
      <c r="BV2" s="1072"/>
      <c r="BW2" s="1072"/>
      <c r="BX2" s="1072"/>
      <c r="BY2" s="1072"/>
      <c r="BZ2" s="1072"/>
      <c r="CA2" s="1072"/>
      <c r="CB2" s="1072"/>
      <c r="CC2" s="1072"/>
      <c r="CD2" s="1072"/>
      <c r="CE2" s="1072"/>
      <c r="CF2" s="1072"/>
      <c r="CG2" s="1072"/>
      <c r="CH2" s="1072"/>
      <c r="CI2" s="1072"/>
      <c r="CJ2" s="1072"/>
      <c r="CK2" s="1072"/>
      <c r="CL2" s="1072"/>
      <c r="CM2" s="1072"/>
      <c r="CN2" s="1072"/>
      <c r="CO2" s="1072"/>
      <c r="CP2" s="1072"/>
      <c r="CQ2" s="1073"/>
      <c r="CS2" s="1048" t="s">
        <v>169</v>
      </c>
      <c r="CT2" s="1049"/>
      <c r="CU2" s="1049"/>
      <c r="CV2" s="1049"/>
      <c r="CW2" s="1049"/>
      <c r="CX2" s="1049"/>
      <c r="CY2" s="1049"/>
      <c r="CZ2" s="1049"/>
      <c r="DA2" s="1049"/>
      <c r="DB2" s="1049"/>
      <c r="DC2" s="1049"/>
      <c r="DD2" s="1049"/>
      <c r="DE2" s="1049"/>
      <c r="DF2" s="1049"/>
      <c r="DG2" s="1049"/>
      <c r="DH2" s="1049"/>
      <c r="DI2" s="1049"/>
      <c r="DJ2" s="1049"/>
      <c r="DK2" s="1049"/>
      <c r="DL2" s="1049"/>
      <c r="DM2" s="1049"/>
      <c r="DN2" s="1049"/>
      <c r="DO2" s="1049"/>
      <c r="DP2" s="1049"/>
      <c r="DQ2" s="1049"/>
      <c r="DR2" s="1049"/>
      <c r="DS2" s="1049"/>
      <c r="DT2" s="1049"/>
      <c r="DU2" s="1049"/>
      <c r="DV2" s="1049"/>
      <c r="DW2" s="1049"/>
      <c r="DX2" s="1049"/>
      <c r="DY2" s="1049"/>
      <c r="DZ2" s="1049"/>
      <c r="EA2" s="1049"/>
      <c r="EB2" s="1049"/>
      <c r="EC2" s="1049"/>
      <c r="ED2" s="1049"/>
      <c r="EE2" s="1049"/>
      <c r="EF2" s="1049"/>
      <c r="EG2" s="1049"/>
      <c r="EH2" s="1049"/>
    </row>
    <row r="3" spans="2:211" s="70" customFormat="1" ht="30.75" customHeight="1">
      <c r="B3" s="1050" t="s">
        <v>170</v>
      </c>
      <c r="C3" s="1050"/>
      <c r="D3" s="1050"/>
      <c r="E3" s="1050"/>
      <c r="F3" s="1051"/>
      <c r="G3" s="1051"/>
      <c r="H3" s="1050"/>
      <c r="I3" s="1050"/>
      <c r="J3" s="66"/>
      <c r="K3" s="1052" t="s">
        <v>171</v>
      </c>
      <c r="L3" s="1053"/>
      <c r="M3" s="1053"/>
      <c r="N3" s="1053"/>
      <c r="O3" s="1053"/>
      <c r="P3" s="1053"/>
      <c r="Q3" s="1053"/>
      <c r="R3" s="1053"/>
      <c r="S3" s="1053"/>
      <c r="T3" s="1053"/>
      <c r="U3" s="1053"/>
      <c r="V3" s="1053"/>
      <c r="W3" s="1053"/>
      <c r="X3" s="1053"/>
      <c r="Y3" s="1053"/>
      <c r="Z3" s="1053"/>
      <c r="AA3" s="1053"/>
      <c r="AB3" s="1053"/>
      <c r="AC3" s="1053"/>
      <c r="AD3" s="1053"/>
      <c r="AE3" s="1053"/>
      <c r="AF3" s="1053"/>
      <c r="AG3" s="1053"/>
      <c r="AH3" s="1053"/>
      <c r="AI3" s="1053"/>
      <c r="AJ3" s="1053"/>
      <c r="AK3" s="1053"/>
      <c r="AL3" s="1053"/>
      <c r="AM3" s="1053"/>
      <c r="AN3" s="1053"/>
      <c r="AO3" s="1053"/>
      <c r="AP3" s="1053"/>
      <c r="AQ3" s="1053"/>
      <c r="AR3" s="1053"/>
      <c r="AS3" s="1053"/>
      <c r="AT3" s="1053"/>
      <c r="AU3" s="1053"/>
      <c r="AV3" s="1053"/>
      <c r="AW3" s="1053"/>
      <c r="AX3" s="1053"/>
      <c r="AY3" s="1053"/>
      <c r="AZ3" s="1053"/>
      <c r="BA3" s="69"/>
      <c r="BB3" s="1054" t="s">
        <v>172</v>
      </c>
      <c r="BC3" s="1055"/>
      <c r="BD3" s="1055"/>
      <c r="BE3" s="1055"/>
      <c r="BF3" s="1055"/>
      <c r="BG3" s="1055"/>
      <c r="BH3" s="1055"/>
      <c r="BI3" s="1055"/>
      <c r="BJ3" s="1055"/>
      <c r="BK3" s="1055"/>
      <c r="BL3" s="1055"/>
      <c r="BM3" s="1055"/>
      <c r="BN3" s="1055"/>
      <c r="BO3" s="1055"/>
      <c r="BP3" s="1055"/>
      <c r="BQ3" s="1055"/>
      <c r="BR3" s="1055"/>
      <c r="BS3" s="1055"/>
      <c r="BT3" s="1055"/>
      <c r="BU3" s="1055"/>
      <c r="BV3" s="1055"/>
      <c r="BW3" s="1055"/>
      <c r="BX3" s="1055"/>
      <c r="BY3" s="1055"/>
      <c r="BZ3" s="1055"/>
      <c r="CA3" s="1055"/>
      <c r="CB3" s="1055"/>
      <c r="CC3" s="1055"/>
      <c r="CD3" s="1055"/>
      <c r="CE3" s="1055"/>
      <c r="CF3" s="1055"/>
      <c r="CG3" s="1055"/>
      <c r="CH3" s="1055"/>
      <c r="CI3" s="1055"/>
      <c r="CJ3" s="1055"/>
      <c r="CK3" s="1055"/>
      <c r="CL3" s="1055"/>
      <c r="CM3" s="1055"/>
      <c r="CN3" s="1055"/>
      <c r="CO3" s="1055"/>
      <c r="CP3" s="1055"/>
      <c r="CQ3" s="1056"/>
      <c r="CR3" s="68"/>
      <c r="CS3" s="1057" t="s">
        <v>173</v>
      </c>
      <c r="CT3" s="1057"/>
      <c r="CU3" s="1057"/>
      <c r="CV3" s="1057"/>
      <c r="CW3" s="1057"/>
      <c r="CX3" s="1057"/>
      <c r="CY3" s="1057"/>
      <c r="CZ3" s="1057"/>
      <c r="DA3" s="1057"/>
      <c r="DB3" s="1057"/>
      <c r="DC3" s="1057"/>
      <c r="DD3" s="1057"/>
      <c r="DE3" s="1057"/>
      <c r="DF3" s="1057"/>
      <c r="DG3" s="1057"/>
      <c r="DH3" s="1057"/>
      <c r="DI3" s="1057"/>
      <c r="DJ3" s="1057"/>
      <c r="DK3" s="1057"/>
      <c r="DL3" s="1057"/>
      <c r="DM3" s="1057"/>
      <c r="DN3" s="1058"/>
      <c r="DO3" s="1058"/>
      <c r="DP3" s="1058"/>
      <c r="DQ3" s="1058"/>
      <c r="DR3" s="1058"/>
      <c r="DS3" s="1058"/>
      <c r="DT3" s="1058"/>
      <c r="DU3" s="1058"/>
      <c r="DV3" s="1058"/>
      <c r="DW3" s="1058"/>
      <c r="DX3" s="1058"/>
      <c r="DY3" s="1058"/>
      <c r="DZ3" s="1058"/>
      <c r="EA3" s="1058"/>
      <c r="EB3" s="1058"/>
      <c r="EC3" s="1058"/>
      <c r="ED3" s="1058"/>
      <c r="EE3" s="1058"/>
      <c r="EF3" s="1058"/>
      <c r="EG3" s="1058"/>
      <c r="EH3" s="1058"/>
      <c r="EI3" s="66"/>
      <c r="EJ3" s="66"/>
      <c r="EK3" s="66"/>
      <c r="EL3" s="66"/>
      <c r="EM3" s="66"/>
      <c r="EN3" s="66"/>
      <c r="EO3" s="66"/>
      <c r="EP3" s="66"/>
      <c r="EQ3" s="66"/>
      <c r="ER3" s="66"/>
      <c r="ES3" s="66"/>
      <c r="ET3" s="66"/>
      <c r="EU3" s="66"/>
      <c r="EV3" s="66"/>
      <c r="EW3" s="66"/>
      <c r="EX3" s="66"/>
      <c r="EY3" s="66"/>
      <c r="EZ3" s="66"/>
      <c r="FA3" s="66"/>
      <c r="FB3" s="66"/>
      <c r="FC3" s="66"/>
      <c r="FD3" s="66"/>
      <c r="FE3" s="66"/>
      <c r="FF3" s="66"/>
      <c r="FG3" s="66"/>
      <c r="FH3" s="66"/>
      <c r="FI3" s="66"/>
      <c r="FJ3" s="66"/>
      <c r="FK3" s="66"/>
      <c r="FL3" s="66"/>
      <c r="FM3" s="66"/>
      <c r="FN3" s="66"/>
      <c r="FO3" s="66"/>
      <c r="FP3" s="66"/>
      <c r="FQ3" s="66"/>
      <c r="FR3" s="66"/>
      <c r="FS3" s="66"/>
      <c r="FT3" s="66"/>
      <c r="FU3" s="66"/>
      <c r="FV3" s="66"/>
      <c r="FW3" s="66"/>
      <c r="FX3" s="66"/>
      <c r="FY3" s="66"/>
      <c r="FZ3" s="66"/>
      <c r="GA3" s="66"/>
      <c r="GB3" s="66"/>
      <c r="GC3" s="66"/>
      <c r="GD3" s="66"/>
      <c r="GE3" s="66"/>
      <c r="GF3" s="66"/>
      <c r="GG3" s="66"/>
      <c r="GH3" s="66"/>
      <c r="GI3" s="66"/>
      <c r="GJ3" s="66"/>
      <c r="GK3" s="66"/>
      <c r="GL3" s="66"/>
      <c r="GM3" s="66"/>
      <c r="GN3" s="66"/>
      <c r="GO3" s="66"/>
      <c r="GP3" s="66"/>
      <c r="GQ3" s="66"/>
      <c r="GR3" s="66"/>
      <c r="GS3" s="66"/>
      <c r="GT3" s="66"/>
      <c r="GU3" s="66"/>
      <c r="GV3" s="66"/>
      <c r="GW3" s="66"/>
      <c r="GX3" s="66"/>
      <c r="GY3" s="66"/>
      <c r="GZ3" s="66"/>
      <c r="HA3" s="66"/>
      <c r="HB3" s="66"/>
      <c r="HC3" s="66"/>
    </row>
    <row r="4" spans="2:211" ht="27.75" customHeight="1">
      <c r="B4" s="71" t="s">
        <v>174</v>
      </c>
      <c r="C4" s="192">
        <f>DAY('Hoach dinh tai chinh'!J5)</f>
        <v>15</v>
      </c>
      <c r="D4" s="71" t="s">
        <v>175</v>
      </c>
      <c r="E4" s="193">
        <f>MONTH('Hoach dinh tai chinh'!J5)</f>
        <v>8</v>
      </c>
      <c r="F4" s="1061" t="s">
        <v>176</v>
      </c>
      <c r="G4" s="1062"/>
      <c r="H4" s="1063">
        <f>YEAR('Hoach dinh tai chinh'!J5)</f>
        <v>1995</v>
      </c>
      <c r="I4" s="1064"/>
      <c r="K4" s="1065" t="str">
        <f>'Hoach dinh tai chinh'!D4</f>
        <v>TRAN</v>
      </c>
      <c r="L4" s="1066"/>
      <c r="M4" s="1066"/>
      <c r="N4" s="1066"/>
      <c r="O4" s="1066"/>
      <c r="P4" s="1066"/>
      <c r="Q4" s="1066"/>
      <c r="R4" s="1065" t="str">
        <f>'Hoach dinh tai chinh'!E4</f>
        <v>VAN</v>
      </c>
      <c r="S4" s="1066"/>
      <c r="T4" s="1066"/>
      <c r="U4" s="1066"/>
      <c r="V4" s="1066"/>
      <c r="W4" s="1066"/>
      <c r="X4" s="1066"/>
      <c r="Y4" s="1065" t="str">
        <f>'Hoach dinh tai chinh'!F4</f>
        <v>HUY</v>
      </c>
      <c r="Z4" s="1066"/>
      <c r="AA4" s="1066"/>
      <c r="AB4" s="1066"/>
      <c r="AC4" s="1066"/>
      <c r="AD4" s="1066"/>
      <c r="AE4" s="1066"/>
      <c r="AF4" s="1065" t="str">
        <f>IF('Hoach dinh tai chinh'!G4&lt;&gt;0,'Hoach dinh tai chinh'!G4," ")</f>
        <v xml:space="preserve"> </v>
      </c>
      <c r="AG4" s="1066"/>
      <c r="AH4" s="1066"/>
      <c r="AI4" s="1066"/>
      <c r="AJ4" s="1066"/>
      <c r="AK4" s="1066"/>
      <c r="AL4" s="1067"/>
      <c r="AM4" s="1065" t="str">
        <f>IF('Hoach dinh tai chinh'!H4&lt;&gt;0,'Hoach dinh tai chinh'!H4," ")</f>
        <v xml:space="preserve"> </v>
      </c>
      <c r="AN4" s="1066"/>
      <c r="AO4" s="1066"/>
      <c r="AP4" s="1066"/>
      <c r="AQ4" s="1066"/>
      <c r="AR4" s="1066"/>
      <c r="AS4" s="1067"/>
      <c r="AT4" s="1065" t="str">
        <f>IF('Hoach dinh tai chinh'!I4&lt;&gt;0,'Hoach dinh tai chinh'!I4," ")</f>
        <v xml:space="preserve"> </v>
      </c>
      <c r="AU4" s="1066"/>
      <c r="AV4" s="1066"/>
      <c r="AW4" s="1066"/>
      <c r="AX4" s="1066"/>
      <c r="AY4" s="1066"/>
      <c r="AZ4" s="1066"/>
      <c r="BA4" s="72"/>
      <c r="BB4" s="1059" t="str">
        <f>K4</f>
        <v>TRAN</v>
      </c>
      <c r="BC4" s="1060"/>
      <c r="BD4" s="1060"/>
      <c r="BE4" s="1060"/>
      <c r="BF4" s="1060"/>
      <c r="BG4" s="1060"/>
      <c r="BH4" s="1060"/>
      <c r="BI4" s="1059" t="str">
        <f>R4</f>
        <v>VAN</v>
      </c>
      <c r="BJ4" s="1060"/>
      <c r="BK4" s="1060"/>
      <c r="BL4" s="1060"/>
      <c r="BM4" s="1060"/>
      <c r="BN4" s="1060"/>
      <c r="BO4" s="1060"/>
      <c r="BP4" s="1059" t="str">
        <f>IF(Y4=0," ",Y4)</f>
        <v>HUY</v>
      </c>
      <c r="BQ4" s="1060"/>
      <c r="BR4" s="1060"/>
      <c r="BS4" s="1060"/>
      <c r="BT4" s="1060"/>
      <c r="BU4" s="1060"/>
      <c r="BV4" s="1060"/>
      <c r="BW4" s="1059" t="str">
        <f>IF(AF4=0," ",AF4)</f>
        <v xml:space="preserve"> </v>
      </c>
      <c r="BX4" s="1060"/>
      <c r="BY4" s="1060"/>
      <c r="BZ4" s="1060"/>
      <c r="CA4" s="1060"/>
      <c r="CB4" s="1060"/>
      <c r="CC4" s="1060"/>
      <c r="CD4" s="1059" t="str">
        <f>IF(AM4=0," ",AM4)</f>
        <v xml:space="preserve"> </v>
      </c>
      <c r="CE4" s="1060"/>
      <c r="CF4" s="1060"/>
      <c r="CG4" s="1060"/>
      <c r="CH4" s="1060"/>
      <c r="CI4" s="1060"/>
      <c r="CJ4" s="1060"/>
      <c r="CK4" s="1059" t="str">
        <f>IF(AT4=0," ",AT4)</f>
        <v xml:space="preserve"> </v>
      </c>
      <c r="CL4" s="1060"/>
      <c r="CM4" s="1060"/>
      <c r="CN4" s="1060"/>
      <c r="CO4" s="1060"/>
      <c r="CP4" s="1060"/>
      <c r="CQ4" s="1060"/>
      <c r="CR4" s="72"/>
      <c r="CS4" s="1084" t="str">
        <f>BB4</f>
        <v>TRAN</v>
      </c>
      <c r="CT4" s="1085"/>
      <c r="CU4" s="1085"/>
      <c r="CV4" s="1085"/>
      <c r="CW4" s="1085"/>
      <c r="CX4" s="1085"/>
      <c r="CY4" s="1085"/>
      <c r="CZ4" s="1084" t="str">
        <f>BI4</f>
        <v>VAN</v>
      </c>
      <c r="DA4" s="1085"/>
      <c r="DB4" s="1085"/>
      <c r="DC4" s="1085"/>
      <c r="DD4" s="1085"/>
      <c r="DE4" s="1085"/>
      <c r="DF4" s="1085"/>
      <c r="DG4" s="1084" t="str">
        <f>BP4</f>
        <v>HUY</v>
      </c>
      <c r="DH4" s="1085"/>
      <c r="DI4" s="1085"/>
      <c r="DJ4" s="1085"/>
      <c r="DK4" s="1085"/>
      <c r="DL4" s="1085"/>
      <c r="DM4" s="1085"/>
      <c r="DN4" s="1080" t="str">
        <f>BW4</f>
        <v xml:space="preserve"> </v>
      </c>
      <c r="DO4" s="1080"/>
      <c r="DP4" s="1080"/>
      <c r="DQ4" s="1080"/>
      <c r="DR4" s="1080"/>
      <c r="DS4" s="1080"/>
      <c r="DT4" s="1080"/>
      <c r="DU4" s="1080" t="str">
        <f>CD4</f>
        <v xml:space="preserve"> </v>
      </c>
      <c r="DV4" s="1080"/>
      <c r="DW4" s="1080"/>
      <c r="DX4" s="1080"/>
      <c r="DY4" s="1080"/>
      <c r="DZ4" s="1080"/>
      <c r="EA4" s="1080"/>
      <c r="EB4" s="1080" t="str">
        <f>CK4</f>
        <v xml:space="preserve"> </v>
      </c>
      <c r="EC4" s="1080"/>
      <c r="ED4" s="1080"/>
      <c r="EE4" s="1080"/>
      <c r="EF4" s="1080"/>
      <c r="EG4" s="1080"/>
      <c r="EH4" s="1080"/>
      <c r="EI4" s="73"/>
    </row>
    <row r="5" spans="2:211" ht="21" customHeight="1">
      <c r="B5" s="1081">
        <f>C4</f>
        <v>15</v>
      </c>
      <c r="C5" s="1082"/>
      <c r="D5" s="1083">
        <f>E4</f>
        <v>8</v>
      </c>
      <c r="E5" s="1083"/>
      <c r="F5" s="468" t="str">
        <f>MID($H$4,COLUMN()-(COLUMN($F$5)- 1),1)</f>
        <v>1</v>
      </c>
      <c r="G5" s="468" t="str">
        <f>MID($H$4,COLUMN()-(COLUMN($F$5)- 1),1)</f>
        <v>9</v>
      </c>
      <c r="H5" s="468" t="str">
        <f>MID($H$4,COLUMN()-(COLUMN($F$5)- 1),1)</f>
        <v>9</v>
      </c>
      <c r="I5" s="468" t="str">
        <f>MID($H$4,COLUMN()-(COLUMN($F$5)- 1),1)</f>
        <v>5</v>
      </c>
      <c r="J5" s="74"/>
      <c r="K5" s="75" t="str">
        <f>MID($K$4,COLUMN()-(COLUMN($K$5)- 1),1)</f>
        <v>T</v>
      </c>
      <c r="L5" s="75" t="str">
        <f t="shared" ref="L5:Q5" si="0">MID($K$4,COLUMN()-(COLUMN($K$5)- 1),1)</f>
        <v>R</v>
      </c>
      <c r="M5" s="75" t="str">
        <f t="shared" si="0"/>
        <v>A</v>
      </c>
      <c r="N5" s="75" t="str">
        <f t="shared" si="0"/>
        <v>N</v>
      </c>
      <c r="O5" s="75" t="str">
        <f t="shared" si="0"/>
        <v/>
      </c>
      <c r="P5" s="75" t="str">
        <f t="shared" si="0"/>
        <v/>
      </c>
      <c r="Q5" s="75" t="str">
        <f t="shared" si="0"/>
        <v/>
      </c>
      <c r="R5" s="75" t="str">
        <f>MID($R$4,COLUMN()-(COLUMN($R$5)- 1),1)</f>
        <v>V</v>
      </c>
      <c r="S5" s="75" t="str">
        <f t="shared" ref="S5:X5" si="1">MID($R$4,COLUMN()-(COLUMN($R$5)- 1),1)</f>
        <v>A</v>
      </c>
      <c r="T5" s="75" t="str">
        <f t="shared" si="1"/>
        <v>N</v>
      </c>
      <c r="U5" s="75" t="str">
        <f t="shared" si="1"/>
        <v/>
      </c>
      <c r="V5" s="75" t="str">
        <f t="shared" si="1"/>
        <v/>
      </c>
      <c r="W5" s="75" t="str">
        <f t="shared" si="1"/>
        <v/>
      </c>
      <c r="X5" s="75" t="str">
        <f t="shared" si="1"/>
        <v/>
      </c>
      <c r="Y5" s="75" t="str">
        <f>MID($Y$4,COLUMN()-(COLUMN($Y$5)- 1),1)</f>
        <v>H</v>
      </c>
      <c r="Z5" s="75" t="str">
        <f t="shared" ref="Z5:AE5" si="2">MID($Y$4,COLUMN()-(COLUMN($Y$5)- 1),1)</f>
        <v>U</v>
      </c>
      <c r="AA5" s="75" t="str">
        <f t="shared" si="2"/>
        <v>Y</v>
      </c>
      <c r="AB5" s="75" t="str">
        <f t="shared" si="2"/>
        <v/>
      </c>
      <c r="AC5" s="75" t="str">
        <f t="shared" si="2"/>
        <v/>
      </c>
      <c r="AD5" s="75" t="str">
        <f t="shared" si="2"/>
        <v/>
      </c>
      <c r="AE5" s="75" t="str">
        <f t="shared" si="2"/>
        <v/>
      </c>
      <c r="AF5" s="75" t="str">
        <f>MID($AF$4,COLUMN()-(COLUMN($AF$5)- 1),1)</f>
        <v xml:space="preserve"> </v>
      </c>
      <c r="AG5" s="75" t="str">
        <f t="shared" ref="AG5:AL5" si="3">MID($AF$4,COLUMN()-(COLUMN($AF$5)- 1),1)</f>
        <v/>
      </c>
      <c r="AH5" s="75" t="str">
        <f t="shared" si="3"/>
        <v/>
      </c>
      <c r="AI5" s="75" t="str">
        <f t="shared" si="3"/>
        <v/>
      </c>
      <c r="AJ5" s="75" t="str">
        <f t="shared" si="3"/>
        <v/>
      </c>
      <c r="AK5" s="75" t="str">
        <f t="shared" si="3"/>
        <v/>
      </c>
      <c r="AL5" s="75" t="str">
        <f t="shared" si="3"/>
        <v/>
      </c>
      <c r="AM5" s="75" t="str">
        <f>MID($AM$4,COLUMN()-(COLUMN($AM$5)- 1),1)</f>
        <v xml:space="preserve"> </v>
      </c>
      <c r="AN5" s="75" t="str">
        <f t="shared" ref="AN5:AS5" si="4">MID($AM$4,COLUMN()-(COLUMN($AM$5)- 1),1)</f>
        <v/>
      </c>
      <c r="AO5" s="75" t="str">
        <f t="shared" si="4"/>
        <v/>
      </c>
      <c r="AP5" s="75" t="str">
        <f t="shared" si="4"/>
        <v/>
      </c>
      <c r="AQ5" s="75" t="str">
        <f t="shared" si="4"/>
        <v/>
      </c>
      <c r="AR5" s="75" t="str">
        <f t="shared" si="4"/>
        <v/>
      </c>
      <c r="AS5" s="75" t="str">
        <f t="shared" si="4"/>
        <v/>
      </c>
      <c r="AT5" s="75" t="str">
        <f t="shared" ref="AT5:AZ5" si="5">MID($AT$4,COLUMN()-(COLUMN($AT$5)- 1),1)</f>
        <v xml:space="preserve"> </v>
      </c>
      <c r="AU5" s="75" t="str">
        <f t="shared" si="5"/>
        <v/>
      </c>
      <c r="AV5" s="75" t="str">
        <f t="shared" si="5"/>
        <v/>
      </c>
      <c r="AW5" s="75" t="str">
        <f t="shared" si="5"/>
        <v/>
      </c>
      <c r="AX5" s="75" t="str">
        <f t="shared" si="5"/>
        <v/>
      </c>
      <c r="AY5" s="75" t="str">
        <f t="shared" si="5"/>
        <v/>
      </c>
      <c r="AZ5" s="75" t="str">
        <f t="shared" si="5"/>
        <v/>
      </c>
      <c r="BA5" s="76">
        <f t="shared" ref="BA5:CJ5" si="6">IF(OR(J5="O",J5="A",J5="E",J5="U",J5="I"),J5,IF(AND(OR(I5="B",I5="C",I5="D",I5="F",I5="G",I5="H",I5="K",I5="L",I5="M",I5="N",I5="P",I5="Q",I5="R",I5="S",I5="T",I5="V",I5="X",I5="Z"),J5="Y"),"Y",0))</f>
        <v>0</v>
      </c>
      <c r="BB5" s="76">
        <f t="shared" si="6"/>
        <v>0</v>
      </c>
      <c r="BC5" s="76">
        <f t="shared" si="6"/>
        <v>0</v>
      </c>
      <c r="BD5" s="76" t="str">
        <f t="shared" si="6"/>
        <v>A</v>
      </c>
      <c r="BE5" s="76">
        <f t="shared" si="6"/>
        <v>0</v>
      </c>
      <c r="BF5" s="76">
        <f t="shared" si="6"/>
        <v>0</v>
      </c>
      <c r="BG5" s="76">
        <f t="shared" si="6"/>
        <v>0</v>
      </c>
      <c r="BH5" s="76">
        <f t="shared" si="6"/>
        <v>0</v>
      </c>
      <c r="BI5" s="76">
        <f t="shared" si="6"/>
        <v>0</v>
      </c>
      <c r="BJ5" s="76" t="str">
        <f t="shared" si="6"/>
        <v>A</v>
      </c>
      <c r="BK5" s="76">
        <f t="shared" si="6"/>
        <v>0</v>
      </c>
      <c r="BL5" s="76">
        <f t="shared" si="6"/>
        <v>0</v>
      </c>
      <c r="BM5" s="76">
        <f t="shared" si="6"/>
        <v>0</v>
      </c>
      <c r="BN5" s="76">
        <f t="shared" si="6"/>
        <v>0</v>
      </c>
      <c r="BO5" s="76">
        <f t="shared" si="6"/>
        <v>0</v>
      </c>
      <c r="BP5" s="76">
        <f t="shared" si="6"/>
        <v>0</v>
      </c>
      <c r="BQ5" s="76" t="str">
        <f t="shared" si="6"/>
        <v>U</v>
      </c>
      <c r="BR5" s="76">
        <f t="shared" si="6"/>
        <v>0</v>
      </c>
      <c r="BS5" s="76">
        <f t="shared" si="6"/>
        <v>0</v>
      </c>
      <c r="BT5" s="76">
        <f t="shared" si="6"/>
        <v>0</v>
      </c>
      <c r="BU5" s="76">
        <f t="shared" si="6"/>
        <v>0</v>
      </c>
      <c r="BV5" s="76">
        <f t="shared" si="6"/>
        <v>0</v>
      </c>
      <c r="BW5" s="76">
        <f t="shared" si="6"/>
        <v>0</v>
      </c>
      <c r="BX5" s="76">
        <f t="shared" si="6"/>
        <v>0</v>
      </c>
      <c r="BY5" s="76">
        <f t="shared" si="6"/>
        <v>0</v>
      </c>
      <c r="BZ5" s="76">
        <f t="shared" si="6"/>
        <v>0</v>
      </c>
      <c r="CA5" s="76">
        <f t="shared" si="6"/>
        <v>0</v>
      </c>
      <c r="CB5" s="76">
        <f t="shared" si="6"/>
        <v>0</v>
      </c>
      <c r="CC5" s="76">
        <f t="shared" si="6"/>
        <v>0</v>
      </c>
      <c r="CD5" s="76">
        <f t="shared" si="6"/>
        <v>0</v>
      </c>
      <c r="CE5" s="76">
        <f t="shared" si="6"/>
        <v>0</v>
      </c>
      <c r="CF5" s="76">
        <f t="shared" si="6"/>
        <v>0</v>
      </c>
      <c r="CG5" s="76">
        <f t="shared" si="6"/>
        <v>0</v>
      </c>
      <c r="CH5" s="76">
        <f t="shared" si="6"/>
        <v>0</v>
      </c>
      <c r="CI5" s="76">
        <f t="shared" si="6"/>
        <v>0</v>
      </c>
      <c r="CJ5" s="76">
        <f t="shared" si="6"/>
        <v>0</v>
      </c>
      <c r="CK5" s="76">
        <f>IF(OR(AT5="O",AT5="A",AT5="E",AT5="U",AT5="I"),AT5,IF(AND(OR(AL5="B",AL5="C",AL5="D",AL5="F",AL5="G",AL5="H",AL5="K",AL5="L",AL5="M",AL5="N",AL5="P",AL5="Q",AL5="R",AL5="S",AL5="T",AL5="V",AL5="X",AL5="Z"),AT5="Y"),"Y",0))</f>
        <v>0</v>
      </c>
      <c r="CL5" s="76">
        <f t="shared" ref="CL5:CQ5" si="7">IF(OR(AU5="O",AU5="A",AU5="E",AU5="U",AU5="I"),AU5,IF(AND(OR(AT5="B",AT5="C",AT5="D",AT5="F",AT5="G",AT5="H",AT5="K",AT5="L",AT5="M",AT5="N",AT5="P",AT5="Q",AT5="R",AT5="S",AT5="T",AT5="V",AT5="X",AT5="Z"),AU5="Y"),"Y",0))</f>
        <v>0</v>
      </c>
      <c r="CM5" s="76">
        <f t="shared" si="7"/>
        <v>0</v>
      </c>
      <c r="CN5" s="76">
        <f t="shared" si="7"/>
        <v>0</v>
      </c>
      <c r="CO5" s="76">
        <f t="shared" si="7"/>
        <v>0</v>
      </c>
      <c r="CP5" s="76">
        <f t="shared" si="7"/>
        <v>0</v>
      </c>
      <c r="CQ5" s="76">
        <f t="shared" si="7"/>
        <v>0</v>
      </c>
      <c r="CR5" s="77"/>
      <c r="CS5" s="78" t="str">
        <f>IF(K5="Y",K5,IF(OR(K5="A",K5="E",K5="I",K5="O",K5="U"),0,K5))</f>
        <v>T</v>
      </c>
      <c r="CT5" s="78" t="str">
        <f>IF(L5="Y",L5,IF(OR(L5="A",L5="E",L5="I",L5="O",L5="U",L5="Y"),0,L5))</f>
        <v>R</v>
      </c>
      <c r="CU5" s="78">
        <f t="shared" ref="CU5:CZ5" si="8">IF(M5="Y",M5,IF(OR(M5="A",M5="E",M5="I",M5="O",M5="U"),0,M5))</f>
        <v>0</v>
      </c>
      <c r="CV5" s="78" t="str">
        <f t="shared" si="8"/>
        <v>N</v>
      </c>
      <c r="CW5" s="78" t="str">
        <f t="shared" si="8"/>
        <v/>
      </c>
      <c r="CX5" s="78" t="str">
        <f t="shared" si="8"/>
        <v/>
      </c>
      <c r="CY5" s="78" t="str">
        <f t="shared" si="8"/>
        <v/>
      </c>
      <c r="CZ5" s="78" t="str">
        <f t="shared" si="8"/>
        <v>V</v>
      </c>
      <c r="DA5" s="78">
        <f>IF(S5="Y",S5,IF(OR(S5="A",S5="E",S5="I",S5="O",S5="U",S5="Y"),0,S5))</f>
        <v>0</v>
      </c>
      <c r="DB5" s="78" t="str">
        <f t="shared" ref="DB5:DG5" si="9">IF(T5="Y",T5,IF(OR(T5="A",T5="E",T5="I",T5="O",T5="U"),0,T5))</f>
        <v>N</v>
      </c>
      <c r="DC5" s="78" t="str">
        <f t="shared" si="9"/>
        <v/>
      </c>
      <c r="DD5" s="78" t="str">
        <f t="shared" si="9"/>
        <v/>
      </c>
      <c r="DE5" s="78" t="str">
        <f t="shared" si="9"/>
        <v/>
      </c>
      <c r="DF5" s="78" t="str">
        <f t="shared" si="9"/>
        <v/>
      </c>
      <c r="DG5" s="78" t="str">
        <f t="shared" si="9"/>
        <v>H</v>
      </c>
      <c r="DH5" s="78">
        <f>IF(OR(Z5="A",Z5="E",Z5="I",Z5="O",Z5="U",Z5="Y"),0,Z5)</f>
        <v>0</v>
      </c>
      <c r="DI5" s="78" t="str">
        <f t="shared" ref="DI5:DN5" si="10">IF(AA5="Y",AA5,IF(OR(AA5="A",AA5="E",AA5="I",AA5="O",AA5="U"),0,AA5))</f>
        <v>Y</v>
      </c>
      <c r="DJ5" s="78" t="str">
        <f t="shared" si="10"/>
        <v/>
      </c>
      <c r="DK5" s="78" t="str">
        <f t="shared" si="10"/>
        <v/>
      </c>
      <c r="DL5" s="78" t="str">
        <f t="shared" si="10"/>
        <v/>
      </c>
      <c r="DM5" s="78" t="str">
        <f t="shared" si="10"/>
        <v/>
      </c>
      <c r="DN5" s="78" t="str">
        <f t="shared" si="10"/>
        <v xml:space="preserve"> </v>
      </c>
      <c r="DO5" s="78" t="str">
        <f>IF(OR(AG5="A",AG5="E",AG5="I",AG5="O",AG5="U",AG5="Y"),0,AG5)</f>
        <v/>
      </c>
      <c r="DP5" s="78" t="str">
        <f t="shared" ref="DP5:DU5" si="11">IF(AH5="Y",AH5,IF(OR(AH5="A",AH5="E",AH5="I",AH5="O",AH5="U"),0,AH5))</f>
        <v/>
      </c>
      <c r="DQ5" s="78" t="str">
        <f t="shared" si="11"/>
        <v/>
      </c>
      <c r="DR5" s="78" t="str">
        <f t="shared" si="11"/>
        <v/>
      </c>
      <c r="DS5" s="78" t="str">
        <f t="shared" si="11"/>
        <v/>
      </c>
      <c r="DT5" s="78" t="str">
        <f t="shared" si="11"/>
        <v/>
      </c>
      <c r="DU5" s="78" t="str">
        <f t="shared" si="11"/>
        <v xml:space="preserve"> </v>
      </c>
      <c r="DV5" s="78" t="str">
        <f>IF(OR(AN5="A",AN5="E",AN5="I",AN5="O",AN5="U",AN5="Y"),0,AN5)</f>
        <v/>
      </c>
      <c r="DW5" s="78" t="str">
        <f t="shared" ref="DW5:EB5" si="12">IF(AO5="Y",AO5,IF(OR(AO5="A",AO5="E",AO5="I",AO5="O",AO5="U"),0,AO5))</f>
        <v/>
      </c>
      <c r="DX5" s="78" t="str">
        <f t="shared" si="12"/>
        <v/>
      </c>
      <c r="DY5" s="78" t="str">
        <f t="shared" si="12"/>
        <v/>
      </c>
      <c r="DZ5" s="78" t="str">
        <f t="shared" si="12"/>
        <v/>
      </c>
      <c r="EA5" s="78" t="str">
        <f t="shared" si="12"/>
        <v/>
      </c>
      <c r="EB5" s="78" t="str">
        <f t="shared" si="12"/>
        <v xml:space="preserve"> </v>
      </c>
      <c r="EC5" s="78" t="str">
        <f>IF(OR(AU5="A",AU5="E",AU5="I",AU5="O",AU5="U",AU5="Y"),0,AU5)</f>
        <v/>
      </c>
      <c r="ED5" s="78" t="str">
        <f>IF(AV5="Y",AV5,IF(OR(AV5="A",AV5="E",AV5="I",AV5="O",AV5="U"),0,AV5))</f>
        <v/>
      </c>
      <c r="EE5" s="78" t="str">
        <f>IF(AW5="Y",AW5,IF(OR(AW5="A",AW5="E",AW5="I",AW5="O",AW5="U"),0,AW5))</f>
        <v/>
      </c>
      <c r="EF5" s="78" t="str">
        <f>IF(AX5="Y",AX5,IF(OR(AX5="A",AX5="E",AX5="I",AX5="O",AX5="U"),0,AX5))</f>
        <v/>
      </c>
      <c r="EG5" s="78" t="str">
        <f>IF(AY5="Y",AY5,IF(OR(AY5="A",AY5="E",AY5="I",AY5="O",AY5="U"),0,AY5))</f>
        <v/>
      </c>
      <c r="EH5" s="78" t="str">
        <f>IF(AZ5="Y",AZ5,IF(OR(AZ5="A",AZ5="E",AZ5="I",AZ5="O",AZ5="U"),0,AZ5))</f>
        <v/>
      </c>
    </row>
    <row r="6" spans="2:211" s="79" customFormat="1" ht="21" hidden="1" customHeight="1">
      <c r="B6" s="1074">
        <f>IF(OR(B5=11,B5=22),B5,IF(B5=19,1,IF(B5&gt;=10,LEFT(B5,1)+RIGHT(B5,1),B5)))</f>
        <v>6</v>
      </c>
      <c r="C6" s="1074"/>
      <c r="D6" s="1074">
        <f>IF(OR(D5=11,D5=22),D5,IF(D5&gt;=10,LEFT(D5,1)+RIGHT(D5,1),D5))</f>
        <v>8</v>
      </c>
      <c r="E6" s="1074"/>
      <c r="F6" s="1074">
        <f>F5+G5+H5+I5</f>
        <v>24</v>
      </c>
      <c r="G6" s="1074"/>
      <c r="H6" s="1074"/>
      <c r="I6" s="1074"/>
      <c r="K6" s="466">
        <f>IF(OR(K5="A",K5="J",K5="S"),1,IF(OR(K5="B",K5="K",K5="T"),2,IF(OR(K5="C",K5="L",K5="U"),3,(IF(OR(K5="D",K5="M",K5="V"),4,IF(OR(K5="E",K5="N",K5="W"),5,IF(OR(K5="F",K5="O",K5="X"),6,IF(OR(K5="G",K5="P",K5="Y"),7,IF(OR(K5="H",K5="Q",K5="Z"),8,IF(OR(K5="I",K5="R"),9,0))))))))))</f>
        <v>2</v>
      </c>
      <c r="L6" s="467">
        <f t="shared" ref="L6:AZ6" si="13">IF(OR(L5="A",L5="J",L5="S"),1,IF(OR(L5="B",L5="K",L5="T"),2,IF(OR(L5="C",L5="L",L5="U"),3,(IF(OR(L5="D",L5="M",L5="V"),4,IF(OR(L5="E",L5="N",L5="W"),5,IF(OR(L5="F",L5="O",L5="X"),6,IF(OR(L5="G",L5="P",L5="Y"),7,IF(OR(L5="H",L5="Q",L5="Z"),8,IF(OR(L5="I",L5="R"),9,0))))))))))</f>
        <v>9</v>
      </c>
      <c r="M6" s="467">
        <f t="shared" si="13"/>
        <v>1</v>
      </c>
      <c r="N6" s="467">
        <f t="shared" si="13"/>
        <v>5</v>
      </c>
      <c r="O6" s="467">
        <f t="shared" si="13"/>
        <v>0</v>
      </c>
      <c r="P6" s="467">
        <f t="shared" si="13"/>
        <v>0</v>
      </c>
      <c r="Q6" s="467">
        <f t="shared" si="13"/>
        <v>0</v>
      </c>
      <c r="R6" s="467">
        <f t="shared" si="13"/>
        <v>4</v>
      </c>
      <c r="S6" s="467">
        <f t="shared" si="13"/>
        <v>1</v>
      </c>
      <c r="T6" s="467">
        <f t="shared" si="13"/>
        <v>5</v>
      </c>
      <c r="U6" s="467">
        <f t="shared" si="13"/>
        <v>0</v>
      </c>
      <c r="V6" s="467">
        <f t="shared" si="13"/>
        <v>0</v>
      </c>
      <c r="W6" s="467">
        <f t="shared" si="13"/>
        <v>0</v>
      </c>
      <c r="X6" s="467">
        <f t="shared" si="13"/>
        <v>0</v>
      </c>
      <c r="Y6" s="467">
        <f t="shared" si="13"/>
        <v>8</v>
      </c>
      <c r="Z6" s="467">
        <f t="shared" si="13"/>
        <v>3</v>
      </c>
      <c r="AA6" s="467">
        <f t="shared" si="13"/>
        <v>7</v>
      </c>
      <c r="AB6" s="467">
        <f t="shared" si="13"/>
        <v>0</v>
      </c>
      <c r="AC6" s="467">
        <f t="shared" si="13"/>
        <v>0</v>
      </c>
      <c r="AD6" s="467">
        <f t="shared" si="13"/>
        <v>0</v>
      </c>
      <c r="AE6" s="467">
        <f t="shared" si="13"/>
        <v>0</v>
      </c>
      <c r="AF6" s="467">
        <f t="shared" si="13"/>
        <v>0</v>
      </c>
      <c r="AG6" s="467">
        <f t="shared" si="13"/>
        <v>0</v>
      </c>
      <c r="AH6" s="467">
        <f t="shared" si="13"/>
        <v>0</v>
      </c>
      <c r="AI6" s="467">
        <f t="shared" si="13"/>
        <v>0</v>
      </c>
      <c r="AJ6" s="467">
        <f t="shared" si="13"/>
        <v>0</v>
      </c>
      <c r="AK6" s="467">
        <f t="shared" si="13"/>
        <v>0</v>
      </c>
      <c r="AL6" s="467">
        <f t="shared" si="13"/>
        <v>0</v>
      </c>
      <c r="AM6" s="467">
        <f t="shared" si="13"/>
        <v>0</v>
      </c>
      <c r="AN6" s="467">
        <f t="shared" si="13"/>
        <v>0</v>
      </c>
      <c r="AO6" s="467">
        <f t="shared" si="13"/>
        <v>0</v>
      </c>
      <c r="AP6" s="467">
        <f t="shared" si="13"/>
        <v>0</v>
      </c>
      <c r="AQ6" s="467">
        <f t="shared" si="13"/>
        <v>0</v>
      </c>
      <c r="AR6" s="467">
        <f t="shared" si="13"/>
        <v>0</v>
      </c>
      <c r="AS6" s="467">
        <f t="shared" si="13"/>
        <v>0</v>
      </c>
      <c r="AT6" s="467">
        <f t="shared" si="13"/>
        <v>0</v>
      </c>
      <c r="AU6" s="467">
        <f t="shared" si="13"/>
        <v>0</v>
      </c>
      <c r="AV6" s="467">
        <f t="shared" si="13"/>
        <v>0</v>
      </c>
      <c r="AW6" s="467">
        <f t="shared" si="13"/>
        <v>0</v>
      </c>
      <c r="AX6" s="467">
        <f t="shared" si="13"/>
        <v>0</v>
      </c>
      <c r="AY6" s="467">
        <f t="shared" si="13"/>
        <v>0</v>
      </c>
      <c r="AZ6" s="467">
        <f t="shared" si="13"/>
        <v>0</v>
      </c>
      <c r="BA6" s="68"/>
      <c r="BB6" s="80">
        <f>IF(OR(BB5="A",BB5="J",BB5="S"),1,IF(OR(BB5="B",BB5="K",BB5="T"),2,IF(OR(BB5="C",BB5="L",BB5="U"),3,(IF(OR(BB5="D",BB5="M",BB5="V"),4,IF(OR(BB5="E",BB5="N",BB5="W"),5,IF(OR(BB5="F",BB5="O",BB5="X"),6,IF(OR(BB5="G",BB5="P",BB5="Y"),7,IF(OR(BB5="H",BB5="Q",BB5="Z"),8,IF(OR(BB5="I",BB5="R"),9,0))))))))))</f>
        <v>0</v>
      </c>
      <c r="BC6" s="80">
        <f t="shared" ref="BC6:CQ6" si="14">IF(OR(BC5="A",BC5="J",BC5="S"),1,IF(OR(BC5="B",BC5="K",BC5="T"),2,IF(OR(BC5="C",BC5="L",BC5="U"),3,(IF(OR(BC5="D",BC5="M",BC5="V"),4,IF(OR(BC5="E",BC5="N",BC5="W"),5,IF(OR(BC5="F",BC5="O",BC5="X"),6,IF(OR(BC5="G",BC5="P",BC5="Y"),7,IF(OR(BC5="H",BC5="Q",BC5="Z"),8,IF(OR(BC5="I",BC5="R"),9,0))))))))))</f>
        <v>0</v>
      </c>
      <c r="BD6" s="80">
        <f t="shared" si="14"/>
        <v>1</v>
      </c>
      <c r="BE6" s="80">
        <f t="shared" si="14"/>
        <v>0</v>
      </c>
      <c r="BF6" s="80">
        <f t="shared" si="14"/>
        <v>0</v>
      </c>
      <c r="BG6" s="80">
        <f t="shared" si="14"/>
        <v>0</v>
      </c>
      <c r="BH6" s="80">
        <f t="shared" si="14"/>
        <v>0</v>
      </c>
      <c r="BI6" s="80">
        <f t="shared" si="14"/>
        <v>0</v>
      </c>
      <c r="BJ6" s="80">
        <f t="shared" si="14"/>
        <v>1</v>
      </c>
      <c r="BK6" s="80">
        <f t="shared" si="14"/>
        <v>0</v>
      </c>
      <c r="BL6" s="80">
        <f t="shared" si="14"/>
        <v>0</v>
      </c>
      <c r="BM6" s="80">
        <f t="shared" si="14"/>
        <v>0</v>
      </c>
      <c r="BN6" s="80">
        <f t="shared" si="14"/>
        <v>0</v>
      </c>
      <c r="BO6" s="80">
        <f t="shared" si="14"/>
        <v>0</v>
      </c>
      <c r="BP6" s="80">
        <f t="shared" si="14"/>
        <v>0</v>
      </c>
      <c r="BQ6" s="80">
        <f t="shared" si="14"/>
        <v>3</v>
      </c>
      <c r="BR6" s="80">
        <f t="shared" si="14"/>
        <v>0</v>
      </c>
      <c r="BS6" s="80">
        <f t="shared" si="14"/>
        <v>0</v>
      </c>
      <c r="BT6" s="80">
        <f t="shared" si="14"/>
        <v>0</v>
      </c>
      <c r="BU6" s="80">
        <f t="shared" si="14"/>
        <v>0</v>
      </c>
      <c r="BV6" s="80">
        <f t="shared" si="14"/>
        <v>0</v>
      </c>
      <c r="BW6" s="80">
        <f t="shared" si="14"/>
        <v>0</v>
      </c>
      <c r="BX6" s="80">
        <f t="shared" si="14"/>
        <v>0</v>
      </c>
      <c r="BY6" s="80">
        <f t="shared" si="14"/>
        <v>0</v>
      </c>
      <c r="BZ6" s="80">
        <f t="shared" si="14"/>
        <v>0</v>
      </c>
      <c r="CA6" s="80">
        <f t="shared" si="14"/>
        <v>0</v>
      </c>
      <c r="CB6" s="80">
        <f t="shared" si="14"/>
        <v>0</v>
      </c>
      <c r="CC6" s="80">
        <f t="shared" si="14"/>
        <v>0</v>
      </c>
      <c r="CD6" s="80">
        <f t="shared" si="14"/>
        <v>0</v>
      </c>
      <c r="CE6" s="80">
        <f t="shared" si="14"/>
        <v>0</v>
      </c>
      <c r="CF6" s="80">
        <f t="shared" si="14"/>
        <v>0</v>
      </c>
      <c r="CG6" s="80">
        <f t="shared" si="14"/>
        <v>0</v>
      </c>
      <c r="CH6" s="80">
        <f t="shared" si="14"/>
        <v>0</v>
      </c>
      <c r="CI6" s="80">
        <f t="shared" si="14"/>
        <v>0</v>
      </c>
      <c r="CJ6" s="80">
        <f t="shared" si="14"/>
        <v>0</v>
      </c>
      <c r="CK6" s="80">
        <f t="shared" si="14"/>
        <v>0</v>
      </c>
      <c r="CL6" s="80">
        <f t="shared" si="14"/>
        <v>0</v>
      </c>
      <c r="CM6" s="80">
        <f t="shared" si="14"/>
        <v>0</v>
      </c>
      <c r="CN6" s="80">
        <f t="shared" si="14"/>
        <v>0</v>
      </c>
      <c r="CO6" s="80">
        <f t="shared" si="14"/>
        <v>0</v>
      </c>
      <c r="CP6" s="80">
        <f t="shared" si="14"/>
        <v>0</v>
      </c>
      <c r="CQ6" s="80">
        <f t="shared" si="14"/>
        <v>0</v>
      </c>
      <c r="CR6" s="68"/>
      <c r="CS6" s="80">
        <f>IF(OR(CS5="A",CS5="J",CS5="S"),1,IF(OR(CS5="B",CS5="K",CS5="T"),2,IF(OR(CS5="C",CS5="L",CS5="U"),3,(IF(OR(CS5="D",CS5="M",CS5="V"),4,IF(OR(CS5="E",CS5="N",CS5="W"),5,IF(OR(CS5="F",CS5="O",CS5="X"),6,IF(OR(CS5="G",CS5="P",CS5="Y"),7,IF(OR(CS5="H",CS5="Q",CS5="Z"),8,IF(OR(CS5="I",CS5="R"),9,0))))))))))</f>
        <v>2</v>
      </c>
      <c r="CT6" s="80">
        <f t="shared" ref="CT6:EH6" si="15">IF(OR(CT5="A",CT5="J",CT5="S"),1,IF(OR(CT5="B",CT5="K",CT5="T"),2,IF(OR(CT5="C",CT5="L",CT5="U"),3,(IF(OR(CT5="D",CT5="M",CT5="V"),4,IF(OR(CT5="E",CT5="N",CT5="W"),5,IF(OR(CT5="F",CT5="O",CT5="X"),6,IF(OR(CT5="G",CT5="P",CT5="Y"),7,IF(OR(CT5="H",CT5="Q",CT5="Z"),8,IF(OR(CT5="I",CT5="R"),9,0))))))))))</f>
        <v>9</v>
      </c>
      <c r="CU6" s="80">
        <f t="shared" si="15"/>
        <v>0</v>
      </c>
      <c r="CV6" s="80">
        <f t="shared" si="15"/>
        <v>5</v>
      </c>
      <c r="CW6" s="80">
        <f t="shared" si="15"/>
        <v>0</v>
      </c>
      <c r="CX6" s="80">
        <f t="shared" si="15"/>
        <v>0</v>
      </c>
      <c r="CY6" s="80">
        <f t="shared" si="15"/>
        <v>0</v>
      </c>
      <c r="CZ6" s="80">
        <f t="shared" si="15"/>
        <v>4</v>
      </c>
      <c r="DA6" s="80">
        <f t="shared" si="15"/>
        <v>0</v>
      </c>
      <c r="DB6" s="80">
        <f t="shared" si="15"/>
        <v>5</v>
      </c>
      <c r="DC6" s="80">
        <f t="shared" si="15"/>
        <v>0</v>
      </c>
      <c r="DD6" s="80">
        <f t="shared" si="15"/>
        <v>0</v>
      </c>
      <c r="DE6" s="80">
        <f t="shared" si="15"/>
        <v>0</v>
      </c>
      <c r="DF6" s="80">
        <f t="shared" si="15"/>
        <v>0</v>
      </c>
      <c r="DG6" s="80">
        <f t="shared" si="15"/>
        <v>8</v>
      </c>
      <c r="DH6" s="80">
        <f t="shared" si="15"/>
        <v>0</v>
      </c>
      <c r="DI6" s="80">
        <f t="shared" si="15"/>
        <v>7</v>
      </c>
      <c r="DJ6" s="80">
        <f t="shared" si="15"/>
        <v>0</v>
      </c>
      <c r="DK6" s="80">
        <f t="shared" si="15"/>
        <v>0</v>
      </c>
      <c r="DL6" s="80">
        <f t="shared" si="15"/>
        <v>0</v>
      </c>
      <c r="DM6" s="80">
        <f t="shared" si="15"/>
        <v>0</v>
      </c>
      <c r="DN6" s="80">
        <f t="shared" si="15"/>
        <v>0</v>
      </c>
      <c r="DO6" s="80">
        <f t="shared" si="15"/>
        <v>0</v>
      </c>
      <c r="DP6" s="80">
        <f t="shared" si="15"/>
        <v>0</v>
      </c>
      <c r="DQ6" s="80">
        <f t="shared" si="15"/>
        <v>0</v>
      </c>
      <c r="DR6" s="80">
        <f t="shared" si="15"/>
        <v>0</v>
      </c>
      <c r="DS6" s="80">
        <f t="shared" si="15"/>
        <v>0</v>
      </c>
      <c r="DT6" s="80">
        <f t="shared" si="15"/>
        <v>0</v>
      </c>
      <c r="DU6" s="80">
        <f t="shared" si="15"/>
        <v>0</v>
      </c>
      <c r="DV6" s="80">
        <f t="shared" si="15"/>
        <v>0</v>
      </c>
      <c r="DW6" s="80">
        <f t="shared" si="15"/>
        <v>0</v>
      </c>
      <c r="DX6" s="80">
        <f t="shared" si="15"/>
        <v>0</v>
      </c>
      <c r="DY6" s="80">
        <f t="shared" si="15"/>
        <v>0</v>
      </c>
      <c r="DZ6" s="80">
        <f t="shared" si="15"/>
        <v>0</v>
      </c>
      <c r="EA6" s="80">
        <f t="shared" si="15"/>
        <v>0</v>
      </c>
      <c r="EB6" s="80">
        <f t="shared" si="15"/>
        <v>0</v>
      </c>
      <c r="EC6" s="80">
        <f t="shared" si="15"/>
        <v>0</v>
      </c>
      <c r="ED6" s="80">
        <f t="shared" si="15"/>
        <v>0</v>
      </c>
      <c r="EE6" s="80">
        <f t="shared" si="15"/>
        <v>0</v>
      </c>
      <c r="EF6" s="80">
        <f t="shared" si="15"/>
        <v>0</v>
      </c>
      <c r="EG6" s="80">
        <f t="shared" si="15"/>
        <v>0</v>
      </c>
      <c r="EH6" s="81">
        <f t="shared" si="15"/>
        <v>0</v>
      </c>
    </row>
    <row r="7" spans="2:211" s="79" customFormat="1" ht="18.75" hidden="1" customHeight="1">
      <c r="B7" s="1074">
        <f>IF(OR(B6=11,B6=22,B6=33),B6,IF(B6=19,1,IF(B6&gt;=10,LEFT(B6,1)+RIGHT(B6,1),B6)))</f>
        <v>6</v>
      </c>
      <c r="C7" s="1074"/>
      <c r="D7" s="1074">
        <f>D6</f>
        <v>8</v>
      </c>
      <c r="E7" s="1074"/>
      <c r="F7" s="1074">
        <f>IF(OR(F6=11,F6=22,F6=33),F6,IF(F6=19,1,IF(F6&gt;=10,LEFT(F6,1)+RIGHT(F6,1),F6)))</f>
        <v>6</v>
      </c>
      <c r="G7" s="1074"/>
      <c r="H7" s="1074"/>
      <c r="I7" s="1074"/>
      <c r="K7" s="1075">
        <f>SUM(K6:BA6)</f>
        <v>45</v>
      </c>
      <c r="L7" s="1076"/>
      <c r="M7" s="1076"/>
      <c r="N7" s="1076"/>
      <c r="O7" s="1076"/>
      <c r="P7" s="1076"/>
      <c r="Q7" s="1076"/>
      <c r="R7" s="1076"/>
      <c r="S7" s="1076"/>
      <c r="T7" s="1076"/>
      <c r="U7" s="1076"/>
      <c r="V7" s="1076"/>
      <c r="W7" s="1076"/>
      <c r="X7" s="1076"/>
      <c r="Y7" s="1076"/>
      <c r="Z7" s="1076"/>
      <c r="AA7" s="1076"/>
      <c r="AB7" s="1076"/>
      <c r="AC7" s="1076"/>
      <c r="AD7" s="1076"/>
      <c r="AE7" s="1076"/>
      <c r="AF7" s="1076"/>
      <c r="AG7" s="1076"/>
      <c r="AH7" s="1076"/>
      <c r="AI7" s="1076"/>
      <c r="AJ7" s="1076"/>
      <c r="AK7" s="1076"/>
      <c r="AL7" s="1076"/>
      <c r="AM7" s="1076"/>
      <c r="AN7" s="1076"/>
      <c r="AO7" s="1076"/>
      <c r="AP7" s="1076"/>
      <c r="AQ7" s="1076"/>
      <c r="AR7" s="1076"/>
      <c r="AS7" s="1076"/>
      <c r="AT7" s="1076"/>
      <c r="AU7" s="1076"/>
      <c r="AV7" s="1076"/>
      <c r="AW7" s="1076"/>
      <c r="AX7" s="1076"/>
      <c r="AY7" s="1076"/>
      <c r="AZ7" s="1076"/>
      <c r="BA7" s="68"/>
      <c r="BB7" s="1077">
        <f>SUM(BB6:CQ6)</f>
        <v>5</v>
      </c>
      <c r="BC7" s="1078"/>
      <c r="BD7" s="1078"/>
      <c r="BE7" s="1078"/>
      <c r="BF7" s="1078"/>
      <c r="BG7" s="1078"/>
      <c r="BH7" s="1078"/>
      <c r="BI7" s="1078"/>
      <c r="BJ7" s="1078"/>
      <c r="BK7" s="1078"/>
      <c r="BL7" s="1078"/>
      <c r="BM7" s="1078"/>
      <c r="BN7" s="1078"/>
      <c r="BO7" s="1078"/>
      <c r="BP7" s="1078"/>
      <c r="BQ7" s="1078"/>
      <c r="BR7" s="1078"/>
      <c r="BS7" s="1078"/>
      <c r="BT7" s="1078"/>
      <c r="BU7" s="1078"/>
      <c r="BV7" s="1078"/>
      <c r="BW7" s="1078"/>
      <c r="BX7" s="1078"/>
      <c r="BY7" s="1078"/>
      <c r="BZ7" s="1078"/>
      <c r="CA7" s="1078"/>
      <c r="CB7" s="1078"/>
      <c r="CC7" s="1078"/>
      <c r="CD7" s="1078"/>
      <c r="CE7" s="1078"/>
      <c r="CF7" s="1078"/>
      <c r="CG7" s="1078"/>
      <c r="CH7" s="1078"/>
      <c r="CI7" s="1078"/>
      <c r="CJ7" s="1078"/>
      <c r="CK7" s="1078"/>
      <c r="CL7" s="1078"/>
      <c r="CM7" s="1078"/>
      <c r="CN7" s="1078"/>
      <c r="CO7" s="1078"/>
      <c r="CP7" s="1078"/>
      <c r="CQ7" s="1079"/>
      <c r="CR7" s="68"/>
      <c r="CS7" s="1077">
        <f>SUM(CS6:EH6)</f>
        <v>40</v>
      </c>
      <c r="CT7" s="1078"/>
      <c r="CU7" s="1078"/>
      <c r="CV7" s="1078"/>
      <c r="CW7" s="1078"/>
      <c r="CX7" s="1078"/>
      <c r="CY7" s="1078"/>
      <c r="CZ7" s="1078"/>
      <c r="DA7" s="1078"/>
      <c r="DB7" s="1078"/>
      <c r="DC7" s="1078"/>
      <c r="DD7" s="1078"/>
      <c r="DE7" s="1078"/>
      <c r="DF7" s="1078"/>
      <c r="DG7" s="1078"/>
      <c r="DH7" s="1078"/>
      <c r="DI7" s="1078"/>
      <c r="DJ7" s="1078"/>
      <c r="DK7" s="1078"/>
      <c r="DL7" s="1078"/>
      <c r="DM7" s="1078"/>
      <c r="DN7" s="1078"/>
      <c r="DO7" s="1078"/>
      <c r="DP7" s="1078"/>
      <c r="DQ7" s="1078"/>
      <c r="DR7" s="1078"/>
      <c r="DS7" s="1078"/>
      <c r="DT7" s="1078"/>
      <c r="DU7" s="1078"/>
      <c r="DV7" s="1078"/>
      <c r="DW7" s="1078"/>
      <c r="DX7" s="1078"/>
      <c r="DY7" s="1078"/>
      <c r="DZ7" s="1078"/>
      <c r="EA7" s="1078"/>
      <c r="EB7" s="1078"/>
      <c r="EC7" s="1078"/>
      <c r="ED7" s="1078"/>
      <c r="EE7" s="1078"/>
      <c r="EF7" s="1078"/>
      <c r="EG7" s="1078"/>
      <c r="EH7" s="1079"/>
    </row>
    <row r="8" spans="2:211" s="79" customFormat="1" ht="18.75" hidden="1" customHeight="1">
      <c r="B8" s="1074">
        <f>SUM(B7:I7)</f>
        <v>20</v>
      </c>
      <c r="C8" s="1074"/>
      <c r="D8" s="1074"/>
      <c r="E8" s="1074"/>
      <c r="F8" s="1074"/>
      <c r="G8" s="1074"/>
      <c r="H8" s="1074"/>
      <c r="I8" s="1074"/>
      <c r="K8" s="1075">
        <f>IF(OR(K7=11,K7=22,K7=33),K7,IF(AND(K7&gt;=10,K7&lt;100),LEFT(K7,1)+RIGHT(K7,1),IF(K7&gt;=100,LEFT(K7,1)+RIGHT(K7,1)+MID(K7,2,1),K7)))</f>
        <v>9</v>
      </c>
      <c r="L8" s="1076"/>
      <c r="M8" s="1076"/>
      <c r="N8" s="1076"/>
      <c r="O8" s="1076"/>
      <c r="P8" s="1076"/>
      <c r="Q8" s="1076"/>
      <c r="R8" s="1076"/>
      <c r="S8" s="1076"/>
      <c r="T8" s="1076"/>
      <c r="U8" s="1076"/>
      <c r="V8" s="1076"/>
      <c r="W8" s="1076"/>
      <c r="X8" s="1076"/>
      <c r="Y8" s="1076"/>
      <c r="Z8" s="1076"/>
      <c r="AA8" s="1076"/>
      <c r="AB8" s="1076"/>
      <c r="AC8" s="1076"/>
      <c r="AD8" s="1076"/>
      <c r="AE8" s="1076"/>
      <c r="AF8" s="1076"/>
      <c r="AG8" s="1076"/>
      <c r="AH8" s="1076"/>
      <c r="AI8" s="1076"/>
      <c r="AJ8" s="1076"/>
      <c r="AK8" s="1076"/>
      <c r="AL8" s="1076"/>
      <c r="AM8" s="1076"/>
      <c r="AN8" s="1076"/>
      <c r="AO8" s="1076"/>
      <c r="AP8" s="1076"/>
      <c r="AQ8" s="1076"/>
      <c r="AR8" s="1076"/>
      <c r="AS8" s="1076"/>
      <c r="AT8" s="1076"/>
      <c r="AU8" s="1076"/>
      <c r="AV8" s="1076"/>
      <c r="AW8" s="1076"/>
      <c r="AX8" s="1076"/>
      <c r="AY8" s="1076"/>
      <c r="AZ8" s="1076"/>
      <c r="BA8" s="68"/>
      <c r="BB8" s="1077">
        <f>IF(OR(BB7=11,BB7=22,BB7=33),BB7,IF(AND(BB7&gt;=10,BB7&lt;100),LEFT(BB7,1)+RIGHT(BB7,1),IF(BB7&gt;=100,LEFT(BB7,1)+RIGHT(BB7,1)+MID(BB7,2,1),BB7)))</f>
        <v>5</v>
      </c>
      <c r="BC8" s="1078"/>
      <c r="BD8" s="1078"/>
      <c r="BE8" s="1078"/>
      <c r="BF8" s="1078"/>
      <c r="BG8" s="1078"/>
      <c r="BH8" s="1078"/>
      <c r="BI8" s="1078"/>
      <c r="BJ8" s="1078"/>
      <c r="BK8" s="1078"/>
      <c r="BL8" s="1078"/>
      <c r="BM8" s="1078"/>
      <c r="BN8" s="1078"/>
      <c r="BO8" s="1078"/>
      <c r="BP8" s="1078"/>
      <c r="BQ8" s="1078"/>
      <c r="BR8" s="1078"/>
      <c r="BS8" s="1078"/>
      <c r="BT8" s="1078"/>
      <c r="BU8" s="1078"/>
      <c r="BV8" s="1078"/>
      <c r="BW8" s="1078"/>
      <c r="BX8" s="1078"/>
      <c r="BY8" s="1078"/>
      <c r="BZ8" s="1078"/>
      <c r="CA8" s="1078"/>
      <c r="CB8" s="1078"/>
      <c r="CC8" s="1078"/>
      <c r="CD8" s="1078"/>
      <c r="CE8" s="1078"/>
      <c r="CF8" s="1078"/>
      <c r="CG8" s="1078"/>
      <c r="CH8" s="1078"/>
      <c r="CI8" s="1078"/>
      <c r="CJ8" s="1078"/>
      <c r="CK8" s="1078"/>
      <c r="CL8" s="1078"/>
      <c r="CM8" s="1078"/>
      <c r="CN8" s="1078"/>
      <c r="CO8" s="1078"/>
      <c r="CP8" s="1078"/>
      <c r="CQ8" s="1079"/>
      <c r="CR8" s="68"/>
      <c r="CS8" s="1077">
        <f>IF(OR(CS7=11,CS7=22,CS7=33),CS7,IF(AND(CS7&gt;=10,CS7&lt;100),LEFT(CS7,1)+RIGHT(CS7,1),IF(CS7&gt;=100,LEFT(CS7,1)+RIGHT(CS7,1)+MID(CS7,2,1),CS7)))</f>
        <v>4</v>
      </c>
      <c r="CT8" s="1078"/>
      <c r="CU8" s="1078"/>
      <c r="CV8" s="1078"/>
      <c r="CW8" s="1078"/>
      <c r="CX8" s="1078"/>
      <c r="CY8" s="1078"/>
      <c r="CZ8" s="1078"/>
      <c r="DA8" s="1078"/>
      <c r="DB8" s="1078"/>
      <c r="DC8" s="1078"/>
      <c r="DD8" s="1078"/>
      <c r="DE8" s="1078"/>
      <c r="DF8" s="1078"/>
      <c r="DG8" s="1078"/>
      <c r="DH8" s="1078"/>
      <c r="DI8" s="1078"/>
      <c r="DJ8" s="1078"/>
      <c r="DK8" s="1078"/>
      <c r="DL8" s="1078"/>
      <c r="DM8" s="1078"/>
      <c r="DN8" s="1078"/>
      <c r="DO8" s="1078"/>
      <c r="DP8" s="1078"/>
      <c r="DQ8" s="1078"/>
      <c r="DR8" s="1078"/>
      <c r="DS8" s="1078"/>
      <c r="DT8" s="1078"/>
      <c r="DU8" s="1078"/>
      <c r="DV8" s="1078"/>
      <c r="DW8" s="1078"/>
      <c r="DX8" s="1078"/>
      <c r="DY8" s="1078"/>
      <c r="DZ8" s="1078"/>
      <c r="EA8" s="1078"/>
      <c r="EB8" s="1078"/>
      <c r="EC8" s="1078"/>
      <c r="ED8" s="1078"/>
      <c r="EE8" s="1078"/>
      <c r="EF8" s="1078"/>
      <c r="EG8" s="1078"/>
      <c r="EH8" s="1079"/>
    </row>
    <row r="9" spans="2:211" s="79" customFormat="1" ht="18.75" hidden="1" customHeight="1">
      <c r="B9" s="1074">
        <f>IF(OR(B8=11,B8=22,B8=33),B8,IF(B8=19,1,(IF(B8&gt;=10,LEFT(B8,1)+RIGHT(B8,1),B8))))</f>
        <v>2</v>
      </c>
      <c r="C9" s="1074"/>
      <c r="D9" s="1074"/>
      <c r="E9" s="1074"/>
      <c r="F9" s="1074"/>
      <c r="G9" s="1074"/>
      <c r="H9" s="1074"/>
      <c r="I9" s="1074"/>
      <c r="K9" s="1075">
        <f>IF(OR(K8=11,K8=22,K8=33),K8,IF(K8&gt;=10,LEFT(K8,1)+RIGHT(K8,1),K8))</f>
        <v>9</v>
      </c>
      <c r="L9" s="1076"/>
      <c r="M9" s="1076"/>
      <c r="N9" s="1076"/>
      <c r="O9" s="1076"/>
      <c r="P9" s="1076"/>
      <c r="Q9" s="1076"/>
      <c r="R9" s="1076"/>
      <c r="S9" s="1076"/>
      <c r="T9" s="1076"/>
      <c r="U9" s="1076"/>
      <c r="V9" s="1076"/>
      <c r="W9" s="1076"/>
      <c r="X9" s="1076"/>
      <c r="Y9" s="1076"/>
      <c r="Z9" s="1076"/>
      <c r="AA9" s="1076"/>
      <c r="AB9" s="1076"/>
      <c r="AC9" s="1076"/>
      <c r="AD9" s="1076"/>
      <c r="AE9" s="1076"/>
      <c r="AF9" s="1076"/>
      <c r="AG9" s="1076"/>
      <c r="AH9" s="1076"/>
      <c r="AI9" s="1076"/>
      <c r="AJ9" s="1076"/>
      <c r="AK9" s="1076"/>
      <c r="AL9" s="1076"/>
      <c r="AM9" s="1076"/>
      <c r="AN9" s="1076"/>
      <c r="AO9" s="1076"/>
      <c r="AP9" s="1076"/>
      <c r="AQ9" s="1076"/>
      <c r="AR9" s="1076"/>
      <c r="AS9" s="1076"/>
      <c r="AT9" s="1076"/>
      <c r="AU9" s="1076"/>
      <c r="AV9" s="1076"/>
      <c r="AW9" s="1076"/>
      <c r="AX9" s="1076"/>
      <c r="AY9" s="1076"/>
      <c r="AZ9" s="1086"/>
      <c r="BA9" s="68"/>
      <c r="BB9" s="1077">
        <f>IF(OR(BB8=11,BB8=22,BB8=33),BB8,IF(BB8&gt;=10,LEFT(BB8,1)+RIGHT(BB8,1),BB8))</f>
        <v>5</v>
      </c>
      <c r="BC9" s="1078"/>
      <c r="BD9" s="1078"/>
      <c r="BE9" s="1078"/>
      <c r="BF9" s="1078"/>
      <c r="BG9" s="1078"/>
      <c r="BH9" s="1078"/>
      <c r="BI9" s="1078"/>
      <c r="BJ9" s="1078"/>
      <c r="BK9" s="1078"/>
      <c r="BL9" s="1078"/>
      <c r="BM9" s="1078"/>
      <c r="BN9" s="1078"/>
      <c r="BO9" s="1078"/>
      <c r="BP9" s="1078"/>
      <c r="BQ9" s="1078"/>
      <c r="BR9" s="1078"/>
      <c r="BS9" s="1078"/>
      <c r="BT9" s="1078"/>
      <c r="BU9" s="1078"/>
      <c r="BV9" s="1078"/>
      <c r="BW9" s="1078"/>
      <c r="BX9" s="1078"/>
      <c r="BY9" s="1078"/>
      <c r="BZ9" s="1078"/>
      <c r="CA9" s="1078"/>
      <c r="CB9" s="1078"/>
      <c r="CC9" s="1078"/>
      <c r="CD9" s="1078"/>
      <c r="CE9" s="1078"/>
      <c r="CF9" s="1078"/>
      <c r="CG9" s="1078"/>
      <c r="CH9" s="1078"/>
      <c r="CI9" s="1078"/>
      <c r="CJ9" s="1078"/>
      <c r="CK9" s="1078"/>
      <c r="CL9" s="1078"/>
      <c r="CM9" s="1078"/>
      <c r="CN9" s="1078"/>
      <c r="CO9" s="1078"/>
      <c r="CP9" s="1078"/>
      <c r="CQ9" s="1079"/>
      <c r="CR9" s="68"/>
      <c r="CS9" s="1077">
        <f>IF(OR(CS8=11,CS8=22,CS8=33),CS8,IF(CS8&gt;=10,LEFT(CS8,1)+RIGHT(CS8,1),CS8))</f>
        <v>4</v>
      </c>
      <c r="CT9" s="1078"/>
      <c r="CU9" s="1078"/>
      <c r="CV9" s="1078"/>
      <c r="CW9" s="1078"/>
      <c r="CX9" s="1078"/>
      <c r="CY9" s="1078"/>
      <c r="CZ9" s="1078"/>
      <c r="DA9" s="1078"/>
      <c r="DB9" s="1078"/>
      <c r="DC9" s="1078"/>
      <c r="DD9" s="1078"/>
      <c r="DE9" s="1078"/>
      <c r="DF9" s="1078"/>
      <c r="DG9" s="1078"/>
      <c r="DH9" s="1078"/>
      <c r="DI9" s="1078"/>
      <c r="DJ9" s="1078"/>
      <c r="DK9" s="1078"/>
      <c r="DL9" s="1078"/>
      <c r="DM9" s="1078"/>
      <c r="DN9" s="1078"/>
      <c r="DO9" s="1078"/>
      <c r="DP9" s="1078"/>
      <c r="DQ9" s="1078"/>
      <c r="DR9" s="1078"/>
      <c r="DS9" s="1078"/>
      <c r="DT9" s="1078"/>
      <c r="DU9" s="1078"/>
      <c r="DV9" s="1078"/>
      <c r="DW9" s="1078"/>
      <c r="DX9" s="1078"/>
      <c r="DY9" s="1078"/>
      <c r="DZ9" s="1078"/>
      <c r="EA9" s="1078"/>
      <c r="EB9" s="1078"/>
      <c r="EC9" s="1078"/>
      <c r="ED9" s="1078"/>
      <c r="EE9" s="1078"/>
      <c r="EF9" s="1078"/>
      <c r="EG9" s="1078"/>
      <c r="EH9" s="1079"/>
    </row>
    <row r="10" spans="2:211" s="79" customFormat="1" ht="25.5" hidden="1" customHeight="1">
      <c r="B10" s="1074">
        <f>IF(OR(B9=11,B9=22,B9=33),B9,IF(B9=19,1,(IF(B9&gt;=10,LEFT(B9,1)+RIGHT(B9,1),B9))))</f>
        <v>2</v>
      </c>
      <c r="C10" s="1074"/>
      <c r="D10" s="1074"/>
      <c r="E10" s="1074"/>
      <c r="F10" s="1074"/>
      <c r="G10" s="1074"/>
      <c r="H10" s="1074"/>
      <c r="I10" s="1074"/>
      <c r="K10" s="1075">
        <f>SUM(K9:AZ9)</f>
        <v>9</v>
      </c>
      <c r="L10" s="1076"/>
      <c r="M10" s="1076"/>
      <c r="N10" s="1076"/>
      <c r="O10" s="1076"/>
      <c r="P10" s="1076"/>
      <c r="Q10" s="1076"/>
      <c r="R10" s="1076"/>
      <c r="S10" s="1076"/>
      <c r="T10" s="1076"/>
      <c r="U10" s="1076"/>
      <c r="V10" s="1076"/>
      <c r="W10" s="1076"/>
      <c r="X10" s="1076"/>
      <c r="Y10" s="1076"/>
      <c r="Z10" s="1076"/>
      <c r="AA10" s="1076"/>
      <c r="AB10" s="1076"/>
      <c r="AC10" s="1076"/>
      <c r="AD10" s="1076"/>
      <c r="AE10" s="1076"/>
      <c r="AF10" s="1076"/>
      <c r="AG10" s="1076"/>
      <c r="AH10" s="1076"/>
      <c r="AI10" s="1076"/>
      <c r="AJ10" s="1076"/>
      <c r="AK10" s="1076"/>
      <c r="AL10" s="1076"/>
      <c r="AM10" s="1076"/>
      <c r="AN10" s="1076"/>
      <c r="AO10" s="1076"/>
      <c r="AP10" s="1076"/>
      <c r="AQ10" s="1076"/>
      <c r="AR10" s="1076"/>
      <c r="AS10" s="1076"/>
      <c r="AT10" s="1076"/>
      <c r="AU10" s="1076"/>
      <c r="AV10" s="1076"/>
      <c r="AW10" s="1076"/>
      <c r="AX10" s="1076"/>
      <c r="AY10" s="1076"/>
      <c r="AZ10" s="1086"/>
      <c r="BA10" s="68"/>
      <c r="BB10" s="1077">
        <f>BB9</f>
        <v>5</v>
      </c>
      <c r="BC10" s="1078"/>
      <c r="BD10" s="1078"/>
      <c r="BE10" s="1078"/>
      <c r="BF10" s="1078"/>
      <c r="BG10" s="1078"/>
      <c r="BH10" s="1078"/>
      <c r="BI10" s="1078"/>
      <c r="BJ10" s="1078"/>
      <c r="BK10" s="1078"/>
      <c r="BL10" s="1078"/>
      <c r="BM10" s="1078"/>
      <c r="BN10" s="1078"/>
      <c r="BO10" s="1078"/>
      <c r="BP10" s="1078"/>
      <c r="BQ10" s="1078"/>
      <c r="BR10" s="1078"/>
      <c r="BS10" s="1078"/>
      <c r="BT10" s="1078"/>
      <c r="BU10" s="1078"/>
      <c r="BV10" s="1078"/>
      <c r="BW10" s="1078"/>
      <c r="BX10" s="1078"/>
      <c r="BY10" s="1078"/>
      <c r="BZ10" s="1078"/>
      <c r="CA10" s="1078"/>
      <c r="CB10" s="1078"/>
      <c r="CC10" s="1078"/>
      <c r="CD10" s="1078"/>
      <c r="CE10" s="1078"/>
      <c r="CF10" s="1078"/>
      <c r="CG10" s="1078"/>
      <c r="CH10" s="1078"/>
      <c r="CI10" s="1078"/>
      <c r="CJ10" s="1078"/>
      <c r="CK10" s="1078"/>
      <c r="CL10" s="1078"/>
      <c r="CM10" s="1078"/>
      <c r="CN10" s="1078"/>
      <c r="CO10" s="1078"/>
      <c r="CP10" s="1078"/>
      <c r="CQ10" s="1079"/>
      <c r="CR10" s="68"/>
      <c r="CS10" s="1087">
        <f>SUM(CS9:EH9)</f>
        <v>4</v>
      </c>
      <c r="CT10" s="1087"/>
      <c r="CU10" s="1087"/>
      <c r="CV10" s="1087"/>
      <c r="CW10" s="1087"/>
      <c r="CX10" s="1087"/>
      <c r="CY10" s="1087"/>
      <c r="CZ10" s="1087"/>
      <c r="DA10" s="1087"/>
      <c r="DB10" s="1087"/>
      <c r="DC10" s="1087"/>
      <c r="DD10" s="1087"/>
      <c r="DE10" s="1087"/>
      <c r="DF10" s="1087"/>
      <c r="DG10" s="1087"/>
      <c r="DH10" s="1087"/>
      <c r="DI10" s="1087"/>
      <c r="DJ10" s="1087"/>
      <c r="DK10" s="1087"/>
      <c r="DL10" s="1087"/>
      <c r="DM10" s="1087"/>
      <c r="DN10" s="1087"/>
      <c r="DO10" s="1087"/>
      <c r="DP10" s="1087"/>
      <c r="DQ10" s="1087"/>
      <c r="DR10" s="1087"/>
      <c r="DS10" s="1087"/>
      <c r="DT10" s="1087"/>
      <c r="DU10" s="1087"/>
      <c r="DV10" s="1087"/>
      <c r="DW10" s="1087"/>
      <c r="DX10" s="1087"/>
      <c r="DY10" s="1087"/>
      <c r="DZ10" s="1087"/>
      <c r="EA10" s="1087"/>
      <c r="EB10" s="1087"/>
      <c r="EC10" s="1087"/>
      <c r="ED10" s="1087"/>
      <c r="EE10" s="1087"/>
      <c r="EF10" s="1087"/>
      <c r="EG10" s="1087"/>
      <c r="EH10" s="1087"/>
      <c r="EI10" s="82"/>
    </row>
    <row r="11" spans="2:211" s="79" customFormat="1" hidden="1">
      <c r="B11" s="1074">
        <f>IF(OR(B10=11,B10=22,B10=33),B10,IF(B10=19,1,(IF(B10&gt;=10,LEFT(B10,1)+RIGHT(B10,1),B10))))</f>
        <v>2</v>
      </c>
      <c r="C11" s="1074"/>
      <c r="D11" s="1074"/>
      <c r="E11" s="1074"/>
      <c r="F11" s="1074"/>
      <c r="G11" s="1074"/>
      <c r="H11" s="1074"/>
      <c r="I11" s="1074"/>
      <c r="K11" s="1075">
        <f>IF(OR(K10=11,K10=22,K10=33),K10,IF(K10=19,1,IF(K10&gt;=10,LEFT(K10,1)+RIGHT(K10,1),K10)))</f>
        <v>9</v>
      </c>
      <c r="L11" s="1076"/>
      <c r="M11" s="1076"/>
      <c r="N11" s="1076"/>
      <c r="O11" s="1076"/>
      <c r="P11" s="1076"/>
      <c r="Q11" s="1076"/>
      <c r="R11" s="1076"/>
      <c r="S11" s="1076"/>
      <c r="T11" s="1076"/>
      <c r="U11" s="1076"/>
      <c r="V11" s="1076"/>
      <c r="W11" s="1076"/>
      <c r="X11" s="1076"/>
      <c r="Y11" s="1076"/>
      <c r="Z11" s="1076"/>
      <c r="AA11" s="1076"/>
      <c r="AB11" s="1076"/>
      <c r="AC11" s="1076"/>
      <c r="AD11" s="1076"/>
      <c r="AE11" s="1076"/>
      <c r="AF11" s="1076"/>
      <c r="AG11" s="1076"/>
      <c r="AH11" s="1076"/>
      <c r="AI11" s="1076"/>
      <c r="AJ11" s="1076"/>
      <c r="AK11" s="1076"/>
      <c r="AL11" s="1076"/>
      <c r="AM11" s="1076"/>
      <c r="AN11" s="1076"/>
      <c r="AO11" s="1076"/>
      <c r="AP11" s="1076"/>
      <c r="AQ11" s="1076"/>
      <c r="AR11" s="1076"/>
      <c r="AS11" s="1076"/>
      <c r="AT11" s="1076"/>
      <c r="AU11" s="1076"/>
      <c r="AV11" s="1076"/>
      <c r="AW11" s="1076"/>
      <c r="AX11" s="1076"/>
      <c r="AY11" s="1076"/>
      <c r="AZ11" s="1086"/>
      <c r="BA11" s="68"/>
      <c r="BB11" s="1077">
        <f>BB10</f>
        <v>5</v>
      </c>
      <c r="BC11" s="1078"/>
      <c r="BD11" s="1078"/>
      <c r="BE11" s="1078"/>
      <c r="BF11" s="1078"/>
      <c r="BG11" s="1078"/>
      <c r="BH11" s="1078"/>
      <c r="BI11" s="1078"/>
      <c r="BJ11" s="1078"/>
      <c r="BK11" s="1078"/>
      <c r="BL11" s="1078"/>
      <c r="BM11" s="1078"/>
      <c r="BN11" s="1078"/>
      <c r="BO11" s="1078"/>
      <c r="BP11" s="1078"/>
      <c r="BQ11" s="1078"/>
      <c r="BR11" s="1078"/>
      <c r="BS11" s="1078"/>
      <c r="BT11" s="1078"/>
      <c r="BU11" s="1078"/>
      <c r="BV11" s="1078"/>
      <c r="BW11" s="1078"/>
      <c r="BX11" s="1078"/>
      <c r="BY11" s="1078"/>
      <c r="BZ11" s="1078"/>
      <c r="CA11" s="1078"/>
      <c r="CB11" s="1078"/>
      <c r="CC11" s="1078"/>
      <c r="CD11" s="1078"/>
      <c r="CE11" s="1078"/>
      <c r="CF11" s="1078"/>
      <c r="CG11" s="1078"/>
      <c r="CH11" s="1078"/>
      <c r="CI11" s="1078"/>
      <c r="CJ11" s="1078"/>
      <c r="CK11" s="1078"/>
      <c r="CL11" s="1078"/>
      <c r="CM11" s="1078"/>
      <c r="CN11" s="1078"/>
      <c r="CO11" s="1078"/>
      <c r="CP11" s="1078"/>
      <c r="CQ11" s="1079"/>
      <c r="CR11" s="68"/>
      <c r="CS11" s="1087">
        <f>IF(OR(CS10=11,CS10=22,CS10=33),CS10,IF(CS10=19,1,IF(CS10&gt;=10,LEFT(CS10,1)+RIGHT(CS10,1),CS10)))</f>
        <v>4</v>
      </c>
      <c r="CT11" s="1087"/>
      <c r="CU11" s="1087"/>
      <c r="CV11" s="1087"/>
      <c r="CW11" s="1087"/>
      <c r="CX11" s="1087"/>
      <c r="CY11" s="1087"/>
      <c r="CZ11" s="1087"/>
      <c r="DA11" s="1087"/>
      <c r="DB11" s="1087"/>
      <c r="DC11" s="1087"/>
      <c r="DD11" s="1087"/>
      <c r="DE11" s="1087"/>
      <c r="DF11" s="1087"/>
      <c r="DG11" s="1087"/>
      <c r="DH11" s="1087"/>
      <c r="DI11" s="1087"/>
      <c r="DJ11" s="1087"/>
      <c r="DK11" s="1087"/>
      <c r="DL11" s="1087"/>
      <c r="DM11" s="1087"/>
      <c r="DN11" s="1087"/>
      <c r="DO11" s="1087"/>
      <c r="DP11" s="1087"/>
      <c r="DQ11" s="1087"/>
      <c r="DR11" s="1087"/>
      <c r="DS11" s="1087"/>
      <c r="DT11" s="1087"/>
      <c r="DU11" s="1087"/>
      <c r="DV11" s="1087"/>
      <c r="DW11" s="1087"/>
      <c r="DX11" s="1087"/>
      <c r="DY11" s="1087"/>
      <c r="DZ11" s="1087"/>
      <c r="EA11" s="1087"/>
      <c r="EB11" s="1087"/>
      <c r="EC11" s="1087"/>
      <c r="ED11" s="1087"/>
      <c r="EE11" s="1087"/>
      <c r="EF11" s="1087"/>
      <c r="EG11" s="1087"/>
      <c r="EH11" s="1087"/>
      <c r="EI11" s="82"/>
    </row>
    <row r="12" spans="2:211" s="86" customFormat="1" ht="23.25" customHeight="1">
      <c r="B12" s="1102">
        <f>B11</f>
        <v>2</v>
      </c>
      <c r="C12" s="1102"/>
      <c r="D12" s="1102"/>
      <c r="E12" s="1102"/>
      <c r="F12" s="1102"/>
      <c r="G12" s="1102"/>
      <c r="H12" s="1102"/>
      <c r="I12" s="1102"/>
      <c r="J12" s="83"/>
      <c r="K12" s="1103">
        <f>IF(OR(K11=11,K11=22,K11=33),K11,IF(K11=19,1,IF(K11&gt;=10,LEFT(K11,1)+RIGHT(K11,1),K11)))</f>
        <v>9</v>
      </c>
      <c r="L12" s="1103"/>
      <c r="M12" s="1103"/>
      <c r="N12" s="1103"/>
      <c r="O12" s="1103"/>
      <c r="P12" s="1103"/>
      <c r="Q12" s="1103"/>
      <c r="R12" s="1103"/>
      <c r="S12" s="1103"/>
      <c r="T12" s="1103"/>
      <c r="U12" s="1103"/>
      <c r="V12" s="1103"/>
      <c r="W12" s="1103"/>
      <c r="X12" s="1103"/>
      <c r="Y12" s="1103"/>
      <c r="Z12" s="1103"/>
      <c r="AA12" s="1103"/>
      <c r="AB12" s="1103"/>
      <c r="AC12" s="1103"/>
      <c r="AD12" s="1103"/>
      <c r="AE12" s="1103"/>
      <c r="AF12" s="1103"/>
      <c r="AG12" s="1103"/>
      <c r="AH12" s="1103"/>
      <c r="AI12" s="1103"/>
      <c r="AJ12" s="1103"/>
      <c r="AK12" s="1103"/>
      <c r="AL12" s="1103"/>
      <c r="AM12" s="1103"/>
      <c r="AN12" s="1103"/>
      <c r="AO12" s="1103"/>
      <c r="AP12" s="1103"/>
      <c r="AQ12" s="1103"/>
      <c r="AR12" s="1103"/>
      <c r="AS12" s="1103"/>
      <c r="AT12" s="1103"/>
      <c r="AU12" s="1103"/>
      <c r="AV12" s="1103"/>
      <c r="AW12" s="1103"/>
      <c r="AX12" s="1103"/>
      <c r="AY12" s="1103"/>
      <c r="AZ12" s="1103"/>
      <c r="BA12" s="84"/>
      <c r="BB12" s="1104">
        <f>IF(OR(BB11=11,BB11=22,BB11=33),BB11,IF(BB11&gt;=10,LEFT(BB11,1)+RIGHT(BB11,1),BB11))</f>
        <v>5</v>
      </c>
      <c r="BC12" s="1105"/>
      <c r="BD12" s="1105"/>
      <c r="BE12" s="1105"/>
      <c r="BF12" s="1105"/>
      <c r="BG12" s="1105"/>
      <c r="BH12" s="1105"/>
      <c r="BI12" s="1105"/>
      <c r="BJ12" s="1105"/>
      <c r="BK12" s="1105"/>
      <c r="BL12" s="1105"/>
      <c r="BM12" s="1105"/>
      <c r="BN12" s="1105"/>
      <c r="BO12" s="1105"/>
      <c r="BP12" s="1105"/>
      <c r="BQ12" s="1105"/>
      <c r="BR12" s="1105"/>
      <c r="BS12" s="1105"/>
      <c r="BT12" s="1105"/>
      <c r="BU12" s="1105"/>
      <c r="BV12" s="1105"/>
      <c r="BW12" s="1105"/>
      <c r="BX12" s="1105"/>
      <c r="BY12" s="1105"/>
      <c r="BZ12" s="1105"/>
      <c r="CA12" s="1105"/>
      <c r="CB12" s="1105"/>
      <c r="CC12" s="1105"/>
      <c r="CD12" s="1105"/>
      <c r="CE12" s="1105"/>
      <c r="CF12" s="1105"/>
      <c r="CG12" s="1105"/>
      <c r="CH12" s="1105"/>
      <c r="CI12" s="1105"/>
      <c r="CJ12" s="1105"/>
      <c r="CK12" s="1105"/>
      <c r="CL12" s="1105"/>
      <c r="CM12" s="1105"/>
      <c r="CN12" s="1105"/>
      <c r="CO12" s="1105"/>
      <c r="CP12" s="1105"/>
      <c r="CQ12" s="1106"/>
      <c r="CR12" s="84"/>
      <c r="CS12" s="1107">
        <f>IF(OR(CS11=11,CS11=22,),CS11,IF(CS11=19,1,IF(CS11&gt;=10,LEFT(CS11,1)+RIGHT(CS11,1),IF(CS11=33,6,CS11))))</f>
        <v>4</v>
      </c>
      <c r="CT12" s="1107"/>
      <c r="CU12" s="1107"/>
      <c r="CV12" s="1107"/>
      <c r="CW12" s="1107"/>
      <c r="CX12" s="1107"/>
      <c r="CY12" s="1107"/>
      <c r="CZ12" s="1107"/>
      <c r="DA12" s="1107"/>
      <c r="DB12" s="1107"/>
      <c r="DC12" s="1107"/>
      <c r="DD12" s="1107"/>
      <c r="DE12" s="1107"/>
      <c r="DF12" s="1107"/>
      <c r="DG12" s="1107"/>
      <c r="DH12" s="1107"/>
      <c r="DI12" s="1107"/>
      <c r="DJ12" s="1107"/>
      <c r="DK12" s="1107"/>
      <c r="DL12" s="1107"/>
      <c r="DM12" s="1107"/>
      <c r="DN12" s="1107"/>
      <c r="DO12" s="1107"/>
      <c r="DP12" s="1107"/>
      <c r="DQ12" s="1107"/>
      <c r="DR12" s="1107"/>
      <c r="DS12" s="1107"/>
      <c r="DT12" s="1107"/>
      <c r="DU12" s="1107"/>
      <c r="DV12" s="1107"/>
      <c r="DW12" s="1107"/>
      <c r="DX12" s="1107"/>
      <c r="DY12" s="1107"/>
      <c r="DZ12" s="1107"/>
      <c r="EA12" s="1107"/>
      <c r="EB12" s="1107"/>
      <c r="EC12" s="1107"/>
      <c r="ED12" s="1107"/>
      <c r="EE12" s="1107"/>
      <c r="EF12" s="1107"/>
      <c r="EG12" s="1107"/>
      <c r="EH12" s="1107"/>
      <c r="EI12" s="85"/>
    </row>
    <row r="13" spans="2:211" ht="4.5" customHeight="1">
      <c r="B13" s="1108" t="str">
        <f>IF(B12=1,"NHÀ LÃNH ĐẠO BẨM SINH",IF(B12=2,"TỐT BỤNG, NGOẠI GIAO TỐT",IF(B12=3,"THÍCH NỔI BẬT",IF(B12=4,"LẬP KẾ HOẠCH THỰC CHIẾN",IF(B12=5,"BỐC ĐỒNG PHIÊU LƯU",IF(B12=6,"TÌNH YÊU",IF(B12=7,"THÔNG MINH VÀ BÍ ẨN",IF(B12=8,"SINH RA ĐỂ THÀNH ÔNG CHỦ",IF(B12=9,"TÂM HỒN HOÀI CỔ",IF(B12=11,"TRỰC GIÁC NHẠY BÉN",IF(B12=22,"KIẾN TẠO ĐẠI TÀI",IF(B12=33,"NHÀ GIÁO ĐẠI TÀI",0))))))))))))</f>
        <v>TỐT BỤNG, NGOẠI GIAO TỐT</v>
      </c>
      <c r="C13" s="1108"/>
      <c r="D13" s="1108"/>
      <c r="E13" s="1108"/>
      <c r="F13" s="1108"/>
      <c r="G13" s="1108"/>
      <c r="H13" s="1108"/>
      <c r="I13" s="1108"/>
      <c r="J13" s="1109"/>
      <c r="K13" s="1110" t="str">
        <f>IF(K12=9,"NGƯỜI CÓ TẤM LÒNG NHÂN ĐẠO",IF(K12=1,"NGƯỜI LÃNH ĐẠO VÀ 
RA QUYẾT ĐỊNH",IF(K12=8,"NGƯỜI ĐIỀU HÀNH",IF(K12=3,"NGHỆ SĨ VÀ NHÂN VẬT GIẢI TRÍ",IF(K12=2,"NGƯỜI ĐỒNG ĐỘI TỐT",IF(K12=4,"NGƯỜI LẬP KẾ HOẠCH 
VÀ NHÀ SẢN XUẤT",IF(K12=5,"NGƯỜI TÌM KIẾM 
SỰ MẠO HIỂM",IF(K12=6,"NGƯỜI THEO CHỦ NGHĨA 
HOÀN HẢO",IF(K12=7,"NGƯỜI CÓ TRỰC GIÁC 
THÔNG MINH",IF(K12=11,"NGƯỜI CÓ TRỰC GIÁC 
NHẠY BÉN",IF(K12=22,"KIẾN TRÚC SƯ TÀI BA",IF(K12=33,"NHÂN VẬT CÓ TẦM ẢNH HƯỞNG",0))))))))))))</f>
        <v>NGƯỜI CÓ TẤM LÒNG NHÂN ĐẠO</v>
      </c>
      <c r="L13" s="1110"/>
      <c r="M13" s="1110"/>
      <c r="N13" s="1110"/>
      <c r="O13" s="1110"/>
      <c r="P13" s="1110"/>
      <c r="Q13" s="1110"/>
      <c r="R13" s="1110"/>
      <c r="S13" s="1110"/>
      <c r="T13" s="1110"/>
      <c r="U13" s="1110"/>
      <c r="V13" s="1110"/>
      <c r="W13" s="1110"/>
      <c r="X13" s="1110"/>
      <c r="Y13" s="1110"/>
      <c r="Z13" s="1110"/>
      <c r="AA13" s="1110"/>
      <c r="AB13" s="1110"/>
      <c r="AC13" s="1110"/>
      <c r="AD13" s="1110"/>
      <c r="AE13" s="1110"/>
      <c r="AF13" s="1110"/>
      <c r="AG13" s="1110"/>
      <c r="AH13" s="1110"/>
      <c r="AI13" s="1110"/>
      <c r="AJ13" s="1110"/>
      <c r="AK13" s="1110"/>
      <c r="AL13" s="1110"/>
      <c r="AM13" s="1110"/>
      <c r="AN13" s="1110"/>
      <c r="AO13" s="1110"/>
      <c r="AP13" s="1110"/>
      <c r="AQ13" s="1110"/>
      <c r="AR13" s="1110"/>
      <c r="AS13" s="1110"/>
      <c r="AT13" s="1110"/>
      <c r="AU13" s="1110"/>
      <c r="AV13" s="1110"/>
      <c r="AW13" s="1110"/>
      <c r="AX13" s="1110"/>
      <c r="AY13" s="1110"/>
      <c r="AZ13" s="1110"/>
      <c r="BA13" s="87"/>
      <c r="BB13" s="1111" t="str">
        <f>IF(BB12=1,"NGƯỜI THU HÚT NGƯỜI KHÁC",IF(OR(BB12=2,BB12=11),"NGƯỜI TẬN TÂM 
NHIỆT TÌNH",IF(BB12=3,"NGƯỜI CÓ SỨC QUYẾN RŨ",IF(OR(BB12=4,BB12=22),"NGƯỜI BỘC TRỰC",IF(BB12=5,"NGƯỜI CÓ TÂM HỒN 
TỰ DO",IF(OR(BB12=6,BB12=33),"NGƯỜI YÊU THƯƠNG",IF(BB12=7,"NGƯỜI BÍ ẨN",IF(BB12=8,"NGƯỜI PHẤN ĐẤU",IF(BB12=9,"NGƯỜI CÓ LÒNG BÁC ÁI",0)))))))))</f>
        <v>NGƯỜI CÓ TÂM HỒN 
TỰ DO</v>
      </c>
      <c r="BC13" s="1112"/>
      <c r="BD13" s="1112"/>
      <c r="BE13" s="1112"/>
      <c r="BF13" s="1112"/>
      <c r="BG13" s="1112"/>
      <c r="BH13" s="1112"/>
      <c r="BI13" s="1112"/>
      <c r="BJ13" s="1112"/>
      <c r="BK13" s="1112"/>
      <c r="BL13" s="1112"/>
      <c r="BM13" s="1112"/>
      <c r="BN13" s="1112"/>
      <c r="BO13" s="1112"/>
      <c r="BP13" s="1112"/>
      <c r="BQ13" s="1112"/>
      <c r="BR13" s="1112"/>
      <c r="BS13" s="1112"/>
      <c r="BT13" s="1112"/>
      <c r="BU13" s="1112"/>
      <c r="BV13" s="1112"/>
      <c r="BW13" s="1112"/>
      <c r="BX13" s="1112"/>
      <c r="BY13" s="1112"/>
      <c r="BZ13" s="1112"/>
      <c r="CA13" s="1112"/>
      <c r="CB13" s="1112"/>
      <c r="CC13" s="1112"/>
      <c r="CD13" s="1112"/>
      <c r="CE13" s="1112"/>
      <c r="CF13" s="1112"/>
      <c r="CG13" s="1112"/>
      <c r="CH13" s="1112"/>
      <c r="CI13" s="1112"/>
      <c r="CJ13" s="1112"/>
      <c r="CK13" s="1112"/>
      <c r="CL13" s="1112"/>
      <c r="CM13" s="1112"/>
      <c r="CN13" s="1112"/>
      <c r="CO13" s="1112"/>
      <c r="CP13" s="1112"/>
      <c r="CQ13" s="1113"/>
      <c r="CR13" s="87"/>
      <c r="CS13" s="1117" t="str">
        <f>IF(CS12=1,"NĂNG ĐỘNG VÀ HIỆU QUẢ",IF(OR(CS12=2,CS12=11),"THÂN THIỆN VÀ KHIÊM TỐN",IF(CS12=3,"TRUYỀN CẢM HỨNG VÀ THU HÚT",IF(OR(CS12=4,CS12=22),"ĐÁNG TIN CẬY VÀ NHẤT QUÁN",IF(CS12=5,"NỔI BẬT VÀ DÍ DỎM",IF(OR(CS12=6,CS12=33),"THẤU HIỂU VÀ ĐỒNG CẢM",IF(CS12=7,"NGHIÊM TÚC VÀ BÍ ẨN",IF(CS12=8,"MẠNH MẼ VÀ ẤN TƯỢNG",IF(CS12=9,"ẤN TƯỢNG VÀ CÁ TÍNH",0)))))))))</f>
        <v>ĐÁNG TIN CẬY VÀ NHẤT QUÁN</v>
      </c>
      <c r="CT13" s="1117"/>
      <c r="CU13" s="1117"/>
      <c r="CV13" s="1117"/>
      <c r="CW13" s="1117"/>
      <c r="CX13" s="1117"/>
      <c r="CY13" s="1117"/>
      <c r="CZ13" s="1117"/>
      <c r="DA13" s="1117"/>
      <c r="DB13" s="1117"/>
      <c r="DC13" s="1117"/>
      <c r="DD13" s="1117"/>
      <c r="DE13" s="1117"/>
      <c r="DF13" s="1117"/>
      <c r="DG13" s="1117"/>
      <c r="DH13" s="1117"/>
      <c r="DI13" s="1117"/>
      <c r="DJ13" s="1117"/>
      <c r="DK13" s="1117"/>
      <c r="DL13" s="1117"/>
      <c r="DM13" s="1117"/>
      <c r="DN13" s="1117"/>
      <c r="DO13" s="1117"/>
      <c r="DP13" s="1117"/>
      <c r="DQ13" s="1117"/>
      <c r="DR13" s="1117"/>
      <c r="DS13" s="1117"/>
      <c r="DT13" s="1117"/>
      <c r="DU13" s="1117"/>
      <c r="DV13" s="1117"/>
      <c r="DW13" s="1117"/>
      <c r="DX13" s="1117"/>
      <c r="DY13" s="1117"/>
      <c r="DZ13" s="1117"/>
      <c r="EA13" s="1117"/>
      <c r="EB13" s="1117"/>
      <c r="EC13" s="1117"/>
      <c r="ED13" s="1117"/>
      <c r="EE13" s="1117"/>
      <c r="EF13" s="1117"/>
      <c r="EG13" s="1117"/>
      <c r="EH13" s="1117"/>
      <c r="EI13" s="88"/>
    </row>
    <row r="14" spans="2:211" ht="27" customHeight="1">
      <c r="B14" s="1108"/>
      <c r="C14" s="1108"/>
      <c r="D14" s="1108"/>
      <c r="E14" s="1108"/>
      <c r="F14" s="1108"/>
      <c r="G14" s="1108"/>
      <c r="H14" s="1108"/>
      <c r="I14" s="1108"/>
      <c r="J14" s="1109"/>
      <c r="K14" s="1110"/>
      <c r="L14" s="1110"/>
      <c r="M14" s="1110"/>
      <c r="N14" s="1110"/>
      <c r="O14" s="1110"/>
      <c r="P14" s="1110"/>
      <c r="Q14" s="1110"/>
      <c r="R14" s="1110"/>
      <c r="S14" s="1110"/>
      <c r="T14" s="1110"/>
      <c r="U14" s="1110"/>
      <c r="V14" s="1110"/>
      <c r="W14" s="1110"/>
      <c r="X14" s="1110"/>
      <c r="Y14" s="1110"/>
      <c r="Z14" s="1110"/>
      <c r="AA14" s="1110"/>
      <c r="AB14" s="1110"/>
      <c r="AC14" s="1110"/>
      <c r="AD14" s="1110"/>
      <c r="AE14" s="1110"/>
      <c r="AF14" s="1110"/>
      <c r="AG14" s="1110"/>
      <c r="AH14" s="1110"/>
      <c r="AI14" s="1110"/>
      <c r="AJ14" s="1110"/>
      <c r="AK14" s="1110"/>
      <c r="AL14" s="1110"/>
      <c r="AM14" s="1110"/>
      <c r="AN14" s="1110"/>
      <c r="AO14" s="1110"/>
      <c r="AP14" s="1110"/>
      <c r="AQ14" s="1110"/>
      <c r="AR14" s="1110"/>
      <c r="AS14" s="1110"/>
      <c r="AT14" s="1110"/>
      <c r="AU14" s="1110"/>
      <c r="AV14" s="1110"/>
      <c r="AW14" s="1110"/>
      <c r="AX14" s="1110"/>
      <c r="AY14" s="1110"/>
      <c r="AZ14" s="1110"/>
      <c r="BA14" s="87"/>
      <c r="BB14" s="1114"/>
      <c r="BC14" s="1115"/>
      <c r="BD14" s="1115"/>
      <c r="BE14" s="1115"/>
      <c r="BF14" s="1115"/>
      <c r="BG14" s="1115"/>
      <c r="BH14" s="1115"/>
      <c r="BI14" s="1115"/>
      <c r="BJ14" s="1115"/>
      <c r="BK14" s="1115"/>
      <c r="BL14" s="1115"/>
      <c r="BM14" s="1115"/>
      <c r="BN14" s="1115"/>
      <c r="BO14" s="1115"/>
      <c r="BP14" s="1115"/>
      <c r="BQ14" s="1115"/>
      <c r="BR14" s="1115"/>
      <c r="BS14" s="1115"/>
      <c r="BT14" s="1115"/>
      <c r="BU14" s="1115"/>
      <c r="BV14" s="1115"/>
      <c r="BW14" s="1115"/>
      <c r="BX14" s="1115"/>
      <c r="BY14" s="1115"/>
      <c r="BZ14" s="1115"/>
      <c r="CA14" s="1115"/>
      <c r="CB14" s="1115"/>
      <c r="CC14" s="1115"/>
      <c r="CD14" s="1115"/>
      <c r="CE14" s="1115"/>
      <c r="CF14" s="1115"/>
      <c r="CG14" s="1115"/>
      <c r="CH14" s="1115"/>
      <c r="CI14" s="1115"/>
      <c r="CJ14" s="1115"/>
      <c r="CK14" s="1115"/>
      <c r="CL14" s="1115"/>
      <c r="CM14" s="1115"/>
      <c r="CN14" s="1115"/>
      <c r="CO14" s="1115"/>
      <c r="CP14" s="1115"/>
      <c r="CQ14" s="1116"/>
      <c r="CR14" s="87"/>
      <c r="CS14" s="1117"/>
      <c r="CT14" s="1117"/>
      <c r="CU14" s="1117"/>
      <c r="CV14" s="1117"/>
      <c r="CW14" s="1117"/>
      <c r="CX14" s="1117"/>
      <c r="CY14" s="1117"/>
      <c r="CZ14" s="1117"/>
      <c r="DA14" s="1117"/>
      <c r="DB14" s="1117"/>
      <c r="DC14" s="1117"/>
      <c r="DD14" s="1117"/>
      <c r="DE14" s="1117"/>
      <c r="DF14" s="1117"/>
      <c r="DG14" s="1117"/>
      <c r="DH14" s="1117"/>
      <c r="DI14" s="1117"/>
      <c r="DJ14" s="1117"/>
      <c r="DK14" s="1117"/>
      <c r="DL14" s="1117"/>
      <c r="DM14" s="1117"/>
      <c r="DN14" s="1117"/>
      <c r="DO14" s="1117"/>
      <c r="DP14" s="1117"/>
      <c r="DQ14" s="1117"/>
      <c r="DR14" s="1117"/>
      <c r="DS14" s="1117"/>
      <c r="DT14" s="1117"/>
      <c r="DU14" s="1117"/>
      <c r="DV14" s="1117"/>
      <c r="DW14" s="1117"/>
      <c r="DX14" s="1117"/>
      <c r="DY14" s="1117"/>
      <c r="DZ14" s="1117"/>
      <c r="EA14" s="1117"/>
      <c r="EB14" s="1117"/>
      <c r="EC14" s="1117"/>
      <c r="ED14" s="1117"/>
      <c r="EE14" s="1117"/>
      <c r="EF14" s="1117"/>
      <c r="EG14" s="1117"/>
      <c r="EH14" s="1117"/>
      <c r="EI14" s="88"/>
    </row>
    <row r="15" spans="2:211">
      <c r="K15" s="89"/>
      <c r="L15" s="89"/>
      <c r="M15" s="89"/>
      <c r="N15" s="89"/>
      <c r="O15" s="89"/>
      <c r="P15" s="89"/>
      <c r="Q15" s="89"/>
      <c r="R15" s="89"/>
      <c r="S15" s="89"/>
      <c r="T15" s="89"/>
      <c r="U15" s="89"/>
      <c r="V15" s="89"/>
      <c r="W15" s="89"/>
      <c r="X15" s="89"/>
      <c r="Y15" s="89"/>
      <c r="Z15" s="89"/>
      <c r="AA15" s="89"/>
      <c r="AB15" s="89"/>
      <c r="AC15" s="89"/>
      <c r="AD15" s="89"/>
      <c r="AE15" s="89"/>
      <c r="AF15" s="89"/>
      <c r="AG15" s="89"/>
      <c r="AH15" s="89"/>
      <c r="AI15" s="89"/>
      <c r="AJ15" s="89"/>
      <c r="AK15" s="89"/>
      <c r="AL15" s="89"/>
      <c r="AM15" s="89"/>
      <c r="AN15" s="89"/>
      <c r="AO15" s="89"/>
      <c r="AP15" s="89"/>
      <c r="AQ15" s="89"/>
      <c r="AR15" s="89"/>
      <c r="AS15" s="89"/>
      <c r="AT15" s="89"/>
      <c r="AU15" s="89"/>
      <c r="AV15" s="89"/>
      <c r="AW15" s="89"/>
      <c r="AX15" s="89"/>
      <c r="AY15" s="89"/>
      <c r="AZ15" s="89"/>
      <c r="BB15" s="90"/>
      <c r="BC15" s="88"/>
      <c r="BD15" s="88"/>
      <c r="BE15" s="88"/>
      <c r="BF15" s="88"/>
      <c r="BG15" s="88"/>
      <c r="BH15" s="88"/>
      <c r="BI15" s="88"/>
      <c r="BJ15" s="88"/>
      <c r="BK15" s="88"/>
      <c r="BL15" s="88"/>
      <c r="BM15" s="88"/>
      <c r="BN15" s="88"/>
      <c r="BO15" s="88"/>
      <c r="BP15" s="88"/>
      <c r="BQ15" s="88"/>
      <c r="BR15" s="88"/>
      <c r="BS15" s="88"/>
      <c r="BT15" s="88"/>
      <c r="BU15" s="88"/>
      <c r="BV15" s="88"/>
      <c r="BW15" s="88"/>
      <c r="BX15" s="88"/>
      <c r="BY15" s="88"/>
      <c r="BZ15" s="88"/>
      <c r="CA15" s="88"/>
      <c r="CB15" s="88"/>
      <c r="CC15" s="88"/>
      <c r="CD15" s="88"/>
      <c r="CE15" s="88"/>
      <c r="CF15" s="88"/>
      <c r="CG15" s="88"/>
      <c r="CH15" s="88"/>
      <c r="CI15" s="88"/>
      <c r="CJ15" s="88"/>
      <c r="CK15" s="88"/>
      <c r="CL15" s="88"/>
      <c r="CM15" s="88"/>
      <c r="CN15" s="88"/>
      <c r="CO15" s="88"/>
      <c r="CP15" s="88"/>
      <c r="CQ15" s="88"/>
      <c r="CS15" s="66"/>
      <c r="CT15" s="66"/>
      <c r="CU15" s="66"/>
      <c r="CV15" s="66"/>
      <c r="CW15" s="66"/>
      <c r="CX15" s="66"/>
      <c r="CY15" s="66"/>
      <c r="CZ15" s="66"/>
      <c r="DA15" s="66"/>
      <c r="DB15" s="66"/>
      <c r="DC15" s="66"/>
      <c r="DD15" s="66"/>
      <c r="DE15" s="66"/>
      <c r="DF15" s="66"/>
      <c r="EI15" s="88"/>
    </row>
    <row r="16" spans="2:211" ht="12" customHeight="1">
      <c r="K16" s="89"/>
      <c r="L16" s="89"/>
      <c r="M16" s="89"/>
      <c r="N16" s="89"/>
      <c r="O16" s="89"/>
      <c r="P16" s="89"/>
      <c r="Q16" s="89"/>
      <c r="R16" s="89"/>
      <c r="S16" s="89"/>
      <c r="T16" s="89"/>
      <c r="U16" s="89"/>
      <c r="V16" s="89"/>
      <c r="W16" s="89"/>
      <c r="X16" s="89"/>
      <c r="Y16" s="89"/>
      <c r="Z16" s="89"/>
      <c r="AA16" s="89"/>
      <c r="AB16" s="89"/>
      <c r="AC16" s="89"/>
      <c r="AD16" s="89"/>
      <c r="AE16" s="89"/>
      <c r="AF16" s="89"/>
      <c r="AG16" s="89"/>
      <c r="AH16" s="89"/>
      <c r="AI16" s="89"/>
      <c r="AJ16" s="89"/>
      <c r="AK16" s="89"/>
      <c r="AL16" s="89"/>
      <c r="AM16" s="89"/>
      <c r="AN16" s="89"/>
      <c r="AO16" s="89"/>
      <c r="AP16" s="89"/>
      <c r="AQ16" s="89"/>
      <c r="AR16" s="89"/>
      <c r="AS16" s="89"/>
      <c r="AT16" s="89"/>
      <c r="AU16" s="89"/>
      <c r="AV16" s="89"/>
      <c r="AW16" s="89"/>
      <c r="AX16" s="89"/>
      <c r="AY16" s="89"/>
      <c r="AZ16" s="89"/>
      <c r="BB16" s="88"/>
      <c r="BC16" s="88"/>
      <c r="BD16" s="88"/>
      <c r="BE16" s="88"/>
      <c r="BF16" s="88"/>
      <c r="BG16" s="88"/>
      <c r="BH16" s="88"/>
      <c r="BI16" s="88"/>
      <c r="BJ16" s="88"/>
      <c r="BK16" s="88"/>
      <c r="BL16" s="88"/>
      <c r="BM16" s="88"/>
      <c r="BN16" s="88"/>
      <c r="BO16" s="88"/>
      <c r="BP16" s="88"/>
      <c r="BQ16" s="88"/>
      <c r="BR16" s="88"/>
      <c r="BS16" s="88"/>
      <c r="BT16" s="88"/>
      <c r="BU16" s="88"/>
      <c r="BV16" s="88"/>
      <c r="BW16" s="88"/>
      <c r="BX16" s="88"/>
      <c r="BY16" s="88"/>
      <c r="BZ16" s="88"/>
      <c r="CA16" s="88"/>
      <c r="CB16" s="88"/>
      <c r="CC16" s="88"/>
      <c r="CD16" s="88"/>
      <c r="CE16" s="88"/>
      <c r="CF16" s="88"/>
      <c r="CG16" s="88"/>
      <c r="CH16" s="88"/>
      <c r="CI16" s="88"/>
      <c r="CJ16" s="88"/>
      <c r="CK16" s="88"/>
      <c r="CL16" s="88"/>
      <c r="CM16" s="88"/>
      <c r="CN16" s="88"/>
      <c r="CO16" s="88"/>
      <c r="CP16" s="88"/>
      <c r="CQ16" s="88"/>
      <c r="CS16" s="66"/>
      <c r="CT16" s="66"/>
      <c r="CU16" s="66"/>
      <c r="CV16" s="66"/>
      <c r="CW16" s="66"/>
      <c r="CX16" s="66"/>
      <c r="CY16" s="66"/>
      <c r="CZ16" s="66"/>
      <c r="DA16" s="66"/>
      <c r="DB16" s="66"/>
      <c r="DC16" s="66"/>
      <c r="DD16" s="66"/>
      <c r="DE16" s="66"/>
      <c r="DF16" s="66"/>
    </row>
    <row r="17" spans="2:138" ht="39" customHeight="1">
      <c r="B17" s="1088" t="s">
        <v>177</v>
      </c>
      <c r="C17" s="1089"/>
      <c r="D17" s="1089"/>
      <c r="E17" s="1089"/>
      <c r="F17" s="1089"/>
      <c r="G17" s="1090"/>
      <c r="H17" s="1091">
        <f>IF(OR(B7=11,B7=22),B7,IF(B7=19,1,IF(B7&gt;=10,LEFT(B7,1)+RIGHT(B7,1),B7)))</f>
        <v>6</v>
      </c>
      <c r="I17" s="1092"/>
      <c r="K17" s="1093" t="s">
        <v>178</v>
      </c>
      <c r="L17" s="1094"/>
      <c r="M17" s="1094"/>
      <c r="N17" s="1094"/>
      <c r="O17" s="1094"/>
      <c r="P17" s="1094"/>
      <c r="Q17" s="1094"/>
      <c r="R17" s="1094"/>
      <c r="S17" s="1094"/>
      <c r="T17" s="1094"/>
      <c r="U17" s="1094"/>
      <c r="V17" s="1094"/>
      <c r="W17" s="1094"/>
      <c r="X17" s="1094"/>
      <c r="Y17" s="1094"/>
      <c r="Z17" s="1094"/>
      <c r="AA17" s="1094"/>
      <c r="AB17" s="1094"/>
      <c r="AC17" s="1094"/>
      <c r="AD17" s="1094"/>
      <c r="AE17" s="1094"/>
      <c r="AF17" s="1094"/>
      <c r="AG17" s="1094"/>
      <c r="AH17" s="1095"/>
      <c r="AI17" s="1095"/>
      <c r="AJ17" s="1095"/>
      <c r="AK17" s="1095"/>
      <c r="AL17" s="1096">
        <f>IF(OR(B7+D7=11,B7+D7=22,B7+D7=33),B7+D7,IF(B7+D7=19,1,IF(B7+D7=28,1,IF(B7+D7=37,1,IF(B7+D7&gt;=10,LEFT(B7+D7,1)+RIGHT(B7+D7,1),B7+D7)))))</f>
        <v>5</v>
      </c>
      <c r="AM17" s="1097"/>
      <c r="AN17" s="1097"/>
      <c r="AO17" s="1097"/>
      <c r="AP17" s="1097"/>
      <c r="AQ17" s="1097"/>
      <c r="AR17" s="1097"/>
      <c r="AS17" s="1097"/>
      <c r="AT17" s="1098"/>
      <c r="AU17" s="1098"/>
      <c r="AV17" s="1098"/>
      <c r="AW17" s="1098"/>
      <c r="AX17" s="1098"/>
      <c r="AY17" s="1098"/>
      <c r="AZ17" s="1099"/>
      <c r="BA17" s="91"/>
      <c r="BB17" s="1100" t="s">
        <v>179</v>
      </c>
      <c r="BC17" s="1100"/>
      <c r="BD17" s="1100"/>
      <c r="BE17" s="1100"/>
      <c r="BF17" s="1100"/>
      <c r="BG17" s="1100"/>
      <c r="BH17" s="1100"/>
      <c r="BI17" s="1100"/>
      <c r="BJ17" s="1100"/>
      <c r="BK17" s="1100"/>
      <c r="BL17" s="1100"/>
      <c r="BM17" s="1100"/>
      <c r="BN17" s="1100"/>
      <c r="BO17" s="1100"/>
      <c r="BP17" s="1100"/>
      <c r="BQ17" s="1100"/>
      <c r="BR17" s="1100"/>
      <c r="BS17" s="1100"/>
      <c r="BT17" s="1100"/>
      <c r="BU17" s="1100"/>
      <c r="BV17" s="1100"/>
      <c r="BW17" s="1100"/>
      <c r="BX17" s="1100"/>
      <c r="BY17" s="1100"/>
      <c r="BZ17" s="1100"/>
      <c r="CA17" s="1100"/>
      <c r="CB17" s="1100"/>
      <c r="CC17" s="1100"/>
      <c r="CD17" s="1100"/>
      <c r="CE17" s="1100"/>
      <c r="CF17" s="1100"/>
      <c r="CG17" s="1100"/>
      <c r="CH17" s="1100"/>
      <c r="CI17" s="1100"/>
      <c r="CJ17" s="1100"/>
      <c r="CK17" s="1100"/>
      <c r="CL17" s="1100"/>
      <c r="CM17" s="1100"/>
      <c r="CN17" s="1100"/>
      <c r="CO17" s="1100"/>
      <c r="CP17" s="1100"/>
      <c r="CQ17" s="1100"/>
      <c r="CR17" s="92"/>
      <c r="CS17" s="1101" t="s">
        <v>180</v>
      </c>
      <c r="CT17" s="1101"/>
      <c r="CU17" s="1101"/>
      <c r="CV17" s="1101"/>
      <c r="CW17" s="1101"/>
      <c r="CX17" s="1101"/>
      <c r="CY17" s="1101"/>
      <c r="CZ17" s="1101"/>
      <c r="DA17" s="1101"/>
      <c r="DB17" s="1101"/>
      <c r="DC17" s="1101"/>
      <c r="DD17" s="1101"/>
      <c r="DE17" s="1101"/>
      <c r="DF17" s="1101"/>
      <c r="DG17" s="1101"/>
      <c r="DH17" s="1101"/>
      <c r="DI17" s="1101"/>
      <c r="DJ17" s="1101"/>
      <c r="DK17" s="1101"/>
      <c r="DL17" s="1101"/>
      <c r="DM17" s="1101"/>
      <c r="DN17" s="1101"/>
      <c r="DO17" s="1101"/>
      <c r="DP17" s="1101"/>
      <c r="DQ17" s="1101"/>
      <c r="DR17" s="1101"/>
      <c r="DS17" s="1101"/>
      <c r="DT17" s="1101"/>
      <c r="DU17" s="1101"/>
      <c r="DV17" s="1101"/>
      <c r="DW17" s="1101"/>
      <c r="DX17" s="1101"/>
      <c r="DY17" s="1101"/>
      <c r="DZ17" s="1101"/>
      <c r="EA17" s="1101"/>
      <c r="EB17" s="1101"/>
      <c r="EC17" s="1101"/>
      <c r="ED17" s="1101"/>
      <c r="EE17" s="1101"/>
      <c r="EF17" s="1101"/>
      <c r="EG17" s="1101"/>
      <c r="EH17" s="1101"/>
    </row>
    <row r="18" spans="2:138" ht="9.75" customHeight="1">
      <c r="K18" s="89"/>
      <c r="L18" s="89"/>
      <c r="M18" s="89"/>
      <c r="N18" s="89"/>
      <c r="O18" s="89"/>
      <c r="P18" s="89"/>
      <c r="Q18" s="89"/>
      <c r="R18" s="89"/>
      <c r="S18" s="89"/>
      <c r="T18" s="89"/>
      <c r="U18" s="89"/>
      <c r="V18" s="89"/>
      <c r="W18" s="89"/>
      <c r="X18" s="89"/>
      <c r="Y18" s="89"/>
      <c r="Z18" s="89"/>
      <c r="AA18" s="89"/>
      <c r="AB18" s="89"/>
      <c r="AC18" s="89"/>
      <c r="AD18" s="89"/>
      <c r="AE18" s="89"/>
      <c r="AF18" s="89"/>
      <c r="AG18" s="89"/>
      <c r="AH18" s="89"/>
      <c r="AI18" s="89"/>
      <c r="AJ18" s="89"/>
      <c r="AK18" s="89"/>
      <c r="AL18" s="89"/>
      <c r="AM18" s="89"/>
      <c r="AN18" s="89"/>
      <c r="AO18" s="89"/>
      <c r="AP18" s="89"/>
      <c r="AQ18" s="89"/>
      <c r="AR18" s="89"/>
      <c r="AS18" s="89"/>
      <c r="AT18" s="89"/>
      <c r="AU18" s="89"/>
      <c r="AV18" s="89"/>
      <c r="AW18" s="89"/>
      <c r="AX18" s="89"/>
      <c r="AY18" s="89"/>
      <c r="AZ18" s="89"/>
      <c r="BB18" s="1100"/>
      <c r="BC18" s="1100"/>
      <c r="BD18" s="1100"/>
      <c r="BE18" s="1100"/>
      <c r="BF18" s="1100"/>
      <c r="BG18" s="1100"/>
      <c r="BH18" s="1100"/>
      <c r="BI18" s="1100"/>
      <c r="BJ18" s="1100"/>
      <c r="BK18" s="1100"/>
      <c r="BL18" s="1100"/>
      <c r="BM18" s="1100"/>
      <c r="BN18" s="1100"/>
      <c r="BO18" s="1100"/>
      <c r="BP18" s="1100"/>
      <c r="BQ18" s="1100"/>
      <c r="BR18" s="1100"/>
      <c r="BS18" s="1100"/>
      <c r="BT18" s="1100"/>
      <c r="BU18" s="1100"/>
      <c r="BV18" s="1100"/>
      <c r="BW18" s="1100"/>
      <c r="BX18" s="1100"/>
      <c r="BY18" s="1100"/>
      <c r="BZ18" s="1100"/>
      <c r="CA18" s="1100"/>
      <c r="CB18" s="1100"/>
      <c r="CC18" s="1100"/>
      <c r="CD18" s="1100"/>
      <c r="CE18" s="1100"/>
      <c r="CF18" s="1100"/>
      <c r="CG18" s="1100"/>
      <c r="CH18" s="1100"/>
      <c r="CI18" s="1100"/>
      <c r="CJ18" s="1100"/>
      <c r="CK18" s="1100"/>
      <c r="CL18" s="1100"/>
      <c r="CM18" s="1100"/>
      <c r="CN18" s="1100"/>
      <c r="CO18" s="1100"/>
      <c r="CP18" s="1100"/>
      <c r="CQ18" s="1100"/>
      <c r="CR18" s="92"/>
      <c r="CS18" s="1101" t="s">
        <v>181</v>
      </c>
      <c r="CT18" s="1101"/>
      <c r="CU18" s="1101"/>
      <c r="CV18" s="1101"/>
      <c r="CW18" s="1101"/>
      <c r="CX18" s="1101"/>
      <c r="CY18" s="1101"/>
      <c r="CZ18" s="1101"/>
      <c r="DA18" s="1101"/>
      <c r="DB18" s="1101"/>
      <c r="DC18" s="1101"/>
      <c r="DD18" s="1101"/>
      <c r="DE18" s="1101"/>
      <c r="DF18" s="1101"/>
      <c r="DG18" s="1101"/>
      <c r="DH18" s="1101"/>
      <c r="DI18" s="1101"/>
      <c r="DJ18" s="1101"/>
      <c r="DK18" s="1101"/>
      <c r="DL18" s="1101"/>
      <c r="DM18" s="1101"/>
      <c r="DN18" s="1101"/>
      <c r="DO18" s="1101"/>
      <c r="DP18" s="1101"/>
      <c r="DQ18" s="1101"/>
      <c r="DR18" s="1101"/>
      <c r="DS18" s="1101"/>
      <c r="DT18" s="1101"/>
      <c r="DU18" s="1101"/>
      <c r="DV18" s="1101"/>
      <c r="DW18" s="1101"/>
      <c r="DX18" s="1101"/>
      <c r="DY18" s="1101"/>
      <c r="DZ18" s="1101"/>
      <c r="EA18" s="1101"/>
      <c r="EB18" s="1101"/>
      <c r="EC18" s="1101"/>
      <c r="ED18" s="1101"/>
      <c r="EE18" s="1101"/>
      <c r="EF18" s="1101"/>
      <c r="EG18" s="1101"/>
      <c r="EH18" s="1101"/>
    </row>
    <row r="19" spans="2:138" ht="16.5" customHeight="1">
      <c r="I19" s="93">
        <f>B10+K10</f>
        <v>11</v>
      </c>
      <c r="K19" s="89"/>
      <c r="L19" s="89"/>
      <c r="M19" s="89"/>
      <c r="N19" s="89"/>
      <c r="O19" s="89"/>
      <c r="P19" s="89"/>
      <c r="Q19" s="89"/>
      <c r="R19" s="89"/>
      <c r="S19" s="89"/>
      <c r="T19" s="89"/>
      <c r="U19" s="89"/>
      <c r="V19" s="89"/>
      <c r="W19" s="89"/>
      <c r="X19" s="89"/>
      <c r="Y19" s="89"/>
      <c r="Z19" s="89"/>
      <c r="AA19" s="89"/>
      <c r="AB19" s="89"/>
      <c r="AC19" s="89"/>
      <c r="AD19" s="89"/>
      <c r="AE19" s="89"/>
      <c r="AF19" s="89"/>
      <c r="AG19" s="89"/>
      <c r="AH19" s="89"/>
      <c r="AI19" s="89"/>
      <c r="AJ19" s="89"/>
      <c r="AK19" s="89"/>
      <c r="AL19" s="89"/>
      <c r="AM19" s="89"/>
      <c r="AN19" s="89"/>
      <c r="AO19" s="89"/>
      <c r="AP19" s="89"/>
      <c r="AQ19" s="89"/>
      <c r="AR19" s="89"/>
      <c r="AS19" s="89"/>
      <c r="AT19" s="89"/>
      <c r="AU19" s="89"/>
      <c r="AV19" s="89"/>
      <c r="AW19" s="89"/>
      <c r="AX19" s="89"/>
      <c r="AY19" s="89"/>
      <c r="AZ19" s="89"/>
      <c r="BB19" s="66"/>
      <c r="BC19" s="66"/>
      <c r="BD19" s="66"/>
      <c r="BE19" s="66"/>
      <c r="BF19" s="66"/>
      <c r="BG19" s="66"/>
      <c r="BH19" s="66"/>
      <c r="BI19" s="66"/>
      <c r="BJ19" s="66"/>
      <c r="BK19" s="66"/>
      <c r="BL19" s="66"/>
      <c r="BM19" s="66"/>
      <c r="BN19" s="66"/>
      <c r="BO19" s="66"/>
      <c r="BU19" s="79"/>
      <c r="BV19" s="79"/>
      <c r="BW19" s="79"/>
      <c r="BX19" s="79"/>
      <c r="BY19" s="79"/>
      <c r="BZ19" s="79"/>
      <c r="CA19" s="79"/>
      <c r="CS19" s="1101"/>
      <c r="CT19" s="1101"/>
      <c r="CU19" s="1101"/>
      <c r="CV19" s="1101"/>
      <c r="CW19" s="1101"/>
      <c r="CX19" s="1101"/>
      <c r="CY19" s="1101"/>
      <c r="CZ19" s="1101"/>
      <c r="DA19" s="1101"/>
      <c r="DB19" s="1101"/>
      <c r="DC19" s="1101"/>
      <c r="DD19" s="1101"/>
      <c r="DE19" s="1101"/>
      <c r="DF19" s="1101"/>
      <c r="DG19" s="1101"/>
      <c r="DH19" s="1101"/>
      <c r="DI19" s="1101"/>
      <c r="DJ19" s="1101"/>
      <c r="DK19" s="1101"/>
      <c r="DL19" s="1101"/>
      <c r="DM19" s="1101"/>
      <c r="DN19" s="1101"/>
      <c r="DO19" s="1101"/>
      <c r="DP19" s="1101"/>
      <c r="DQ19" s="1101"/>
      <c r="DR19" s="1101"/>
      <c r="DS19" s="1101"/>
      <c r="DT19" s="1101"/>
      <c r="DU19" s="1101"/>
      <c r="DV19" s="1101"/>
      <c r="DW19" s="1101"/>
      <c r="DX19" s="1101"/>
      <c r="DY19" s="1101"/>
      <c r="DZ19" s="1101"/>
      <c r="EA19" s="1101"/>
      <c r="EB19" s="1101"/>
      <c r="EC19" s="1101"/>
      <c r="ED19" s="1101"/>
      <c r="EE19" s="1101"/>
      <c r="EF19" s="1101"/>
      <c r="EG19" s="1101"/>
      <c r="EH19" s="1101"/>
    </row>
    <row r="20" spans="2:138" ht="21.75" customHeight="1">
      <c r="I20" s="93">
        <f>IF(OR(I19=11,I19=22,I19=33),I19,IF(I19&gt;=10,RIGHT(I19,1)+LEFT(I19,1),I19))</f>
        <v>11</v>
      </c>
      <c r="K20" s="1134" t="s">
        <v>182</v>
      </c>
      <c r="L20" s="1135"/>
      <c r="M20" s="1135"/>
      <c r="N20" s="1135"/>
      <c r="O20" s="1135"/>
      <c r="P20" s="1135"/>
      <c r="Q20" s="1135"/>
      <c r="R20" s="1135"/>
      <c r="S20" s="1135"/>
      <c r="T20" s="1135"/>
      <c r="U20" s="1135"/>
      <c r="V20" s="1135"/>
      <c r="W20" s="1135"/>
      <c r="X20" s="1135"/>
      <c r="Y20" s="1135"/>
      <c r="Z20" s="1135"/>
      <c r="AA20" s="1135"/>
      <c r="AB20" s="1135"/>
      <c r="AC20" s="1135"/>
      <c r="AD20" s="1136"/>
      <c r="AE20" s="1140">
        <f ca="1">YEAR(TODAY())</f>
        <v>2026</v>
      </c>
      <c r="AF20" s="1141"/>
      <c r="AG20" s="1141"/>
      <c r="AH20" s="1142"/>
      <c r="AI20" s="1142"/>
      <c r="AJ20" s="1142"/>
      <c r="AK20" s="1143"/>
      <c r="AL20" s="94" t="str">
        <f t="shared" ref="AL20:AQ20" ca="1" si="16">MID($AE$20,COLUMN()-(COLUMN($AL$20)- 1),1)</f>
        <v>2</v>
      </c>
      <c r="AM20" s="94" t="str">
        <f t="shared" ca="1" si="16"/>
        <v>0</v>
      </c>
      <c r="AN20" s="94" t="str">
        <f t="shared" ca="1" si="16"/>
        <v>2</v>
      </c>
      <c r="AO20" s="94" t="str">
        <f t="shared" ca="1" si="16"/>
        <v>6</v>
      </c>
      <c r="AP20" s="94" t="str">
        <f t="shared" ca="1" si="16"/>
        <v/>
      </c>
      <c r="AQ20" s="94" t="str">
        <f t="shared" ca="1" si="16"/>
        <v/>
      </c>
      <c r="AR20" s="95"/>
      <c r="AS20" s="95"/>
      <c r="AT20" s="94" t="str">
        <f ca="1">MID($AE$20,COLUMN()-(COLUMN($AL$20)- 1),1)</f>
        <v/>
      </c>
      <c r="AU20" s="94" t="str">
        <f ca="1">MID($AE$20,COLUMN()-(COLUMN($AL$20)- 1),1)</f>
        <v/>
      </c>
      <c r="AV20" s="94" t="str">
        <f ca="1">MID($AE$20,COLUMN()-(COLUMN($AL$20)- 1),1)</f>
        <v/>
      </c>
      <c r="AW20" s="1148">
        <f ca="1">AL20+AM20+AN20+AO20</f>
        <v>10</v>
      </c>
      <c r="AX20" s="1148"/>
      <c r="AY20" s="1148"/>
      <c r="AZ20" s="1148"/>
      <c r="BB20" s="1149" t="s">
        <v>183</v>
      </c>
      <c r="BC20" s="1150"/>
      <c r="BD20" s="1150"/>
      <c r="BE20" s="1150"/>
      <c r="BF20" s="1150"/>
      <c r="BG20" s="1150"/>
      <c r="BH20" s="1150"/>
      <c r="BI20" s="1150"/>
      <c r="BJ20" s="1150"/>
      <c r="BK20" s="1150"/>
      <c r="BL20" s="1150"/>
      <c r="BM20" s="1150"/>
      <c r="BN20" s="1150"/>
      <c r="BO20" s="1150"/>
      <c r="BP20" s="1150"/>
      <c r="BQ20" s="1150"/>
      <c r="BR20" s="1150"/>
      <c r="BS20" s="1150"/>
      <c r="BT20" s="1150"/>
      <c r="BU20" s="1150"/>
      <c r="BV20" s="1151"/>
      <c r="BW20" s="1155">
        <f ca="1">MONTH(TODAY())</f>
        <v>7</v>
      </c>
      <c r="BX20" s="1156"/>
      <c r="BY20" s="1156"/>
      <c r="BZ20" s="1157"/>
      <c r="CA20" s="1161">
        <f ca="1">BW20+AL22</f>
        <v>13</v>
      </c>
      <c r="CB20" s="1148"/>
      <c r="CC20" s="1148"/>
      <c r="CD20" s="1148"/>
      <c r="CE20" s="1148"/>
      <c r="CF20" s="1148"/>
      <c r="CG20" s="1148"/>
      <c r="CH20" s="1148"/>
      <c r="CI20" s="1148"/>
      <c r="CJ20" s="1148"/>
      <c r="CK20" s="1148"/>
      <c r="CL20" s="1148"/>
      <c r="CM20" s="1148"/>
      <c r="CN20" s="1148"/>
      <c r="CO20" s="1148"/>
      <c r="CP20" s="1148"/>
      <c r="CQ20" s="1148"/>
      <c r="CR20" s="1148"/>
      <c r="CS20" s="1118">
        <v>2023</v>
      </c>
      <c r="CT20" s="1118"/>
      <c r="CU20" s="1118"/>
      <c r="CV20" s="1118"/>
      <c r="CW20" s="1118"/>
      <c r="CX20" s="1118"/>
      <c r="CY20" s="1118"/>
      <c r="CZ20" s="1118"/>
      <c r="DA20" s="1118"/>
      <c r="DB20" s="1118"/>
      <c r="DC20" s="1118"/>
      <c r="DD20" s="1118"/>
      <c r="DE20" s="1118"/>
      <c r="DF20" s="1118"/>
      <c r="DG20" s="1118"/>
      <c r="DH20" s="1118"/>
      <c r="DI20" s="1118"/>
      <c r="DJ20" s="1118"/>
      <c r="DK20" s="1118"/>
      <c r="DL20" s="1118"/>
      <c r="DM20" s="1118"/>
      <c r="DN20" s="1118"/>
      <c r="DO20" s="1118"/>
      <c r="DP20" s="1118"/>
      <c r="DQ20" s="1118"/>
      <c r="DR20" s="1118"/>
      <c r="DS20" s="1118"/>
      <c r="DT20" s="1118"/>
      <c r="DU20" s="1118"/>
      <c r="DV20" s="1118"/>
      <c r="DW20" s="1118"/>
      <c r="DX20" s="1118"/>
      <c r="DY20" s="1118"/>
      <c r="DZ20" s="1118"/>
      <c r="EA20" s="1118"/>
      <c r="EB20" s="1118"/>
      <c r="EC20" s="1118"/>
      <c r="ED20" s="1118"/>
      <c r="EE20" s="1118"/>
      <c r="EF20" s="1118"/>
      <c r="EG20" s="1118"/>
      <c r="EH20" s="1118"/>
    </row>
    <row r="21" spans="2:138" ht="14.25" customHeight="1">
      <c r="I21" s="79"/>
      <c r="K21" s="1137"/>
      <c r="L21" s="1138"/>
      <c r="M21" s="1138"/>
      <c r="N21" s="1138"/>
      <c r="O21" s="1138"/>
      <c r="P21" s="1138"/>
      <c r="Q21" s="1138"/>
      <c r="R21" s="1138"/>
      <c r="S21" s="1138"/>
      <c r="T21" s="1138"/>
      <c r="U21" s="1138"/>
      <c r="V21" s="1138"/>
      <c r="W21" s="1138"/>
      <c r="X21" s="1138"/>
      <c r="Y21" s="1138"/>
      <c r="Z21" s="1138"/>
      <c r="AA21" s="1138"/>
      <c r="AB21" s="1138"/>
      <c r="AC21" s="1138"/>
      <c r="AD21" s="1139"/>
      <c r="AE21" s="1144"/>
      <c r="AF21" s="1145"/>
      <c r="AG21" s="1145"/>
      <c r="AH21" s="1146"/>
      <c r="AI21" s="1146"/>
      <c r="AJ21" s="1146"/>
      <c r="AK21" s="1147"/>
      <c r="AL21" s="1119">
        <f ca="1">IF(AW20&gt;=10,LEFT(AW20,1)+RIGHT(AW20,1),AW20)</f>
        <v>1</v>
      </c>
      <c r="AM21" s="1119"/>
      <c r="AN21" s="1119"/>
      <c r="AO21" s="1119"/>
      <c r="AP21" s="1119"/>
      <c r="AQ21" s="1119"/>
      <c r="AR21" s="1119"/>
      <c r="AS21" s="1119"/>
      <c r="AT21" s="1119"/>
      <c r="AU21" s="1119"/>
      <c r="AV21" s="1119"/>
      <c r="AW21" s="1119"/>
      <c r="AX21" s="1119"/>
      <c r="AY21" s="1119"/>
      <c r="AZ21" s="1119"/>
      <c r="BB21" s="1152"/>
      <c r="BC21" s="1153"/>
      <c r="BD21" s="1153"/>
      <c r="BE21" s="1153"/>
      <c r="BF21" s="1153"/>
      <c r="BG21" s="1153"/>
      <c r="BH21" s="1153"/>
      <c r="BI21" s="1153"/>
      <c r="BJ21" s="1153"/>
      <c r="BK21" s="1153"/>
      <c r="BL21" s="1153"/>
      <c r="BM21" s="1153"/>
      <c r="BN21" s="1153"/>
      <c r="BO21" s="1153"/>
      <c r="BP21" s="1153"/>
      <c r="BQ21" s="1153"/>
      <c r="BR21" s="1153"/>
      <c r="BS21" s="1153"/>
      <c r="BT21" s="1153"/>
      <c r="BU21" s="1153"/>
      <c r="BV21" s="1154"/>
      <c r="BW21" s="1158"/>
      <c r="BX21" s="1159"/>
      <c r="BY21" s="1159"/>
      <c r="BZ21" s="1160"/>
      <c r="CA21" s="1161"/>
      <c r="CB21" s="1148"/>
      <c r="CC21" s="1148"/>
      <c r="CD21" s="1148"/>
      <c r="CE21" s="1148"/>
      <c r="CF21" s="1148"/>
      <c r="CG21" s="1148"/>
      <c r="CH21" s="1148"/>
      <c r="CI21" s="1148"/>
      <c r="CJ21" s="1148"/>
      <c r="CK21" s="1148"/>
      <c r="CL21" s="1148"/>
      <c r="CM21" s="1148"/>
      <c r="CN21" s="1148"/>
      <c r="CO21" s="1148"/>
      <c r="CP21" s="1148"/>
      <c r="CQ21" s="1148"/>
      <c r="CR21" s="1148"/>
      <c r="CS21" s="1118"/>
      <c r="CT21" s="1118"/>
      <c r="CU21" s="1118"/>
      <c r="CV21" s="1118"/>
      <c r="CW21" s="1118"/>
      <c r="CX21" s="1118"/>
      <c r="CY21" s="1118"/>
      <c r="CZ21" s="1118"/>
      <c r="DA21" s="1118"/>
      <c r="DB21" s="1118"/>
      <c r="DC21" s="1118"/>
      <c r="DD21" s="1118"/>
      <c r="DE21" s="1118"/>
      <c r="DF21" s="1118"/>
      <c r="DG21" s="1118"/>
      <c r="DH21" s="1118"/>
      <c r="DI21" s="1118"/>
      <c r="DJ21" s="1118"/>
      <c r="DK21" s="1118"/>
      <c r="DL21" s="1118"/>
      <c r="DM21" s="1118"/>
      <c r="DN21" s="1118"/>
      <c r="DO21" s="1118"/>
      <c r="DP21" s="1118"/>
      <c r="DQ21" s="1118"/>
      <c r="DR21" s="1118"/>
      <c r="DS21" s="1118"/>
      <c r="DT21" s="1118"/>
      <c r="DU21" s="1118"/>
      <c r="DV21" s="1118"/>
      <c r="DW21" s="1118"/>
      <c r="DX21" s="1118"/>
      <c r="DY21" s="1118"/>
      <c r="DZ21" s="1118"/>
      <c r="EA21" s="1118"/>
      <c r="EB21" s="1118"/>
      <c r="EC21" s="1118"/>
      <c r="ED21" s="1118"/>
      <c r="EE21" s="1118"/>
      <c r="EF21" s="1118"/>
      <c r="EG21" s="1118"/>
      <c r="EH21" s="1118"/>
    </row>
    <row r="22" spans="2:138" ht="29.25" customHeight="1">
      <c r="B22" s="1068" t="s">
        <v>184</v>
      </c>
      <c r="C22" s="1069"/>
      <c r="D22" s="1069"/>
      <c r="E22" s="1069"/>
      <c r="F22" s="1069"/>
      <c r="G22" s="1069"/>
      <c r="H22" s="1120">
        <f>IF(OR(I20=11,I20=22,I20=33),I20,IF(I20&gt;=10,LEFT(I20,1)+RIGHT(I20,1),I20))</f>
        <v>11</v>
      </c>
      <c r="I22" s="1121"/>
      <c r="K22" s="1122" t="s">
        <v>185</v>
      </c>
      <c r="L22" s="1123"/>
      <c r="M22" s="1123"/>
      <c r="N22" s="1123"/>
      <c r="O22" s="1123"/>
      <c r="P22" s="1123"/>
      <c r="Q22" s="1123"/>
      <c r="R22" s="1123"/>
      <c r="S22" s="1123"/>
      <c r="T22" s="1123"/>
      <c r="U22" s="1123"/>
      <c r="V22" s="1123"/>
      <c r="W22" s="1123"/>
      <c r="X22" s="1123"/>
      <c r="Y22" s="1123"/>
      <c r="Z22" s="1123"/>
      <c r="AA22" s="1123"/>
      <c r="AB22" s="1123"/>
      <c r="AC22" s="1123"/>
      <c r="AD22" s="1123"/>
      <c r="AE22" s="1123"/>
      <c r="AF22" s="1123"/>
      <c r="AG22" s="1123"/>
      <c r="AH22" s="1124"/>
      <c r="AI22" s="1124"/>
      <c r="AJ22" s="1124"/>
      <c r="AK22" s="1125"/>
      <c r="AL22" s="1096">
        <f ca="1">IF(OR(AL21+AL17=11,AL17+AL21=22,AL17+AL21=33),(AL17+AL21),IF(AL17+AL21=19,1,IF(AL17+AL21=28,1,IF(AL17+AL21=37,1,IF(AL17+AL21&gt;=10,LEFT((AL17+AL21),1)+RIGHT((AL17+AL21),1),AL17+AL21)))))</f>
        <v>6</v>
      </c>
      <c r="AM22" s="1097"/>
      <c r="AN22" s="1097"/>
      <c r="AO22" s="1097"/>
      <c r="AP22" s="1097"/>
      <c r="AQ22" s="1097"/>
      <c r="AR22" s="1097"/>
      <c r="AS22" s="1097"/>
      <c r="AT22" s="1098"/>
      <c r="AU22" s="1098"/>
      <c r="AV22" s="1098"/>
      <c r="AW22" s="1098"/>
      <c r="AX22" s="1098"/>
      <c r="AY22" s="1098"/>
      <c r="AZ22" s="1099"/>
      <c r="BB22" s="1126" t="s">
        <v>186</v>
      </c>
      <c r="BC22" s="1127"/>
      <c r="BD22" s="1127"/>
      <c r="BE22" s="1127"/>
      <c r="BF22" s="1127"/>
      <c r="BG22" s="1127"/>
      <c r="BH22" s="1127"/>
      <c r="BI22" s="1127"/>
      <c r="BJ22" s="1127"/>
      <c r="BK22" s="1127"/>
      <c r="BL22" s="1127"/>
      <c r="BM22" s="1127"/>
      <c r="BN22" s="1127"/>
      <c r="BO22" s="1127"/>
      <c r="BP22" s="1127"/>
      <c r="BQ22" s="1127"/>
      <c r="BR22" s="1127"/>
      <c r="BS22" s="1127"/>
      <c r="BT22" s="1127"/>
      <c r="BU22" s="1127"/>
      <c r="BV22" s="1127"/>
      <c r="BW22" s="1127"/>
      <c r="BX22" s="1127"/>
      <c r="BY22" s="1127"/>
      <c r="BZ22" s="1128"/>
      <c r="CA22" s="1129">
        <f ca="1">IF(CA20=19,1,IF(CA20&gt;=10,LEFT(CA20,1)+RIGHT(CA20,1),CA20))</f>
        <v>4</v>
      </c>
      <c r="CB22" s="1130"/>
      <c r="CC22" s="1130"/>
      <c r="CD22" s="1130"/>
      <c r="CE22" s="1130"/>
      <c r="CF22" s="1130"/>
      <c r="CG22" s="1130"/>
      <c r="CH22" s="1130"/>
      <c r="CI22" s="1130"/>
      <c r="CJ22" s="1130"/>
      <c r="CK22" s="1130"/>
      <c r="CL22" s="1130"/>
      <c r="CM22" s="1130"/>
      <c r="CN22" s="1130"/>
      <c r="CO22" s="1130"/>
      <c r="CP22" s="1130"/>
      <c r="CQ22" s="1131"/>
      <c r="CR22" s="96"/>
      <c r="CS22" s="1132"/>
      <c r="CT22" s="1133"/>
      <c r="CU22" s="1133"/>
      <c r="CV22" s="1133"/>
      <c r="CW22" s="1133"/>
      <c r="CX22" s="1133"/>
      <c r="CY22" s="1133"/>
      <c r="CZ22" s="1132"/>
      <c r="DA22" s="1133"/>
      <c r="DB22" s="1133"/>
      <c r="DC22" s="1133"/>
      <c r="DD22" s="1133"/>
      <c r="DE22" s="1133"/>
      <c r="DF22" s="1133"/>
      <c r="DG22" s="1132"/>
      <c r="DH22" s="1133"/>
      <c r="DI22" s="1133"/>
      <c r="DJ22" s="1133"/>
      <c r="DK22" s="1133"/>
      <c r="DL22" s="1133"/>
      <c r="DM22" s="1133"/>
      <c r="DN22" s="1132"/>
      <c r="DO22" s="1133"/>
      <c r="DP22" s="1133"/>
      <c r="DQ22" s="1133"/>
      <c r="DR22" s="1133"/>
      <c r="DS22" s="1133"/>
      <c r="DT22" s="1133"/>
      <c r="DU22" s="1132"/>
      <c r="DV22" s="1133"/>
      <c r="DW22" s="1133"/>
      <c r="DX22" s="1133"/>
      <c r="DY22" s="1133"/>
      <c r="DZ22" s="1133"/>
      <c r="EA22" s="1133"/>
      <c r="EB22" s="1132"/>
      <c r="EC22" s="1133"/>
      <c r="ED22" s="1133"/>
      <c r="EE22" s="1133"/>
      <c r="EF22" s="1133"/>
      <c r="EG22" s="1133"/>
      <c r="EH22" s="1133"/>
    </row>
    <row r="23" spans="2:138" s="79" customFormat="1" ht="14.25" hidden="1" customHeight="1">
      <c r="B23" s="97"/>
      <c r="C23" s="98"/>
      <c r="D23" s="98"/>
      <c r="E23" s="98"/>
      <c r="F23" s="98"/>
      <c r="G23" s="98"/>
      <c r="H23" s="99"/>
      <c r="I23" s="99"/>
      <c r="K23" s="100"/>
      <c r="L23" s="100"/>
      <c r="M23" s="100"/>
      <c r="N23" s="100"/>
      <c r="O23" s="100"/>
      <c r="P23" s="100"/>
      <c r="Q23" s="100"/>
      <c r="R23" s="100"/>
      <c r="S23" s="100"/>
      <c r="T23" s="100"/>
      <c r="U23" s="100"/>
      <c r="V23" s="100"/>
      <c r="W23" s="100"/>
      <c r="X23" s="100"/>
      <c r="Y23" s="100"/>
      <c r="Z23" s="100"/>
      <c r="AA23" s="100"/>
      <c r="AB23" s="100"/>
      <c r="AC23" s="100"/>
      <c r="AD23" s="100"/>
      <c r="AE23" s="100"/>
      <c r="AF23" s="100"/>
      <c r="AG23" s="100"/>
      <c r="AH23" s="100"/>
      <c r="AI23" s="100"/>
      <c r="AJ23" s="100"/>
      <c r="AK23" s="100"/>
      <c r="AL23" s="101"/>
      <c r="AM23" s="101"/>
      <c r="AN23" s="101"/>
      <c r="AO23" s="101"/>
      <c r="AP23" s="101"/>
      <c r="AQ23" s="101"/>
      <c r="AR23" s="101"/>
      <c r="AS23" s="101"/>
      <c r="AT23" s="101"/>
      <c r="AU23" s="101"/>
      <c r="AV23" s="101"/>
      <c r="AW23" s="101"/>
      <c r="AX23" s="101"/>
      <c r="AY23" s="101"/>
      <c r="AZ23" s="101"/>
      <c r="BA23" s="68"/>
      <c r="BB23" s="100"/>
      <c r="BC23" s="100"/>
      <c r="BD23" s="100"/>
      <c r="BE23" s="100"/>
      <c r="BF23" s="100"/>
      <c r="BG23" s="100"/>
      <c r="BH23" s="100"/>
      <c r="BI23" s="100"/>
      <c r="BJ23" s="100"/>
      <c r="BK23" s="100"/>
      <c r="BL23" s="100"/>
      <c r="BM23" s="100"/>
      <c r="BN23" s="100"/>
      <c r="BO23" s="100"/>
      <c r="BP23" s="100"/>
      <c r="BQ23" s="100"/>
      <c r="BR23" s="100"/>
      <c r="BS23" s="100"/>
      <c r="BT23" s="100"/>
      <c r="BU23" s="100"/>
      <c r="BV23" s="100"/>
      <c r="BW23" s="100"/>
      <c r="BX23" s="100"/>
      <c r="BY23" s="100"/>
      <c r="BZ23" s="100"/>
      <c r="CA23" s="101"/>
      <c r="CB23" s="101"/>
      <c r="CC23" s="101"/>
      <c r="CD23" s="101"/>
      <c r="CE23" s="101"/>
      <c r="CF23" s="101"/>
      <c r="CG23" s="101"/>
      <c r="CH23" s="101"/>
      <c r="CI23" s="101"/>
      <c r="CJ23" s="101"/>
      <c r="CK23" s="101"/>
      <c r="CL23" s="101"/>
      <c r="CM23" s="101"/>
      <c r="CN23" s="101"/>
      <c r="CO23" s="101"/>
      <c r="CP23" s="101"/>
      <c r="CQ23" s="101"/>
      <c r="CR23" s="102"/>
      <c r="CS23" s="103" t="str">
        <f t="shared" ref="CS23:CY23" si="17">MID($CS$22,COLUMN()-(COLUMN($CS$24)- 1),1)</f>
        <v/>
      </c>
      <c r="CT23" s="103" t="str">
        <f t="shared" si="17"/>
        <v/>
      </c>
      <c r="CU23" s="103" t="str">
        <f t="shared" si="17"/>
        <v/>
      </c>
      <c r="CV23" s="103" t="str">
        <f t="shared" si="17"/>
        <v/>
      </c>
      <c r="CW23" s="103" t="str">
        <f t="shared" si="17"/>
        <v/>
      </c>
      <c r="CX23" s="103" t="str">
        <f t="shared" si="17"/>
        <v/>
      </c>
      <c r="CY23" s="103" t="str">
        <f t="shared" si="17"/>
        <v/>
      </c>
      <c r="CZ23" s="103" t="str">
        <f>MID($CZ$22,COLUMN()-(COLUMN($CZ$23)- 1),1)</f>
        <v/>
      </c>
      <c r="DA23" s="103" t="str">
        <f t="shared" ref="DA23:DF23" si="18">MID($CZ$22,COLUMN()-(COLUMN($CZ$23)- 1),1)</f>
        <v/>
      </c>
      <c r="DB23" s="103" t="str">
        <f t="shared" si="18"/>
        <v/>
      </c>
      <c r="DC23" s="103" t="str">
        <f t="shared" si="18"/>
        <v/>
      </c>
      <c r="DD23" s="103" t="str">
        <f t="shared" si="18"/>
        <v/>
      </c>
      <c r="DE23" s="103" t="str">
        <f t="shared" si="18"/>
        <v/>
      </c>
      <c r="DF23" s="103" t="str">
        <f t="shared" si="18"/>
        <v/>
      </c>
      <c r="DG23" s="103" t="str">
        <f>MID($DG$22,COLUMN()-(COLUMN($DG$23)- 1),1)</f>
        <v/>
      </c>
      <c r="DH23" s="103" t="str">
        <f t="shared" ref="DH23:DM23" si="19">MID($DG$22,COLUMN()-(COLUMN($DG$23)- 1),1)</f>
        <v/>
      </c>
      <c r="DI23" s="103" t="str">
        <f t="shared" si="19"/>
        <v/>
      </c>
      <c r="DJ23" s="103" t="str">
        <f t="shared" si="19"/>
        <v/>
      </c>
      <c r="DK23" s="103" t="str">
        <f t="shared" si="19"/>
        <v/>
      </c>
      <c r="DL23" s="103" t="str">
        <f t="shared" si="19"/>
        <v/>
      </c>
      <c r="DM23" s="103" t="str">
        <f t="shared" si="19"/>
        <v/>
      </c>
      <c r="DN23" s="103" t="str">
        <f>MID($DN$22,COLUMN()-(COLUMN($DN$23)- 1),1)</f>
        <v/>
      </c>
      <c r="DO23" s="103" t="str">
        <f t="shared" ref="DO23:DT23" si="20">MID($DN$22,COLUMN()-(COLUMN($DN$23)- 1),1)</f>
        <v/>
      </c>
      <c r="DP23" s="103" t="str">
        <f t="shared" si="20"/>
        <v/>
      </c>
      <c r="DQ23" s="103" t="str">
        <f t="shared" si="20"/>
        <v/>
      </c>
      <c r="DR23" s="103" t="str">
        <f t="shared" si="20"/>
        <v/>
      </c>
      <c r="DS23" s="103" t="str">
        <f t="shared" si="20"/>
        <v/>
      </c>
      <c r="DT23" s="103" t="str">
        <f t="shared" si="20"/>
        <v/>
      </c>
      <c r="DU23" s="103" t="str">
        <f>MID($DU$22,COLUMN()-(COLUMN($DU$23)- 1),1)</f>
        <v/>
      </c>
      <c r="DV23" s="103" t="str">
        <f t="shared" ref="DV23:EA23" si="21">MID($DU$22,COLUMN()-(COLUMN($DU$23)- 1),1)</f>
        <v/>
      </c>
      <c r="DW23" s="103" t="str">
        <f t="shared" si="21"/>
        <v/>
      </c>
      <c r="DX23" s="103" t="str">
        <f t="shared" si="21"/>
        <v/>
      </c>
      <c r="DY23" s="103" t="str">
        <f t="shared" si="21"/>
        <v/>
      </c>
      <c r="DZ23" s="103" t="str">
        <f t="shared" si="21"/>
        <v/>
      </c>
      <c r="EA23" s="103" t="str">
        <f t="shared" si="21"/>
        <v/>
      </c>
      <c r="EB23" s="103" t="str">
        <f>MID($EB$22,COLUMN()-(COLUMN($EB$23)- 1),1)</f>
        <v/>
      </c>
      <c r="EC23" s="103" t="str">
        <f t="shared" ref="EC23:EH23" si="22">MID($EB$22,COLUMN()-(COLUMN($EB$23)- 1),1)</f>
        <v/>
      </c>
      <c r="ED23" s="103" t="str">
        <f t="shared" si="22"/>
        <v/>
      </c>
      <c r="EE23" s="103" t="str">
        <f t="shared" si="22"/>
        <v/>
      </c>
      <c r="EF23" s="103" t="str">
        <f t="shared" si="22"/>
        <v/>
      </c>
      <c r="EG23" s="103" t="str">
        <f t="shared" si="22"/>
        <v/>
      </c>
      <c r="EH23" s="103" t="str">
        <f t="shared" si="22"/>
        <v/>
      </c>
    </row>
    <row r="24" spans="2:138" ht="15" customHeight="1">
      <c r="K24" s="66"/>
      <c r="L24" s="66"/>
      <c r="M24" s="66"/>
      <c r="N24" s="66"/>
      <c r="O24" s="66"/>
      <c r="P24" s="66"/>
      <c r="Q24" s="66"/>
      <c r="R24" s="66"/>
      <c r="S24" s="66"/>
      <c r="T24" s="66"/>
      <c r="U24" s="66"/>
      <c r="V24" s="66"/>
      <c r="W24" s="66"/>
      <c r="X24" s="66"/>
      <c r="BB24" s="66"/>
      <c r="BC24" s="66"/>
      <c r="BD24" s="66"/>
      <c r="BE24" s="66"/>
      <c r="BF24" s="66"/>
      <c r="BG24" s="66"/>
      <c r="BH24" s="66"/>
      <c r="BI24" s="66"/>
      <c r="BJ24" s="66"/>
      <c r="BK24" s="66"/>
      <c r="BL24" s="66"/>
      <c r="BM24" s="66"/>
      <c r="BN24" s="66"/>
      <c r="BO24" s="66"/>
      <c r="CR24" s="66"/>
      <c r="CS24" s="104" t="str">
        <f>IF(OR(CS23="B",CS23="C",CS23="D",CS23="F",CS23="G",CS23="H",CS23="J",CS23="K",CS23="L",CS23="N",CS23="M",CS23="P",CS23="Q",CS23="R",CS23="S",CS23="T",CS23="V",CS23="X",CS23="Y",CS23="Z"),0,CS23)</f>
        <v/>
      </c>
      <c r="CT24" s="104">
        <f>IF(OR(CT23="O",CT23="A",CT23="E",CT23="U",CT23="I"),CT23,IF(AND(OR(CS23="B",CS23="C",CS23="D",CS23="F",CS23="G",CS23="H",CS23="K",CS23="L",CS23="M",CS23="N",CS23="P",CS23="Q",CS23="R",CS23="S",CS23="T",CS23="V",CS23="X",CS23="Z"),CT23="Y"),"Y",0))</f>
        <v>0</v>
      </c>
      <c r="CU24" s="104">
        <f t="shared" ref="CU24:DT24" si="23">IF(OR(CU23="O",CU23="A",CU23="E",CU23="U",CU23="I"),CU23,IF(AND(OR(CT23="B",CT23="C",CT23="D",CT23="F",CT23="G",CT23="H",CT23="K",CT23="L",CT23="M",CT23="N",CT23="P",CT23="Q",CT23="R",CT23="S",CT23="T",CT23="V",CT23="X",CT23="Z"),CU23="Y"),"Y",0))</f>
        <v>0</v>
      </c>
      <c r="CV24" s="104">
        <f t="shared" si="23"/>
        <v>0</v>
      </c>
      <c r="CW24" s="104">
        <f t="shared" si="23"/>
        <v>0</v>
      </c>
      <c r="CX24" s="104">
        <f t="shared" si="23"/>
        <v>0</v>
      </c>
      <c r="CY24" s="104">
        <f t="shared" si="23"/>
        <v>0</v>
      </c>
      <c r="CZ24" s="104">
        <f t="shared" si="23"/>
        <v>0</v>
      </c>
      <c r="DA24" s="104">
        <f t="shared" si="23"/>
        <v>0</v>
      </c>
      <c r="DB24" s="104">
        <f t="shared" si="23"/>
        <v>0</v>
      </c>
      <c r="DC24" s="104">
        <f t="shared" si="23"/>
        <v>0</v>
      </c>
      <c r="DD24" s="104">
        <f t="shared" si="23"/>
        <v>0</v>
      </c>
      <c r="DE24" s="104">
        <f t="shared" si="23"/>
        <v>0</v>
      </c>
      <c r="DF24" s="104">
        <f t="shared" si="23"/>
        <v>0</v>
      </c>
      <c r="DG24" s="104">
        <f t="shared" si="23"/>
        <v>0</v>
      </c>
      <c r="DH24" s="104">
        <f t="shared" si="23"/>
        <v>0</v>
      </c>
      <c r="DI24" s="104">
        <f t="shared" si="23"/>
        <v>0</v>
      </c>
      <c r="DJ24" s="104">
        <f t="shared" si="23"/>
        <v>0</v>
      </c>
      <c r="DK24" s="104">
        <f t="shared" si="23"/>
        <v>0</v>
      </c>
      <c r="DL24" s="104">
        <f t="shared" si="23"/>
        <v>0</v>
      </c>
      <c r="DM24" s="104">
        <f t="shared" si="23"/>
        <v>0</v>
      </c>
      <c r="DN24" s="104">
        <f t="shared" si="23"/>
        <v>0</v>
      </c>
      <c r="DO24" s="104">
        <f t="shared" si="23"/>
        <v>0</v>
      </c>
      <c r="DP24" s="104">
        <f t="shared" si="23"/>
        <v>0</v>
      </c>
      <c r="DQ24" s="104">
        <f t="shared" si="23"/>
        <v>0</v>
      </c>
      <c r="DR24" s="104">
        <f t="shared" si="23"/>
        <v>0</v>
      </c>
      <c r="DS24" s="104">
        <f t="shared" si="23"/>
        <v>0</v>
      </c>
      <c r="DT24" s="104">
        <f t="shared" si="23"/>
        <v>0</v>
      </c>
      <c r="DU24" s="104">
        <f t="shared" ref="DU24:EA24" si="24">IF(OR(DU23="O",DU23="A",DU23="E",DU23="U",DU23="I"),DU23,IF(AND(OR(DT23="B",DT23="C",DT23="D",DT23="F",DT23="G",DT23="H",DT23="K",DT23="L",DT23="M",DT23="N",DT23="P",DT23="Q",DT23="R",DT23="S",DT23="T",DT23="V",DT23="X",DT23="Z"),DU23="Y"),"Y",0))</f>
        <v>0</v>
      </c>
      <c r="DV24" s="104">
        <f t="shared" si="24"/>
        <v>0</v>
      </c>
      <c r="DW24" s="104">
        <f t="shared" si="24"/>
        <v>0</v>
      </c>
      <c r="DX24" s="104">
        <f t="shared" si="24"/>
        <v>0</v>
      </c>
      <c r="DY24" s="104">
        <f t="shared" si="24"/>
        <v>0</v>
      </c>
      <c r="DZ24" s="104">
        <f t="shared" si="24"/>
        <v>0</v>
      </c>
      <c r="EA24" s="104">
        <f t="shared" si="24"/>
        <v>0</v>
      </c>
      <c r="EB24" s="104">
        <f>IF(OR(EB23="O",EB23="A",EB23="E",EB23="U",EB23="I"),EB23,IF(AND(OR(DT23="B",DT23="C",DT23="D",DT23="F",DT23="G",DT23="H",DT23="K",DT23="L",DT23="M",DT23="N",DT23="P",DT23="Q",DT23="R",DT23="S",DT23="T",DT23="V",DT23="X",DT23="Z"),EB23="Y"),"Y",0))</f>
        <v>0</v>
      </c>
      <c r="EC24" s="104">
        <f t="shared" ref="EC24:EH24" si="25">IF(OR(EC23="O",EC23="A",EC23="E",EC23="U",EC23="I"),EC23,IF(AND(OR(EB23="B",EB23="C",EB23="D",EB23="F",EB23="G",EB23="H",EB23="K",EB23="L",EB23="M",EB23="N",EB23="P",EB23="Q",EB23="R",EB23="S",EB23="T",EB23="V",EB23="X",EB23="Z"),EC23="Y"),"Y",0))</f>
        <v>0</v>
      </c>
      <c r="ED24" s="104">
        <f t="shared" si="25"/>
        <v>0</v>
      </c>
      <c r="EE24" s="104">
        <f t="shared" si="25"/>
        <v>0</v>
      </c>
      <c r="EF24" s="104">
        <f t="shared" si="25"/>
        <v>0</v>
      </c>
      <c r="EG24" s="104">
        <f t="shared" si="25"/>
        <v>0</v>
      </c>
      <c r="EH24" s="104">
        <f t="shared" si="25"/>
        <v>0</v>
      </c>
    </row>
    <row r="25" spans="2:138" s="105" customFormat="1" ht="8.25" customHeight="1">
      <c r="BA25" s="106"/>
      <c r="CS25" s="107">
        <f>IF(OR(CS24="A",CS24="J",CS24="S"),1,IF(OR(CS24="B",CS24="K",CS24="T"),2,IF(OR(CS24="C",CS24="L",CS24="U"),3,(IF(OR(CS24="D",CS24="M",CS24="V"),4,IF(OR(CS24="E",CS24="N",CS24="W"),5,IF(OR(CS24="F",CS24="O",CS24="X"),6,IF(OR(CS24="G",CS24="P",CS24="Y"),7,IF(OR(CS24="H",CS24="Q",CS24="Z"),8,IF(OR(CS24="I",CS24="R"),9,0))))))))))</f>
        <v>0</v>
      </c>
      <c r="CT25" s="107">
        <f t="shared" ref="CT25:EH25" si="26">IF(OR(CT24="A",CT24="J",CT24="S"),1,IF(OR(CT24="B",CT24="K",CT24="T"),2,IF(OR(CT24="C",CT24="L",CT24="U"),3,(IF(OR(CT24="D",CT24="M",CT24="V"),4,IF(OR(CT24="E",CT24="N",CT24="W"),5,IF(OR(CT24="F",CT24="O",CT24="X"),6,IF(OR(CT24="G",CT24="P",CT24="Y"),7,IF(OR(CT24="H",CT24="Q",CT24="Z"),8,IF(OR(CT24="I",CT24="R"),9,0))))))))))</f>
        <v>0</v>
      </c>
      <c r="CU25" s="107">
        <f t="shared" si="26"/>
        <v>0</v>
      </c>
      <c r="CV25" s="107">
        <f t="shared" si="26"/>
        <v>0</v>
      </c>
      <c r="CW25" s="107">
        <f t="shared" si="26"/>
        <v>0</v>
      </c>
      <c r="CX25" s="107">
        <f t="shared" si="26"/>
        <v>0</v>
      </c>
      <c r="CY25" s="107">
        <f t="shared" si="26"/>
        <v>0</v>
      </c>
      <c r="CZ25" s="107">
        <f t="shared" si="26"/>
        <v>0</v>
      </c>
      <c r="DA25" s="107">
        <f t="shared" si="26"/>
        <v>0</v>
      </c>
      <c r="DB25" s="107">
        <f t="shared" si="26"/>
        <v>0</v>
      </c>
      <c r="DC25" s="107">
        <f t="shared" si="26"/>
        <v>0</v>
      </c>
      <c r="DD25" s="107">
        <f t="shared" si="26"/>
        <v>0</v>
      </c>
      <c r="DE25" s="107">
        <f t="shared" si="26"/>
        <v>0</v>
      </c>
      <c r="DF25" s="107">
        <f t="shared" si="26"/>
        <v>0</v>
      </c>
      <c r="DG25" s="107">
        <f t="shared" si="26"/>
        <v>0</v>
      </c>
      <c r="DH25" s="107">
        <f t="shared" si="26"/>
        <v>0</v>
      </c>
      <c r="DI25" s="107">
        <f t="shared" si="26"/>
        <v>0</v>
      </c>
      <c r="DJ25" s="107">
        <f t="shared" si="26"/>
        <v>0</v>
      </c>
      <c r="DK25" s="107">
        <f t="shared" si="26"/>
        <v>0</v>
      </c>
      <c r="DL25" s="107">
        <f t="shared" si="26"/>
        <v>0</v>
      </c>
      <c r="DM25" s="107">
        <f t="shared" si="26"/>
        <v>0</v>
      </c>
      <c r="DN25" s="107">
        <f t="shared" si="26"/>
        <v>0</v>
      </c>
      <c r="DO25" s="107">
        <f t="shared" si="26"/>
        <v>0</v>
      </c>
      <c r="DP25" s="107">
        <f t="shared" si="26"/>
        <v>0</v>
      </c>
      <c r="DQ25" s="107">
        <f t="shared" si="26"/>
        <v>0</v>
      </c>
      <c r="DR25" s="107">
        <f t="shared" si="26"/>
        <v>0</v>
      </c>
      <c r="DS25" s="107">
        <f t="shared" si="26"/>
        <v>0</v>
      </c>
      <c r="DT25" s="107">
        <f t="shared" si="26"/>
        <v>0</v>
      </c>
      <c r="DU25" s="107">
        <f t="shared" si="26"/>
        <v>0</v>
      </c>
      <c r="DV25" s="107">
        <f t="shared" si="26"/>
        <v>0</v>
      </c>
      <c r="DW25" s="107">
        <f t="shared" si="26"/>
        <v>0</v>
      </c>
      <c r="DX25" s="107">
        <f t="shared" si="26"/>
        <v>0</v>
      </c>
      <c r="DY25" s="107">
        <f t="shared" si="26"/>
        <v>0</v>
      </c>
      <c r="DZ25" s="107">
        <f t="shared" si="26"/>
        <v>0</v>
      </c>
      <c r="EA25" s="107">
        <f t="shared" si="26"/>
        <v>0</v>
      </c>
      <c r="EB25" s="107">
        <f t="shared" si="26"/>
        <v>0</v>
      </c>
      <c r="EC25" s="107">
        <f t="shared" si="26"/>
        <v>0</v>
      </c>
      <c r="ED25" s="107">
        <f t="shared" si="26"/>
        <v>0</v>
      </c>
      <c r="EE25" s="107">
        <f t="shared" si="26"/>
        <v>0</v>
      </c>
      <c r="EF25" s="107">
        <f t="shared" si="26"/>
        <v>0</v>
      </c>
      <c r="EG25" s="107">
        <f t="shared" si="26"/>
        <v>0</v>
      </c>
      <c r="EH25" s="107">
        <f t="shared" si="26"/>
        <v>0</v>
      </c>
    </row>
    <row r="26" spans="2:138" s="105" customFormat="1" ht="15" customHeight="1">
      <c r="K26" s="108"/>
      <c r="L26" s="108"/>
      <c r="M26" s="108"/>
      <c r="N26" s="108"/>
      <c r="O26" s="108"/>
      <c r="P26" s="108"/>
      <c r="Q26" s="108"/>
      <c r="R26" s="108"/>
      <c r="S26" s="108"/>
      <c r="T26" s="108"/>
      <c r="U26" s="108"/>
      <c r="V26" s="108"/>
      <c r="W26" s="108"/>
      <c r="X26" s="108"/>
      <c r="Y26" s="108"/>
      <c r="Z26" s="108"/>
      <c r="AA26" s="108"/>
      <c r="AB26" s="108"/>
      <c r="AC26" s="108"/>
      <c r="AD26" s="108"/>
      <c r="AE26" s="108"/>
      <c r="AF26" s="108"/>
      <c r="AG26" s="108"/>
      <c r="AH26" s="108"/>
      <c r="AI26" s="108"/>
      <c r="AJ26" s="108"/>
      <c r="AK26" s="108"/>
      <c r="AL26" s="108"/>
      <c r="AM26" s="108"/>
      <c r="AN26" s="108"/>
      <c r="AO26" s="108"/>
      <c r="AP26" s="108"/>
      <c r="AQ26" s="108"/>
      <c r="AR26" s="108"/>
      <c r="AS26" s="108"/>
      <c r="AT26" s="108"/>
      <c r="AU26" s="108"/>
      <c r="AV26" s="108"/>
      <c r="AW26" s="108"/>
      <c r="AX26" s="108"/>
      <c r="AY26" s="108"/>
      <c r="AZ26" s="108"/>
      <c r="BA26" s="106"/>
      <c r="CR26" s="106"/>
      <c r="CS26" s="1075">
        <f>SUM(CS25:EH25)</f>
        <v>0</v>
      </c>
      <c r="CT26" s="1076"/>
      <c r="CU26" s="1076"/>
      <c r="CV26" s="1076"/>
      <c r="CW26" s="1076"/>
      <c r="CX26" s="1076"/>
      <c r="CY26" s="1076"/>
      <c r="CZ26" s="1076"/>
      <c r="DA26" s="1076"/>
      <c r="DB26" s="1076"/>
      <c r="DC26" s="1076"/>
      <c r="DD26" s="1076"/>
      <c r="DE26" s="1076"/>
      <c r="DF26" s="1076"/>
      <c r="DG26" s="1076"/>
      <c r="DH26" s="1076"/>
      <c r="DI26" s="1076"/>
      <c r="DJ26" s="1076"/>
      <c r="DK26" s="1076"/>
      <c r="DL26" s="1076"/>
      <c r="DM26" s="1076"/>
      <c r="DN26" s="1076"/>
      <c r="DO26" s="1076"/>
      <c r="DP26" s="1076"/>
      <c r="DQ26" s="1076"/>
      <c r="DR26" s="1076"/>
      <c r="DS26" s="1076"/>
      <c r="DT26" s="1076"/>
      <c r="DU26" s="1076"/>
      <c r="DV26" s="1076"/>
      <c r="DW26" s="1076"/>
      <c r="DX26" s="1076"/>
      <c r="DY26" s="1076"/>
      <c r="DZ26" s="1076"/>
      <c r="EA26" s="1076"/>
      <c r="EB26" s="1076"/>
      <c r="EC26" s="1076"/>
      <c r="ED26" s="1076"/>
      <c r="EE26" s="1076"/>
      <c r="EF26" s="1076"/>
      <c r="EG26" s="1076"/>
      <c r="EH26" s="1076"/>
    </row>
    <row r="27" spans="2:138" ht="15" customHeight="1">
      <c r="B27" s="1162" t="s">
        <v>187</v>
      </c>
      <c r="C27" s="1162"/>
      <c r="D27" s="1162"/>
      <c r="E27" s="1162"/>
      <c r="F27" s="1163" t="str">
        <f>CONCATENATE(B5,C5,D5,E5,F5,G5,H5,I5)</f>
        <v>1581995</v>
      </c>
      <c r="G27" s="1163"/>
      <c r="H27" s="1163"/>
      <c r="I27" s="1163"/>
      <c r="J27" s="109"/>
      <c r="K27" s="1164" t="s">
        <v>187</v>
      </c>
      <c r="L27" s="1165"/>
      <c r="M27" s="1165"/>
      <c r="N27" s="1165"/>
      <c r="O27" s="1165"/>
      <c r="P27" s="1165"/>
      <c r="Q27" s="1165"/>
      <c r="R27" s="1165"/>
      <c r="S27" s="1165"/>
      <c r="T27" s="1165"/>
      <c r="U27" s="1165"/>
      <c r="V27" s="1165"/>
      <c r="W27" s="1165"/>
      <c r="X27" s="1165"/>
      <c r="Y27" s="1165"/>
      <c r="Z27" s="1165"/>
      <c r="AA27" s="1165"/>
      <c r="AB27" s="1165"/>
      <c r="AC27" s="1165"/>
      <c r="AD27" s="1165"/>
      <c r="AE27" s="1165"/>
      <c r="AF27" s="1165"/>
      <c r="AG27" s="1165"/>
      <c r="AH27" s="1165"/>
      <c r="AI27" s="1165"/>
      <c r="AJ27" s="1165"/>
      <c r="AK27" s="1165"/>
      <c r="AL27" s="1165"/>
      <c r="AM27" s="1165"/>
      <c r="AN27" s="1165"/>
      <c r="AO27" s="1165"/>
      <c r="AP27" s="1165"/>
      <c r="AQ27" s="1165"/>
      <c r="AR27" s="1165"/>
      <c r="AS27" s="1166"/>
      <c r="AT27" s="1170" t="str">
        <f>F27</f>
        <v>1581995</v>
      </c>
      <c r="AU27" s="1170"/>
      <c r="AV27" s="1170"/>
      <c r="AW27" s="1170"/>
      <c r="AX27" s="1170"/>
      <c r="AY27" s="1170"/>
      <c r="AZ27" s="1170"/>
      <c r="BA27" s="87"/>
      <c r="BB27" s="1171" t="s">
        <v>187</v>
      </c>
      <c r="BC27" s="1172"/>
      <c r="BD27" s="1172"/>
      <c r="BE27" s="1172"/>
      <c r="BF27" s="1172"/>
      <c r="BG27" s="1172"/>
      <c r="BH27" s="1172"/>
      <c r="BI27" s="1172"/>
      <c r="BJ27" s="1172"/>
      <c r="BK27" s="1172"/>
      <c r="BL27" s="1172"/>
      <c r="BM27" s="1172"/>
      <c r="BN27" s="1172"/>
      <c r="BO27" s="1172"/>
      <c r="BP27" s="1172"/>
      <c r="BQ27" s="1172"/>
      <c r="BR27" s="1172"/>
      <c r="BS27" s="1172"/>
      <c r="BT27" s="1172"/>
      <c r="BU27" s="1172"/>
      <c r="BV27" s="1172"/>
      <c r="BW27" s="1172"/>
      <c r="BX27" s="1172"/>
      <c r="BY27" s="1172"/>
      <c r="BZ27" s="1173"/>
      <c r="CA27" s="1177" t="str">
        <f>F27</f>
        <v>1581995</v>
      </c>
      <c r="CB27" s="1178"/>
      <c r="CC27" s="1178"/>
      <c r="CD27" s="1178"/>
      <c r="CE27" s="1178"/>
      <c r="CF27" s="1178"/>
      <c r="CG27" s="1178"/>
      <c r="CH27" s="1178"/>
      <c r="CI27" s="1178"/>
      <c r="CJ27" s="1178"/>
      <c r="CK27" s="1178"/>
      <c r="CL27" s="1178"/>
      <c r="CM27" s="1178"/>
      <c r="CN27" s="1178"/>
      <c r="CO27" s="1178"/>
      <c r="CP27" s="1178"/>
      <c r="CQ27" s="1179"/>
      <c r="CR27" s="110"/>
      <c r="CS27" s="1075">
        <f>IF(OR(CS26=11,CS26=22,CS26=33),CS26,IF(AND(CS26&gt;=10,CS26&lt;100),LEFT(CS26,1)+RIGHT(CS26,1),IF(CS26&gt;=100,LEFT(CS26,1)+RIGHT(CS26,1)+MID(CS26,2,1),CS26)))</f>
        <v>0</v>
      </c>
      <c r="CT27" s="1076"/>
      <c r="CU27" s="1076"/>
      <c r="CV27" s="1076"/>
      <c r="CW27" s="1076"/>
      <c r="CX27" s="1076"/>
      <c r="CY27" s="1076"/>
      <c r="CZ27" s="1076"/>
      <c r="DA27" s="1076"/>
      <c r="DB27" s="1076"/>
      <c r="DC27" s="1076"/>
      <c r="DD27" s="1076"/>
      <c r="DE27" s="1076"/>
      <c r="DF27" s="1076"/>
      <c r="DG27" s="1076"/>
      <c r="DH27" s="1076"/>
      <c r="DI27" s="1076"/>
      <c r="DJ27" s="1076"/>
      <c r="DK27" s="1076"/>
      <c r="DL27" s="1076"/>
      <c r="DM27" s="1076"/>
      <c r="DN27" s="1076"/>
      <c r="DO27" s="1076"/>
      <c r="DP27" s="1076"/>
      <c r="DQ27" s="1076"/>
      <c r="DR27" s="1076"/>
      <c r="DS27" s="1076"/>
      <c r="DT27" s="1076"/>
      <c r="DU27" s="1076"/>
      <c r="DV27" s="1076"/>
      <c r="DW27" s="1076"/>
      <c r="DX27" s="1076"/>
      <c r="DY27" s="1076"/>
      <c r="DZ27" s="1076"/>
      <c r="EA27" s="1076"/>
      <c r="EB27" s="1076"/>
      <c r="EC27" s="1076"/>
      <c r="ED27" s="1076"/>
      <c r="EE27" s="1076"/>
      <c r="EF27" s="1076"/>
      <c r="EG27" s="1076"/>
      <c r="EH27" s="1076"/>
    </row>
    <row r="28" spans="2:138" ht="15" customHeight="1">
      <c r="B28" s="1162"/>
      <c r="C28" s="1162"/>
      <c r="D28" s="1162"/>
      <c r="E28" s="1162"/>
      <c r="F28" s="1163"/>
      <c r="G28" s="1163"/>
      <c r="H28" s="1163"/>
      <c r="I28" s="1163"/>
      <c r="J28" s="109"/>
      <c r="K28" s="1167"/>
      <c r="L28" s="1168"/>
      <c r="M28" s="1168"/>
      <c r="N28" s="1168"/>
      <c r="O28" s="1168"/>
      <c r="P28" s="1168"/>
      <c r="Q28" s="1168"/>
      <c r="R28" s="1168"/>
      <c r="S28" s="1168"/>
      <c r="T28" s="1168"/>
      <c r="U28" s="1168"/>
      <c r="V28" s="1168"/>
      <c r="W28" s="1168"/>
      <c r="X28" s="1168"/>
      <c r="Y28" s="1168"/>
      <c r="Z28" s="1168"/>
      <c r="AA28" s="1168"/>
      <c r="AB28" s="1168"/>
      <c r="AC28" s="1168"/>
      <c r="AD28" s="1168"/>
      <c r="AE28" s="1168"/>
      <c r="AF28" s="1168"/>
      <c r="AG28" s="1168"/>
      <c r="AH28" s="1168"/>
      <c r="AI28" s="1168"/>
      <c r="AJ28" s="1168"/>
      <c r="AK28" s="1168"/>
      <c r="AL28" s="1168"/>
      <c r="AM28" s="1168"/>
      <c r="AN28" s="1168"/>
      <c r="AO28" s="1168"/>
      <c r="AP28" s="1168"/>
      <c r="AQ28" s="1168"/>
      <c r="AR28" s="1168"/>
      <c r="AS28" s="1169"/>
      <c r="AT28" s="1170"/>
      <c r="AU28" s="1170"/>
      <c r="AV28" s="1170"/>
      <c r="AW28" s="1170"/>
      <c r="AX28" s="1170"/>
      <c r="AY28" s="1170"/>
      <c r="AZ28" s="1170"/>
      <c r="BA28" s="87"/>
      <c r="BB28" s="1174"/>
      <c r="BC28" s="1175"/>
      <c r="BD28" s="1175"/>
      <c r="BE28" s="1175"/>
      <c r="BF28" s="1175"/>
      <c r="BG28" s="1175"/>
      <c r="BH28" s="1175"/>
      <c r="BI28" s="1175"/>
      <c r="BJ28" s="1175"/>
      <c r="BK28" s="1175"/>
      <c r="BL28" s="1175"/>
      <c r="BM28" s="1175"/>
      <c r="BN28" s="1175"/>
      <c r="BO28" s="1175"/>
      <c r="BP28" s="1175"/>
      <c r="BQ28" s="1175"/>
      <c r="BR28" s="1175"/>
      <c r="BS28" s="1175"/>
      <c r="BT28" s="1175"/>
      <c r="BU28" s="1175"/>
      <c r="BV28" s="1175"/>
      <c r="BW28" s="1175"/>
      <c r="BX28" s="1175"/>
      <c r="BY28" s="1175"/>
      <c r="BZ28" s="1176"/>
      <c r="CA28" s="1180"/>
      <c r="CB28" s="1181"/>
      <c r="CC28" s="1181"/>
      <c r="CD28" s="1181"/>
      <c r="CE28" s="1181"/>
      <c r="CF28" s="1181"/>
      <c r="CG28" s="1181"/>
      <c r="CH28" s="1181"/>
      <c r="CI28" s="1181"/>
      <c r="CJ28" s="1181"/>
      <c r="CK28" s="1181"/>
      <c r="CL28" s="1181"/>
      <c r="CM28" s="1181"/>
      <c r="CN28" s="1181"/>
      <c r="CO28" s="1181"/>
      <c r="CP28" s="1181"/>
      <c r="CQ28" s="1182"/>
      <c r="CR28" s="110"/>
      <c r="CS28" s="1075">
        <f>IF(OR(CS27=11,CS27=22,CS27=33),CS27,IF(CS27&gt;=10,LEFT(CS27,1)+RIGHT(CS27,1),CS27))</f>
        <v>0</v>
      </c>
      <c r="CT28" s="1076"/>
      <c r="CU28" s="1076"/>
      <c r="CV28" s="1076"/>
      <c r="CW28" s="1076"/>
      <c r="CX28" s="1076"/>
      <c r="CY28" s="1076"/>
      <c r="CZ28" s="1076"/>
      <c r="DA28" s="1076"/>
      <c r="DB28" s="1076"/>
      <c r="DC28" s="1076"/>
      <c r="DD28" s="1076"/>
      <c r="DE28" s="1076"/>
      <c r="DF28" s="1076"/>
      <c r="DG28" s="1076"/>
      <c r="DH28" s="1076"/>
      <c r="DI28" s="1076"/>
      <c r="DJ28" s="1076"/>
      <c r="DK28" s="1076"/>
      <c r="DL28" s="1076"/>
      <c r="DM28" s="1076"/>
      <c r="DN28" s="1076"/>
      <c r="DO28" s="1076"/>
      <c r="DP28" s="1076"/>
      <c r="DQ28" s="1076"/>
      <c r="DR28" s="1076"/>
      <c r="DS28" s="1076"/>
      <c r="DT28" s="1076"/>
      <c r="DU28" s="1076"/>
      <c r="DV28" s="1076"/>
      <c r="DW28" s="1076"/>
      <c r="DX28" s="1076"/>
      <c r="DY28" s="1076"/>
      <c r="DZ28" s="1076"/>
      <c r="EA28" s="1076"/>
      <c r="EB28" s="1076"/>
      <c r="EC28" s="1076"/>
      <c r="ED28" s="1076"/>
      <c r="EE28" s="1076"/>
      <c r="EF28" s="1076"/>
      <c r="EG28" s="1076"/>
      <c r="EH28" s="1086"/>
    </row>
    <row r="29" spans="2:138" ht="20.25" customHeight="1">
      <c r="B29" s="1183" t="s">
        <v>188</v>
      </c>
      <c r="C29" s="1183"/>
      <c r="D29" s="1183"/>
      <c r="E29" s="1183"/>
      <c r="F29" s="1184" t="str">
        <f>IF(AND(ISNUMBER(SEARCH(1,$F$27)),ISNUMBER(SEARCH(5,$F$27)),ISNUMBER(SEARCH(9,$F$27))),"CÓ", "KHÔNG")</f>
        <v>CÓ</v>
      </c>
      <c r="G29" s="1184"/>
      <c r="H29" s="1184"/>
      <c r="I29" s="1184"/>
      <c r="J29" s="111"/>
      <c r="K29" s="1185" t="s">
        <v>189</v>
      </c>
      <c r="L29" s="1186"/>
      <c r="M29" s="1186"/>
      <c r="N29" s="1186"/>
      <c r="O29" s="1186"/>
      <c r="P29" s="1186"/>
      <c r="Q29" s="1186"/>
      <c r="R29" s="1186"/>
      <c r="S29" s="1186"/>
      <c r="T29" s="1186"/>
      <c r="U29" s="1186"/>
      <c r="V29" s="1186"/>
      <c r="W29" s="1186"/>
      <c r="X29" s="1186"/>
      <c r="Y29" s="1186"/>
      <c r="Z29" s="1186"/>
      <c r="AA29" s="1186"/>
      <c r="AB29" s="1186"/>
      <c r="AC29" s="1186"/>
      <c r="AD29" s="1186"/>
      <c r="AE29" s="1186"/>
      <c r="AF29" s="1186"/>
      <c r="AG29" s="1186"/>
      <c r="AH29" s="1186"/>
      <c r="AI29" s="1186"/>
      <c r="AJ29" s="1186"/>
      <c r="AK29" s="1186"/>
      <c r="AL29" s="1186"/>
      <c r="AM29" s="1186"/>
      <c r="AN29" s="1186"/>
      <c r="AO29" s="1186"/>
      <c r="AP29" s="1186"/>
      <c r="AQ29" s="1186"/>
      <c r="AR29" s="1186"/>
      <c r="AS29" s="1187"/>
      <c r="AT29" s="1188" t="str">
        <f>IF(AND(ISNUMBER(SEARCH(3,$F$27)),ISNUMBER(SEARCH(6,$F$27)),ISNUMBER(SEARCH(9,$F$27))),"CÓ","KHÔNG")</f>
        <v>KHÔNG</v>
      </c>
      <c r="AU29" s="1188"/>
      <c r="AV29" s="1188"/>
      <c r="AW29" s="1188"/>
      <c r="AX29" s="1188"/>
      <c r="AY29" s="1188"/>
      <c r="AZ29" s="1188"/>
      <c r="BA29" s="112"/>
      <c r="BB29" s="1189" t="s">
        <v>190</v>
      </c>
      <c r="BC29" s="1190"/>
      <c r="BD29" s="1190"/>
      <c r="BE29" s="1190"/>
      <c r="BF29" s="1190"/>
      <c r="BG29" s="1190"/>
      <c r="BH29" s="1190"/>
      <c r="BI29" s="1190"/>
      <c r="BJ29" s="1190"/>
      <c r="BK29" s="1190"/>
      <c r="BL29" s="1190"/>
      <c r="BM29" s="1190"/>
      <c r="BN29" s="1190"/>
      <c r="BO29" s="1190"/>
      <c r="BP29" s="1190"/>
      <c r="BQ29" s="1190"/>
      <c r="BR29" s="1190"/>
      <c r="BS29" s="1190"/>
      <c r="BT29" s="1190"/>
      <c r="BU29" s="1190"/>
      <c r="BV29" s="1190"/>
      <c r="BW29" s="1190"/>
      <c r="BX29" s="1190"/>
      <c r="BY29" s="1190"/>
      <c r="BZ29" s="1191"/>
      <c r="CA29" s="1192" t="str">
        <f>IF(AND(ISNUMBER(SEARCH(1,$F$27)),ISNUMBER(SEARCH(4,$F$27)),ISNUMBER(SEARCH(7,$F$27))),"CÓ", "KHÔNG")</f>
        <v>KHÔNG</v>
      </c>
      <c r="CB29" s="1193"/>
      <c r="CC29" s="1193"/>
      <c r="CD29" s="1193"/>
      <c r="CE29" s="1193"/>
      <c r="CF29" s="1193"/>
      <c r="CG29" s="1193"/>
      <c r="CH29" s="1193"/>
      <c r="CI29" s="1193"/>
      <c r="CJ29" s="1193"/>
      <c r="CK29" s="1193"/>
      <c r="CL29" s="1193"/>
      <c r="CM29" s="1193"/>
      <c r="CN29" s="1193"/>
      <c r="CO29" s="1193"/>
      <c r="CP29" s="1193"/>
      <c r="CQ29" s="1194"/>
      <c r="CR29" s="110"/>
      <c r="CS29" s="1075">
        <f>SUM(CS28:EH28)</f>
        <v>0</v>
      </c>
      <c r="CT29" s="1076"/>
      <c r="CU29" s="1076"/>
      <c r="CV29" s="1076"/>
      <c r="CW29" s="1076"/>
      <c r="CX29" s="1076"/>
      <c r="CY29" s="1076"/>
      <c r="CZ29" s="1076"/>
      <c r="DA29" s="1076"/>
      <c r="DB29" s="1076"/>
      <c r="DC29" s="1076"/>
      <c r="DD29" s="1076"/>
      <c r="DE29" s="1076"/>
      <c r="DF29" s="1076"/>
      <c r="DG29" s="1076"/>
      <c r="DH29" s="1076"/>
      <c r="DI29" s="1076"/>
      <c r="DJ29" s="1076"/>
      <c r="DK29" s="1076"/>
      <c r="DL29" s="1076"/>
      <c r="DM29" s="1076"/>
      <c r="DN29" s="1076"/>
      <c r="DO29" s="1076"/>
      <c r="DP29" s="1076"/>
      <c r="DQ29" s="1076"/>
      <c r="DR29" s="1076"/>
      <c r="DS29" s="1076"/>
      <c r="DT29" s="1076"/>
      <c r="DU29" s="1076"/>
      <c r="DV29" s="1076"/>
      <c r="DW29" s="1076"/>
      <c r="DX29" s="1076"/>
      <c r="DY29" s="1076"/>
      <c r="DZ29" s="1076"/>
      <c r="EA29" s="1076"/>
      <c r="EB29" s="1076"/>
      <c r="EC29" s="1076"/>
      <c r="ED29" s="1076"/>
      <c r="EE29" s="1076"/>
      <c r="EF29" s="1076"/>
      <c r="EG29" s="1076"/>
      <c r="EH29" s="1086"/>
    </row>
    <row r="30" spans="2:138" ht="20.25" customHeight="1">
      <c r="B30" s="1183" t="s">
        <v>191</v>
      </c>
      <c r="C30" s="1183"/>
      <c r="D30" s="1183"/>
      <c r="E30" s="1183"/>
      <c r="F30" s="1184" t="str">
        <f>IF(AND(ISNUMBER(SEARCH(3,$F$27)),ISNUMBER(SEARCH(5,$F$27)),ISNUMBER(SEARCH(7,$F$27))),"CÓ", "KHÔNG")</f>
        <v>KHÔNG</v>
      </c>
      <c r="G30" s="1184"/>
      <c r="H30" s="1184"/>
      <c r="I30" s="1184"/>
      <c r="J30" s="111"/>
      <c r="K30" s="1185" t="s">
        <v>192</v>
      </c>
      <c r="L30" s="1186"/>
      <c r="M30" s="1186"/>
      <c r="N30" s="1186"/>
      <c r="O30" s="1186"/>
      <c r="P30" s="1186"/>
      <c r="Q30" s="1186"/>
      <c r="R30" s="1186"/>
      <c r="S30" s="1186"/>
      <c r="T30" s="1186"/>
      <c r="U30" s="1186"/>
      <c r="V30" s="1186"/>
      <c r="W30" s="1186"/>
      <c r="X30" s="1186"/>
      <c r="Y30" s="1186"/>
      <c r="Z30" s="1186"/>
      <c r="AA30" s="1186"/>
      <c r="AB30" s="1186"/>
      <c r="AC30" s="1186"/>
      <c r="AD30" s="1186"/>
      <c r="AE30" s="1186"/>
      <c r="AF30" s="1186"/>
      <c r="AG30" s="1186"/>
      <c r="AH30" s="1186"/>
      <c r="AI30" s="1186"/>
      <c r="AJ30" s="1186"/>
      <c r="AK30" s="1186"/>
      <c r="AL30" s="1186"/>
      <c r="AM30" s="1186"/>
      <c r="AN30" s="1186"/>
      <c r="AO30" s="1186"/>
      <c r="AP30" s="1186"/>
      <c r="AQ30" s="1186"/>
      <c r="AR30" s="1186"/>
      <c r="AS30" s="1187"/>
      <c r="AT30" s="1188" t="str">
        <f>IF(AND(ISNUMBER(SEARCH(2,$F$27)),ISNUMBER(SEARCH(5,$F$27)),ISNUMBER(SEARCH(8,$F$27))),"CÓ","KHÔNG")</f>
        <v>KHÔNG</v>
      </c>
      <c r="AU30" s="1188"/>
      <c r="AV30" s="1188"/>
      <c r="AW30" s="1188"/>
      <c r="AX30" s="1188"/>
      <c r="AY30" s="1188"/>
      <c r="AZ30" s="1188"/>
      <c r="BA30" s="112"/>
      <c r="BB30" s="1189" t="s">
        <v>193</v>
      </c>
      <c r="BC30" s="1190"/>
      <c r="BD30" s="1190"/>
      <c r="BE30" s="1190"/>
      <c r="BF30" s="1190"/>
      <c r="BG30" s="1190"/>
      <c r="BH30" s="1190"/>
      <c r="BI30" s="1190"/>
      <c r="BJ30" s="1190"/>
      <c r="BK30" s="1190"/>
      <c r="BL30" s="1190"/>
      <c r="BM30" s="1190"/>
      <c r="BN30" s="1190"/>
      <c r="BO30" s="1190"/>
      <c r="BP30" s="1190"/>
      <c r="BQ30" s="1190"/>
      <c r="BR30" s="1190"/>
      <c r="BS30" s="1190"/>
      <c r="BT30" s="1190"/>
      <c r="BU30" s="1190"/>
      <c r="BV30" s="1190"/>
      <c r="BW30" s="1190"/>
      <c r="BX30" s="1190"/>
      <c r="BY30" s="1190"/>
      <c r="BZ30" s="1191"/>
      <c r="CA30" s="1192" t="str">
        <f>IF(AND(ISNUMBER(SEARCH(4,$F$27)),ISNUMBER(SEARCH(5,$F$27)),ISNUMBER(SEARCH(6,$F$27))),"CÓ", "KHÔNG")</f>
        <v>KHÔNG</v>
      </c>
      <c r="CB30" s="1193"/>
      <c r="CC30" s="1193"/>
      <c r="CD30" s="1193"/>
      <c r="CE30" s="1193"/>
      <c r="CF30" s="1193"/>
      <c r="CG30" s="1193"/>
      <c r="CH30" s="1193"/>
      <c r="CI30" s="1193"/>
      <c r="CJ30" s="1193"/>
      <c r="CK30" s="1193"/>
      <c r="CL30" s="1193"/>
      <c r="CM30" s="1193"/>
      <c r="CN30" s="1193"/>
      <c r="CO30" s="1193"/>
      <c r="CP30" s="1193"/>
      <c r="CQ30" s="1194"/>
      <c r="CR30" s="110"/>
      <c r="CS30" s="1223">
        <f>CS29</f>
        <v>0</v>
      </c>
      <c r="CT30" s="1224"/>
      <c r="CU30" s="1224"/>
      <c r="CV30" s="1224"/>
      <c r="CW30" s="1224"/>
      <c r="CX30" s="1224"/>
      <c r="CY30" s="1224"/>
      <c r="CZ30" s="1224"/>
      <c r="DA30" s="1224"/>
      <c r="DB30" s="1224"/>
      <c r="DC30" s="1224"/>
      <c r="DD30" s="1224"/>
      <c r="DE30" s="1224"/>
      <c r="DF30" s="1224"/>
      <c r="DG30" s="1224"/>
      <c r="DH30" s="1224"/>
      <c r="DI30" s="1224"/>
      <c r="DJ30" s="1224"/>
      <c r="DK30" s="1224"/>
      <c r="DL30" s="1224"/>
      <c r="DM30" s="1224"/>
      <c r="DN30" s="1224"/>
      <c r="DO30" s="1224"/>
      <c r="DP30" s="1224"/>
      <c r="DQ30" s="1224"/>
      <c r="DR30" s="1224"/>
      <c r="DS30" s="1224"/>
      <c r="DT30" s="1224"/>
      <c r="DU30" s="1224"/>
      <c r="DV30" s="1224"/>
      <c r="DW30" s="1224"/>
      <c r="DX30" s="1224"/>
      <c r="DY30" s="1224"/>
      <c r="DZ30" s="1224"/>
      <c r="EA30" s="1224"/>
      <c r="EB30" s="1224"/>
      <c r="EC30" s="1224"/>
      <c r="ED30" s="1224"/>
      <c r="EE30" s="1224"/>
      <c r="EF30" s="1224"/>
      <c r="EG30" s="1224"/>
      <c r="EH30" s="1225"/>
    </row>
    <row r="31" spans="2:138" ht="20.25" customHeight="1">
      <c r="B31" s="1226"/>
      <c r="C31" s="1226"/>
      <c r="D31" s="1226"/>
      <c r="E31" s="1226"/>
      <c r="F31" s="1227"/>
      <c r="G31" s="1227"/>
      <c r="H31" s="1227"/>
      <c r="I31" s="1227"/>
      <c r="J31" s="111"/>
      <c r="K31" s="1185" t="s">
        <v>194</v>
      </c>
      <c r="L31" s="1186"/>
      <c r="M31" s="1186"/>
      <c r="N31" s="1186"/>
      <c r="O31" s="1186"/>
      <c r="P31" s="1186"/>
      <c r="Q31" s="1186"/>
      <c r="R31" s="1186"/>
      <c r="S31" s="1186"/>
      <c r="T31" s="1186"/>
      <c r="U31" s="1186"/>
      <c r="V31" s="1186"/>
      <c r="W31" s="1186"/>
      <c r="X31" s="1186"/>
      <c r="Y31" s="1186"/>
      <c r="Z31" s="1186"/>
      <c r="AA31" s="1186"/>
      <c r="AB31" s="1186"/>
      <c r="AC31" s="1186"/>
      <c r="AD31" s="1186"/>
      <c r="AE31" s="1186"/>
      <c r="AF31" s="1186"/>
      <c r="AG31" s="1186"/>
      <c r="AH31" s="1186"/>
      <c r="AI31" s="1186"/>
      <c r="AJ31" s="1186"/>
      <c r="AK31" s="1186"/>
      <c r="AL31" s="1186"/>
      <c r="AM31" s="1186"/>
      <c r="AN31" s="1186"/>
      <c r="AO31" s="1186"/>
      <c r="AP31" s="1186"/>
      <c r="AQ31" s="1186"/>
      <c r="AR31" s="1186"/>
      <c r="AS31" s="1187"/>
      <c r="AT31" s="1188" t="str">
        <f>IF(AND(ISNUMBER(SEARCH(1,$F$27)),ISNUMBER(SEARCH(2,$F$27)),ISNUMBER(SEARCH(3,$F$27))),"CÓ", "KHÔNG")</f>
        <v>KHÔNG</v>
      </c>
      <c r="AU31" s="1188"/>
      <c r="AV31" s="1188"/>
      <c r="AW31" s="1188"/>
      <c r="AX31" s="1188"/>
      <c r="AY31" s="1188"/>
      <c r="AZ31" s="1188"/>
      <c r="BA31" s="112"/>
      <c r="BB31" s="1189" t="s">
        <v>195</v>
      </c>
      <c r="BC31" s="1190"/>
      <c r="BD31" s="1190"/>
      <c r="BE31" s="1190"/>
      <c r="BF31" s="1190"/>
      <c r="BG31" s="1190"/>
      <c r="BH31" s="1190"/>
      <c r="BI31" s="1190"/>
      <c r="BJ31" s="1190"/>
      <c r="BK31" s="1190"/>
      <c r="BL31" s="1190"/>
      <c r="BM31" s="1190"/>
      <c r="BN31" s="1190"/>
      <c r="BO31" s="1190"/>
      <c r="BP31" s="1190"/>
      <c r="BQ31" s="1190"/>
      <c r="BR31" s="1190"/>
      <c r="BS31" s="1190"/>
      <c r="BT31" s="1190"/>
      <c r="BU31" s="1190"/>
      <c r="BV31" s="1190"/>
      <c r="BW31" s="1190"/>
      <c r="BX31" s="1190"/>
      <c r="BY31" s="1190"/>
      <c r="BZ31" s="1191"/>
      <c r="CA31" s="1192" t="str">
        <f>IF(AND(ISNUMBER(SEARCH(7,$F$27)),ISNUMBER(SEARCH(8,$F$27)),ISNUMBER(SEARCH(9,$F$27))),"CÓ", "KHÔNG")</f>
        <v>KHÔNG</v>
      </c>
      <c r="CB31" s="1193"/>
      <c r="CC31" s="1193"/>
      <c r="CD31" s="1193"/>
      <c r="CE31" s="1193"/>
      <c r="CF31" s="1193"/>
      <c r="CG31" s="1193"/>
      <c r="CH31" s="1193"/>
      <c r="CI31" s="1193"/>
      <c r="CJ31" s="1193"/>
      <c r="CK31" s="1193"/>
      <c r="CL31" s="1193"/>
      <c r="CM31" s="1193"/>
      <c r="CN31" s="1193"/>
      <c r="CO31" s="1193"/>
      <c r="CP31" s="1193"/>
      <c r="CQ31" s="1194"/>
      <c r="CR31" s="110"/>
      <c r="CS31" s="1195">
        <f>IF(OR(CS29=11,CS29=22,CS29=33),CS29,IF(CS29&gt;=10,LEFT(CS29,1)+RIGHT(CS29,1),CS29))</f>
        <v>0</v>
      </c>
      <c r="CT31" s="1195"/>
      <c r="CU31" s="1195"/>
      <c r="CV31" s="1195"/>
      <c r="CW31" s="1195"/>
      <c r="CX31" s="1195"/>
      <c r="CY31" s="1195"/>
      <c r="CZ31" s="1195"/>
      <c r="DA31" s="1195"/>
      <c r="DB31" s="1195"/>
      <c r="DC31" s="1195"/>
      <c r="DD31" s="1195"/>
      <c r="DE31" s="1195"/>
      <c r="DF31" s="1195"/>
      <c r="DG31" s="1195"/>
      <c r="DH31" s="1195"/>
      <c r="DI31" s="1195"/>
      <c r="DJ31" s="1195"/>
      <c r="DK31" s="1195"/>
      <c r="DL31" s="1195"/>
      <c r="DM31" s="1195"/>
      <c r="DN31" s="1195"/>
      <c r="DO31" s="1195"/>
      <c r="DP31" s="1195"/>
      <c r="DQ31" s="1195"/>
      <c r="DR31" s="1195"/>
      <c r="DS31" s="1195"/>
      <c r="DT31" s="1195"/>
      <c r="DU31" s="1195"/>
      <c r="DV31" s="1195"/>
      <c r="DW31" s="1195"/>
      <c r="DX31" s="1195"/>
      <c r="DY31" s="1195"/>
      <c r="DZ31" s="1195"/>
      <c r="EA31" s="1195"/>
      <c r="EB31" s="1195"/>
      <c r="EC31" s="1195"/>
      <c r="ED31" s="1195"/>
      <c r="EE31" s="1195"/>
      <c r="EF31" s="1195"/>
      <c r="EG31" s="1195"/>
      <c r="EH31" s="1195"/>
    </row>
    <row r="32" spans="2:138" ht="15" customHeight="1">
      <c r="CS32" s="1195">
        <f>IF(CS31=1,"NGƯỜI THU HÚT NGƯỜI KHÁC",IF(OR(CS31=2,CS31=11),"NGƯỜI TẬN TÂM 
NHIỆT TÌNH",IF(CS31=3,"NGƯỜI CÓ SỨC QUYẾN RŨ",IF(OR(CS31=4,CS31=22),"NGƯỜI BỘC TRỰC",IF(CS31=5,"NGƯỜI CÓ TÂM HỒN 
TỰ DO",IF(OR(CS31=6,CS31=33),"NGƯỜI YÊU THƯƠNG",IF(CS31=7,"NGƯỜI BÍ ẨN",IF(CS31=8,"NGƯỜI PHẤN ĐẤU",IF(CS31=9,"NGƯỜI CÓ LÒNG BÁC ÁI",0)))))))))</f>
        <v>0</v>
      </c>
      <c r="CT32" s="1195"/>
      <c r="CU32" s="1195"/>
      <c r="CV32" s="1195"/>
      <c r="CW32" s="1195"/>
      <c r="CX32" s="1195"/>
      <c r="CY32" s="1195"/>
      <c r="CZ32" s="1195"/>
      <c r="DA32" s="1195"/>
      <c r="DB32" s="1195"/>
      <c r="DC32" s="1195"/>
      <c r="DD32" s="1195"/>
      <c r="DE32" s="1195"/>
      <c r="DF32" s="1195"/>
      <c r="DG32" s="1195"/>
      <c r="DH32" s="1195"/>
      <c r="DI32" s="1195"/>
      <c r="DJ32" s="1195"/>
      <c r="DK32" s="1195"/>
      <c r="DL32" s="1195"/>
      <c r="DM32" s="1195"/>
      <c r="DN32" s="1195"/>
      <c r="DO32" s="1195"/>
      <c r="DP32" s="1195"/>
      <c r="DQ32" s="1195"/>
      <c r="DR32" s="1195"/>
      <c r="DS32" s="1195"/>
      <c r="DT32" s="1195"/>
      <c r="DU32" s="1195"/>
      <c r="DV32" s="1195"/>
      <c r="DW32" s="1195"/>
      <c r="DX32" s="1195"/>
      <c r="DY32" s="1195"/>
      <c r="DZ32" s="1195"/>
      <c r="EA32" s="1195"/>
      <c r="EB32" s="1195"/>
      <c r="EC32" s="1195"/>
      <c r="ED32" s="1195"/>
      <c r="EE32" s="1195"/>
      <c r="EF32" s="1195"/>
      <c r="EG32" s="1195"/>
      <c r="EH32" s="1195"/>
    </row>
    <row r="33" spans="1:138" ht="15" customHeight="1">
      <c r="G33" s="113"/>
      <c r="CS33" s="1195"/>
      <c r="CT33" s="1195"/>
      <c r="CU33" s="1195"/>
      <c r="CV33" s="1195"/>
      <c r="CW33" s="1195"/>
      <c r="CX33" s="1195"/>
      <c r="CY33" s="1195"/>
      <c r="CZ33" s="1195"/>
      <c r="DA33" s="1195"/>
      <c r="DB33" s="1195"/>
      <c r="DC33" s="1195"/>
      <c r="DD33" s="1195"/>
      <c r="DE33" s="1195"/>
      <c r="DF33" s="1195"/>
      <c r="DG33" s="1195"/>
      <c r="DH33" s="1195"/>
      <c r="DI33" s="1195"/>
      <c r="DJ33" s="1195"/>
      <c r="DK33" s="1195"/>
      <c r="DL33" s="1195"/>
      <c r="DM33" s="1195"/>
      <c r="DN33" s="1195"/>
      <c r="DO33" s="1195"/>
      <c r="DP33" s="1195"/>
      <c r="DQ33" s="1195"/>
      <c r="DR33" s="1195"/>
      <c r="DS33" s="1195"/>
      <c r="DT33" s="1195"/>
      <c r="DU33" s="1195"/>
      <c r="DV33" s="1195"/>
      <c r="DW33" s="1195"/>
      <c r="DX33" s="1195"/>
      <c r="DY33" s="1195"/>
      <c r="DZ33" s="1195"/>
      <c r="EA33" s="1195"/>
      <c r="EB33" s="1195"/>
      <c r="EC33" s="1195"/>
      <c r="ED33" s="1195"/>
      <c r="EE33" s="1195"/>
      <c r="EF33" s="1195"/>
      <c r="EG33" s="1195"/>
      <c r="EH33" s="1195"/>
    </row>
    <row r="34" spans="1:138" ht="15" customHeight="1">
      <c r="B34" s="1196" t="s">
        <v>196</v>
      </c>
      <c r="C34" s="1197"/>
      <c r="D34" s="1197"/>
      <c r="E34" s="1198"/>
      <c r="F34" s="1202" t="str">
        <f>CONCATENATE(K5,L5,M5,N5,O5,P5,Q5,R5,S5,T5,U5,V5,W5,X5,Y5,Z5,AA5,AB5,AC5,AD5,AE5,AF5,AG5,AH5,AI5,AK5,AL5,AM5,AN5,AO5,AP5,AQ5,AR5,AS5,AT5,AU5,AV5,AW5,AX5,AY5,AZ5)</f>
        <v xml:space="preserve">TRANVANHUY   </v>
      </c>
      <c r="G34" s="1203"/>
      <c r="H34" s="1203"/>
      <c r="I34" s="1204"/>
      <c r="K34" s="1208" t="s">
        <v>196</v>
      </c>
      <c r="L34" s="1209"/>
      <c r="M34" s="1209"/>
      <c r="N34" s="1209"/>
      <c r="O34" s="1209"/>
      <c r="P34" s="1209"/>
      <c r="Q34" s="1209"/>
      <c r="R34" s="1209"/>
      <c r="S34" s="1209"/>
      <c r="T34" s="1209"/>
      <c r="U34" s="1209"/>
      <c r="V34" s="1209"/>
      <c r="W34" s="1209"/>
      <c r="X34" s="1209"/>
      <c r="Y34" s="1209"/>
      <c r="Z34" s="1209"/>
      <c r="AA34" s="1209"/>
      <c r="AB34" s="1209"/>
      <c r="AC34" s="1209"/>
      <c r="AD34" s="1209"/>
      <c r="AE34" s="1209"/>
      <c r="AF34" s="1209"/>
      <c r="AG34" s="1209"/>
      <c r="AH34" s="1209"/>
      <c r="AI34" s="1209"/>
      <c r="AJ34" s="1209"/>
      <c r="AK34" s="1209"/>
      <c r="AL34" s="1209"/>
      <c r="AM34" s="1209"/>
      <c r="AN34" s="1209"/>
      <c r="AO34" s="1209"/>
      <c r="AP34" s="1209"/>
      <c r="AQ34" s="1209"/>
      <c r="AR34" s="1209"/>
      <c r="AS34" s="1210"/>
      <c r="AT34" s="1214" t="str">
        <f>F34</f>
        <v xml:space="preserve">TRANVANHUY   </v>
      </c>
      <c r="AU34" s="1214"/>
      <c r="AV34" s="1214"/>
      <c r="AW34" s="1214"/>
      <c r="AX34" s="1214"/>
      <c r="AY34" s="1214"/>
      <c r="AZ34" s="1214"/>
      <c r="BB34" s="1215" t="s">
        <v>196</v>
      </c>
      <c r="BC34" s="1216"/>
      <c r="BD34" s="1216"/>
      <c r="BE34" s="1216"/>
      <c r="BF34" s="1216"/>
      <c r="BG34" s="1216"/>
      <c r="BH34" s="1216"/>
      <c r="BI34" s="1216"/>
      <c r="BJ34" s="1216"/>
      <c r="BK34" s="1216"/>
      <c r="BL34" s="1216"/>
      <c r="BM34" s="1216"/>
      <c r="BN34" s="1216"/>
      <c r="BO34" s="1216"/>
      <c r="BP34" s="1216"/>
      <c r="BQ34" s="1216"/>
      <c r="BR34" s="1216"/>
      <c r="BS34" s="1216"/>
      <c r="BT34" s="1216"/>
      <c r="BU34" s="1216"/>
      <c r="BV34" s="1216"/>
      <c r="BW34" s="1216"/>
      <c r="BX34" s="1216"/>
      <c r="BY34" s="1216"/>
      <c r="BZ34" s="1216"/>
      <c r="CA34" s="1217"/>
      <c r="CB34" s="1221" t="str">
        <f>F34</f>
        <v xml:space="preserve">TRANVANHUY   </v>
      </c>
      <c r="CC34" s="1221"/>
      <c r="CD34" s="1221"/>
      <c r="CE34" s="1221"/>
      <c r="CF34" s="1221"/>
      <c r="CG34" s="1221"/>
      <c r="CH34" s="1221"/>
      <c r="CI34" s="1221"/>
      <c r="CJ34" s="1221"/>
      <c r="CK34" s="1221"/>
      <c r="CL34" s="1221"/>
      <c r="CM34" s="1221"/>
      <c r="CN34" s="1221"/>
      <c r="CO34" s="1221"/>
      <c r="CP34" s="1221"/>
      <c r="CQ34" s="1221"/>
      <c r="CR34" s="114"/>
      <c r="CS34" s="115"/>
      <c r="CT34" s="115"/>
      <c r="CU34" s="115"/>
      <c r="CV34" s="115"/>
      <c r="CW34" s="115"/>
      <c r="CX34" s="115"/>
      <c r="CY34" s="115"/>
      <c r="CZ34" s="115"/>
      <c r="DA34" s="115"/>
      <c r="DB34" s="115"/>
      <c r="DC34" s="115"/>
      <c r="DD34" s="115"/>
      <c r="DE34" s="115"/>
      <c r="DF34" s="115"/>
      <c r="DG34" s="79"/>
      <c r="DH34" s="79"/>
      <c r="DI34" s="79"/>
      <c r="DJ34" s="79"/>
      <c r="DK34" s="79"/>
      <c r="DL34" s="79"/>
      <c r="DM34" s="79"/>
      <c r="DN34" s="79"/>
      <c r="DO34" s="79"/>
      <c r="DP34" s="79"/>
      <c r="DQ34" s="79"/>
      <c r="DR34" s="79"/>
      <c r="DS34" s="79"/>
      <c r="DT34" s="79"/>
      <c r="DU34" s="79"/>
      <c r="DV34" s="79"/>
      <c r="DW34" s="79"/>
      <c r="DX34" s="79"/>
      <c r="DY34" s="79"/>
      <c r="DZ34" s="79"/>
      <c r="EA34" s="79"/>
      <c r="EB34" s="79"/>
      <c r="EC34" s="79"/>
      <c r="ED34" s="79"/>
      <c r="EE34" s="79"/>
      <c r="EF34" s="79"/>
      <c r="EG34" s="79"/>
      <c r="EH34" s="79"/>
    </row>
    <row r="35" spans="1:138" ht="15" customHeight="1">
      <c r="B35" s="1199"/>
      <c r="C35" s="1200"/>
      <c r="D35" s="1200"/>
      <c r="E35" s="1201"/>
      <c r="F35" s="1205"/>
      <c r="G35" s="1206"/>
      <c r="H35" s="1206"/>
      <c r="I35" s="1207"/>
      <c r="K35" s="1211"/>
      <c r="L35" s="1212"/>
      <c r="M35" s="1212"/>
      <c r="N35" s="1212"/>
      <c r="O35" s="1212"/>
      <c r="P35" s="1212"/>
      <c r="Q35" s="1212"/>
      <c r="R35" s="1212"/>
      <c r="S35" s="1212"/>
      <c r="T35" s="1212"/>
      <c r="U35" s="1212"/>
      <c r="V35" s="1212"/>
      <c r="W35" s="1212"/>
      <c r="X35" s="1212"/>
      <c r="Y35" s="1212"/>
      <c r="Z35" s="1212"/>
      <c r="AA35" s="1212"/>
      <c r="AB35" s="1212"/>
      <c r="AC35" s="1212"/>
      <c r="AD35" s="1212"/>
      <c r="AE35" s="1212"/>
      <c r="AF35" s="1212"/>
      <c r="AG35" s="1212"/>
      <c r="AH35" s="1212"/>
      <c r="AI35" s="1212"/>
      <c r="AJ35" s="1212"/>
      <c r="AK35" s="1212"/>
      <c r="AL35" s="1212"/>
      <c r="AM35" s="1212"/>
      <c r="AN35" s="1212"/>
      <c r="AO35" s="1212"/>
      <c r="AP35" s="1212"/>
      <c r="AQ35" s="1212"/>
      <c r="AR35" s="1212"/>
      <c r="AS35" s="1213"/>
      <c r="AT35" s="1214"/>
      <c r="AU35" s="1214"/>
      <c r="AV35" s="1214"/>
      <c r="AW35" s="1214"/>
      <c r="AX35" s="1214"/>
      <c r="AY35" s="1214"/>
      <c r="AZ35" s="1214"/>
      <c r="BB35" s="1218"/>
      <c r="BC35" s="1219"/>
      <c r="BD35" s="1219"/>
      <c r="BE35" s="1219"/>
      <c r="BF35" s="1219"/>
      <c r="BG35" s="1219"/>
      <c r="BH35" s="1219"/>
      <c r="BI35" s="1219"/>
      <c r="BJ35" s="1219"/>
      <c r="BK35" s="1219"/>
      <c r="BL35" s="1219"/>
      <c r="BM35" s="1219"/>
      <c r="BN35" s="1219"/>
      <c r="BO35" s="1219"/>
      <c r="BP35" s="1219"/>
      <c r="BQ35" s="1219"/>
      <c r="BR35" s="1219"/>
      <c r="BS35" s="1219"/>
      <c r="BT35" s="1219"/>
      <c r="BU35" s="1219"/>
      <c r="BV35" s="1219"/>
      <c r="BW35" s="1219"/>
      <c r="BX35" s="1219"/>
      <c r="BY35" s="1219"/>
      <c r="BZ35" s="1219"/>
      <c r="CA35" s="1220"/>
      <c r="CB35" s="1221"/>
      <c r="CC35" s="1221"/>
      <c r="CD35" s="1221"/>
      <c r="CE35" s="1221"/>
      <c r="CF35" s="1221"/>
      <c r="CG35" s="1221"/>
      <c r="CH35" s="1221"/>
      <c r="CI35" s="1221"/>
      <c r="CJ35" s="1221"/>
      <c r="CK35" s="1221"/>
      <c r="CL35" s="1221"/>
      <c r="CM35" s="1221"/>
      <c r="CN35" s="1221"/>
      <c r="CO35" s="1221"/>
      <c r="CP35" s="1221"/>
      <c r="CQ35" s="1221"/>
      <c r="CR35" s="114"/>
      <c r="CS35" s="115"/>
      <c r="CT35" s="1222">
        <f>IF(BB12=11,2,IF(BB12=22,4,IF(BB12=33,6,IF(BB12=19,1,IF(BB12&gt;=10,RIGHT(BB12,1)+LEFT(BB12,1),BB12)))))</f>
        <v>5</v>
      </c>
      <c r="CU35" s="1222"/>
      <c r="CV35" s="1222"/>
      <c r="CW35" s="1222"/>
      <c r="CX35" s="1222"/>
      <c r="CY35" s="1222"/>
      <c r="CZ35" s="1222"/>
      <c r="DA35" s="1222"/>
      <c r="DB35" s="1222"/>
      <c r="DC35" s="1222"/>
      <c r="DD35" s="1222"/>
      <c r="DE35" s="1222"/>
      <c r="DF35" s="1222"/>
      <c r="DG35" s="1222"/>
      <c r="DH35" s="1222"/>
      <c r="DI35" s="1222"/>
      <c r="DJ35" s="1222"/>
      <c r="DK35" s="1222"/>
      <c r="DL35" s="1222"/>
      <c r="DM35" s="1222"/>
      <c r="DN35" s="1222"/>
      <c r="DO35" s="1222"/>
      <c r="DP35" s="1222"/>
      <c r="DQ35" s="1222"/>
      <c r="DR35" s="1222"/>
      <c r="DS35" s="1222"/>
      <c r="DT35" s="1222"/>
      <c r="DU35" s="1222"/>
      <c r="DV35" s="1222"/>
      <c r="DW35" s="1222"/>
      <c r="DX35" s="1222"/>
      <c r="DY35" s="1222"/>
      <c r="DZ35" s="1222"/>
      <c r="EA35" s="1222"/>
      <c r="EB35" s="1222"/>
      <c r="EC35" s="1222"/>
      <c r="ED35" s="1222"/>
      <c r="EE35" s="1222"/>
      <c r="EF35" s="1222"/>
      <c r="EG35" s="1222"/>
      <c r="EH35" s="1222"/>
    </row>
    <row r="36" spans="1:138" ht="17.25" customHeight="1">
      <c r="B36" s="1228" t="s">
        <v>197</v>
      </c>
      <c r="C36" s="1229"/>
      <c r="D36" s="1229"/>
      <c r="E36" s="1230"/>
      <c r="F36" s="1231" t="str">
        <f>IF(OR(ISNUMBER(SEARCH("A",$F$34)),ISNUMBER(SEARCH("J",$F$34)),ISNUMBER(SEARCH("S",$F$34))),"KHÔNG", "CÓ")</f>
        <v>KHÔNG</v>
      </c>
      <c r="G36" s="1232"/>
      <c r="H36" s="1232"/>
      <c r="I36" s="1233"/>
      <c r="J36" s="111"/>
      <c r="K36" s="1234" t="s">
        <v>198</v>
      </c>
      <c r="L36" s="1235"/>
      <c r="M36" s="1235"/>
      <c r="N36" s="1235"/>
      <c r="O36" s="1235"/>
      <c r="P36" s="1235"/>
      <c r="Q36" s="1235"/>
      <c r="R36" s="1235"/>
      <c r="S36" s="1235"/>
      <c r="T36" s="1235"/>
      <c r="U36" s="1235"/>
      <c r="V36" s="1235"/>
      <c r="W36" s="1235"/>
      <c r="X36" s="1235"/>
      <c r="Y36" s="1235"/>
      <c r="Z36" s="1235"/>
      <c r="AA36" s="1235"/>
      <c r="AB36" s="1235"/>
      <c r="AC36" s="1235"/>
      <c r="AD36" s="1235"/>
      <c r="AE36" s="1235"/>
      <c r="AF36" s="1235"/>
      <c r="AG36" s="1235"/>
      <c r="AH36" s="1235"/>
      <c r="AI36" s="1235"/>
      <c r="AJ36" s="1235"/>
      <c r="AK36" s="1235"/>
      <c r="AL36" s="1235"/>
      <c r="AM36" s="1235"/>
      <c r="AN36" s="1235"/>
      <c r="AO36" s="1235"/>
      <c r="AP36" s="1235"/>
      <c r="AQ36" s="1235"/>
      <c r="AR36" s="1235"/>
      <c r="AS36" s="1236"/>
      <c r="AT36" s="1237" t="str">
        <f>IF(OR(ISNUMBER(SEARCH("D",$F$34)),ISNUMBER(SEARCH("M",$F$34)),ISNUMBER(SEARCH("V",$F$34))),"KHÔNG", "CÓ")</f>
        <v>KHÔNG</v>
      </c>
      <c r="AU36" s="1237"/>
      <c r="AV36" s="1237"/>
      <c r="AW36" s="1237"/>
      <c r="AX36" s="1237"/>
      <c r="AY36" s="1237"/>
      <c r="AZ36" s="1237"/>
      <c r="BA36" s="112"/>
      <c r="BB36" s="1238" t="s">
        <v>199</v>
      </c>
      <c r="BC36" s="1239"/>
      <c r="BD36" s="1239"/>
      <c r="BE36" s="1239"/>
      <c r="BF36" s="1239"/>
      <c r="BG36" s="1239"/>
      <c r="BH36" s="1239"/>
      <c r="BI36" s="1239"/>
      <c r="BJ36" s="1239"/>
      <c r="BK36" s="1239"/>
      <c r="BL36" s="1239"/>
      <c r="BM36" s="1239"/>
      <c r="BN36" s="1239"/>
      <c r="BO36" s="1239"/>
      <c r="BP36" s="1239"/>
      <c r="BQ36" s="1239"/>
      <c r="BR36" s="1239"/>
      <c r="BS36" s="1239"/>
      <c r="BT36" s="1239"/>
      <c r="BU36" s="1239"/>
      <c r="BV36" s="1239"/>
      <c r="BW36" s="1239"/>
      <c r="BX36" s="1239"/>
      <c r="BY36" s="1239"/>
      <c r="BZ36" s="1239"/>
      <c r="CA36" s="1240"/>
      <c r="CB36" s="1241" t="str">
        <f>IF(OR(ISNUMBER(SEARCH("G",$F$34)),ISNUMBER(SEARCH("P",$F$34)),ISNUMBER(SEARCH("Y",$F$34))),"KHÔNG", "CÓ")</f>
        <v>KHÔNG</v>
      </c>
      <c r="CC36" s="1241"/>
      <c r="CD36" s="1241"/>
      <c r="CE36" s="1241"/>
      <c r="CF36" s="1241"/>
      <c r="CG36" s="1241"/>
      <c r="CH36" s="1241"/>
      <c r="CI36" s="1241"/>
      <c r="CJ36" s="1241"/>
      <c r="CK36" s="1241"/>
      <c r="CL36" s="1241"/>
      <c r="CM36" s="1241"/>
      <c r="CN36" s="1241"/>
      <c r="CO36" s="1241"/>
      <c r="CP36" s="1241"/>
      <c r="CQ36" s="1241"/>
      <c r="CR36" s="116"/>
      <c r="CS36" s="115"/>
      <c r="CT36" s="1222">
        <f>IF(CS31=11,2,IF(CS31=22,4,IF(CS31=33,6,IF(CS31=19,1,IF(CS31&gt;=10,RIGHT(CS31,1)+LEFT(CS31,1),CS31)))))</f>
        <v>0</v>
      </c>
      <c r="CU36" s="1222"/>
      <c r="CV36" s="1222"/>
      <c r="CW36" s="1222"/>
      <c r="CX36" s="1222"/>
      <c r="CY36" s="1222"/>
      <c r="CZ36" s="1222"/>
      <c r="DA36" s="1222"/>
      <c r="DB36" s="1222"/>
      <c r="DC36" s="1222"/>
      <c r="DD36" s="1222"/>
      <c r="DE36" s="1222"/>
      <c r="DF36" s="1222"/>
      <c r="DG36" s="1222"/>
      <c r="DH36" s="1222"/>
      <c r="DI36" s="1222"/>
      <c r="DJ36" s="1222"/>
      <c r="DK36" s="1222"/>
      <c r="DL36" s="1222"/>
      <c r="DM36" s="1222"/>
      <c r="DN36" s="1222"/>
      <c r="DO36" s="1222"/>
      <c r="DP36" s="1222"/>
      <c r="DQ36" s="1222"/>
      <c r="DR36" s="1222"/>
      <c r="DS36" s="1222"/>
      <c r="DT36" s="1222"/>
      <c r="DU36" s="1222"/>
      <c r="DV36" s="1222"/>
      <c r="DW36" s="1222"/>
      <c r="DX36" s="1222"/>
      <c r="DY36" s="1222"/>
      <c r="DZ36" s="1222"/>
      <c r="EA36" s="1222"/>
      <c r="EB36" s="1222"/>
      <c r="EC36" s="1222"/>
      <c r="ED36" s="1222"/>
      <c r="EE36" s="1222"/>
      <c r="EF36" s="1222"/>
      <c r="EG36" s="1222"/>
      <c r="EH36" s="1222"/>
    </row>
    <row r="37" spans="1:138" ht="17.25" customHeight="1">
      <c r="B37" s="1228" t="s">
        <v>200</v>
      </c>
      <c r="C37" s="1229"/>
      <c r="D37" s="1229"/>
      <c r="E37" s="1230"/>
      <c r="F37" s="1231" t="str">
        <f>IF(OR(ISNUMBER(SEARCH("B",$F$34)),ISNUMBER(SEARCH("K",$F$34)),ISNUMBER(SEARCH("T",$F$34))),"KHÔNG", "CÓ")</f>
        <v>KHÔNG</v>
      </c>
      <c r="G37" s="1232"/>
      <c r="H37" s="1232"/>
      <c r="I37" s="1233"/>
      <c r="J37" s="111"/>
      <c r="K37" s="1234" t="s">
        <v>201</v>
      </c>
      <c r="L37" s="1235"/>
      <c r="M37" s="1235"/>
      <c r="N37" s="1235"/>
      <c r="O37" s="1235"/>
      <c r="P37" s="1235"/>
      <c r="Q37" s="1235"/>
      <c r="R37" s="1235"/>
      <c r="S37" s="1235"/>
      <c r="T37" s="1235"/>
      <c r="U37" s="1235"/>
      <c r="V37" s="1235"/>
      <c r="W37" s="1235"/>
      <c r="X37" s="1235"/>
      <c r="Y37" s="1235"/>
      <c r="Z37" s="1235"/>
      <c r="AA37" s="1235"/>
      <c r="AB37" s="1235"/>
      <c r="AC37" s="1235"/>
      <c r="AD37" s="1235"/>
      <c r="AE37" s="1235"/>
      <c r="AF37" s="1235"/>
      <c r="AG37" s="1235"/>
      <c r="AH37" s="1235"/>
      <c r="AI37" s="1235"/>
      <c r="AJ37" s="1235"/>
      <c r="AK37" s="1235"/>
      <c r="AL37" s="1235"/>
      <c r="AM37" s="1235"/>
      <c r="AN37" s="1235"/>
      <c r="AO37" s="1235"/>
      <c r="AP37" s="1235"/>
      <c r="AQ37" s="1235"/>
      <c r="AR37" s="1235"/>
      <c r="AS37" s="1236"/>
      <c r="AT37" s="1237" t="str">
        <f>IF(OR(ISNUMBER(SEARCH("E",$F$34)),ISNUMBER(SEARCH("N",$F$34)),ISNUMBER(SEARCH("W",$F$34))),"KHÔNG", "CÓ")</f>
        <v>KHÔNG</v>
      </c>
      <c r="AU37" s="1237"/>
      <c r="AV37" s="1237"/>
      <c r="AW37" s="1237"/>
      <c r="AX37" s="1237"/>
      <c r="AY37" s="1237"/>
      <c r="AZ37" s="1237"/>
      <c r="BA37" s="112"/>
      <c r="BB37" s="1238" t="s">
        <v>202</v>
      </c>
      <c r="BC37" s="1239"/>
      <c r="BD37" s="1239"/>
      <c r="BE37" s="1239"/>
      <c r="BF37" s="1239"/>
      <c r="BG37" s="1239"/>
      <c r="BH37" s="1239"/>
      <c r="BI37" s="1239"/>
      <c r="BJ37" s="1239"/>
      <c r="BK37" s="1239"/>
      <c r="BL37" s="1239"/>
      <c r="BM37" s="1239"/>
      <c r="BN37" s="1239"/>
      <c r="BO37" s="1239"/>
      <c r="BP37" s="1239"/>
      <c r="BQ37" s="1239"/>
      <c r="BR37" s="1239"/>
      <c r="BS37" s="1239"/>
      <c r="BT37" s="1239"/>
      <c r="BU37" s="1239"/>
      <c r="BV37" s="1239"/>
      <c r="BW37" s="1239"/>
      <c r="BX37" s="1239"/>
      <c r="BY37" s="1239"/>
      <c r="BZ37" s="1239"/>
      <c r="CA37" s="1240"/>
      <c r="CB37" s="1241" t="str">
        <f>IF(OR(ISNUMBER(SEARCH("H",$F$34)),ISNUMBER(SEARCH("Q",$F$34)),ISNUMBER(SEARCH("Z",$F$34))),"KHÔNG", "CÓ")</f>
        <v>KHÔNG</v>
      </c>
      <c r="CC37" s="1241"/>
      <c r="CD37" s="1241"/>
      <c r="CE37" s="1241"/>
      <c r="CF37" s="1241"/>
      <c r="CG37" s="1241"/>
      <c r="CH37" s="1241"/>
      <c r="CI37" s="1241"/>
      <c r="CJ37" s="1241"/>
      <c r="CK37" s="1241"/>
      <c r="CL37" s="1241"/>
      <c r="CM37" s="1241"/>
      <c r="CN37" s="1241"/>
      <c r="CO37" s="1241"/>
      <c r="CP37" s="1241"/>
      <c r="CQ37" s="1241"/>
      <c r="CR37" s="116"/>
      <c r="CS37" s="1242" t="s">
        <v>203</v>
      </c>
      <c r="CT37" s="1243"/>
      <c r="CU37" s="1243"/>
      <c r="CV37" s="1243"/>
      <c r="CW37" s="1243"/>
      <c r="CX37" s="1243"/>
      <c r="CY37" s="1243"/>
      <c r="CZ37" s="1243"/>
      <c r="DA37" s="1243"/>
      <c r="DB37" s="1243"/>
      <c r="DC37" s="1243"/>
      <c r="DD37" s="1243"/>
      <c r="DE37" s="1243"/>
      <c r="DF37" s="1243"/>
      <c r="DG37" s="1243"/>
      <c r="DH37" s="1243"/>
      <c r="DI37" s="1243"/>
      <c r="DJ37" s="1243"/>
      <c r="DK37" s="1243"/>
      <c r="DL37" s="1243"/>
      <c r="DM37" s="1243"/>
      <c r="DN37" s="1243"/>
      <c r="DO37" s="1243"/>
      <c r="DP37" s="1243"/>
      <c r="DQ37" s="1243"/>
      <c r="DR37" s="1243"/>
      <c r="DS37" s="1243"/>
      <c r="DT37" s="1243"/>
      <c r="DU37" s="1243"/>
      <c r="DV37" s="1243"/>
      <c r="DW37" s="1243"/>
      <c r="DX37" s="1243"/>
      <c r="DY37" s="1243"/>
      <c r="DZ37" s="1243"/>
      <c r="EA37" s="1243"/>
      <c r="EB37" s="1244"/>
      <c r="EC37" s="1248">
        <f>IF(CT35&gt;CT36,CT35-CT36,IF(CT36&gt;CT35,CT36-CT35,0))</f>
        <v>5</v>
      </c>
      <c r="ED37" s="1248"/>
      <c r="EE37" s="1248"/>
      <c r="EF37" s="1248"/>
      <c r="EG37" s="1248"/>
      <c r="EH37" s="1248"/>
    </row>
    <row r="38" spans="1:138" ht="17.25" customHeight="1">
      <c r="B38" s="1228" t="s">
        <v>204</v>
      </c>
      <c r="C38" s="1229"/>
      <c r="D38" s="1229"/>
      <c r="E38" s="1230"/>
      <c r="F38" s="1231" t="str">
        <f>IF(OR(ISNUMBER(SEARCH("C",$F$34)),ISNUMBER(SEARCH("L",$F$34)),ISNUMBER(SEARCH("U",$F$34))),"KHÔNG", "CÓ")</f>
        <v>KHÔNG</v>
      </c>
      <c r="G38" s="1232"/>
      <c r="H38" s="1232"/>
      <c r="I38" s="1233"/>
      <c r="J38" s="111"/>
      <c r="K38" s="1234" t="s">
        <v>205</v>
      </c>
      <c r="L38" s="1235"/>
      <c r="M38" s="1235"/>
      <c r="N38" s="1235"/>
      <c r="O38" s="1235"/>
      <c r="P38" s="1235"/>
      <c r="Q38" s="1235"/>
      <c r="R38" s="1235"/>
      <c r="S38" s="1235"/>
      <c r="T38" s="1235"/>
      <c r="U38" s="1235"/>
      <c r="V38" s="1235"/>
      <c r="W38" s="1235"/>
      <c r="X38" s="1235"/>
      <c r="Y38" s="1235"/>
      <c r="Z38" s="1235"/>
      <c r="AA38" s="1235"/>
      <c r="AB38" s="1235"/>
      <c r="AC38" s="1235"/>
      <c r="AD38" s="1235"/>
      <c r="AE38" s="1235"/>
      <c r="AF38" s="1235"/>
      <c r="AG38" s="1235"/>
      <c r="AH38" s="1235"/>
      <c r="AI38" s="1235"/>
      <c r="AJ38" s="1235"/>
      <c r="AK38" s="1235"/>
      <c r="AL38" s="1235"/>
      <c r="AM38" s="1235"/>
      <c r="AN38" s="1235"/>
      <c r="AO38" s="1235"/>
      <c r="AP38" s="1235"/>
      <c r="AQ38" s="1235"/>
      <c r="AR38" s="1235"/>
      <c r="AS38" s="1236"/>
      <c r="AT38" s="1237" t="str">
        <f>IF(OR(ISNUMBER(SEARCH("F",$F$34)),ISNUMBER(SEARCH("O",$F$34)),ISNUMBER(SEARCH("X",$F$34))),"KHÔNG", "CÓ")</f>
        <v>CÓ</v>
      </c>
      <c r="AU38" s="1237"/>
      <c r="AV38" s="1237"/>
      <c r="AW38" s="1237"/>
      <c r="AX38" s="1237"/>
      <c r="AY38" s="1237"/>
      <c r="AZ38" s="1237"/>
      <c r="BA38" s="112"/>
      <c r="BB38" s="1238" t="s">
        <v>206</v>
      </c>
      <c r="BC38" s="1239"/>
      <c r="BD38" s="1239"/>
      <c r="BE38" s="1239"/>
      <c r="BF38" s="1239"/>
      <c r="BG38" s="1239"/>
      <c r="BH38" s="1239"/>
      <c r="BI38" s="1239"/>
      <c r="BJ38" s="1239"/>
      <c r="BK38" s="1239"/>
      <c r="BL38" s="1239"/>
      <c r="BM38" s="1239"/>
      <c r="BN38" s="1239"/>
      <c r="BO38" s="1239"/>
      <c r="BP38" s="1239"/>
      <c r="BQ38" s="1239"/>
      <c r="BR38" s="1239"/>
      <c r="BS38" s="1239"/>
      <c r="BT38" s="1239"/>
      <c r="BU38" s="1239"/>
      <c r="BV38" s="1239"/>
      <c r="BW38" s="1239"/>
      <c r="BX38" s="1239"/>
      <c r="BY38" s="1239"/>
      <c r="BZ38" s="1239"/>
      <c r="CA38" s="1240"/>
      <c r="CB38" s="1241" t="str">
        <f>IF(OR(ISNUMBER(SEARCH("I",$F$34)),ISNUMBER(SEARCH("R",$F$34))),"KHÔNG", "CÓ")</f>
        <v>KHÔNG</v>
      </c>
      <c r="CC38" s="1241"/>
      <c r="CD38" s="1241"/>
      <c r="CE38" s="1241"/>
      <c r="CF38" s="1241"/>
      <c r="CG38" s="1241"/>
      <c r="CH38" s="1241"/>
      <c r="CI38" s="1241"/>
      <c r="CJ38" s="1241"/>
      <c r="CK38" s="1241"/>
      <c r="CL38" s="1241"/>
      <c r="CM38" s="1241"/>
      <c r="CN38" s="1241"/>
      <c r="CO38" s="1241"/>
      <c r="CP38" s="1241"/>
      <c r="CQ38" s="1241"/>
      <c r="CR38" s="116"/>
      <c r="CS38" s="1245"/>
      <c r="CT38" s="1246"/>
      <c r="CU38" s="1246"/>
      <c r="CV38" s="1246"/>
      <c r="CW38" s="1246"/>
      <c r="CX38" s="1246"/>
      <c r="CY38" s="1246"/>
      <c r="CZ38" s="1246"/>
      <c r="DA38" s="1246"/>
      <c r="DB38" s="1246"/>
      <c r="DC38" s="1246"/>
      <c r="DD38" s="1246"/>
      <c r="DE38" s="1246"/>
      <c r="DF38" s="1246"/>
      <c r="DG38" s="1246"/>
      <c r="DH38" s="1246"/>
      <c r="DI38" s="1246"/>
      <c r="DJ38" s="1246"/>
      <c r="DK38" s="1246"/>
      <c r="DL38" s="1246"/>
      <c r="DM38" s="1246"/>
      <c r="DN38" s="1246"/>
      <c r="DO38" s="1246"/>
      <c r="DP38" s="1246"/>
      <c r="DQ38" s="1246"/>
      <c r="DR38" s="1246"/>
      <c r="DS38" s="1246"/>
      <c r="DT38" s="1246"/>
      <c r="DU38" s="1246"/>
      <c r="DV38" s="1246"/>
      <c r="DW38" s="1246"/>
      <c r="DX38" s="1246"/>
      <c r="DY38" s="1246"/>
      <c r="DZ38" s="1246"/>
      <c r="EA38" s="1246"/>
      <c r="EB38" s="1247"/>
      <c r="EC38" s="1248"/>
      <c r="ED38" s="1248"/>
      <c r="EE38" s="1248"/>
      <c r="EF38" s="1248"/>
      <c r="EG38" s="1248"/>
      <c r="EH38" s="1248"/>
    </row>
    <row r="39" spans="1:138" ht="12" customHeight="1"/>
    <row r="40" spans="1:138" ht="15" hidden="1" customHeight="1"/>
    <row r="41" spans="1:138" ht="9.75" customHeight="1">
      <c r="B41" s="117"/>
    </row>
    <row r="42" spans="1:138" ht="10.5" customHeight="1">
      <c r="B42" s="1259" t="s">
        <v>207</v>
      </c>
      <c r="C42" s="1260"/>
      <c r="D42" s="1260"/>
      <c r="E42" s="1261"/>
      <c r="F42" s="1265" t="s">
        <v>208</v>
      </c>
      <c r="G42" s="1265"/>
      <c r="H42" s="1265"/>
      <c r="I42" s="1265"/>
      <c r="K42" s="1266" t="s">
        <v>207</v>
      </c>
      <c r="L42" s="1267"/>
      <c r="M42" s="1267"/>
      <c r="N42" s="1267"/>
      <c r="O42" s="1267"/>
      <c r="P42" s="1267"/>
      <c r="Q42" s="1267"/>
      <c r="R42" s="1267"/>
      <c r="S42" s="1267"/>
      <c r="T42" s="1267"/>
      <c r="U42" s="1267"/>
      <c r="V42" s="1267"/>
      <c r="W42" s="1267"/>
      <c r="X42" s="1267"/>
      <c r="Y42" s="1267"/>
      <c r="Z42" s="1267"/>
      <c r="AA42" s="1267"/>
      <c r="AB42" s="1267"/>
      <c r="AC42" s="1267"/>
      <c r="AD42" s="1267"/>
      <c r="AE42" s="1267"/>
      <c r="AF42" s="1267"/>
      <c r="AG42" s="1267"/>
      <c r="AH42" s="1267"/>
      <c r="AI42" s="1267"/>
      <c r="AJ42" s="1267"/>
      <c r="AK42" s="1267"/>
      <c r="AL42" s="1267"/>
      <c r="AM42" s="1267"/>
      <c r="AN42" s="1267"/>
      <c r="AO42" s="1267"/>
      <c r="AP42" s="1267"/>
      <c r="AQ42" s="1267"/>
      <c r="AR42" s="1267"/>
      <c r="AS42" s="1268"/>
      <c r="AT42" s="1272" t="s">
        <v>208</v>
      </c>
      <c r="AU42" s="1272"/>
      <c r="AV42" s="1272"/>
      <c r="AW42" s="1272"/>
      <c r="AX42" s="1272"/>
      <c r="AY42" s="1272"/>
      <c r="AZ42" s="1272"/>
      <c r="BA42" s="1272"/>
      <c r="BB42" s="1273" t="s">
        <v>207</v>
      </c>
      <c r="BC42" s="1274"/>
      <c r="BD42" s="1274"/>
      <c r="BE42" s="1274"/>
      <c r="BF42" s="1274"/>
      <c r="BG42" s="1274"/>
      <c r="BH42" s="1274"/>
      <c r="BI42" s="1274"/>
      <c r="BJ42" s="1274"/>
      <c r="BK42" s="1274"/>
      <c r="BL42" s="1274"/>
      <c r="BM42" s="1274"/>
      <c r="BN42" s="1274"/>
      <c r="BO42" s="1274"/>
      <c r="BP42" s="1274"/>
      <c r="BQ42" s="1274"/>
      <c r="BR42" s="1274"/>
      <c r="BS42" s="1274"/>
      <c r="BT42" s="1274"/>
      <c r="BU42" s="1274"/>
      <c r="BV42" s="1274"/>
      <c r="BW42" s="1274"/>
      <c r="BX42" s="1274"/>
      <c r="BY42" s="1274"/>
      <c r="BZ42" s="1275"/>
      <c r="CA42" s="1249" t="s">
        <v>208</v>
      </c>
      <c r="CB42" s="1249"/>
      <c r="CC42" s="1249"/>
      <c r="CD42" s="1249"/>
      <c r="CE42" s="1249"/>
      <c r="CF42" s="1249"/>
      <c r="CG42" s="1249"/>
      <c r="CH42" s="1249"/>
      <c r="CI42" s="1249"/>
      <c r="CJ42" s="1249"/>
      <c r="CK42" s="1249"/>
      <c r="CL42" s="1249"/>
      <c r="CM42" s="1249"/>
      <c r="CN42" s="1249"/>
      <c r="CO42" s="1249"/>
      <c r="CP42" s="1249"/>
      <c r="CQ42" s="1249"/>
      <c r="CR42" s="118"/>
    </row>
    <row r="43" spans="1:138" ht="10.5" customHeight="1">
      <c r="B43" s="1262"/>
      <c r="C43" s="1263"/>
      <c r="D43" s="1263"/>
      <c r="E43" s="1264"/>
      <c r="F43" s="1265"/>
      <c r="G43" s="1265"/>
      <c r="H43" s="1265"/>
      <c r="I43" s="1265"/>
      <c r="K43" s="1269"/>
      <c r="L43" s="1270"/>
      <c r="M43" s="1270"/>
      <c r="N43" s="1270"/>
      <c r="O43" s="1270"/>
      <c r="P43" s="1270"/>
      <c r="Q43" s="1270"/>
      <c r="R43" s="1270"/>
      <c r="S43" s="1270"/>
      <c r="T43" s="1270"/>
      <c r="U43" s="1270"/>
      <c r="V43" s="1270"/>
      <c r="W43" s="1270"/>
      <c r="X43" s="1270"/>
      <c r="Y43" s="1270"/>
      <c r="Z43" s="1270"/>
      <c r="AA43" s="1270"/>
      <c r="AB43" s="1270"/>
      <c r="AC43" s="1270"/>
      <c r="AD43" s="1270"/>
      <c r="AE43" s="1270"/>
      <c r="AF43" s="1270"/>
      <c r="AG43" s="1270"/>
      <c r="AH43" s="1270"/>
      <c r="AI43" s="1270"/>
      <c r="AJ43" s="1270"/>
      <c r="AK43" s="1270"/>
      <c r="AL43" s="1270"/>
      <c r="AM43" s="1270"/>
      <c r="AN43" s="1270"/>
      <c r="AO43" s="1270"/>
      <c r="AP43" s="1270"/>
      <c r="AQ43" s="1270"/>
      <c r="AR43" s="1270"/>
      <c r="AS43" s="1271"/>
      <c r="AT43" s="1272"/>
      <c r="AU43" s="1272"/>
      <c r="AV43" s="1272"/>
      <c r="AW43" s="1272"/>
      <c r="AX43" s="1272"/>
      <c r="AY43" s="1272"/>
      <c r="AZ43" s="1272"/>
      <c r="BA43" s="1272"/>
      <c r="BB43" s="1276"/>
      <c r="BC43" s="1277"/>
      <c r="BD43" s="1277"/>
      <c r="BE43" s="1277"/>
      <c r="BF43" s="1277"/>
      <c r="BG43" s="1277"/>
      <c r="BH43" s="1277"/>
      <c r="BI43" s="1277"/>
      <c r="BJ43" s="1277"/>
      <c r="BK43" s="1277"/>
      <c r="BL43" s="1277"/>
      <c r="BM43" s="1277"/>
      <c r="BN43" s="1277"/>
      <c r="BO43" s="1277"/>
      <c r="BP43" s="1277"/>
      <c r="BQ43" s="1277"/>
      <c r="BR43" s="1277"/>
      <c r="BS43" s="1277"/>
      <c r="BT43" s="1277"/>
      <c r="BU43" s="1277"/>
      <c r="BV43" s="1277"/>
      <c r="BW43" s="1277"/>
      <c r="BX43" s="1277"/>
      <c r="BY43" s="1277"/>
      <c r="BZ43" s="1278"/>
      <c r="CA43" s="1249"/>
      <c r="CB43" s="1249"/>
      <c r="CC43" s="1249"/>
      <c r="CD43" s="1249"/>
      <c r="CE43" s="1249"/>
      <c r="CF43" s="1249"/>
      <c r="CG43" s="1249"/>
      <c r="CH43" s="1249"/>
      <c r="CI43" s="1249"/>
      <c r="CJ43" s="1249"/>
      <c r="CK43" s="1249"/>
      <c r="CL43" s="1249"/>
      <c r="CM43" s="1249"/>
      <c r="CN43" s="1249"/>
      <c r="CO43" s="1249"/>
      <c r="CP43" s="1249"/>
      <c r="CQ43" s="1249"/>
      <c r="CR43" s="118"/>
    </row>
    <row r="44" spans="1:138" s="119" customFormat="1" ht="15" customHeight="1">
      <c r="B44" s="1250" t="s">
        <v>209</v>
      </c>
      <c r="C44" s="1251"/>
      <c r="D44" s="1251"/>
      <c r="E44" s="1252"/>
      <c r="F44" s="1253">
        <f>COUNTIF($K$6:$AZ$6,1)</f>
        <v>2</v>
      </c>
      <c r="G44" s="1254"/>
      <c r="H44" s="1254"/>
      <c r="I44" s="1255"/>
      <c r="K44" s="1256" t="s">
        <v>210</v>
      </c>
      <c r="L44" s="1257"/>
      <c r="M44" s="1257"/>
      <c r="N44" s="1257"/>
      <c r="O44" s="1257"/>
      <c r="P44" s="1257"/>
      <c r="Q44" s="1257"/>
      <c r="R44" s="1257"/>
      <c r="S44" s="1257"/>
      <c r="T44" s="1257"/>
      <c r="U44" s="1257"/>
      <c r="V44" s="1257"/>
      <c r="W44" s="1257"/>
      <c r="X44" s="1257"/>
      <c r="Y44" s="1257"/>
      <c r="Z44" s="1257"/>
      <c r="AA44" s="1257"/>
      <c r="AB44" s="1257"/>
      <c r="AC44" s="1257"/>
      <c r="AD44" s="1257"/>
      <c r="AE44" s="1257"/>
      <c r="AF44" s="1257"/>
      <c r="AG44" s="1257"/>
      <c r="AH44" s="1257"/>
      <c r="AI44" s="1257"/>
      <c r="AJ44" s="1257"/>
      <c r="AK44" s="1257"/>
      <c r="AL44" s="1257"/>
      <c r="AM44" s="1257"/>
      <c r="AN44" s="1257"/>
      <c r="AO44" s="1257"/>
      <c r="AP44" s="1257"/>
      <c r="AQ44" s="1257"/>
      <c r="AR44" s="1257"/>
      <c r="AS44" s="1258"/>
      <c r="AT44" s="1188">
        <f>COUNTIF($K$6:$AZ$6,4)</f>
        <v>1</v>
      </c>
      <c r="AU44" s="1188"/>
      <c r="AV44" s="1188"/>
      <c r="AW44" s="1188"/>
      <c r="AX44" s="1188"/>
      <c r="AY44" s="1188"/>
      <c r="AZ44" s="1188"/>
      <c r="BA44" s="1188"/>
      <c r="BB44" s="1238" t="s">
        <v>211</v>
      </c>
      <c r="BC44" s="1239"/>
      <c r="BD44" s="1239"/>
      <c r="BE44" s="1239"/>
      <c r="BF44" s="1239"/>
      <c r="BG44" s="1239"/>
      <c r="BH44" s="1239"/>
      <c r="BI44" s="1239"/>
      <c r="BJ44" s="1239"/>
      <c r="BK44" s="1239"/>
      <c r="BL44" s="1239"/>
      <c r="BM44" s="1239"/>
      <c r="BN44" s="1239"/>
      <c r="BO44" s="1239"/>
      <c r="BP44" s="1239"/>
      <c r="BQ44" s="1239"/>
      <c r="BR44" s="1239"/>
      <c r="BS44" s="1239"/>
      <c r="BT44" s="1239"/>
      <c r="BU44" s="1239"/>
      <c r="BV44" s="1239"/>
      <c r="BW44" s="1239"/>
      <c r="BX44" s="1239"/>
      <c r="BY44" s="1239"/>
      <c r="BZ44" s="1240"/>
      <c r="CA44" s="1241">
        <f>COUNTIF($K$6:$AZ$6,7)</f>
        <v>1</v>
      </c>
      <c r="CB44" s="1241"/>
      <c r="CC44" s="1241"/>
      <c r="CD44" s="1241"/>
      <c r="CE44" s="1241"/>
      <c r="CF44" s="1241"/>
      <c r="CG44" s="1241"/>
      <c r="CH44" s="1241"/>
      <c r="CI44" s="1241"/>
      <c r="CJ44" s="1241"/>
      <c r="CK44" s="1241"/>
      <c r="CL44" s="1241"/>
      <c r="CM44" s="1241"/>
      <c r="CN44" s="1241"/>
      <c r="CO44" s="1241"/>
      <c r="CP44" s="1241"/>
      <c r="CQ44" s="1241"/>
      <c r="CR44" s="118"/>
      <c r="CS44" s="120"/>
      <c r="CT44" s="120"/>
      <c r="CU44" s="120"/>
      <c r="CV44" s="120"/>
      <c r="CW44" s="120"/>
      <c r="CX44" s="120"/>
      <c r="CY44" s="120"/>
      <c r="CZ44" s="120"/>
      <c r="DA44" s="120"/>
      <c r="DB44" s="120"/>
      <c r="DC44" s="120"/>
      <c r="DD44" s="120"/>
      <c r="DE44" s="120"/>
      <c r="DF44" s="120"/>
    </row>
    <row r="45" spans="1:138" s="119" customFormat="1" ht="15" customHeight="1">
      <c r="B45" s="1282" t="s">
        <v>212</v>
      </c>
      <c r="C45" s="1283"/>
      <c r="D45" s="1283"/>
      <c r="E45" s="1284"/>
      <c r="F45" s="1253">
        <f>COUNTIF($K$6:$AZ$6,2)</f>
        <v>1</v>
      </c>
      <c r="G45" s="1254"/>
      <c r="H45" s="1254"/>
      <c r="I45" s="1255"/>
      <c r="K45" s="1256" t="s">
        <v>213</v>
      </c>
      <c r="L45" s="1257"/>
      <c r="M45" s="1257"/>
      <c r="N45" s="1257"/>
      <c r="O45" s="1257"/>
      <c r="P45" s="1257"/>
      <c r="Q45" s="1257"/>
      <c r="R45" s="1257"/>
      <c r="S45" s="1257"/>
      <c r="T45" s="1257"/>
      <c r="U45" s="1257"/>
      <c r="V45" s="1257"/>
      <c r="W45" s="1257"/>
      <c r="X45" s="1257"/>
      <c r="Y45" s="1257"/>
      <c r="Z45" s="1257"/>
      <c r="AA45" s="1257"/>
      <c r="AB45" s="1257"/>
      <c r="AC45" s="1257"/>
      <c r="AD45" s="1257"/>
      <c r="AE45" s="1257"/>
      <c r="AF45" s="1257"/>
      <c r="AG45" s="1257"/>
      <c r="AH45" s="1257"/>
      <c r="AI45" s="1257"/>
      <c r="AJ45" s="1257"/>
      <c r="AK45" s="1257"/>
      <c r="AL45" s="1257"/>
      <c r="AM45" s="1257"/>
      <c r="AN45" s="1257"/>
      <c r="AO45" s="1257"/>
      <c r="AP45" s="1257"/>
      <c r="AQ45" s="1257"/>
      <c r="AR45" s="1257"/>
      <c r="AS45" s="1258"/>
      <c r="AT45" s="1188">
        <f>COUNTIF($K$6:$AZ$6,5)</f>
        <v>2</v>
      </c>
      <c r="AU45" s="1188"/>
      <c r="AV45" s="1188"/>
      <c r="AW45" s="1188"/>
      <c r="AX45" s="1188"/>
      <c r="AY45" s="1188"/>
      <c r="AZ45" s="1188"/>
      <c r="BA45" s="1188"/>
      <c r="BB45" s="1238" t="s">
        <v>214</v>
      </c>
      <c r="BC45" s="1239"/>
      <c r="BD45" s="1239"/>
      <c r="BE45" s="1239"/>
      <c r="BF45" s="1239"/>
      <c r="BG45" s="1239"/>
      <c r="BH45" s="1239"/>
      <c r="BI45" s="1239"/>
      <c r="BJ45" s="1239"/>
      <c r="BK45" s="1239"/>
      <c r="BL45" s="1239"/>
      <c r="BM45" s="1239"/>
      <c r="BN45" s="1239"/>
      <c r="BO45" s="1239"/>
      <c r="BP45" s="1239"/>
      <c r="BQ45" s="1239"/>
      <c r="BR45" s="1239"/>
      <c r="BS45" s="1239"/>
      <c r="BT45" s="1239"/>
      <c r="BU45" s="1239"/>
      <c r="BV45" s="1239"/>
      <c r="BW45" s="1239"/>
      <c r="BX45" s="1239"/>
      <c r="BY45" s="1239"/>
      <c r="BZ45" s="1240"/>
      <c r="CA45" s="1241">
        <f>COUNTIF($K$6:$AZ$6,8)</f>
        <v>1</v>
      </c>
      <c r="CB45" s="1241"/>
      <c r="CC45" s="1241"/>
      <c r="CD45" s="1241"/>
      <c r="CE45" s="1241"/>
      <c r="CF45" s="1241"/>
      <c r="CG45" s="1241"/>
      <c r="CH45" s="1241"/>
      <c r="CI45" s="1241"/>
      <c r="CJ45" s="1241"/>
      <c r="CK45" s="1241"/>
      <c r="CL45" s="1241"/>
      <c r="CM45" s="1241"/>
      <c r="CN45" s="1241"/>
      <c r="CO45" s="1241"/>
      <c r="CP45" s="1241"/>
      <c r="CQ45" s="1241"/>
      <c r="CR45" s="118"/>
      <c r="CS45" s="120"/>
      <c r="CT45" s="120"/>
      <c r="CU45" s="120"/>
      <c r="CV45" s="120"/>
      <c r="CW45" s="120"/>
      <c r="CX45" s="120"/>
      <c r="CY45" s="120"/>
      <c r="CZ45" s="120"/>
      <c r="DA45" s="120"/>
      <c r="DB45" s="120"/>
      <c r="DC45" s="120"/>
      <c r="DD45" s="120"/>
      <c r="DE45" s="120"/>
      <c r="DF45" s="120"/>
    </row>
    <row r="46" spans="1:138" s="119" customFormat="1" ht="15" customHeight="1">
      <c r="A46" s="121"/>
      <c r="B46" s="1250" t="s">
        <v>215</v>
      </c>
      <c r="C46" s="1251"/>
      <c r="D46" s="1251"/>
      <c r="E46" s="1252"/>
      <c r="F46" s="1279">
        <f>COUNTIF($K$6:$AZ$6,3)</f>
        <v>1</v>
      </c>
      <c r="G46" s="1280"/>
      <c r="H46" s="1280"/>
      <c r="I46" s="1281"/>
      <c r="K46" s="1256" t="s">
        <v>216</v>
      </c>
      <c r="L46" s="1257"/>
      <c r="M46" s="1257"/>
      <c r="N46" s="1257"/>
      <c r="O46" s="1257"/>
      <c r="P46" s="1257"/>
      <c r="Q46" s="1257"/>
      <c r="R46" s="1257"/>
      <c r="S46" s="1257"/>
      <c r="T46" s="1257"/>
      <c r="U46" s="1257"/>
      <c r="V46" s="1257"/>
      <c r="W46" s="1257"/>
      <c r="X46" s="1257"/>
      <c r="Y46" s="1257"/>
      <c r="Z46" s="1257"/>
      <c r="AA46" s="1257"/>
      <c r="AB46" s="1257"/>
      <c r="AC46" s="1257"/>
      <c r="AD46" s="1257"/>
      <c r="AE46" s="1257"/>
      <c r="AF46" s="1257"/>
      <c r="AG46" s="1257"/>
      <c r="AH46" s="1257"/>
      <c r="AI46" s="1257"/>
      <c r="AJ46" s="1257"/>
      <c r="AK46" s="1257"/>
      <c r="AL46" s="1257"/>
      <c r="AM46" s="1257"/>
      <c r="AN46" s="1257"/>
      <c r="AO46" s="1257"/>
      <c r="AP46" s="1257"/>
      <c r="AQ46" s="1257"/>
      <c r="AR46" s="1257"/>
      <c r="AS46" s="1258"/>
      <c r="AT46" s="1188">
        <f>COUNTIF($K$6:$AZ$6,6)</f>
        <v>0</v>
      </c>
      <c r="AU46" s="1188"/>
      <c r="AV46" s="1188"/>
      <c r="AW46" s="1188"/>
      <c r="AX46" s="1188"/>
      <c r="AY46" s="1188"/>
      <c r="AZ46" s="1188"/>
      <c r="BA46" s="1188"/>
      <c r="BB46" s="1238" t="s">
        <v>217</v>
      </c>
      <c r="BC46" s="1239"/>
      <c r="BD46" s="1239"/>
      <c r="BE46" s="1239"/>
      <c r="BF46" s="1239"/>
      <c r="BG46" s="1239"/>
      <c r="BH46" s="1239"/>
      <c r="BI46" s="1239"/>
      <c r="BJ46" s="1239"/>
      <c r="BK46" s="1239"/>
      <c r="BL46" s="1239"/>
      <c r="BM46" s="1239"/>
      <c r="BN46" s="1239"/>
      <c r="BO46" s="1239"/>
      <c r="BP46" s="1239"/>
      <c r="BQ46" s="1239"/>
      <c r="BR46" s="1239"/>
      <c r="BS46" s="1239"/>
      <c r="BT46" s="1239"/>
      <c r="BU46" s="1239"/>
      <c r="BV46" s="1239"/>
      <c r="BW46" s="1239"/>
      <c r="BX46" s="1239"/>
      <c r="BY46" s="1239"/>
      <c r="BZ46" s="1240"/>
      <c r="CA46" s="1241">
        <f>COUNTIF($K$6:$AZ$6,9)</f>
        <v>1</v>
      </c>
      <c r="CB46" s="1241"/>
      <c r="CC46" s="1241"/>
      <c r="CD46" s="1241"/>
      <c r="CE46" s="1241"/>
      <c r="CF46" s="1241"/>
      <c r="CG46" s="1241"/>
      <c r="CH46" s="1241"/>
      <c r="CI46" s="1241"/>
      <c r="CJ46" s="1241"/>
      <c r="CK46" s="1241"/>
      <c r="CL46" s="1241"/>
      <c r="CM46" s="1241"/>
      <c r="CN46" s="1241"/>
      <c r="CO46" s="1241"/>
      <c r="CP46" s="1241"/>
      <c r="CQ46" s="1241"/>
      <c r="CR46" s="118"/>
      <c r="CS46" s="120"/>
      <c r="CT46" s="120"/>
      <c r="CU46" s="120"/>
      <c r="CV46" s="120"/>
      <c r="CW46" s="120"/>
      <c r="CX46" s="120"/>
      <c r="CY46" s="120"/>
      <c r="CZ46" s="120"/>
      <c r="DA46" s="120"/>
      <c r="DB46" s="120"/>
      <c r="DC46" s="120"/>
      <c r="DD46" s="120"/>
      <c r="DE46" s="120"/>
      <c r="DF46" s="120"/>
      <c r="DL46" s="121"/>
    </row>
    <row r="47" spans="1:138">
      <c r="F47" s="122"/>
      <c r="G47" s="122"/>
      <c r="H47" s="122"/>
      <c r="I47" s="122"/>
    </row>
    <row r="48" spans="1:138" ht="7.5" customHeight="1"/>
    <row r="49" spans="2:96" ht="2.25" customHeight="1"/>
    <row r="50" spans="2:96" ht="13.5" customHeight="1">
      <c r="B50" s="1162" t="s">
        <v>218</v>
      </c>
      <c r="C50" s="1162"/>
      <c r="D50" s="1162"/>
      <c r="E50" s="1162"/>
      <c r="F50" s="1286" t="str">
        <f>F34</f>
        <v xml:space="preserve">TRANVANHUY   </v>
      </c>
      <c r="G50" s="1286"/>
      <c r="H50" s="1286"/>
      <c r="I50" s="1286"/>
      <c r="J50" s="109"/>
      <c r="K50" s="1266" t="s">
        <v>207</v>
      </c>
      <c r="L50" s="1267"/>
      <c r="M50" s="1267"/>
      <c r="N50" s="1267"/>
      <c r="O50" s="1267"/>
      <c r="P50" s="1267"/>
      <c r="Q50" s="1267"/>
      <c r="R50" s="1267"/>
      <c r="S50" s="1267"/>
      <c r="T50" s="1267"/>
      <c r="U50" s="1267"/>
      <c r="V50" s="1267"/>
      <c r="W50" s="1267"/>
      <c r="X50" s="1267"/>
      <c r="Y50" s="1267"/>
      <c r="Z50" s="1267"/>
      <c r="AA50" s="1267"/>
      <c r="AB50" s="1267"/>
      <c r="AC50" s="1267"/>
      <c r="AD50" s="1267"/>
      <c r="AE50" s="1267"/>
      <c r="AF50" s="1267"/>
      <c r="AG50" s="1267"/>
      <c r="AH50" s="1267"/>
      <c r="AI50" s="1267"/>
      <c r="AJ50" s="1267"/>
      <c r="AK50" s="1267"/>
      <c r="AL50" s="1267"/>
      <c r="AM50" s="1267"/>
      <c r="AN50" s="1267"/>
      <c r="AO50" s="1267"/>
      <c r="AP50" s="1267"/>
      <c r="AQ50" s="1267"/>
      <c r="AR50" s="1267"/>
      <c r="AS50" s="1268"/>
      <c r="AT50" s="1287" t="str">
        <f>F50</f>
        <v xml:space="preserve">TRANVANHUY   </v>
      </c>
      <c r="AU50" s="1287"/>
      <c r="AV50" s="1287"/>
      <c r="AW50" s="1287"/>
      <c r="AX50" s="1287"/>
      <c r="AY50" s="1287"/>
      <c r="AZ50" s="1287"/>
      <c r="BB50" s="1288" t="s">
        <v>207</v>
      </c>
      <c r="BC50" s="1288"/>
      <c r="BD50" s="1288"/>
      <c r="BE50" s="1288"/>
      <c r="BF50" s="1288"/>
      <c r="BG50" s="1288"/>
      <c r="BH50" s="1288"/>
      <c r="BI50" s="1288"/>
      <c r="BJ50" s="1288"/>
      <c r="BK50" s="1288"/>
      <c r="BL50" s="1288"/>
      <c r="BM50" s="1288"/>
      <c r="BN50" s="1288"/>
      <c r="BO50" s="1288"/>
      <c r="BP50" s="1288"/>
      <c r="BQ50" s="1288"/>
      <c r="BR50" s="1288"/>
      <c r="BS50" s="1288"/>
      <c r="BT50" s="1288"/>
      <c r="BU50" s="1288"/>
      <c r="BV50" s="1288"/>
      <c r="BW50" s="1288"/>
      <c r="BX50" s="1288"/>
      <c r="BY50" s="1288"/>
      <c r="BZ50" s="1288"/>
      <c r="CA50" s="1289" t="str">
        <f>F34</f>
        <v xml:space="preserve">TRANVANHUY   </v>
      </c>
      <c r="CB50" s="1289"/>
      <c r="CC50" s="1289"/>
      <c r="CD50" s="1289"/>
      <c r="CE50" s="1289"/>
      <c r="CF50" s="1289"/>
      <c r="CG50" s="1289"/>
      <c r="CH50" s="1289"/>
      <c r="CI50" s="1289"/>
      <c r="CJ50" s="1289"/>
      <c r="CK50" s="1289"/>
      <c r="CL50" s="1289"/>
      <c r="CM50" s="1289"/>
      <c r="CN50" s="1289"/>
      <c r="CO50" s="1289"/>
      <c r="CP50" s="1289"/>
      <c r="CQ50" s="1289"/>
      <c r="CR50" s="114"/>
    </row>
    <row r="51" spans="2:96" ht="13.5" customHeight="1">
      <c r="B51" s="1162"/>
      <c r="C51" s="1162"/>
      <c r="D51" s="1162"/>
      <c r="E51" s="1162"/>
      <c r="F51" s="1286"/>
      <c r="G51" s="1286"/>
      <c r="H51" s="1286"/>
      <c r="I51" s="1286"/>
      <c r="J51" s="109"/>
      <c r="K51" s="1269"/>
      <c r="L51" s="1270"/>
      <c r="M51" s="1270"/>
      <c r="N51" s="1270"/>
      <c r="O51" s="1270"/>
      <c r="P51" s="1270"/>
      <c r="Q51" s="1270"/>
      <c r="R51" s="1270"/>
      <c r="S51" s="1270"/>
      <c r="T51" s="1270"/>
      <c r="U51" s="1270"/>
      <c r="V51" s="1270"/>
      <c r="W51" s="1270"/>
      <c r="X51" s="1270"/>
      <c r="Y51" s="1270"/>
      <c r="Z51" s="1270"/>
      <c r="AA51" s="1270"/>
      <c r="AB51" s="1270"/>
      <c r="AC51" s="1270"/>
      <c r="AD51" s="1270"/>
      <c r="AE51" s="1270"/>
      <c r="AF51" s="1270"/>
      <c r="AG51" s="1270"/>
      <c r="AH51" s="1270"/>
      <c r="AI51" s="1270"/>
      <c r="AJ51" s="1270"/>
      <c r="AK51" s="1270"/>
      <c r="AL51" s="1270"/>
      <c r="AM51" s="1270"/>
      <c r="AN51" s="1270"/>
      <c r="AO51" s="1270"/>
      <c r="AP51" s="1270"/>
      <c r="AQ51" s="1270"/>
      <c r="AR51" s="1270"/>
      <c r="AS51" s="1271"/>
      <c r="AT51" s="1287"/>
      <c r="AU51" s="1287"/>
      <c r="AV51" s="1287"/>
      <c r="AW51" s="1287"/>
      <c r="AX51" s="1287"/>
      <c r="AY51" s="1287"/>
      <c r="AZ51" s="1287"/>
      <c r="BB51" s="1288"/>
      <c r="BC51" s="1288"/>
      <c r="BD51" s="1288"/>
      <c r="BE51" s="1288"/>
      <c r="BF51" s="1288"/>
      <c r="BG51" s="1288"/>
      <c r="BH51" s="1288"/>
      <c r="BI51" s="1288"/>
      <c r="BJ51" s="1288"/>
      <c r="BK51" s="1288"/>
      <c r="BL51" s="1288"/>
      <c r="BM51" s="1288"/>
      <c r="BN51" s="1288"/>
      <c r="BO51" s="1288"/>
      <c r="BP51" s="1288"/>
      <c r="BQ51" s="1288"/>
      <c r="BR51" s="1288"/>
      <c r="BS51" s="1288"/>
      <c r="BT51" s="1288"/>
      <c r="BU51" s="1288"/>
      <c r="BV51" s="1288"/>
      <c r="BW51" s="1288"/>
      <c r="BX51" s="1288"/>
      <c r="BY51" s="1288"/>
      <c r="BZ51" s="1288"/>
      <c r="CA51" s="1289"/>
      <c r="CB51" s="1289"/>
      <c r="CC51" s="1289"/>
      <c r="CD51" s="1289"/>
      <c r="CE51" s="1289"/>
      <c r="CF51" s="1289"/>
      <c r="CG51" s="1289"/>
      <c r="CH51" s="1289"/>
      <c r="CI51" s="1289"/>
      <c r="CJ51" s="1289"/>
      <c r="CK51" s="1289"/>
      <c r="CL51" s="1289"/>
      <c r="CM51" s="1289"/>
      <c r="CN51" s="1289"/>
      <c r="CO51" s="1289"/>
      <c r="CP51" s="1289"/>
      <c r="CQ51" s="1289"/>
      <c r="CR51" s="114"/>
    </row>
    <row r="52" spans="2:96" ht="20.25" customHeight="1">
      <c r="B52" s="1183" t="s">
        <v>188</v>
      </c>
      <c r="C52" s="1183"/>
      <c r="D52" s="1183"/>
      <c r="E52" s="1183"/>
      <c r="F52" s="1184" t="str">
        <f>IF(AND(OR(ISNUMBER(SEARCH("A",$F$50)),ISNUMBER(SEARCH("J",$F$50)),ISNUMBER(SEARCH("S",$F$50))),OR(ISNUMBER(SEARCH("E",$F$50)),ISNUMBER(SEARCH("N",$F$50)),ISNUMBER(SEARCH("W",$F$50))),OR(ISNUMBER(SEARCH("I",$F$50)),ISNUMBER(SEARCH("R",$F$50)))),"CÓ","KHÔNG")</f>
        <v>CÓ</v>
      </c>
      <c r="G52" s="1184"/>
      <c r="H52" s="1184"/>
      <c r="I52" s="1184"/>
      <c r="J52" s="111"/>
      <c r="K52" s="1185" t="s">
        <v>189</v>
      </c>
      <c r="L52" s="1186"/>
      <c r="M52" s="1186"/>
      <c r="N52" s="1186"/>
      <c r="O52" s="1186"/>
      <c r="P52" s="1186"/>
      <c r="Q52" s="1186"/>
      <c r="R52" s="1186"/>
      <c r="S52" s="1186"/>
      <c r="T52" s="1186"/>
      <c r="U52" s="1186"/>
      <c r="V52" s="1186"/>
      <c r="W52" s="1186"/>
      <c r="X52" s="1186"/>
      <c r="Y52" s="1186"/>
      <c r="Z52" s="1186"/>
      <c r="AA52" s="1186"/>
      <c r="AB52" s="1186"/>
      <c r="AC52" s="1186"/>
      <c r="AD52" s="1186"/>
      <c r="AE52" s="1186"/>
      <c r="AF52" s="1186"/>
      <c r="AG52" s="1186"/>
      <c r="AH52" s="1186"/>
      <c r="AI52" s="1186"/>
      <c r="AJ52" s="1186"/>
      <c r="AK52" s="1186"/>
      <c r="AL52" s="1186"/>
      <c r="AM52" s="1186"/>
      <c r="AN52" s="1186"/>
      <c r="AO52" s="1186"/>
      <c r="AP52" s="1186"/>
      <c r="AQ52" s="1186"/>
      <c r="AR52" s="1186"/>
      <c r="AS52" s="1187"/>
      <c r="AT52" s="1188" t="str">
        <f>IF(AND(OR(ISNUMBER(SEARCH("C",$F$50)),ISNUMBER(SEARCH("L",$F$50)),ISNUMBER(SEARCH("U",$F$50))),OR(ISNUMBER(SEARCH("F",$F$50)),ISNUMBER(SEARCH("O",$F$50)),ISNUMBER(SEARCH("X",$F$50))),OR(ISNUMBER(SEARCH("I",$F$50)),ISNUMBER(SEARCH("R",$F$50)))),"CÓ","KHÔNG")</f>
        <v>KHÔNG</v>
      </c>
      <c r="AU52" s="1188"/>
      <c r="AV52" s="1188"/>
      <c r="AW52" s="1188"/>
      <c r="AX52" s="1188"/>
      <c r="AY52" s="1188"/>
      <c r="AZ52" s="1188"/>
      <c r="BA52" s="1188"/>
      <c r="BB52" s="1285" t="s">
        <v>190</v>
      </c>
      <c r="BC52" s="1285"/>
      <c r="BD52" s="1285"/>
      <c r="BE52" s="1285"/>
      <c r="BF52" s="1285"/>
      <c r="BG52" s="1285"/>
      <c r="BH52" s="1285"/>
      <c r="BI52" s="1285"/>
      <c r="BJ52" s="1285"/>
      <c r="BK52" s="1285"/>
      <c r="BL52" s="1285"/>
      <c r="BM52" s="1285"/>
      <c r="BN52" s="1285"/>
      <c r="BO52" s="1285"/>
      <c r="BP52" s="1285"/>
      <c r="BQ52" s="1285"/>
      <c r="BR52" s="1285"/>
      <c r="BS52" s="1285"/>
      <c r="BT52" s="1285"/>
      <c r="BU52" s="1285"/>
      <c r="BV52" s="1285"/>
      <c r="BW52" s="1285"/>
      <c r="BX52" s="1285"/>
      <c r="BY52" s="1285"/>
      <c r="BZ52" s="1285"/>
      <c r="CA52" s="1241" t="str">
        <f>IF(AND(OR(ISNUMBER(SEARCH("A",$F$50)),ISNUMBER(SEARCH("J",$F$50)),ISNUMBER(SEARCH("S",$F$50))),OR(ISNUMBER(SEARCH("D",$F$50)),ISNUMBER(SEARCH("M",$F$50)),ISNUMBER(SEARCH("V",$F$50))),OR(ISNUMBER(SEARCH("G",$F$50)),ISNUMBER(SEARCH("P",$F$50)),ISNUMBER(SEARCH("Y",$F$50)))),"CÓ","KHÔNG")</f>
        <v>CÓ</v>
      </c>
      <c r="CB52" s="1241"/>
      <c r="CC52" s="1241"/>
      <c r="CD52" s="1241"/>
      <c r="CE52" s="1241"/>
      <c r="CF52" s="1241"/>
      <c r="CG52" s="1241"/>
      <c r="CH52" s="1241"/>
      <c r="CI52" s="1241"/>
      <c r="CJ52" s="1241"/>
      <c r="CK52" s="1241"/>
      <c r="CL52" s="1241"/>
      <c r="CM52" s="1241"/>
      <c r="CN52" s="1241"/>
      <c r="CO52" s="1241"/>
      <c r="CP52" s="1241"/>
      <c r="CQ52" s="1241"/>
      <c r="CR52" s="116"/>
    </row>
    <row r="53" spans="2:96" ht="20.25" customHeight="1">
      <c r="B53" s="1183" t="s">
        <v>191</v>
      </c>
      <c r="C53" s="1183"/>
      <c r="D53" s="1183"/>
      <c r="E53" s="1183"/>
      <c r="F53" s="1184" t="str">
        <f>IF(AND(OR(ISNUMBER(SEARCH("C",$F$50)),ISNUMBER(SEARCH("L",$F$50)),ISNUMBER(SEARCH("U",$F$50))),OR(ISNUMBER(SEARCH("E",$F$50)),ISNUMBER(SEARCH("N",$F$50)),ISNUMBER(SEARCH("W",$F$50))),OR(ISNUMBER(SEARCH("G",$F$50)),ISNUMBER(SEARCH("P",$F$50))),ISNUMBER(SEARCH("Y",$F$50))),"CÓ","KHÔNG")</f>
        <v>KHÔNG</v>
      </c>
      <c r="G53" s="1184"/>
      <c r="H53" s="1184"/>
      <c r="I53" s="1184"/>
      <c r="J53" s="111"/>
      <c r="K53" s="1185" t="s">
        <v>192</v>
      </c>
      <c r="L53" s="1186"/>
      <c r="M53" s="1186"/>
      <c r="N53" s="1186"/>
      <c r="O53" s="1186"/>
      <c r="P53" s="1186"/>
      <c r="Q53" s="1186"/>
      <c r="R53" s="1186"/>
      <c r="S53" s="1186"/>
      <c r="T53" s="1186"/>
      <c r="U53" s="1186"/>
      <c r="V53" s="1186"/>
      <c r="W53" s="1186"/>
      <c r="X53" s="1186"/>
      <c r="Y53" s="1186"/>
      <c r="Z53" s="1186"/>
      <c r="AA53" s="1186"/>
      <c r="AB53" s="1186"/>
      <c r="AC53" s="1186"/>
      <c r="AD53" s="1186"/>
      <c r="AE53" s="1186"/>
      <c r="AF53" s="1186"/>
      <c r="AG53" s="1186"/>
      <c r="AH53" s="1186"/>
      <c r="AI53" s="1186"/>
      <c r="AJ53" s="1186"/>
      <c r="AK53" s="1186"/>
      <c r="AL53" s="1186"/>
      <c r="AM53" s="1186"/>
      <c r="AN53" s="1186"/>
      <c r="AO53" s="1186"/>
      <c r="AP53" s="1186"/>
      <c r="AQ53" s="1186"/>
      <c r="AR53" s="1186"/>
      <c r="AS53" s="1187"/>
      <c r="AT53" s="1188" t="str">
        <f>IF(AND(OR(ISNUMBER(SEARCH("B",$F$50)),ISNUMBER(SEARCH("K",$F$50)),ISNUMBER(SEARCH("T",$F$50))),OR(ISNUMBER(SEARCH("E",$F$50)),ISNUMBER(SEARCH("N",$F$50)),ISNUMBER(SEARCH("W",$F$50))),OR(ISNUMBER(SEARCH("H",$F$50)),ISNUMBER(SEARCH("Q",$F$50))),ISNUMBER(SEARCH("Z",$F$50))),"CÓ","KHÔNG")</f>
        <v>KHÔNG</v>
      </c>
      <c r="AU53" s="1188"/>
      <c r="AV53" s="1188"/>
      <c r="AW53" s="1188"/>
      <c r="AX53" s="1188"/>
      <c r="AY53" s="1188"/>
      <c r="AZ53" s="1188"/>
      <c r="BA53" s="1188"/>
      <c r="BB53" s="1285" t="s">
        <v>193</v>
      </c>
      <c r="BC53" s="1285"/>
      <c r="BD53" s="1285"/>
      <c r="BE53" s="1285"/>
      <c r="BF53" s="1285"/>
      <c r="BG53" s="1285"/>
      <c r="BH53" s="1285"/>
      <c r="BI53" s="1285"/>
      <c r="BJ53" s="1285"/>
      <c r="BK53" s="1285"/>
      <c r="BL53" s="1285"/>
      <c r="BM53" s="1285"/>
      <c r="BN53" s="1285"/>
      <c r="BO53" s="1285"/>
      <c r="BP53" s="1285"/>
      <c r="BQ53" s="1285"/>
      <c r="BR53" s="1285"/>
      <c r="BS53" s="1285"/>
      <c r="BT53" s="1285"/>
      <c r="BU53" s="1285"/>
      <c r="BV53" s="1285"/>
      <c r="BW53" s="1285"/>
      <c r="BX53" s="1285"/>
      <c r="BY53" s="1285"/>
      <c r="BZ53" s="1285"/>
      <c r="CA53" s="1241" t="str">
        <f>IF(AND(OR(ISNUMBER(SEARCH("D",$F$50)),ISNUMBER(SEARCH("M",$F$50)),ISNUMBER(SEARCH("V",$F$50))),OR(ISNUMBER(SEARCH("E",$F$50)),ISNUMBER(SEARCH("N",$F$50)),ISNUMBER(SEARCH("W",$F$50))),OR(ISNUMBER(SEARCH("F",$F$50)),ISNUMBER(SEARCH("O",$F$50)),ISNUMBER(SEARCH("X",$F$50)))),"CÓ","KHÔNG")</f>
        <v>KHÔNG</v>
      </c>
      <c r="CB53" s="1241"/>
      <c r="CC53" s="1241"/>
      <c r="CD53" s="1241"/>
      <c r="CE53" s="1241"/>
      <c r="CF53" s="1241"/>
      <c r="CG53" s="1241"/>
      <c r="CH53" s="1241"/>
      <c r="CI53" s="1241"/>
      <c r="CJ53" s="1241"/>
      <c r="CK53" s="1241"/>
      <c r="CL53" s="1241"/>
      <c r="CM53" s="1241"/>
      <c r="CN53" s="1241"/>
      <c r="CO53" s="1241"/>
      <c r="CP53" s="1241"/>
      <c r="CQ53" s="1241"/>
      <c r="CR53" s="116"/>
    </row>
    <row r="54" spans="2:96" ht="20.25" customHeight="1">
      <c r="B54" s="1226"/>
      <c r="C54" s="1226"/>
      <c r="D54" s="1226"/>
      <c r="E54" s="1226"/>
      <c r="F54" s="1227"/>
      <c r="G54" s="1227"/>
      <c r="H54" s="1227"/>
      <c r="I54" s="1227"/>
      <c r="J54" s="111"/>
      <c r="K54" s="1185" t="s">
        <v>194</v>
      </c>
      <c r="L54" s="1186"/>
      <c r="M54" s="1186"/>
      <c r="N54" s="1186"/>
      <c r="O54" s="1186"/>
      <c r="P54" s="1186"/>
      <c r="Q54" s="1186"/>
      <c r="R54" s="1186"/>
      <c r="S54" s="1186"/>
      <c r="T54" s="1186"/>
      <c r="U54" s="1186"/>
      <c r="V54" s="1186"/>
      <c r="W54" s="1186"/>
      <c r="X54" s="1186"/>
      <c r="Y54" s="1186"/>
      <c r="Z54" s="1186"/>
      <c r="AA54" s="1186"/>
      <c r="AB54" s="1186"/>
      <c r="AC54" s="1186"/>
      <c r="AD54" s="1186"/>
      <c r="AE54" s="1186"/>
      <c r="AF54" s="1186"/>
      <c r="AG54" s="1186"/>
      <c r="AH54" s="1186"/>
      <c r="AI54" s="1186"/>
      <c r="AJ54" s="1186"/>
      <c r="AK54" s="1186"/>
      <c r="AL54" s="1186"/>
      <c r="AM54" s="1186"/>
      <c r="AN54" s="1186"/>
      <c r="AO54" s="1186"/>
      <c r="AP54" s="1186"/>
      <c r="AQ54" s="1186"/>
      <c r="AR54" s="1186"/>
      <c r="AS54" s="1187"/>
      <c r="AT54" s="1188" t="str">
        <f>IF(AND(OR(ISNUMBER(SEARCH("A",$F$50)),ISNUMBER(SEARCH("J",$F$50)),ISNUMBER(SEARCH("S",$F$50))),OR(ISNUMBER(SEARCH("B",$F$50)),ISNUMBER(SEARCH("K",$F$50)),ISNUMBER(SEARCH("T",$F$50))),OR(ISNUMBER(SEARCH("C",$F$50)),ISNUMBER(SEARCH("L",$F$50)),ISNUMBER(SEARCH("U",$F$50)))),"CÓ","KHÔNG")</f>
        <v>CÓ</v>
      </c>
      <c r="AU54" s="1188"/>
      <c r="AV54" s="1188"/>
      <c r="AW54" s="1188"/>
      <c r="AX54" s="1188"/>
      <c r="AY54" s="1188"/>
      <c r="AZ54" s="1188"/>
      <c r="BA54" s="1188"/>
      <c r="BB54" s="1285" t="s">
        <v>195</v>
      </c>
      <c r="BC54" s="1285"/>
      <c r="BD54" s="1285"/>
      <c r="BE54" s="1285"/>
      <c r="BF54" s="1285"/>
      <c r="BG54" s="1285"/>
      <c r="BH54" s="1285"/>
      <c r="BI54" s="1285"/>
      <c r="BJ54" s="1285"/>
      <c r="BK54" s="1285"/>
      <c r="BL54" s="1285"/>
      <c r="BM54" s="1285"/>
      <c r="BN54" s="1285"/>
      <c r="BO54" s="1285"/>
      <c r="BP54" s="1285"/>
      <c r="BQ54" s="1285"/>
      <c r="BR54" s="1285"/>
      <c r="BS54" s="1285"/>
      <c r="BT54" s="1285"/>
      <c r="BU54" s="1285"/>
      <c r="BV54" s="1285"/>
      <c r="BW54" s="1285"/>
      <c r="BX54" s="1285"/>
      <c r="BY54" s="1285"/>
      <c r="BZ54" s="1285"/>
      <c r="CA54" s="1241" t="str">
        <f>IF(AND(OR(ISNUMBER(SEARCH("G",$F$50)),ISNUMBER(SEARCH("P",$F$50)),ISNUMBER(SEARCH("Y",$F$50))),OR(ISNUMBER(SEARCH("H",$F$50)),ISNUMBER(SEARCH("Q",$F$50)),ISNUMBER(SEARCH("Z",$F$50))),OR(ISNUMBER(SEARCH("I",$F$50)),ISNUMBER(SEARCH("R",$F$50)))),"CÓ","KHÔNG")</f>
        <v>CÓ</v>
      </c>
      <c r="CB54" s="1241"/>
      <c r="CC54" s="1241"/>
      <c r="CD54" s="1241"/>
      <c r="CE54" s="1241"/>
      <c r="CF54" s="1241"/>
      <c r="CG54" s="1241"/>
      <c r="CH54" s="1241"/>
      <c r="CI54" s="1241"/>
      <c r="CJ54" s="1241"/>
      <c r="CK54" s="1241"/>
      <c r="CL54" s="1241"/>
      <c r="CM54" s="1241"/>
      <c r="CN54" s="1241"/>
      <c r="CO54" s="1241"/>
      <c r="CP54" s="1241"/>
      <c r="CQ54" s="1241"/>
      <c r="CR54" s="116"/>
    </row>
  </sheetData>
  <sheetProtection algorithmName="SHA-512" hashValue="8RIFz2tlSAxedplqXhZab08BsSc9W44s8r84mYVVQzRI5a4Sp9Z/46r3yfgR3BiYpUvLyQiyES8Za/6Il5MVFw==" saltValue="dU6+UnqoO7C6kNvXt96Kpg==" spinCount="100000" sheet="1" selectLockedCells="1"/>
  <mergeCells count="198">
    <mergeCell ref="B54:E54"/>
    <mergeCell ref="F54:I54"/>
    <mergeCell ref="K54:AS54"/>
    <mergeCell ref="AT54:BA54"/>
    <mergeCell ref="BB54:BZ54"/>
    <mergeCell ref="CA54:CQ54"/>
    <mergeCell ref="B53:E53"/>
    <mergeCell ref="F53:I53"/>
    <mergeCell ref="K53:AS53"/>
    <mergeCell ref="AT53:BA53"/>
    <mergeCell ref="BB53:BZ53"/>
    <mergeCell ref="CA53:CQ53"/>
    <mergeCell ref="B52:E52"/>
    <mergeCell ref="F52:I52"/>
    <mergeCell ref="K52:AS52"/>
    <mergeCell ref="AT52:BA52"/>
    <mergeCell ref="BB52:BZ52"/>
    <mergeCell ref="CA52:CQ52"/>
    <mergeCell ref="B50:E51"/>
    <mergeCell ref="F50:I51"/>
    <mergeCell ref="K50:AS51"/>
    <mergeCell ref="AT50:AZ51"/>
    <mergeCell ref="BB50:BZ51"/>
    <mergeCell ref="CA50:CQ51"/>
    <mergeCell ref="B46:E46"/>
    <mergeCell ref="F46:I46"/>
    <mergeCell ref="K46:AS46"/>
    <mergeCell ref="AT46:BA46"/>
    <mergeCell ref="BB46:BZ46"/>
    <mergeCell ref="CA46:CQ46"/>
    <mergeCell ref="B45:E45"/>
    <mergeCell ref="F45:I45"/>
    <mergeCell ref="K45:AS45"/>
    <mergeCell ref="AT45:BA45"/>
    <mergeCell ref="BB45:BZ45"/>
    <mergeCell ref="CA45:CQ45"/>
    <mergeCell ref="CA42:CQ43"/>
    <mergeCell ref="B44:E44"/>
    <mergeCell ref="F44:I44"/>
    <mergeCell ref="K44:AS44"/>
    <mergeCell ref="AT44:BA44"/>
    <mergeCell ref="BB44:BZ44"/>
    <mergeCell ref="CA44:CQ44"/>
    <mergeCell ref="F38:I38"/>
    <mergeCell ref="K38:AS38"/>
    <mergeCell ref="AT38:AZ38"/>
    <mergeCell ref="BB38:CA38"/>
    <mergeCell ref="CB38:CQ38"/>
    <mergeCell ref="B42:E43"/>
    <mergeCell ref="F42:I43"/>
    <mergeCell ref="K42:AS43"/>
    <mergeCell ref="AT42:BA43"/>
    <mergeCell ref="BB42:BZ43"/>
    <mergeCell ref="F30:I30"/>
    <mergeCell ref="K30:AS30"/>
    <mergeCell ref="AT30:AZ30"/>
    <mergeCell ref="BB30:BZ30"/>
    <mergeCell ref="CA30:CQ30"/>
    <mergeCell ref="CT36:EH36"/>
    <mergeCell ref="B37:E37"/>
    <mergeCell ref="F37:I37"/>
    <mergeCell ref="K37:AS37"/>
    <mergeCell ref="AT37:AZ37"/>
    <mergeCell ref="BB37:CA37"/>
    <mergeCell ref="CB37:CQ37"/>
    <mergeCell ref="CS37:EB38"/>
    <mergeCell ref="EC37:EH38"/>
    <mergeCell ref="B38:E38"/>
    <mergeCell ref="B36:E36"/>
    <mergeCell ref="F36:I36"/>
    <mergeCell ref="K36:AS36"/>
    <mergeCell ref="AT36:AZ36"/>
    <mergeCell ref="BB36:CA36"/>
    <mergeCell ref="CB36:CQ36"/>
    <mergeCell ref="B29:E29"/>
    <mergeCell ref="F29:I29"/>
    <mergeCell ref="K29:AS29"/>
    <mergeCell ref="AT29:AZ29"/>
    <mergeCell ref="BB29:BZ29"/>
    <mergeCell ref="CA29:CQ29"/>
    <mergeCell ref="CS29:EH29"/>
    <mergeCell ref="CS32:EH33"/>
    <mergeCell ref="B34:E35"/>
    <mergeCell ref="F34:I35"/>
    <mergeCell ref="K34:AS35"/>
    <mergeCell ref="AT34:AZ35"/>
    <mergeCell ref="BB34:CA35"/>
    <mergeCell ref="CB34:CQ35"/>
    <mergeCell ref="CT35:EH35"/>
    <mergeCell ref="CS30:EH30"/>
    <mergeCell ref="B31:E31"/>
    <mergeCell ref="F31:I31"/>
    <mergeCell ref="K31:AS31"/>
    <mergeCell ref="AT31:AZ31"/>
    <mergeCell ref="BB31:BZ31"/>
    <mergeCell ref="CA31:CQ31"/>
    <mergeCell ref="CS31:EH31"/>
    <mergeCell ref="B30:E30"/>
    <mergeCell ref="CS26:EH26"/>
    <mergeCell ref="B27:E28"/>
    <mergeCell ref="F27:I28"/>
    <mergeCell ref="K27:AS28"/>
    <mergeCell ref="AT27:AZ28"/>
    <mergeCell ref="BB27:BZ28"/>
    <mergeCell ref="CA27:CQ28"/>
    <mergeCell ref="CS27:EH27"/>
    <mergeCell ref="CS28:EH28"/>
    <mergeCell ref="CS20:EH21"/>
    <mergeCell ref="AL21:AZ21"/>
    <mergeCell ref="B22:G22"/>
    <mergeCell ref="H22:I22"/>
    <mergeCell ref="K22:AK22"/>
    <mergeCell ref="AL22:AZ22"/>
    <mergeCell ref="BB22:BZ22"/>
    <mergeCell ref="CA22:CQ22"/>
    <mergeCell ref="CS22:CY22"/>
    <mergeCell ref="CZ22:DF22"/>
    <mergeCell ref="K20:AD21"/>
    <mergeCell ref="AE20:AK21"/>
    <mergeCell ref="AW20:AZ20"/>
    <mergeCell ref="BB20:BV21"/>
    <mergeCell ref="BW20:BZ21"/>
    <mergeCell ref="CA20:CR21"/>
    <mergeCell ref="DG22:DM22"/>
    <mergeCell ref="DN22:DT22"/>
    <mergeCell ref="DU22:EA22"/>
    <mergeCell ref="EB22:EH22"/>
    <mergeCell ref="B17:G17"/>
    <mergeCell ref="H17:I17"/>
    <mergeCell ref="K17:AK17"/>
    <mergeCell ref="AL17:AZ17"/>
    <mergeCell ref="BB17:CQ18"/>
    <mergeCell ref="CS17:EH17"/>
    <mergeCell ref="CS18:EH19"/>
    <mergeCell ref="B12:I12"/>
    <mergeCell ref="K12:AZ12"/>
    <mergeCell ref="BB12:CQ12"/>
    <mergeCell ref="CS12:EH12"/>
    <mergeCell ref="B13:I14"/>
    <mergeCell ref="J13:J14"/>
    <mergeCell ref="K13:AZ14"/>
    <mergeCell ref="BB13:CQ14"/>
    <mergeCell ref="CS13:EH14"/>
    <mergeCell ref="B10:I10"/>
    <mergeCell ref="K10:AZ10"/>
    <mergeCell ref="BB10:CQ10"/>
    <mergeCell ref="CS10:EH10"/>
    <mergeCell ref="B11:I11"/>
    <mergeCell ref="K11:AZ11"/>
    <mergeCell ref="BB11:CQ11"/>
    <mergeCell ref="CS11:EH11"/>
    <mergeCell ref="B8:I8"/>
    <mergeCell ref="K8:AZ8"/>
    <mergeCell ref="BB8:CQ8"/>
    <mergeCell ref="CS8:EH8"/>
    <mergeCell ref="B9:I9"/>
    <mergeCell ref="K9:AZ9"/>
    <mergeCell ref="BB9:CQ9"/>
    <mergeCell ref="CS9:EH9"/>
    <mergeCell ref="B7:C7"/>
    <mergeCell ref="D7:E7"/>
    <mergeCell ref="F7:I7"/>
    <mergeCell ref="K7:AZ7"/>
    <mergeCell ref="BB7:CQ7"/>
    <mergeCell ref="CS7:EH7"/>
    <mergeCell ref="DU4:EA4"/>
    <mergeCell ref="EB4:EH4"/>
    <mergeCell ref="B5:C5"/>
    <mergeCell ref="D5:E5"/>
    <mergeCell ref="B6:C6"/>
    <mergeCell ref="D6:E6"/>
    <mergeCell ref="F6:I6"/>
    <mergeCell ref="CD4:CJ4"/>
    <mergeCell ref="CK4:CQ4"/>
    <mergeCell ref="CS4:CY4"/>
    <mergeCell ref="CZ4:DF4"/>
    <mergeCell ref="DG4:DM4"/>
    <mergeCell ref="DN4:DT4"/>
    <mergeCell ref="AM4:AS4"/>
    <mergeCell ref="AT4:AZ4"/>
    <mergeCell ref="BB4:BH4"/>
    <mergeCell ref="BI4:BO4"/>
    <mergeCell ref="BP4:BV4"/>
    <mergeCell ref="CS2:EH2"/>
    <mergeCell ref="B3:I3"/>
    <mergeCell ref="K3:AZ3"/>
    <mergeCell ref="BB3:CQ3"/>
    <mergeCell ref="CS3:EH3"/>
    <mergeCell ref="BW4:CC4"/>
    <mergeCell ref="F4:G4"/>
    <mergeCell ref="H4:I4"/>
    <mergeCell ref="K4:Q4"/>
    <mergeCell ref="R4:X4"/>
    <mergeCell ref="Y4:AE4"/>
    <mergeCell ref="AF4:AL4"/>
    <mergeCell ref="B2:I2"/>
    <mergeCell ref="K2:AZ2"/>
    <mergeCell ref="BB2:CQ2"/>
  </mergeCells>
  <pageMargins left="0.7" right="0.7" top="0.75" bottom="0.75" header="0.3" footer="0.3"/>
  <pageSetup orientation="portrait" horizontalDpi="300" verticalDpi="300" r:id="rId1"/>
  <drawing r:id="rId2"/>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D15072-CAEC-40D3-AF2B-F9B927200D7B}">
  <dimension ref="B1:P34"/>
  <sheetViews>
    <sheetView showGridLines="0" zoomScaleNormal="100" workbookViewId="0">
      <pane ySplit="2" topLeftCell="A22" activePane="bottomLeft" state="frozen"/>
      <selection pane="bottomLeft" activeCell="C30" sqref="C30:C32"/>
    </sheetView>
  </sheetViews>
  <sheetFormatPr defaultColWidth="9.296875" defaultRowHeight="14"/>
  <cols>
    <col min="1" max="1" width="5.19921875" style="164" customWidth="1"/>
    <col min="2" max="2" width="23.296875" style="164" customWidth="1"/>
    <col min="3" max="3" width="12.19921875" style="164" customWidth="1"/>
    <col min="4" max="14" width="9.296875" style="164"/>
    <col min="15" max="15" width="10.69921875" style="164" customWidth="1"/>
    <col min="16" max="16" width="20.296875" style="164" customWidth="1"/>
    <col min="17" max="16384" width="9.296875" style="164"/>
  </cols>
  <sheetData>
    <row r="1" spans="2:16" ht="35.25" customHeight="1">
      <c r="D1" s="1290"/>
      <c r="E1" s="1290"/>
    </row>
    <row r="2" spans="2:16" ht="36" customHeight="1">
      <c r="B2" s="166" t="s">
        <v>491</v>
      </c>
      <c r="C2" s="165" t="s">
        <v>283</v>
      </c>
      <c r="D2" s="1291" t="s">
        <v>492</v>
      </c>
      <c r="E2" s="1292"/>
      <c r="F2" s="1292"/>
      <c r="G2" s="1292"/>
      <c r="H2" s="1292"/>
      <c r="I2" s="1292"/>
      <c r="J2" s="1292"/>
      <c r="K2" s="1292"/>
      <c r="L2" s="1292"/>
      <c r="M2" s="1292"/>
      <c r="N2" s="1292"/>
      <c r="O2" s="1292"/>
      <c r="P2" s="1293"/>
    </row>
    <row r="3" spans="2:16" ht="21.75" customHeight="1">
      <c r="B3" s="1294" t="s">
        <v>209</v>
      </c>
      <c r="C3" s="1295">
        <f>CHUNG!F44</f>
        <v>2</v>
      </c>
      <c r="D3" s="1296" t="s">
        <v>493</v>
      </c>
      <c r="E3" s="1297"/>
      <c r="F3" s="1297"/>
      <c r="G3" s="1297"/>
      <c r="H3" s="1297"/>
      <c r="I3" s="1297"/>
      <c r="J3" s="1297"/>
      <c r="K3" s="1297"/>
      <c r="L3" s="1297"/>
      <c r="M3" s="1297"/>
      <c r="N3" s="1297"/>
      <c r="O3" s="1297"/>
      <c r="P3" s="1297"/>
    </row>
    <row r="4" spans="2:16" ht="21.75" customHeight="1">
      <c r="B4" s="1294"/>
      <c r="C4" s="1295"/>
      <c r="D4" s="1296" t="s">
        <v>494</v>
      </c>
      <c r="E4" s="1297"/>
      <c r="F4" s="1297"/>
      <c r="G4" s="1297"/>
      <c r="H4" s="1297"/>
      <c r="I4" s="1297"/>
      <c r="J4" s="1297"/>
      <c r="K4" s="1297"/>
      <c r="L4" s="1297"/>
      <c r="M4" s="1297"/>
      <c r="N4" s="1297"/>
      <c r="O4" s="1297"/>
      <c r="P4" s="1297"/>
    </row>
    <row r="5" spans="2:16" ht="21.75" customHeight="1">
      <c r="B5" s="1294"/>
      <c r="C5" s="1295"/>
      <c r="D5" s="1296" t="s">
        <v>495</v>
      </c>
      <c r="E5" s="1297"/>
      <c r="F5" s="1297"/>
      <c r="G5" s="1297"/>
      <c r="H5" s="1297"/>
      <c r="I5" s="1297"/>
      <c r="J5" s="1297"/>
      <c r="K5" s="1297"/>
      <c r="L5" s="1297"/>
      <c r="M5" s="1297"/>
      <c r="N5" s="1297"/>
      <c r="O5" s="1297"/>
      <c r="P5" s="1297"/>
    </row>
    <row r="6" spans="2:16" ht="21.75" customHeight="1">
      <c r="B6" s="183"/>
      <c r="C6" s="1295"/>
      <c r="D6" s="1296" t="s">
        <v>496</v>
      </c>
      <c r="E6" s="1297"/>
      <c r="F6" s="1297"/>
      <c r="G6" s="1297"/>
      <c r="H6" s="1297"/>
      <c r="I6" s="1297"/>
      <c r="J6" s="1297"/>
      <c r="K6" s="1297"/>
      <c r="L6" s="1297"/>
      <c r="M6" s="1297"/>
      <c r="N6" s="1297"/>
      <c r="O6" s="1297"/>
      <c r="P6" s="1297"/>
    </row>
    <row r="7" spans="2:16" s="184" customFormat="1" ht="21.75" customHeight="1">
      <c r="B7" s="1298" t="s">
        <v>212</v>
      </c>
      <c r="C7" s="1298">
        <f>CHUNG!F45</f>
        <v>1</v>
      </c>
      <c r="D7" s="1299" t="s">
        <v>497</v>
      </c>
      <c r="E7" s="1300"/>
      <c r="F7" s="1300"/>
      <c r="G7" s="1300"/>
      <c r="H7" s="1300"/>
      <c r="I7" s="1300"/>
      <c r="J7" s="1300"/>
      <c r="K7" s="1300"/>
      <c r="L7" s="1300"/>
      <c r="M7" s="1300"/>
      <c r="N7" s="1300"/>
      <c r="O7" s="1300"/>
      <c r="P7" s="1300"/>
    </row>
    <row r="8" spans="2:16" s="184" customFormat="1" ht="21.75" customHeight="1">
      <c r="B8" s="1298"/>
      <c r="C8" s="1298"/>
      <c r="D8" s="1299" t="s">
        <v>498</v>
      </c>
      <c r="E8" s="1300"/>
      <c r="F8" s="1300"/>
      <c r="G8" s="1300"/>
      <c r="H8" s="1300"/>
      <c r="I8" s="1300"/>
      <c r="J8" s="1300"/>
      <c r="K8" s="1300"/>
      <c r="L8" s="1300"/>
      <c r="M8" s="1300"/>
      <c r="N8" s="1300"/>
      <c r="O8" s="1300"/>
      <c r="P8" s="1300"/>
    </row>
    <row r="9" spans="2:16" s="184" customFormat="1" ht="21.75" customHeight="1">
      <c r="B9" s="1298"/>
      <c r="C9" s="1298"/>
      <c r="D9" s="1299" t="s">
        <v>499</v>
      </c>
      <c r="E9" s="1300"/>
      <c r="F9" s="1300"/>
      <c r="G9" s="1300"/>
      <c r="H9" s="1300"/>
      <c r="I9" s="1300"/>
      <c r="J9" s="1300"/>
      <c r="K9" s="1300"/>
      <c r="L9" s="1300"/>
      <c r="M9" s="1300"/>
      <c r="N9" s="1300"/>
      <c r="O9" s="1300"/>
      <c r="P9" s="1300"/>
    </row>
    <row r="10" spans="2:16" s="184" customFormat="1" ht="21.75" customHeight="1">
      <c r="B10" s="1298"/>
      <c r="C10" s="1298"/>
      <c r="D10" s="1299" t="s">
        <v>500</v>
      </c>
      <c r="E10" s="1300"/>
      <c r="F10" s="1300"/>
      <c r="G10" s="1300"/>
      <c r="H10" s="1300"/>
      <c r="I10" s="1300"/>
      <c r="J10" s="1300"/>
      <c r="K10" s="1300"/>
      <c r="L10" s="1300"/>
      <c r="M10" s="1300"/>
      <c r="N10" s="1300"/>
      <c r="O10" s="1300"/>
      <c r="P10" s="1300"/>
    </row>
    <row r="11" spans="2:16" ht="21.75" customHeight="1">
      <c r="B11" s="1294" t="s">
        <v>215</v>
      </c>
      <c r="C11" s="1294">
        <f>CHUNG!F46</f>
        <v>1</v>
      </c>
      <c r="D11" s="1296" t="s">
        <v>501</v>
      </c>
      <c r="E11" s="1297"/>
      <c r="F11" s="1297"/>
      <c r="G11" s="1297"/>
      <c r="H11" s="1297"/>
      <c r="I11" s="1297"/>
      <c r="J11" s="1297"/>
      <c r="K11" s="1297"/>
      <c r="L11" s="1297"/>
      <c r="M11" s="1297"/>
      <c r="N11" s="1297"/>
      <c r="O11" s="1297"/>
      <c r="P11" s="1297"/>
    </row>
    <row r="12" spans="2:16" ht="21.75" customHeight="1">
      <c r="B12" s="1294"/>
      <c r="C12" s="1294"/>
      <c r="D12" s="1296" t="s">
        <v>502</v>
      </c>
      <c r="E12" s="1297"/>
      <c r="F12" s="1297"/>
      <c r="G12" s="1297"/>
      <c r="H12" s="1297"/>
      <c r="I12" s="1297"/>
      <c r="J12" s="1297"/>
      <c r="K12" s="1297"/>
      <c r="L12" s="1297"/>
      <c r="M12" s="1297"/>
      <c r="N12" s="1297"/>
      <c r="O12" s="1297"/>
      <c r="P12" s="1297"/>
    </row>
    <row r="13" spans="2:16" ht="21.75" customHeight="1">
      <c r="B13" s="183"/>
      <c r="C13" s="1294"/>
      <c r="D13" s="1296" t="s">
        <v>503</v>
      </c>
      <c r="E13" s="1297"/>
      <c r="F13" s="1297"/>
      <c r="G13" s="1297"/>
      <c r="H13" s="1297"/>
      <c r="I13" s="1297"/>
      <c r="J13" s="1297"/>
      <c r="K13" s="1297"/>
      <c r="L13" s="1297"/>
      <c r="M13" s="1297"/>
      <c r="N13" s="1297"/>
      <c r="O13" s="1297"/>
      <c r="P13" s="1297"/>
    </row>
    <row r="14" spans="2:16" ht="21.75" customHeight="1">
      <c r="B14" s="1298" t="s">
        <v>210</v>
      </c>
      <c r="C14" s="1298">
        <f>CHUNG!AT44</f>
        <v>1</v>
      </c>
      <c r="D14" s="1299" t="s">
        <v>504</v>
      </c>
      <c r="E14" s="1300"/>
      <c r="F14" s="1300"/>
      <c r="G14" s="1300"/>
      <c r="H14" s="1300"/>
      <c r="I14" s="1300"/>
      <c r="J14" s="1300"/>
      <c r="K14" s="1300"/>
      <c r="L14" s="1300"/>
      <c r="M14" s="1300"/>
      <c r="N14" s="1300"/>
      <c r="O14" s="1300"/>
      <c r="P14" s="1300"/>
    </row>
    <row r="15" spans="2:16" ht="21.75" customHeight="1">
      <c r="B15" s="1298"/>
      <c r="C15" s="1298"/>
      <c r="D15" s="1299" t="s">
        <v>505</v>
      </c>
      <c r="E15" s="1300"/>
      <c r="F15" s="1300"/>
      <c r="G15" s="1300"/>
      <c r="H15" s="1300"/>
      <c r="I15" s="1300"/>
      <c r="J15" s="1300"/>
      <c r="K15" s="1300"/>
      <c r="L15" s="1300"/>
      <c r="M15" s="1300"/>
      <c r="N15" s="1300"/>
      <c r="O15" s="1300"/>
      <c r="P15" s="1300"/>
    </row>
    <row r="16" spans="2:16" ht="21.75" customHeight="1">
      <c r="B16" s="1298"/>
      <c r="C16" s="1298"/>
      <c r="D16" s="1299" t="s">
        <v>506</v>
      </c>
      <c r="E16" s="1300"/>
      <c r="F16" s="1300"/>
      <c r="G16" s="1300"/>
      <c r="H16" s="1300"/>
      <c r="I16" s="1300"/>
      <c r="J16" s="1300"/>
      <c r="K16" s="1300"/>
      <c r="L16" s="1300"/>
      <c r="M16" s="1300"/>
      <c r="N16" s="1300"/>
      <c r="O16" s="1300"/>
      <c r="P16" s="1300"/>
    </row>
    <row r="17" spans="2:16" ht="21.75" customHeight="1">
      <c r="B17" s="1298"/>
      <c r="C17" s="1298"/>
      <c r="D17" s="1299" t="s">
        <v>507</v>
      </c>
      <c r="E17" s="1300"/>
      <c r="F17" s="1300"/>
      <c r="G17" s="1300"/>
      <c r="H17" s="1300"/>
      <c r="I17" s="1300"/>
      <c r="J17" s="1300"/>
      <c r="K17" s="1300"/>
      <c r="L17" s="1300"/>
      <c r="M17" s="1300"/>
      <c r="N17" s="1300"/>
      <c r="O17" s="1300"/>
      <c r="P17" s="1300"/>
    </row>
    <row r="18" spans="2:16" ht="21.75" customHeight="1">
      <c r="B18" s="1294" t="s">
        <v>213</v>
      </c>
      <c r="C18" s="1294">
        <f>CHUNG!AT45</f>
        <v>2</v>
      </c>
      <c r="D18" s="1297" t="s">
        <v>508</v>
      </c>
      <c r="E18" s="1297"/>
      <c r="F18" s="1297"/>
      <c r="G18" s="1297"/>
      <c r="H18" s="1297"/>
      <c r="I18" s="1297"/>
      <c r="J18" s="1297"/>
      <c r="K18" s="1297"/>
      <c r="L18" s="1297"/>
      <c r="M18" s="1297"/>
      <c r="N18" s="1297"/>
      <c r="O18" s="1297"/>
      <c r="P18" s="1297"/>
    </row>
    <row r="19" spans="2:16" ht="21.75" customHeight="1">
      <c r="B19" s="1294"/>
      <c r="C19" s="1294"/>
      <c r="D19" s="1296" t="s">
        <v>509</v>
      </c>
      <c r="E19" s="1297"/>
      <c r="F19" s="1297"/>
      <c r="G19" s="1297"/>
      <c r="H19" s="1297"/>
      <c r="I19" s="1297"/>
      <c r="J19" s="1297"/>
      <c r="K19" s="1297"/>
      <c r="L19" s="1297"/>
      <c r="M19" s="1297"/>
      <c r="N19" s="1297"/>
      <c r="O19" s="1297"/>
      <c r="P19" s="1297"/>
    </row>
    <row r="20" spans="2:16" ht="29.25" customHeight="1">
      <c r="B20" s="1298" t="s">
        <v>216</v>
      </c>
      <c r="C20" s="1298">
        <f>CHUNG!AT46</f>
        <v>0</v>
      </c>
      <c r="D20" s="1299" t="s">
        <v>510</v>
      </c>
      <c r="E20" s="1300"/>
      <c r="F20" s="1300"/>
      <c r="G20" s="1300"/>
      <c r="H20" s="1300"/>
      <c r="I20" s="1300"/>
      <c r="J20" s="1300"/>
      <c r="K20" s="1300"/>
      <c r="L20" s="1300"/>
      <c r="M20" s="1300"/>
      <c r="N20" s="1300"/>
      <c r="O20" s="1300"/>
      <c r="P20" s="1300"/>
    </row>
    <row r="21" spans="2:16" ht="21.75" customHeight="1">
      <c r="B21" s="1298"/>
      <c r="C21" s="1298"/>
      <c r="D21" s="1299" t="s">
        <v>511</v>
      </c>
      <c r="E21" s="1300"/>
      <c r="F21" s="1300"/>
      <c r="G21" s="1300"/>
      <c r="H21" s="1300"/>
      <c r="I21" s="1300"/>
      <c r="J21" s="1300"/>
      <c r="K21" s="1300"/>
      <c r="L21" s="1300"/>
      <c r="M21" s="1300"/>
      <c r="N21" s="1300"/>
      <c r="O21" s="1300"/>
      <c r="P21" s="1300"/>
    </row>
    <row r="22" spans="2:16" ht="21.75" customHeight="1">
      <c r="B22" s="1298"/>
      <c r="C22" s="1298"/>
      <c r="D22" s="1299" t="s">
        <v>512</v>
      </c>
      <c r="E22" s="1300"/>
      <c r="F22" s="1300"/>
      <c r="G22" s="1300"/>
      <c r="H22" s="1300"/>
      <c r="I22" s="1300"/>
      <c r="J22" s="1300"/>
      <c r="K22" s="1300"/>
      <c r="L22" s="1300"/>
      <c r="M22" s="1300"/>
      <c r="N22" s="1300"/>
      <c r="O22" s="1300"/>
      <c r="P22" s="1300"/>
    </row>
    <row r="23" spans="2:16" ht="21.75" customHeight="1">
      <c r="B23" s="1298"/>
      <c r="C23" s="1298"/>
      <c r="D23" s="1299" t="s">
        <v>513</v>
      </c>
      <c r="E23" s="1300"/>
      <c r="F23" s="1300"/>
      <c r="G23" s="1300"/>
      <c r="H23" s="1300"/>
      <c r="I23" s="1300"/>
      <c r="J23" s="1300"/>
      <c r="K23" s="1300"/>
      <c r="L23" s="1300"/>
      <c r="M23" s="1300"/>
      <c r="N23" s="1300"/>
      <c r="O23" s="1300"/>
      <c r="P23" s="1300"/>
    </row>
    <row r="24" spans="2:16" ht="21.75" customHeight="1">
      <c r="B24" s="1294" t="s">
        <v>211</v>
      </c>
      <c r="C24" s="1294">
        <f>CHUNG!CA44</f>
        <v>1</v>
      </c>
      <c r="D24" s="1296" t="s">
        <v>514</v>
      </c>
      <c r="E24" s="1297"/>
      <c r="F24" s="1297"/>
      <c r="G24" s="1297"/>
      <c r="H24" s="1297"/>
      <c r="I24" s="1297"/>
      <c r="J24" s="1297"/>
      <c r="K24" s="1297"/>
      <c r="L24" s="1297"/>
      <c r="M24" s="1297"/>
      <c r="N24" s="1297"/>
      <c r="O24" s="1297"/>
      <c r="P24" s="1297"/>
    </row>
    <row r="25" spans="2:16" ht="21.75" customHeight="1">
      <c r="B25" s="1294"/>
      <c r="C25" s="1294"/>
      <c r="D25" s="1296" t="s">
        <v>515</v>
      </c>
      <c r="E25" s="1297"/>
      <c r="F25" s="1297"/>
      <c r="G25" s="1297"/>
      <c r="H25" s="1297"/>
      <c r="I25" s="1297"/>
      <c r="J25" s="1297"/>
      <c r="K25" s="1297"/>
      <c r="L25" s="1297"/>
      <c r="M25" s="1297"/>
      <c r="N25" s="1297"/>
      <c r="O25" s="1297"/>
      <c r="P25" s="1297"/>
    </row>
    <row r="26" spans="2:16" ht="21.75" customHeight="1">
      <c r="B26" s="183"/>
      <c r="C26" s="1294"/>
      <c r="D26" s="1296" t="s">
        <v>516</v>
      </c>
      <c r="E26" s="1297"/>
      <c r="F26" s="1297"/>
      <c r="G26" s="1297"/>
      <c r="H26" s="1297"/>
      <c r="I26" s="1297"/>
      <c r="J26" s="1297"/>
      <c r="K26" s="1297"/>
      <c r="L26" s="1297"/>
      <c r="M26" s="1297"/>
      <c r="N26" s="1297"/>
      <c r="O26" s="1297"/>
      <c r="P26" s="1297"/>
    </row>
    <row r="27" spans="2:16" ht="21.75" customHeight="1">
      <c r="B27" s="1298" t="s">
        <v>214</v>
      </c>
      <c r="C27" s="1298">
        <f>CHUNG!CA45</f>
        <v>1</v>
      </c>
      <c r="D27" s="1299" t="s">
        <v>517</v>
      </c>
      <c r="E27" s="1300"/>
      <c r="F27" s="1300"/>
      <c r="G27" s="1300"/>
      <c r="H27" s="1300"/>
      <c r="I27" s="1300"/>
      <c r="J27" s="1300"/>
      <c r="K27" s="1300"/>
      <c r="L27" s="1300"/>
      <c r="M27" s="1300"/>
      <c r="N27" s="1300"/>
      <c r="O27" s="1300"/>
      <c r="P27" s="1300"/>
    </row>
    <row r="28" spans="2:16" ht="21.75" customHeight="1">
      <c r="B28" s="1298"/>
      <c r="C28" s="1298"/>
      <c r="D28" s="1299" t="s">
        <v>518</v>
      </c>
      <c r="E28" s="1300"/>
      <c r="F28" s="1300"/>
      <c r="G28" s="1300"/>
      <c r="H28" s="1300"/>
      <c r="I28" s="1300"/>
      <c r="J28" s="1300"/>
      <c r="K28" s="1300"/>
      <c r="L28" s="1300"/>
      <c r="M28" s="1300"/>
      <c r="N28" s="1300"/>
      <c r="O28" s="1300"/>
      <c r="P28" s="1300"/>
    </row>
    <row r="29" spans="2:16" ht="21.75" customHeight="1">
      <c r="B29" s="1298"/>
      <c r="C29" s="1298"/>
      <c r="D29" s="1299" t="s">
        <v>519</v>
      </c>
      <c r="E29" s="1300"/>
      <c r="F29" s="1300"/>
      <c r="G29" s="1300"/>
      <c r="H29" s="1300"/>
      <c r="I29" s="1300"/>
      <c r="J29" s="1300"/>
      <c r="K29" s="1300"/>
      <c r="L29" s="1300"/>
      <c r="M29" s="1300"/>
      <c r="N29" s="1300"/>
      <c r="O29" s="1300"/>
      <c r="P29" s="1300"/>
    </row>
    <row r="30" spans="2:16" ht="21.75" customHeight="1">
      <c r="B30" s="1294" t="s">
        <v>217</v>
      </c>
      <c r="C30" s="1294">
        <f>CHUNG!CA46</f>
        <v>1</v>
      </c>
      <c r="D30" s="1296" t="s">
        <v>520</v>
      </c>
      <c r="E30" s="1297"/>
      <c r="F30" s="1297"/>
      <c r="G30" s="1297"/>
      <c r="H30" s="1297"/>
      <c r="I30" s="1297"/>
      <c r="J30" s="1297"/>
      <c r="K30" s="1297"/>
      <c r="L30" s="1297"/>
      <c r="M30" s="1297"/>
      <c r="N30" s="1297"/>
      <c r="O30" s="1297"/>
      <c r="P30" s="1297"/>
    </row>
    <row r="31" spans="2:16" ht="21.75" customHeight="1">
      <c r="B31" s="1294"/>
      <c r="C31" s="1294"/>
      <c r="D31" s="1296" t="s">
        <v>521</v>
      </c>
      <c r="E31" s="1297"/>
      <c r="F31" s="1297"/>
      <c r="G31" s="1297"/>
      <c r="H31" s="1297"/>
      <c r="I31" s="1297"/>
      <c r="J31" s="1297"/>
      <c r="K31" s="1297"/>
      <c r="L31" s="1297"/>
      <c r="M31" s="1297"/>
      <c r="N31" s="1297"/>
      <c r="O31" s="1297"/>
      <c r="P31" s="1297"/>
    </row>
    <row r="32" spans="2:16" ht="21.75" customHeight="1">
      <c r="B32" s="183"/>
      <c r="C32" s="1294"/>
      <c r="D32" s="1296" t="s">
        <v>522</v>
      </c>
      <c r="E32" s="1297"/>
      <c r="F32" s="1297"/>
      <c r="G32" s="1297"/>
      <c r="H32" s="1297"/>
      <c r="I32" s="1297"/>
      <c r="J32" s="1297"/>
      <c r="K32" s="1297"/>
      <c r="L32" s="1297"/>
      <c r="M32" s="1297"/>
      <c r="N32" s="1297"/>
      <c r="O32" s="1297"/>
      <c r="P32" s="1297"/>
    </row>
    <row r="33" ht="21.75" customHeight="1"/>
    <row r="34" ht="21.75" customHeight="1"/>
  </sheetData>
  <mergeCells count="50">
    <mergeCell ref="B27:B29"/>
    <mergeCell ref="C27:C29"/>
    <mergeCell ref="D27:P27"/>
    <mergeCell ref="D28:P28"/>
    <mergeCell ref="D29:P29"/>
    <mergeCell ref="B30:B31"/>
    <mergeCell ref="C30:C32"/>
    <mergeCell ref="D30:P30"/>
    <mergeCell ref="D31:P31"/>
    <mergeCell ref="D32:P32"/>
    <mergeCell ref="D23:P23"/>
    <mergeCell ref="B24:B25"/>
    <mergeCell ref="C24:C26"/>
    <mergeCell ref="D24:P24"/>
    <mergeCell ref="D25:P25"/>
    <mergeCell ref="D26:P26"/>
    <mergeCell ref="B20:B23"/>
    <mergeCell ref="C20:C23"/>
    <mergeCell ref="D20:P20"/>
    <mergeCell ref="D21:P21"/>
    <mergeCell ref="D22:P22"/>
    <mergeCell ref="D17:P17"/>
    <mergeCell ref="B18:B19"/>
    <mergeCell ref="C18:C19"/>
    <mergeCell ref="D18:P18"/>
    <mergeCell ref="D19:P19"/>
    <mergeCell ref="B14:B17"/>
    <mergeCell ref="C14:C17"/>
    <mergeCell ref="D14:P14"/>
    <mergeCell ref="D15:P15"/>
    <mergeCell ref="D16:P16"/>
    <mergeCell ref="B11:B12"/>
    <mergeCell ref="C11:C13"/>
    <mergeCell ref="D11:P11"/>
    <mergeCell ref="D12:P12"/>
    <mergeCell ref="D13:P13"/>
    <mergeCell ref="B7:B10"/>
    <mergeCell ref="C7:C10"/>
    <mergeCell ref="D7:P7"/>
    <mergeCell ref="D8:P8"/>
    <mergeCell ref="D9:P9"/>
    <mergeCell ref="D10:P10"/>
    <mergeCell ref="D1:E1"/>
    <mergeCell ref="D2:P2"/>
    <mergeCell ref="B3:B5"/>
    <mergeCell ref="C3:C6"/>
    <mergeCell ref="D3:P3"/>
    <mergeCell ref="D4:P4"/>
    <mergeCell ref="D5:P5"/>
    <mergeCell ref="D6:P6"/>
  </mergeCells>
  <conditionalFormatting sqref="A33:XFD1048576 F1:XFD1 A1:B1 D1 A2:A32 Q2:XFD32">
    <cfRule type="duplicateValues" dxfId="125" priority="19"/>
    <cfRule type="duplicateValues" dxfId="124" priority="20"/>
    <cfRule type="duplicateValues" dxfId="123" priority="21"/>
    <cfRule type="duplicateValues" dxfId="122" priority="22"/>
  </conditionalFormatting>
  <conditionalFormatting sqref="B2 D2">
    <cfRule type="duplicateValues" dxfId="121" priority="3"/>
    <cfRule type="duplicateValues" dxfId="120" priority="4"/>
  </conditionalFormatting>
  <conditionalFormatting sqref="C2">
    <cfRule type="duplicateValues" dxfId="119" priority="1"/>
    <cfRule type="duplicateValues" dxfId="118" priority="2"/>
  </conditionalFormatting>
  <conditionalFormatting sqref="C3 C7">
    <cfRule type="containsText" dxfId="117" priority="17" operator="containsText" text="KHÔNG">
      <formula>NOT(ISERROR(SEARCH("KHÔNG",C3)))</formula>
    </cfRule>
    <cfRule type="containsText" dxfId="116" priority="18" operator="containsText" text="CÓ">
      <formula>NOT(ISERROR(SEARCH("CÓ",C3)))</formula>
    </cfRule>
  </conditionalFormatting>
  <conditionalFormatting sqref="C11 C14">
    <cfRule type="containsText" dxfId="115" priority="15" operator="containsText" text="KHÔNG">
      <formula>NOT(ISERROR(SEARCH("KHÔNG",C11)))</formula>
    </cfRule>
    <cfRule type="containsText" dxfId="114" priority="16" operator="containsText" text="CÓ">
      <formula>NOT(ISERROR(SEARCH("CÓ",C11)))</formula>
    </cfRule>
  </conditionalFormatting>
  <conditionalFormatting sqref="C18">
    <cfRule type="containsText" dxfId="113" priority="13" operator="containsText" text="KHÔNG">
      <formula>NOT(ISERROR(SEARCH("KHÔNG",C18)))</formula>
    </cfRule>
    <cfRule type="containsText" dxfId="112" priority="14" operator="containsText" text="CÓ">
      <formula>NOT(ISERROR(SEARCH("CÓ",C18)))</formula>
    </cfRule>
  </conditionalFormatting>
  <conditionalFormatting sqref="C20">
    <cfRule type="containsText" dxfId="111" priority="11" operator="containsText" text="KHÔNG">
      <formula>NOT(ISERROR(SEARCH("KHÔNG",C20)))</formula>
    </cfRule>
    <cfRule type="containsText" dxfId="110" priority="12" operator="containsText" text="CÓ">
      <formula>NOT(ISERROR(SEARCH("CÓ",C20)))</formula>
    </cfRule>
  </conditionalFormatting>
  <conditionalFormatting sqref="C24">
    <cfRule type="containsText" dxfId="109" priority="9" operator="containsText" text="KHÔNG">
      <formula>NOT(ISERROR(SEARCH("KHÔNG",C24)))</formula>
    </cfRule>
    <cfRule type="containsText" dxfId="108" priority="10" operator="containsText" text="CÓ">
      <formula>NOT(ISERROR(SEARCH("CÓ",C24)))</formula>
    </cfRule>
  </conditionalFormatting>
  <conditionalFormatting sqref="C27">
    <cfRule type="containsText" dxfId="107" priority="7" operator="containsText" text="KHÔNG">
      <formula>NOT(ISERROR(SEARCH("KHÔNG",C27)))</formula>
    </cfRule>
    <cfRule type="containsText" dxfId="106" priority="8" operator="containsText" text="CÓ">
      <formula>NOT(ISERROR(SEARCH("CÓ",C27)))</formula>
    </cfRule>
  </conditionalFormatting>
  <conditionalFormatting sqref="C30">
    <cfRule type="containsText" dxfId="105" priority="5" operator="containsText" text="KHÔNG">
      <formula>NOT(ISERROR(SEARCH("KHÔNG",C30)))</formula>
    </cfRule>
    <cfRule type="containsText" dxfId="104" priority="6" operator="containsText" text="CÓ">
      <formula>NOT(ISERROR(SEARCH("CÓ",C30)))</formula>
    </cfRule>
  </conditionalFormatting>
  <pageMargins left="0.7" right="0.7" top="0.75" bottom="0.75" header="0.3" footer="0.3"/>
  <drawing r:id="rId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1DC9B4-0A7B-43E4-9BB8-E502EB553EA5}">
  <dimension ref="B1:P11"/>
  <sheetViews>
    <sheetView showGridLines="0" workbookViewId="0">
      <selection activeCell="T5" sqref="T5"/>
    </sheetView>
  </sheetViews>
  <sheetFormatPr defaultColWidth="9.296875" defaultRowHeight="14"/>
  <cols>
    <col min="1" max="1" width="5.19921875" style="164" customWidth="1"/>
    <col min="2" max="2" width="23.296875" style="164" customWidth="1"/>
    <col min="3" max="3" width="12.19921875" style="164" customWidth="1"/>
    <col min="4" max="14" width="9.296875" style="164"/>
    <col min="15" max="15" width="10.69921875" style="164" customWidth="1"/>
    <col min="16" max="16" width="16.19921875" style="164" customWidth="1"/>
    <col min="17" max="16384" width="9.296875" style="164"/>
  </cols>
  <sheetData>
    <row r="1" spans="2:16" ht="27" customHeight="1">
      <c r="D1" s="1290"/>
      <c r="E1" s="1290"/>
    </row>
    <row r="2" spans="2:16" ht="36" customHeight="1">
      <c r="B2" s="166" t="s">
        <v>480</v>
      </c>
      <c r="C2" s="165" t="s">
        <v>283</v>
      </c>
      <c r="D2" s="1302" t="s">
        <v>481</v>
      </c>
      <c r="E2" s="1302"/>
      <c r="F2" s="1302"/>
      <c r="G2" s="1302"/>
      <c r="H2" s="1302"/>
      <c r="I2" s="1302"/>
      <c r="J2" s="1302"/>
      <c r="K2" s="1302"/>
      <c r="L2" s="1302"/>
      <c r="M2" s="1302"/>
      <c r="N2" s="1302"/>
      <c r="O2" s="1302"/>
      <c r="P2" s="1302"/>
    </row>
    <row r="3" spans="2:16" ht="24.75" customHeight="1">
      <c r="B3" s="182" t="s">
        <v>197</v>
      </c>
      <c r="C3" s="182" t="str">
        <f>CHUNG!F36</f>
        <v>KHÔNG</v>
      </c>
      <c r="D3" s="1303" t="s">
        <v>482</v>
      </c>
      <c r="E3" s="1303"/>
      <c r="F3" s="1303"/>
      <c r="G3" s="1303"/>
      <c r="H3" s="1303"/>
      <c r="I3" s="1303"/>
      <c r="J3" s="1303"/>
      <c r="K3" s="1303"/>
      <c r="L3" s="1303"/>
      <c r="M3" s="1303"/>
      <c r="N3" s="1303"/>
      <c r="O3" s="1303"/>
      <c r="P3" s="1303"/>
    </row>
    <row r="4" spans="2:16" ht="39" customHeight="1">
      <c r="B4" s="177" t="s">
        <v>200</v>
      </c>
      <c r="C4" s="177" t="str">
        <f>CHUNG!F37</f>
        <v>KHÔNG</v>
      </c>
      <c r="D4" s="1301" t="s">
        <v>483</v>
      </c>
      <c r="E4" s="1301"/>
      <c r="F4" s="1301"/>
      <c r="G4" s="1301"/>
      <c r="H4" s="1301"/>
      <c r="I4" s="1301"/>
      <c r="J4" s="1301"/>
      <c r="K4" s="1301"/>
      <c r="L4" s="1301"/>
      <c r="M4" s="1301"/>
      <c r="N4" s="1301"/>
      <c r="O4" s="1301"/>
      <c r="P4" s="1301"/>
    </row>
    <row r="5" spans="2:16" ht="33" customHeight="1">
      <c r="B5" s="182" t="s">
        <v>204</v>
      </c>
      <c r="C5" s="182" t="str">
        <f>CHUNG!F38</f>
        <v>KHÔNG</v>
      </c>
      <c r="D5" s="1303" t="s">
        <v>484</v>
      </c>
      <c r="E5" s="1303"/>
      <c r="F5" s="1303"/>
      <c r="G5" s="1303"/>
      <c r="H5" s="1303"/>
      <c r="I5" s="1303"/>
      <c r="J5" s="1303"/>
      <c r="K5" s="1303"/>
      <c r="L5" s="1303"/>
      <c r="M5" s="1303"/>
      <c r="N5" s="1303"/>
      <c r="O5" s="1303"/>
      <c r="P5" s="1303"/>
    </row>
    <row r="6" spans="2:16" ht="37.5" customHeight="1">
      <c r="B6" s="177" t="s">
        <v>198</v>
      </c>
      <c r="C6" s="177" t="str">
        <f>CHUNG!AT36</f>
        <v>KHÔNG</v>
      </c>
      <c r="D6" s="1301" t="s">
        <v>485</v>
      </c>
      <c r="E6" s="1301"/>
      <c r="F6" s="1301"/>
      <c r="G6" s="1301"/>
      <c r="H6" s="1301"/>
      <c r="I6" s="1301"/>
      <c r="J6" s="1301"/>
      <c r="K6" s="1301"/>
      <c r="L6" s="1301"/>
      <c r="M6" s="1301"/>
      <c r="N6" s="1301"/>
      <c r="O6" s="1301"/>
      <c r="P6" s="1301"/>
    </row>
    <row r="7" spans="2:16" ht="39" customHeight="1">
      <c r="B7" s="182" t="s">
        <v>201</v>
      </c>
      <c r="C7" s="182" t="str">
        <f>CHUNG!AT37</f>
        <v>KHÔNG</v>
      </c>
      <c r="D7" s="1303" t="s">
        <v>486</v>
      </c>
      <c r="E7" s="1303"/>
      <c r="F7" s="1303"/>
      <c r="G7" s="1303"/>
      <c r="H7" s="1303"/>
      <c r="I7" s="1303"/>
      <c r="J7" s="1303"/>
      <c r="K7" s="1303"/>
      <c r="L7" s="1303"/>
      <c r="M7" s="1303"/>
      <c r="N7" s="1303"/>
      <c r="O7" s="1303"/>
      <c r="P7" s="1303"/>
    </row>
    <row r="8" spans="2:16" ht="52.5" customHeight="1">
      <c r="B8" s="177" t="s">
        <v>205</v>
      </c>
      <c r="C8" s="177" t="str">
        <f>CHUNG!AT38</f>
        <v>CÓ</v>
      </c>
      <c r="D8" s="1301" t="s">
        <v>487</v>
      </c>
      <c r="E8" s="1301"/>
      <c r="F8" s="1301"/>
      <c r="G8" s="1301"/>
      <c r="H8" s="1301"/>
      <c r="I8" s="1301"/>
      <c r="J8" s="1301"/>
      <c r="K8" s="1301"/>
      <c r="L8" s="1301"/>
      <c r="M8" s="1301"/>
      <c r="N8" s="1301"/>
      <c r="O8" s="1301"/>
      <c r="P8" s="1301"/>
    </row>
    <row r="9" spans="2:16" ht="38.25" customHeight="1">
      <c r="B9" s="182" t="s">
        <v>199</v>
      </c>
      <c r="C9" s="182" t="str">
        <f>CHUNG!CB36</f>
        <v>KHÔNG</v>
      </c>
      <c r="D9" s="1303" t="s">
        <v>488</v>
      </c>
      <c r="E9" s="1303"/>
      <c r="F9" s="1303"/>
      <c r="G9" s="1303"/>
      <c r="H9" s="1303"/>
      <c r="I9" s="1303"/>
      <c r="J9" s="1303"/>
      <c r="K9" s="1303"/>
      <c r="L9" s="1303"/>
      <c r="M9" s="1303"/>
      <c r="N9" s="1303"/>
      <c r="O9" s="1303"/>
      <c r="P9" s="1303"/>
    </row>
    <row r="10" spans="2:16" ht="39" customHeight="1">
      <c r="B10" s="177" t="s">
        <v>202</v>
      </c>
      <c r="C10" s="177" t="str">
        <f>CHUNG!CB37</f>
        <v>KHÔNG</v>
      </c>
      <c r="D10" s="1301" t="s">
        <v>489</v>
      </c>
      <c r="E10" s="1301"/>
      <c r="F10" s="1301"/>
      <c r="G10" s="1301"/>
      <c r="H10" s="1301"/>
      <c r="I10" s="1301"/>
      <c r="J10" s="1301"/>
      <c r="K10" s="1301"/>
      <c r="L10" s="1301"/>
      <c r="M10" s="1301"/>
      <c r="N10" s="1301"/>
      <c r="O10" s="1301"/>
      <c r="P10" s="1301"/>
    </row>
    <row r="11" spans="2:16" ht="39" customHeight="1">
      <c r="B11" s="182" t="s">
        <v>206</v>
      </c>
      <c r="C11" s="177" t="str">
        <f>CHUNG!CB38</f>
        <v>KHÔNG</v>
      </c>
      <c r="D11" s="1301" t="s">
        <v>490</v>
      </c>
      <c r="E11" s="1301"/>
      <c r="F11" s="1301"/>
      <c r="G11" s="1301"/>
      <c r="H11" s="1301"/>
      <c r="I11" s="1301"/>
      <c r="J11" s="1301"/>
      <c r="K11" s="1301"/>
      <c r="L11" s="1301"/>
      <c r="M11" s="1301"/>
      <c r="N11" s="1301"/>
      <c r="O11" s="1301"/>
      <c r="P11" s="1301"/>
    </row>
  </sheetData>
  <mergeCells count="11">
    <mergeCell ref="D7:P7"/>
    <mergeCell ref="D8:P8"/>
    <mergeCell ref="D9:P9"/>
    <mergeCell ref="D10:P10"/>
    <mergeCell ref="D11:P11"/>
    <mergeCell ref="D6:P6"/>
    <mergeCell ref="D1:E1"/>
    <mergeCell ref="D2:P2"/>
    <mergeCell ref="D3:P3"/>
    <mergeCell ref="D4:P4"/>
    <mergeCell ref="D5:P5"/>
  </mergeCells>
  <conditionalFormatting sqref="A12:XFD1048576 F1:XFD1 A1:B1 D1 A2:A11 Q2:XFD11">
    <cfRule type="duplicateValues" dxfId="103" priority="7"/>
    <cfRule type="duplicateValues" dxfId="102" priority="8"/>
    <cfRule type="duplicateValues" dxfId="101" priority="9"/>
    <cfRule type="duplicateValues" dxfId="100" priority="10"/>
  </conditionalFormatting>
  <conditionalFormatting sqref="B2 D2">
    <cfRule type="duplicateValues" dxfId="99" priority="3"/>
    <cfRule type="duplicateValues" dxfId="98" priority="4"/>
  </conditionalFormatting>
  <conditionalFormatting sqref="C2">
    <cfRule type="duplicateValues" dxfId="97" priority="1"/>
    <cfRule type="duplicateValues" dxfId="96" priority="2"/>
  </conditionalFormatting>
  <conditionalFormatting sqref="C3:C11">
    <cfRule type="containsText" dxfId="95" priority="5" operator="containsText" text="KHÔNG">
      <formula>NOT(ISERROR(SEARCH("KHÔNG",C3)))</formula>
    </cfRule>
    <cfRule type="containsText" dxfId="94" priority="6" operator="containsText" text="CÓ">
      <formula>NOT(ISERROR(SEARCH("CÓ",C3)))</formula>
    </cfRule>
  </conditionalFormatting>
  <pageMargins left="0.7" right="0.7" top="0.75" bottom="0.75" header="0.3" footer="0.3"/>
  <drawing r:id="rId1"/>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7573D0-96C5-4101-9577-3EBC3E0D8778}">
  <dimension ref="B1:Q18"/>
  <sheetViews>
    <sheetView showGridLines="0" zoomScale="85" zoomScaleNormal="85" workbookViewId="0">
      <pane ySplit="2" topLeftCell="A11" activePane="bottomLeft" state="frozen"/>
      <selection pane="bottomLeft" activeCell="D17" sqref="D17"/>
    </sheetView>
  </sheetViews>
  <sheetFormatPr defaultColWidth="9.296875" defaultRowHeight="14"/>
  <cols>
    <col min="1" max="1" width="5.19921875" style="164" customWidth="1"/>
    <col min="2" max="2" width="23.296875" style="164" customWidth="1"/>
    <col min="3" max="4" width="12.19921875" style="164" customWidth="1"/>
    <col min="5" max="15" width="9.296875" style="164"/>
    <col min="16" max="16" width="10.69921875" style="164" customWidth="1"/>
    <col min="17" max="17" width="13" style="164" customWidth="1"/>
    <col min="18" max="16384" width="9.296875" style="164"/>
  </cols>
  <sheetData>
    <row r="1" spans="2:17" ht="39" customHeight="1">
      <c r="C1" s="1304" t="s">
        <v>283</v>
      </c>
      <c r="D1" s="1304"/>
      <c r="E1" s="1290"/>
      <c r="F1" s="1290"/>
    </row>
    <row r="2" spans="2:17" ht="36" customHeight="1">
      <c r="B2" s="179" t="s">
        <v>452</v>
      </c>
      <c r="C2" s="179" t="s">
        <v>453</v>
      </c>
      <c r="D2" s="179" t="s">
        <v>454</v>
      </c>
      <c r="E2" s="1305" t="s">
        <v>455</v>
      </c>
      <c r="F2" s="1305"/>
      <c r="G2" s="1305"/>
      <c r="H2" s="1305"/>
      <c r="I2" s="1305"/>
      <c r="J2" s="1305"/>
      <c r="K2" s="1305"/>
      <c r="L2" s="1305"/>
      <c r="M2" s="1305"/>
      <c r="N2" s="1305"/>
      <c r="O2" s="1305"/>
      <c r="P2" s="1305"/>
      <c r="Q2" s="1305"/>
    </row>
    <row r="3" spans="2:17" ht="36" customHeight="1">
      <c r="B3" s="1306" t="s">
        <v>456</v>
      </c>
      <c r="C3" s="180" t="str">
        <f>CHUNG!F29</f>
        <v>CÓ</v>
      </c>
      <c r="D3" s="180" t="str">
        <f>CHUNG!F52</f>
        <v>CÓ</v>
      </c>
      <c r="E3" s="1303" t="s">
        <v>457</v>
      </c>
      <c r="F3" s="1303"/>
      <c r="G3" s="1303"/>
      <c r="H3" s="1303"/>
      <c r="I3" s="1303"/>
      <c r="J3" s="1303"/>
      <c r="K3" s="1303"/>
      <c r="L3" s="1303"/>
      <c r="M3" s="1303"/>
      <c r="N3" s="1303"/>
      <c r="O3" s="1303"/>
      <c r="P3" s="1303"/>
      <c r="Q3" s="1303"/>
    </row>
    <row r="4" spans="2:17" ht="36" customHeight="1">
      <c r="B4" s="1306"/>
      <c r="C4" s="180"/>
      <c r="D4" s="180"/>
      <c r="E4" s="1303" t="s">
        <v>458</v>
      </c>
      <c r="F4" s="1303"/>
      <c r="G4" s="1303"/>
      <c r="H4" s="1303"/>
      <c r="I4" s="1303"/>
      <c r="J4" s="1303"/>
      <c r="K4" s="1303"/>
      <c r="L4" s="1303"/>
      <c r="M4" s="1303"/>
      <c r="N4" s="1303"/>
      <c r="O4" s="1303"/>
      <c r="P4" s="1303"/>
      <c r="Q4" s="1303"/>
    </row>
    <row r="5" spans="2:17" ht="36" customHeight="1">
      <c r="B5" s="1307" t="s">
        <v>459</v>
      </c>
      <c r="C5" s="181" t="str">
        <f>CHUNG!F30</f>
        <v>KHÔNG</v>
      </c>
      <c r="D5" s="181" t="str">
        <f>CHUNG!F53</f>
        <v>KHÔNG</v>
      </c>
      <c r="E5" s="1301" t="s">
        <v>460</v>
      </c>
      <c r="F5" s="1301"/>
      <c r="G5" s="1301"/>
      <c r="H5" s="1301"/>
      <c r="I5" s="1301"/>
      <c r="J5" s="1301"/>
      <c r="K5" s="1301"/>
      <c r="L5" s="1301"/>
      <c r="M5" s="1301"/>
      <c r="N5" s="1301"/>
      <c r="O5" s="1301"/>
      <c r="P5" s="1301"/>
      <c r="Q5" s="1301"/>
    </row>
    <row r="6" spans="2:17" ht="36" customHeight="1">
      <c r="B6" s="1307"/>
      <c r="C6" s="181"/>
      <c r="D6" s="181"/>
      <c r="E6" s="1301" t="s">
        <v>461</v>
      </c>
      <c r="F6" s="1301"/>
      <c r="G6" s="1301"/>
      <c r="H6" s="1301"/>
      <c r="I6" s="1301"/>
      <c r="J6" s="1301"/>
      <c r="K6" s="1301"/>
      <c r="L6" s="1301"/>
      <c r="M6" s="1301"/>
      <c r="N6" s="1301"/>
      <c r="O6" s="1301"/>
      <c r="P6" s="1301"/>
      <c r="Q6" s="1301"/>
    </row>
    <row r="7" spans="2:17" ht="36" customHeight="1">
      <c r="B7" s="1306" t="s">
        <v>462</v>
      </c>
      <c r="C7" s="180" t="str">
        <f>CHUNG!AT29</f>
        <v>KHÔNG</v>
      </c>
      <c r="D7" s="180" t="str">
        <f>CHUNG!AT52</f>
        <v>KHÔNG</v>
      </c>
      <c r="E7" s="1303" t="s">
        <v>463</v>
      </c>
      <c r="F7" s="1303"/>
      <c r="G7" s="1303"/>
      <c r="H7" s="1303"/>
      <c r="I7" s="1303"/>
      <c r="J7" s="1303"/>
      <c r="K7" s="1303"/>
      <c r="L7" s="1303"/>
      <c r="M7" s="1303"/>
      <c r="N7" s="1303"/>
      <c r="O7" s="1303"/>
      <c r="P7" s="1303"/>
      <c r="Q7" s="1303"/>
    </row>
    <row r="8" spans="2:17" ht="36" customHeight="1">
      <c r="B8" s="1306"/>
      <c r="C8" s="180"/>
      <c r="D8" s="180"/>
      <c r="E8" s="1303" t="s">
        <v>464</v>
      </c>
      <c r="F8" s="1303"/>
      <c r="G8" s="1303"/>
      <c r="H8" s="1303"/>
      <c r="I8" s="1303"/>
      <c r="J8" s="1303"/>
      <c r="K8" s="1303"/>
      <c r="L8" s="1303"/>
      <c r="M8" s="1303"/>
      <c r="N8" s="1303"/>
      <c r="O8" s="1303"/>
      <c r="P8" s="1303"/>
      <c r="Q8" s="1303"/>
    </row>
    <row r="9" spans="2:17" ht="36" customHeight="1">
      <c r="B9" s="1308" t="s">
        <v>465</v>
      </c>
      <c r="C9" s="181" t="str">
        <f>CHUNG!AT30</f>
        <v>KHÔNG</v>
      </c>
      <c r="D9" s="181" t="str">
        <f>CHUNG!AT53</f>
        <v>KHÔNG</v>
      </c>
      <c r="E9" s="1301" t="s">
        <v>466</v>
      </c>
      <c r="F9" s="1301"/>
      <c r="G9" s="1301"/>
      <c r="H9" s="1301"/>
      <c r="I9" s="1301"/>
      <c r="J9" s="1301"/>
      <c r="K9" s="1301"/>
      <c r="L9" s="1301"/>
      <c r="M9" s="1301"/>
      <c r="N9" s="1301"/>
      <c r="O9" s="1301"/>
      <c r="P9" s="1301"/>
      <c r="Q9" s="1301"/>
    </row>
    <row r="10" spans="2:17" ht="36" customHeight="1">
      <c r="B10" s="1307"/>
      <c r="C10" s="181"/>
      <c r="D10" s="181"/>
      <c r="E10" s="1301" t="s">
        <v>467</v>
      </c>
      <c r="F10" s="1301"/>
      <c r="G10" s="1301"/>
      <c r="H10" s="1301"/>
      <c r="I10" s="1301"/>
      <c r="J10" s="1301"/>
      <c r="K10" s="1301"/>
      <c r="L10" s="1301"/>
      <c r="M10" s="1301"/>
      <c r="N10" s="1301"/>
      <c r="O10" s="1301"/>
      <c r="P10" s="1301"/>
      <c r="Q10" s="1301"/>
    </row>
    <row r="11" spans="2:17" ht="36" customHeight="1">
      <c r="B11" s="1306" t="s">
        <v>468</v>
      </c>
      <c r="C11" s="180" t="str">
        <f>CHUNG!CA29</f>
        <v>KHÔNG</v>
      </c>
      <c r="D11" s="180" t="str">
        <f>CHUNG!CA52</f>
        <v>CÓ</v>
      </c>
      <c r="E11" s="1303" t="s">
        <v>469</v>
      </c>
      <c r="F11" s="1303"/>
      <c r="G11" s="1303"/>
      <c r="H11" s="1303"/>
      <c r="I11" s="1303"/>
      <c r="J11" s="1303"/>
      <c r="K11" s="1303"/>
      <c r="L11" s="1303"/>
      <c r="M11" s="1303"/>
      <c r="N11" s="1303"/>
      <c r="O11" s="1303"/>
      <c r="P11" s="1303"/>
      <c r="Q11" s="1303"/>
    </row>
    <row r="12" spans="2:17" ht="36" customHeight="1">
      <c r="B12" s="1306"/>
      <c r="C12" s="180"/>
      <c r="D12" s="180"/>
      <c r="E12" s="1303" t="s">
        <v>470</v>
      </c>
      <c r="F12" s="1303"/>
      <c r="G12" s="1303"/>
      <c r="H12" s="1303"/>
      <c r="I12" s="1303"/>
      <c r="J12" s="1303"/>
      <c r="K12" s="1303"/>
      <c r="L12" s="1303"/>
      <c r="M12" s="1303"/>
      <c r="N12" s="1303"/>
      <c r="O12" s="1303"/>
      <c r="P12" s="1303"/>
      <c r="Q12" s="1303"/>
    </row>
    <row r="13" spans="2:17" ht="36" customHeight="1">
      <c r="B13" s="1308" t="s">
        <v>471</v>
      </c>
      <c r="C13" s="181" t="str">
        <f>CHUNG!AT31</f>
        <v>KHÔNG</v>
      </c>
      <c r="D13" s="181" t="str">
        <f>CHUNG!AT54</f>
        <v>CÓ</v>
      </c>
      <c r="E13" s="1301" t="s">
        <v>472</v>
      </c>
      <c r="F13" s="1301"/>
      <c r="G13" s="1301"/>
      <c r="H13" s="1301"/>
      <c r="I13" s="1301"/>
      <c r="J13" s="1301"/>
      <c r="K13" s="1301"/>
      <c r="L13" s="1301"/>
      <c r="M13" s="1301"/>
      <c r="N13" s="1301"/>
      <c r="O13" s="1301"/>
      <c r="P13" s="1301"/>
      <c r="Q13" s="1301"/>
    </row>
    <row r="14" spans="2:17" ht="36" customHeight="1">
      <c r="B14" s="1308"/>
      <c r="C14" s="181"/>
      <c r="D14" s="181"/>
      <c r="E14" s="1301" t="s">
        <v>473</v>
      </c>
      <c r="F14" s="1301"/>
      <c r="G14" s="1301"/>
      <c r="H14" s="1301"/>
      <c r="I14" s="1301"/>
      <c r="J14" s="1301"/>
      <c r="K14" s="1301"/>
      <c r="L14" s="1301"/>
      <c r="M14" s="1301"/>
      <c r="N14" s="1301"/>
      <c r="O14" s="1301"/>
      <c r="P14" s="1301"/>
      <c r="Q14" s="1301"/>
    </row>
    <row r="15" spans="2:17" ht="36" customHeight="1">
      <c r="B15" s="1306" t="s">
        <v>474</v>
      </c>
      <c r="C15" s="180" t="str">
        <f>CHUNG!CA30</f>
        <v>KHÔNG</v>
      </c>
      <c r="D15" s="180" t="str">
        <f>CHUNG!CA53</f>
        <v>KHÔNG</v>
      </c>
      <c r="E15" s="1303" t="s">
        <v>475</v>
      </c>
      <c r="F15" s="1303"/>
      <c r="G15" s="1303"/>
      <c r="H15" s="1303"/>
      <c r="I15" s="1303"/>
      <c r="J15" s="1303"/>
      <c r="K15" s="1303"/>
      <c r="L15" s="1303"/>
      <c r="M15" s="1303"/>
      <c r="N15" s="1303"/>
      <c r="O15" s="1303"/>
      <c r="P15" s="1303"/>
      <c r="Q15" s="1303"/>
    </row>
    <row r="16" spans="2:17" ht="36" customHeight="1">
      <c r="B16" s="1306"/>
      <c r="C16" s="180"/>
      <c r="D16" s="180"/>
      <c r="E16" s="1303" t="s">
        <v>476</v>
      </c>
      <c r="F16" s="1303"/>
      <c r="G16" s="1303"/>
      <c r="H16" s="1303"/>
      <c r="I16" s="1303"/>
      <c r="J16" s="1303"/>
      <c r="K16" s="1303"/>
      <c r="L16" s="1303"/>
      <c r="M16" s="1303"/>
      <c r="N16" s="1303"/>
      <c r="O16" s="1303"/>
      <c r="P16" s="1303"/>
      <c r="Q16" s="1303"/>
    </row>
    <row r="17" spans="2:17" ht="36" customHeight="1">
      <c r="B17" s="1307" t="s">
        <v>477</v>
      </c>
      <c r="C17" s="181" t="str">
        <f>CHUNG!CA31</f>
        <v>KHÔNG</v>
      </c>
      <c r="D17" s="181" t="str">
        <f>CHUNG!CA54</f>
        <v>CÓ</v>
      </c>
      <c r="E17" s="1301" t="s">
        <v>478</v>
      </c>
      <c r="F17" s="1301"/>
      <c r="G17" s="1301"/>
      <c r="H17" s="1301"/>
      <c r="I17" s="1301"/>
      <c r="J17" s="1301"/>
      <c r="K17" s="1301"/>
      <c r="L17" s="1301"/>
      <c r="M17" s="1301"/>
      <c r="N17" s="1301"/>
      <c r="O17" s="1301"/>
      <c r="P17" s="1301"/>
      <c r="Q17" s="1301"/>
    </row>
    <row r="18" spans="2:17" ht="36" customHeight="1">
      <c r="B18" s="1307"/>
      <c r="C18" s="181"/>
      <c r="D18" s="181"/>
      <c r="E18" s="1301" t="s">
        <v>479</v>
      </c>
      <c r="F18" s="1301"/>
      <c r="G18" s="1301"/>
      <c r="H18" s="1301"/>
      <c r="I18" s="1301"/>
      <c r="J18" s="1301"/>
      <c r="K18" s="1301"/>
      <c r="L18" s="1301"/>
      <c r="M18" s="1301"/>
      <c r="N18" s="1301"/>
      <c r="O18" s="1301"/>
      <c r="P18" s="1301"/>
      <c r="Q18" s="1301"/>
    </row>
  </sheetData>
  <mergeCells count="27">
    <mergeCell ref="B17:B18"/>
    <mergeCell ref="E17:Q17"/>
    <mergeCell ref="E18:Q18"/>
    <mergeCell ref="B13:B14"/>
    <mergeCell ref="E13:Q13"/>
    <mergeCell ref="E14:Q14"/>
    <mergeCell ref="B15:B16"/>
    <mergeCell ref="E15:Q15"/>
    <mergeCell ref="E16:Q16"/>
    <mergeCell ref="B9:B10"/>
    <mergeCell ref="E9:Q9"/>
    <mergeCell ref="E10:Q10"/>
    <mergeCell ref="B11:B12"/>
    <mergeCell ref="E11:Q11"/>
    <mergeCell ref="E12:Q12"/>
    <mergeCell ref="B5:B6"/>
    <mergeCell ref="E5:Q5"/>
    <mergeCell ref="E6:Q6"/>
    <mergeCell ref="B7:B8"/>
    <mergeCell ref="E7:Q7"/>
    <mergeCell ref="E8:Q8"/>
    <mergeCell ref="C1:D1"/>
    <mergeCell ref="E1:F1"/>
    <mergeCell ref="E2:Q2"/>
    <mergeCell ref="B3:B4"/>
    <mergeCell ref="E3:Q3"/>
    <mergeCell ref="E4:Q4"/>
  </mergeCells>
  <conditionalFormatting sqref="B2:D2">
    <cfRule type="duplicateValues" dxfId="93" priority="3"/>
    <cfRule type="duplicateValues" dxfId="92" priority="4"/>
  </conditionalFormatting>
  <conditionalFormatting sqref="C1">
    <cfRule type="duplicateValues" dxfId="91" priority="1"/>
    <cfRule type="duplicateValues" dxfId="90" priority="2"/>
  </conditionalFormatting>
  <conditionalFormatting sqref="C3:D3 C4 C5:D5 C6 C7:D7 C8 C9:D9 C10 C11:D11 C12 C13:D13 C14 C15:D15 C16 C17:D17 C18">
    <cfRule type="containsText" dxfId="89" priority="5" operator="containsText" text="KHÔNG">
      <formula>NOT(ISERROR(SEARCH("KHÔNG",C3)))</formula>
    </cfRule>
    <cfRule type="containsText" dxfId="88" priority="6" operator="containsText" text="CÓ">
      <formula>NOT(ISERROR(SEARCH("CÓ",C3)))</formula>
    </cfRule>
  </conditionalFormatting>
  <conditionalFormatting sqref="G1:XFD1 A1:B1 E1 A19:XFD1048576 R2:XFD18 A2:A18">
    <cfRule type="duplicateValues" dxfId="87" priority="8"/>
    <cfRule type="duplicateValues" dxfId="86" priority="9"/>
  </conditionalFormatting>
  <conditionalFormatting sqref="G1:XFD1 A19:XFD1048576 R2:XFD18 A1:B1 E1 A2:A18">
    <cfRule type="duplicateValues" dxfId="85" priority="7"/>
    <cfRule type="duplicateValues" dxfId="84" priority="10"/>
  </conditionalFormatting>
  <pageMargins left="0.7" right="0.7" top="0.75" bottom="0.75" header="0.3" footer="0.3"/>
  <drawing r:id="rId1"/>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C506C-F939-4E84-8F75-2D9860BB24B5}">
  <dimension ref="B1:P14"/>
  <sheetViews>
    <sheetView showGridLines="0" zoomScale="85" zoomScaleNormal="85" workbookViewId="0">
      <pane ySplit="2" topLeftCell="A3" activePane="bottomLeft" state="frozen"/>
      <selection pane="bottomLeft" activeCell="D3" sqref="D3:P3"/>
    </sheetView>
  </sheetViews>
  <sheetFormatPr defaultColWidth="9.296875" defaultRowHeight="14"/>
  <cols>
    <col min="1" max="1" width="4.796875" style="164" customWidth="1"/>
    <col min="2" max="2" width="13.796875" style="164" customWidth="1"/>
    <col min="3" max="3" width="24" style="164" customWidth="1"/>
    <col min="4" max="15" width="9.296875" style="164"/>
    <col min="16" max="16" width="87.19921875" style="164" customWidth="1"/>
    <col min="17" max="16384" width="9.296875" style="164"/>
  </cols>
  <sheetData>
    <row r="1" spans="2:16" ht="28.5" customHeight="1">
      <c r="D1" s="165" t="s">
        <v>283</v>
      </c>
    </row>
    <row r="2" spans="2:16" ht="38.25" customHeight="1">
      <c r="B2" s="166" t="s">
        <v>284</v>
      </c>
      <c r="C2" s="167" t="s">
        <v>285</v>
      </c>
      <c r="D2" s="168">
        <f>CHUNG!B12</f>
        <v>2</v>
      </c>
      <c r="E2" s="1309" t="s">
        <v>286</v>
      </c>
      <c r="F2" s="1309"/>
      <c r="G2" s="1309"/>
      <c r="H2" s="1309"/>
      <c r="I2" s="1309"/>
      <c r="J2" s="1309"/>
      <c r="K2" s="1309"/>
      <c r="L2" s="1309"/>
      <c r="M2" s="1309"/>
      <c r="N2" s="1309"/>
      <c r="O2" s="1309"/>
      <c r="P2" s="1309"/>
    </row>
    <row r="3" spans="2:16" ht="293.25" customHeight="1">
      <c r="B3" s="169">
        <v>1</v>
      </c>
      <c r="C3" s="170" t="s">
        <v>287</v>
      </c>
      <c r="D3" s="1301" t="s">
        <v>288</v>
      </c>
      <c r="E3" s="1301"/>
      <c r="F3" s="1301"/>
      <c r="G3" s="1301"/>
      <c r="H3" s="1301"/>
      <c r="I3" s="1301"/>
      <c r="J3" s="1301"/>
      <c r="K3" s="1301"/>
      <c r="L3" s="1301"/>
      <c r="M3" s="1301"/>
      <c r="N3" s="1301"/>
      <c r="O3" s="1301"/>
      <c r="P3" s="1301"/>
    </row>
    <row r="4" spans="2:16" ht="229.5" customHeight="1">
      <c r="B4" s="169">
        <v>2</v>
      </c>
      <c r="C4" s="170" t="s">
        <v>289</v>
      </c>
      <c r="D4" s="1301" t="s">
        <v>290</v>
      </c>
      <c r="E4" s="1301"/>
      <c r="F4" s="1301"/>
      <c r="G4" s="1301"/>
      <c r="H4" s="1301"/>
      <c r="I4" s="1301"/>
      <c r="J4" s="1301"/>
      <c r="K4" s="1301"/>
      <c r="L4" s="1301"/>
      <c r="M4" s="1301"/>
      <c r="N4" s="1301"/>
      <c r="O4" s="1301"/>
      <c r="P4" s="1301"/>
    </row>
    <row r="5" spans="2:16" ht="270.75" customHeight="1">
      <c r="B5" s="169">
        <v>3</v>
      </c>
      <c r="C5" s="171" t="s">
        <v>291</v>
      </c>
      <c r="D5" s="1301" t="s">
        <v>292</v>
      </c>
      <c r="E5" s="1301"/>
      <c r="F5" s="1301"/>
      <c r="G5" s="1301"/>
      <c r="H5" s="1301"/>
      <c r="I5" s="1301"/>
      <c r="J5" s="1301"/>
      <c r="K5" s="1301"/>
      <c r="L5" s="1301"/>
      <c r="M5" s="1301"/>
      <c r="N5" s="1301"/>
      <c r="O5" s="1301"/>
      <c r="P5" s="1301"/>
    </row>
    <row r="6" spans="2:16" ht="304.5" customHeight="1">
      <c r="B6" s="169">
        <v>4</v>
      </c>
      <c r="C6" s="170" t="s">
        <v>293</v>
      </c>
      <c r="D6" s="1301" t="s">
        <v>294</v>
      </c>
      <c r="E6" s="1301"/>
      <c r="F6" s="1301"/>
      <c r="G6" s="1301"/>
      <c r="H6" s="1301"/>
      <c r="I6" s="1301"/>
      <c r="J6" s="1301"/>
      <c r="K6" s="1301"/>
      <c r="L6" s="1301"/>
      <c r="M6" s="1301"/>
      <c r="N6" s="1301"/>
      <c r="O6" s="1301"/>
      <c r="P6" s="1301"/>
    </row>
    <row r="7" spans="2:16" ht="294" customHeight="1">
      <c r="B7" s="169">
        <v>5</v>
      </c>
      <c r="C7" s="172" t="s">
        <v>295</v>
      </c>
      <c r="D7" s="1301" t="s">
        <v>296</v>
      </c>
      <c r="E7" s="1301"/>
      <c r="F7" s="1301"/>
      <c r="G7" s="1301"/>
      <c r="H7" s="1301"/>
      <c r="I7" s="1301"/>
      <c r="J7" s="1301"/>
      <c r="K7" s="1301"/>
      <c r="L7" s="1301"/>
      <c r="M7" s="1301"/>
      <c r="N7" s="1301"/>
      <c r="O7" s="1301"/>
      <c r="P7" s="1301"/>
    </row>
    <row r="8" spans="2:16" ht="243" customHeight="1">
      <c r="B8" s="169">
        <v>6</v>
      </c>
      <c r="C8" s="170" t="s">
        <v>297</v>
      </c>
      <c r="D8" s="1301" t="s">
        <v>298</v>
      </c>
      <c r="E8" s="1301"/>
      <c r="F8" s="1301"/>
      <c r="G8" s="1301"/>
      <c r="H8" s="1301"/>
      <c r="I8" s="1301"/>
      <c r="J8" s="1301"/>
      <c r="K8" s="1301"/>
      <c r="L8" s="1301"/>
      <c r="M8" s="1301"/>
      <c r="N8" s="1301"/>
      <c r="O8" s="1301"/>
      <c r="P8" s="1301"/>
    </row>
    <row r="9" spans="2:16" ht="350.25" customHeight="1">
      <c r="B9" s="169">
        <v>7</v>
      </c>
      <c r="C9" s="170" t="s">
        <v>299</v>
      </c>
      <c r="D9" s="1301" t="s">
        <v>300</v>
      </c>
      <c r="E9" s="1301"/>
      <c r="F9" s="1301"/>
      <c r="G9" s="1301"/>
      <c r="H9" s="1301"/>
      <c r="I9" s="1301"/>
      <c r="J9" s="1301"/>
      <c r="K9" s="1301"/>
      <c r="L9" s="1301"/>
      <c r="M9" s="1301"/>
      <c r="N9" s="1301"/>
      <c r="O9" s="1301"/>
      <c r="P9" s="1301"/>
    </row>
    <row r="10" spans="2:16" ht="316.5" customHeight="1">
      <c r="B10" s="169">
        <v>8</v>
      </c>
      <c r="C10" s="170" t="s">
        <v>301</v>
      </c>
      <c r="D10" s="1301" t="s">
        <v>302</v>
      </c>
      <c r="E10" s="1301"/>
      <c r="F10" s="1301"/>
      <c r="G10" s="1301"/>
      <c r="H10" s="1301"/>
      <c r="I10" s="1301"/>
      <c r="J10" s="1301"/>
      <c r="K10" s="1301"/>
      <c r="L10" s="1301"/>
      <c r="M10" s="1301"/>
      <c r="N10" s="1301"/>
      <c r="O10" s="1301"/>
      <c r="P10" s="1301"/>
    </row>
    <row r="11" spans="2:16" ht="302.25" customHeight="1">
      <c r="B11" s="169">
        <v>9</v>
      </c>
      <c r="C11" s="171" t="s">
        <v>303</v>
      </c>
      <c r="D11" s="1301" t="s">
        <v>304</v>
      </c>
      <c r="E11" s="1301"/>
      <c r="F11" s="1301"/>
      <c r="G11" s="1301"/>
      <c r="H11" s="1301"/>
      <c r="I11" s="1301"/>
      <c r="J11" s="1301"/>
      <c r="K11" s="1301"/>
      <c r="L11" s="1301"/>
      <c r="M11" s="1301"/>
      <c r="N11" s="1301"/>
      <c r="O11" s="1301"/>
      <c r="P11" s="1301"/>
    </row>
    <row r="12" spans="2:16" ht="157.5" customHeight="1">
      <c r="B12" s="169">
        <v>11</v>
      </c>
      <c r="C12" s="170" t="s">
        <v>305</v>
      </c>
      <c r="D12" s="1301" t="s">
        <v>306</v>
      </c>
      <c r="E12" s="1301"/>
      <c r="F12" s="1301"/>
      <c r="G12" s="1301"/>
      <c r="H12" s="1301"/>
      <c r="I12" s="1301"/>
      <c r="J12" s="1301"/>
      <c r="K12" s="1301"/>
      <c r="L12" s="1301"/>
      <c r="M12" s="1301"/>
      <c r="N12" s="1301"/>
      <c r="O12" s="1301"/>
      <c r="P12" s="1301"/>
    </row>
    <row r="13" spans="2:16" ht="200.25" customHeight="1">
      <c r="B13" s="169">
        <v>22</v>
      </c>
      <c r="C13" s="170" t="s">
        <v>307</v>
      </c>
      <c r="D13" s="1301" t="s">
        <v>308</v>
      </c>
      <c r="E13" s="1301"/>
      <c r="F13" s="1301"/>
      <c r="G13" s="1301"/>
      <c r="H13" s="1301"/>
      <c r="I13" s="1301"/>
      <c r="J13" s="1301"/>
      <c r="K13" s="1301"/>
      <c r="L13" s="1301"/>
      <c r="M13" s="1301"/>
      <c r="N13" s="1301"/>
      <c r="O13" s="1301"/>
      <c r="P13" s="1301"/>
    </row>
    <row r="14" spans="2:16" ht="150.75" customHeight="1">
      <c r="B14" s="169">
        <v>33</v>
      </c>
      <c r="C14" s="171" t="s">
        <v>309</v>
      </c>
      <c r="D14" s="1301" t="s">
        <v>310</v>
      </c>
      <c r="E14" s="1301"/>
      <c r="F14" s="1301"/>
      <c r="G14" s="1301"/>
      <c r="H14" s="1301"/>
      <c r="I14" s="1301"/>
      <c r="J14" s="1301"/>
      <c r="K14" s="1301"/>
      <c r="L14" s="1301"/>
      <c r="M14" s="1301"/>
      <c r="N14" s="1301"/>
      <c r="O14" s="1301"/>
      <c r="P14" s="1301"/>
    </row>
  </sheetData>
  <mergeCells count="13">
    <mergeCell ref="D14:P14"/>
    <mergeCell ref="D8:P8"/>
    <mergeCell ref="D9:P9"/>
    <mergeCell ref="D10:P10"/>
    <mergeCell ref="D11:P11"/>
    <mergeCell ref="D12:P12"/>
    <mergeCell ref="D13:P13"/>
    <mergeCell ref="D7:P7"/>
    <mergeCell ref="E2:P2"/>
    <mergeCell ref="D3:P3"/>
    <mergeCell ref="D4:P4"/>
    <mergeCell ref="D5:P5"/>
    <mergeCell ref="D6:P6"/>
  </mergeCells>
  <conditionalFormatting sqref="A1:XFD1048576">
    <cfRule type="duplicateValues" dxfId="83" priority="1"/>
    <cfRule type="duplicateValues" dxfId="82" priority="2"/>
  </conditionalFormatting>
  <conditionalFormatting sqref="B3:P14">
    <cfRule type="expression" dxfId="81" priority="3">
      <formula>MOD(ROW(),2)&gt;0</formula>
    </cfRule>
  </conditionalFormatting>
  <pageMargins left="0.7" right="0.7" top="0.75" bottom="0.75" header="0.3" footer="0.3"/>
  <drawing r:id="rId1"/>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8FCD6F-08C0-45B7-A833-2AA248BDAA9F}">
  <dimension ref="B1:P14"/>
  <sheetViews>
    <sheetView showGridLines="0" zoomScale="85" zoomScaleNormal="85" workbookViewId="0">
      <pane ySplit="2" topLeftCell="A9" activePane="bottomLeft" state="frozen"/>
      <selection pane="bottomLeft" activeCell="D3" sqref="D3:P3"/>
    </sheetView>
  </sheetViews>
  <sheetFormatPr defaultColWidth="9.296875" defaultRowHeight="14"/>
  <cols>
    <col min="1" max="1" width="4.796875" style="164" customWidth="1"/>
    <col min="2" max="2" width="12.69921875" style="164" customWidth="1"/>
    <col min="3" max="3" width="24" style="164" customWidth="1"/>
    <col min="4" max="15" width="9.296875" style="164"/>
    <col min="16" max="16" width="88" style="164" customWidth="1"/>
    <col min="17" max="16384" width="9.296875" style="164"/>
  </cols>
  <sheetData>
    <row r="1" spans="2:16" ht="39.75" customHeight="1">
      <c r="D1" s="165" t="s">
        <v>283</v>
      </c>
    </row>
    <row r="2" spans="2:16" ht="38.25" customHeight="1">
      <c r="B2" s="166" t="s">
        <v>311</v>
      </c>
      <c r="C2" s="167" t="s">
        <v>285</v>
      </c>
      <c r="D2" s="168">
        <f>CHUNG!K12</f>
        <v>9</v>
      </c>
      <c r="E2" s="1310" t="s">
        <v>286</v>
      </c>
      <c r="F2" s="1310"/>
      <c r="G2" s="1310"/>
      <c r="H2" s="1310"/>
      <c r="I2" s="1310"/>
      <c r="J2" s="1310"/>
      <c r="K2" s="1310"/>
      <c r="L2" s="1310"/>
      <c r="M2" s="1310"/>
      <c r="N2" s="1310"/>
      <c r="O2" s="1310"/>
      <c r="P2" s="1310"/>
    </row>
    <row r="3" spans="2:16" ht="174" customHeight="1">
      <c r="B3" s="169">
        <v>1</v>
      </c>
      <c r="C3" s="170" t="s">
        <v>312</v>
      </c>
      <c r="D3" s="1301" t="s">
        <v>313</v>
      </c>
      <c r="E3" s="1301"/>
      <c r="F3" s="1301"/>
      <c r="G3" s="1301"/>
      <c r="H3" s="1301"/>
      <c r="I3" s="1301"/>
      <c r="J3" s="1301"/>
      <c r="K3" s="1301"/>
      <c r="L3" s="1301"/>
      <c r="M3" s="1301"/>
      <c r="N3" s="1301"/>
      <c r="O3" s="1301"/>
      <c r="P3" s="1301"/>
    </row>
    <row r="4" spans="2:16" ht="164.25" customHeight="1">
      <c r="B4" s="169">
        <v>2</v>
      </c>
      <c r="C4" s="171" t="s">
        <v>314</v>
      </c>
      <c r="D4" s="1301" t="s">
        <v>315</v>
      </c>
      <c r="E4" s="1301"/>
      <c r="F4" s="1301"/>
      <c r="G4" s="1301"/>
      <c r="H4" s="1301"/>
      <c r="I4" s="1301"/>
      <c r="J4" s="1301"/>
      <c r="K4" s="1301"/>
      <c r="L4" s="1301"/>
      <c r="M4" s="1301"/>
      <c r="N4" s="1301"/>
      <c r="O4" s="1301"/>
      <c r="P4" s="1301"/>
    </row>
    <row r="5" spans="2:16" ht="156" customHeight="1">
      <c r="B5" s="169">
        <v>3</v>
      </c>
      <c r="C5" s="170" t="s">
        <v>316</v>
      </c>
      <c r="D5" s="1301" t="s">
        <v>317</v>
      </c>
      <c r="E5" s="1301"/>
      <c r="F5" s="1301"/>
      <c r="G5" s="1301"/>
      <c r="H5" s="1301"/>
      <c r="I5" s="1301"/>
      <c r="J5" s="1301"/>
      <c r="K5" s="1301"/>
      <c r="L5" s="1301"/>
      <c r="M5" s="1301"/>
      <c r="N5" s="1301"/>
      <c r="O5" s="1301"/>
      <c r="P5" s="1301"/>
    </row>
    <row r="6" spans="2:16" ht="142.5" customHeight="1">
      <c r="B6" s="169">
        <v>4</v>
      </c>
      <c r="C6" s="170" t="s">
        <v>318</v>
      </c>
      <c r="D6" s="1301" t="s">
        <v>319</v>
      </c>
      <c r="E6" s="1301"/>
      <c r="F6" s="1301"/>
      <c r="G6" s="1301"/>
      <c r="H6" s="1301"/>
      <c r="I6" s="1301"/>
      <c r="J6" s="1301"/>
      <c r="K6" s="1301"/>
      <c r="L6" s="1301"/>
      <c r="M6" s="1301"/>
      <c r="N6" s="1301"/>
      <c r="O6" s="1301"/>
      <c r="P6" s="1301"/>
    </row>
    <row r="7" spans="2:16" ht="129.75" customHeight="1">
      <c r="B7" s="169">
        <v>5</v>
      </c>
      <c r="C7" s="172" t="s">
        <v>320</v>
      </c>
      <c r="D7" s="1301" t="s">
        <v>321</v>
      </c>
      <c r="E7" s="1301"/>
      <c r="F7" s="1301"/>
      <c r="G7" s="1301"/>
      <c r="H7" s="1301"/>
      <c r="I7" s="1301"/>
      <c r="J7" s="1301"/>
      <c r="K7" s="1301"/>
      <c r="L7" s="1301"/>
      <c r="M7" s="1301"/>
      <c r="N7" s="1301"/>
      <c r="O7" s="1301"/>
      <c r="P7" s="1301"/>
    </row>
    <row r="8" spans="2:16" ht="129" customHeight="1">
      <c r="B8" s="169">
        <v>6</v>
      </c>
      <c r="C8" s="170" t="s">
        <v>322</v>
      </c>
      <c r="D8" s="1301" t="s">
        <v>323</v>
      </c>
      <c r="E8" s="1301"/>
      <c r="F8" s="1301"/>
      <c r="G8" s="1301"/>
      <c r="H8" s="1301"/>
      <c r="I8" s="1301"/>
      <c r="J8" s="1301"/>
      <c r="K8" s="1301"/>
      <c r="L8" s="1301"/>
      <c r="M8" s="1301"/>
      <c r="N8" s="1301"/>
      <c r="O8" s="1301"/>
      <c r="P8" s="1301"/>
    </row>
    <row r="9" spans="2:16" ht="186.75" customHeight="1">
      <c r="B9" s="169">
        <v>7</v>
      </c>
      <c r="C9" s="170" t="s">
        <v>324</v>
      </c>
      <c r="D9" s="1301" t="s">
        <v>325</v>
      </c>
      <c r="E9" s="1301"/>
      <c r="F9" s="1301"/>
      <c r="G9" s="1301"/>
      <c r="H9" s="1301"/>
      <c r="I9" s="1301"/>
      <c r="J9" s="1301"/>
      <c r="K9" s="1301"/>
      <c r="L9" s="1301"/>
      <c r="M9" s="1301"/>
      <c r="N9" s="1301"/>
      <c r="O9" s="1301"/>
      <c r="P9" s="1301"/>
    </row>
    <row r="10" spans="2:16" ht="168.75" customHeight="1">
      <c r="B10" s="169">
        <v>8</v>
      </c>
      <c r="C10" s="171" t="s">
        <v>326</v>
      </c>
      <c r="D10" s="1301" t="s">
        <v>327</v>
      </c>
      <c r="E10" s="1301"/>
      <c r="F10" s="1301"/>
      <c r="G10" s="1301"/>
      <c r="H10" s="1301"/>
      <c r="I10" s="1301"/>
      <c r="J10" s="1301"/>
      <c r="K10" s="1301"/>
      <c r="L10" s="1301"/>
      <c r="M10" s="1301"/>
      <c r="N10" s="1301"/>
      <c r="O10" s="1301"/>
      <c r="P10" s="1301"/>
    </row>
    <row r="11" spans="2:16" ht="114" customHeight="1">
      <c r="B11" s="169">
        <v>9</v>
      </c>
      <c r="C11" s="170" t="s">
        <v>328</v>
      </c>
      <c r="D11" s="1301" t="s">
        <v>329</v>
      </c>
      <c r="E11" s="1301"/>
      <c r="F11" s="1301"/>
      <c r="G11" s="1301"/>
      <c r="H11" s="1301"/>
      <c r="I11" s="1301"/>
      <c r="J11" s="1301"/>
      <c r="K11" s="1301"/>
      <c r="L11" s="1301"/>
      <c r="M11" s="1301"/>
      <c r="N11" s="1301"/>
      <c r="O11" s="1301"/>
      <c r="P11" s="1301"/>
    </row>
    <row r="12" spans="2:16" ht="120.75" customHeight="1">
      <c r="B12" s="169">
        <v>11</v>
      </c>
      <c r="C12" s="170" t="s">
        <v>330</v>
      </c>
      <c r="D12" s="1301" t="s">
        <v>331</v>
      </c>
      <c r="E12" s="1301"/>
      <c r="F12" s="1301"/>
      <c r="G12" s="1301"/>
      <c r="H12" s="1301"/>
      <c r="I12" s="1301"/>
      <c r="J12" s="1301"/>
      <c r="K12" s="1301"/>
      <c r="L12" s="1301"/>
      <c r="M12" s="1301"/>
      <c r="N12" s="1301"/>
      <c r="O12" s="1301"/>
      <c r="P12" s="1301"/>
    </row>
    <row r="13" spans="2:16" ht="73.5" customHeight="1">
      <c r="B13" s="169">
        <v>22</v>
      </c>
      <c r="C13" s="171" t="s">
        <v>332</v>
      </c>
      <c r="D13" s="1301" t="s">
        <v>333</v>
      </c>
      <c r="E13" s="1301"/>
      <c r="F13" s="1301"/>
      <c r="G13" s="1301"/>
      <c r="H13" s="1301"/>
      <c r="I13" s="1301"/>
      <c r="J13" s="1301"/>
      <c r="K13" s="1301"/>
      <c r="L13" s="1301"/>
      <c r="M13" s="1301"/>
      <c r="N13" s="1301"/>
      <c r="O13" s="1301"/>
      <c r="P13" s="1301"/>
    </row>
    <row r="14" spans="2:16" ht="102.75" customHeight="1">
      <c r="B14" s="169">
        <v>33</v>
      </c>
      <c r="C14" s="170" t="s">
        <v>334</v>
      </c>
      <c r="D14" s="1301" t="s">
        <v>335</v>
      </c>
      <c r="E14" s="1301"/>
      <c r="F14" s="1301"/>
      <c r="G14" s="1301"/>
      <c r="H14" s="1301"/>
      <c r="I14" s="1301"/>
      <c r="J14" s="1301"/>
      <c r="K14" s="1301"/>
      <c r="L14" s="1301"/>
      <c r="M14" s="1301"/>
      <c r="N14" s="1301"/>
      <c r="O14" s="1301"/>
      <c r="P14" s="1301"/>
    </row>
  </sheetData>
  <mergeCells count="13">
    <mergeCell ref="D14:P14"/>
    <mergeCell ref="D8:P8"/>
    <mergeCell ref="D9:P9"/>
    <mergeCell ref="D10:P10"/>
    <mergeCell ref="D11:P11"/>
    <mergeCell ref="D12:P12"/>
    <mergeCell ref="D13:P13"/>
    <mergeCell ref="D7:P7"/>
    <mergeCell ref="E2:P2"/>
    <mergeCell ref="D3:P3"/>
    <mergeCell ref="D4:P4"/>
    <mergeCell ref="D5:P5"/>
    <mergeCell ref="D6:P6"/>
  </mergeCells>
  <conditionalFormatting sqref="A1:C1 A3:XFD1048576 E1:XFD1">
    <cfRule type="duplicateValues" dxfId="80" priority="6"/>
  </conditionalFormatting>
  <conditionalFormatting sqref="A2:XFD2">
    <cfRule type="duplicateValues" dxfId="79" priority="4"/>
    <cfRule type="duplicateValues" dxfId="78" priority="5"/>
  </conditionalFormatting>
  <conditionalFormatting sqref="A2:XFD1048576 A1:C1 E1:XFD1">
    <cfRule type="duplicateValues" dxfId="77" priority="3"/>
  </conditionalFormatting>
  <conditionalFormatting sqref="A3:XFD1048576 A1:C1 E1:XFD1">
    <cfRule type="duplicateValues" dxfId="76" priority="7"/>
  </conditionalFormatting>
  <conditionalFormatting sqref="B3:P14">
    <cfRule type="expression" dxfId="75" priority="8">
      <formula>MOD(ROW(),2)&gt;0</formula>
    </cfRule>
  </conditionalFormatting>
  <conditionalFormatting sqref="D1">
    <cfRule type="duplicateValues" dxfId="74" priority="1"/>
    <cfRule type="duplicateValues" dxfId="73" priority="2"/>
  </conditionalFormatting>
  <pageMargins left="0.7" right="0.7" top="0.75" bottom="0.75" header="0.3" footer="0.3"/>
  <pageSetup orientation="portrait" horizontalDpi="300" verticalDpi="300" r:id="rId1"/>
  <drawing r:id="rId2"/>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12F6AE-09F2-4D28-A712-0BE26E3968F8}">
  <dimension ref="B1:P14"/>
  <sheetViews>
    <sheetView showGridLines="0" zoomScaleNormal="100" workbookViewId="0">
      <pane ySplit="2" topLeftCell="A4" activePane="bottomLeft" state="frozen"/>
      <selection pane="bottomLeft" activeCell="Q4" sqref="Q4"/>
    </sheetView>
  </sheetViews>
  <sheetFormatPr defaultColWidth="9.296875" defaultRowHeight="14"/>
  <cols>
    <col min="1" max="1" width="4.796875" style="164" customWidth="1"/>
    <col min="2" max="2" width="12.69921875" style="164" customWidth="1"/>
    <col min="3" max="3" width="22.5" style="164" customWidth="1"/>
    <col min="4" max="15" width="9.296875" style="164"/>
    <col min="16" max="16" width="49.296875" style="164" customWidth="1"/>
    <col min="17" max="16384" width="9.296875" style="164"/>
  </cols>
  <sheetData>
    <row r="1" spans="2:16" ht="30" customHeight="1">
      <c r="D1" s="165" t="s">
        <v>283</v>
      </c>
    </row>
    <row r="2" spans="2:16" ht="38.25" customHeight="1">
      <c r="B2" s="166" t="s">
        <v>336</v>
      </c>
      <c r="C2" s="167" t="s">
        <v>285</v>
      </c>
      <c r="D2" s="168">
        <f>CHUNG!BB12</f>
        <v>5</v>
      </c>
      <c r="E2" s="1310" t="s">
        <v>286</v>
      </c>
      <c r="F2" s="1310"/>
      <c r="G2" s="1310"/>
      <c r="H2" s="1310"/>
      <c r="I2" s="1310"/>
      <c r="J2" s="1310"/>
      <c r="K2" s="1310"/>
      <c r="L2" s="1310"/>
      <c r="M2" s="1310"/>
      <c r="N2" s="1310"/>
      <c r="O2" s="1310"/>
      <c r="P2" s="1310"/>
    </row>
    <row r="3" spans="2:16" ht="129.75" customHeight="1">
      <c r="B3" s="169">
        <v>1</v>
      </c>
      <c r="C3" s="170" t="s">
        <v>337</v>
      </c>
      <c r="D3" s="1301" t="s">
        <v>338</v>
      </c>
      <c r="E3" s="1301"/>
      <c r="F3" s="1301"/>
      <c r="G3" s="1301"/>
      <c r="H3" s="1301"/>
      <c r="I3" s="1301"/>
      <c r="J3" s="1301"/>
      <c r="K3" s="1301"/>
      <c r="L3" s="1301"/>
      <c r="M3" s="1301"/>
      <c r="N3" s="1301"/>
      <c r="O3" s="1301"/>
      <c r="P3" s="1301"/>
    </row>
    <row r="4" spans="2:16" ht="145.5" customHeight="1">
      <c r="B4" s="173">
        <v>2</v>
      </c>
      <c r="C4" s="170" t="s">
        <v>339</v>
      </c>
      <c r="D4" s="1301" t="s">
        <v>340</v>
      </c>
      <c r="E4" s="1301"/>
      <c r="F4" s="1301"/>
      <c r="G4" s="1301"/>
      <c r="H4" s="1301"/>
      <c r="I4" s="1301"/>
      <c r="J4" s="1301"/>
      <c r="K4" s="1301"/>
      <c r="L4" s="1301"/>
      <c r="M4" s="1301"/>
      <c r="N4" s="1301"/>
      <c r="O4" s="1301"/>
      <c r="P4" s="1301"/>
    </row>
    <row r="5" spans="2:16" ht="129.75" customHeight="1">
      <c r="B5" s="169">
        <v>3</v>
      </c>
      <c r="C5" s="170" t="s">
        <v>341</v>
      </c>
      <c r="D5" s="1301" t="s">
        <v>342</v>
      </c>
      <c r="E5" s="1301"/>
      <c r="F5" s="1301"/>
      <c r="G5" s="1301"/>
      <c r="H5" s="1301"/>
      <c r="I5" s="1301"/>
      <c r="J5" s="1301"/>
      <c r="K5" s="1301"/>
      <c r="L5" s="1301"/>
      <c r="M5" s="1301"/>
      <c r="N5" s="1301"/>
      <c r="O5" s="1301"/>
      <c r="P5" s="1301"/>
    </row>
    <row r="6" spans="2:16" ht="129.75" customHeight="1">
      <c r="B6" s="173">
        <v>4</v>
      </c>
      <c r="C6" s="170" t="s">
        <v>343</v>
      </c>
      <c r="D6" s="1301" t="s">
        <v>344</v>
      </c>
      <c r="E6" s="1301"/>
      <c r="F6" s="1301"/>
      <c r="G6" s="1301"/>
      <c r="H6" s="1301"/>
      <c r="I6" s="1301"/>
      <c r="J6" s="1301"/>
      <c r="K6" s="1301"/>
      <c r="L6" s="1301"/>
      <c r="M6" s="1301"/>
      <c r="N6" s="1301"/>
      <c r="O6" s="1301"/>
      <c r="P6" s="1301"/>
    </row>
    <row r="7" spans="2:16" ht="129.75" customHeight="1">
      <c r="B7" s="169">
        <v>5</v>
      </c>
      <c r="C7" s="172" t="s">
        <v>345</v>
      </c>
      <c r="D7" s="1301" t="s">
        <v>346</v>
      </c>
      <c r="E7" s="1301"/>
      <c r="F7" s="1301"/>
      <c r="G7" s="1301"/>
      <c r="H7" s="1301"/>
      <c r="I7" s="1301"/>
      <c r="J7" s="1301"/>
      <c r="K7" s="1301"/>
      <c r="L7" s="1301"/>
      <c r="M7" s="1301"/>
      <c r="N7" s="1301"/>
      <c r="O7" s="1301"/>
      <c r="P7" s="1301"/>
    </row>
    <row r="8" spans="2:16" ht="129.75" customHeight="1">
      <c r="B8" s="173">
        <v>6</v>
      </c>
      <c r="C8" s="170" t="s">
        <v>347</v>
      </c>
      <c r="D8" s="1301" t="s">
        <v>348</v>
      </c>
      <c r="E8" s="1301"/>
      <c r="F8" s="1301"/>
      <c r="G8" s="1301"/>
      <c r="H8" s="1301"/>
      <c r="I8" s="1301"/>
      <c r="J8" s="1301"/>
      <c r="K8" s="1301"/>
      <c r="L8" s="1301"/>
      <c r="M8" s="1301"/>
      <c r="N8" s="1301"/>
      <c r="O8" s="1301"/>
      <c r="P8" s="1301"/>
    </row>
    <row r="9" spans="2:16" ht="129.75" customHeight="1">
      <c r="B9" s="169">
        <v>7</v>
      </c>
      <c r="C9" s="170" t="s">
        <v>349</v>
      </c>
      <c r="D9" s="1301" t="s">
        <v>350</v>
      </c>
      <c r="E9" s="1301"/>
      <c r="F9" s="1301"/>
      <c r="G9" s="1301"/>
      <c r="H9" s="1301"/>
      <c r="I9" s="1301"/>
      <c r="J9" s="1301"/>
      <c r="K9" s="1301"/>
      <c r="L9" s="1301"/>
      <c r="M9" s="1301"/>
      <c r="N9" s="1301"/>
      <c r="O9" s="1301"/>
      <c r="P9" s="1301"/>
    </row>
    <row r="10" spans="2:16" ht="129.75" customHeight="1">
      <c r="B10" s="169">
        <v>8</v>
      </c>
      <c r="C10" s="171" t="s">
        <v>351</v>
      </c>
      <c r="D10" s="1301" t="s">
        <v>352</v>
      </c>
      <c r="E10" s="1301"/>
      <c r="F10" s="1301"/>
      <c r="G10" s="1301"/>
      <c r="H10" s="1301"/>
      <c r="I10" s="1301"/>
      <c r="J10" s="1301"/>
      <c r="K10" s="1301"/>
      <c r="L10" s="1301"/>
      <c r="M10" s="1301"/>
      <c r="N10" s="1301"/>
      <c r="O10" s="1301"/>
      <c r="P10" s="1301"/>
    </row>
    <row r="11" spans="2:16" ht="161.25" customHeight="1">
      <c r="B11" s="169">
        <v>9</v>
      </c>
      <c r="C11" s="170" t="s">
        <v>353</v>
      </c>
      <c r="D11" s="1301" t="s">
        <v>354</v>
      </c>
      <c r="E11" s="1301"/>
      <c r="F11" s="1301"/>
      <c r="G11" s="1301"/>
      <c r="H11" s="1301"/>
      <c r="I11" s="1301"/>
      <c r="J11" s="1301"/>
      <c r="K11" s="1301"/>
      <c r="L11" s="1301"/>
      <c r="M11" s="1301"/>
      <c r="N11" s="1301"/>
      <c r="O11" s="1301"/>
      <c r="P11" s="1301"/>
    </row>
    <row r="12" spans="2:16" ht="186.75" customHeight="1">
      <c r="B12" s="173">
        <v>11</v>
      </c>
      <c r="C12" s="170" t="s">
        <v>355</v>
      </c>
      <c r="D12" s="1301" t="s">
        <v>356</v>
      </c>
      <c r="E12" s="1301"/>
      <c r="F12" s="1301"/>
      <c r="G12" s="1301"/>
      <c r="H12" s="1301"/>
      <c r="I12" s="1301"/>
      <c r="J12" s="1301"/>
      <c r="K12" s="1301"/>
      <c r="L12" s="1301"/>
      <c r="M12" s="1301"/>
      <c r="N12" s="1301"/>
      <c r="O12" s="1301"/>
      <c r="P12" s="1301"/>
    </row>
    <row r="13" spans="2:16" ht="142.5" customHeight="1">
      <c r="B13" s="173">
        <v>22</v>
      </c>
      <c r="C13" s="170" t="s">
        <v>357</v>
      </c>
      <c r="D13" s="1301" t="s">
        <v>358</v>
      </c>
      <c r="E13" s="1301"/>
      <c r="F13" s="1301"/>
      <c r="G13" s="1301"/>
      <c r="H13" s="1301"/>
      <c r="I13" s="1301"/>
      <c r="J13" s="1301"/>
      <c r="K13" s="1301"/>
      <c r="L13" s="1301"/>
      <c r="M13" s="1301"/>
      <c r="N13" s="1301"/>
      <c r="O13" s="1301"/>
      <c r="P13" s="1301"/>
    </row>
    <row r="14" spans="2:16" ht="129.75" customHeight="1">
      <c r="B14" s="169">
        <v>33</v>
      </c>
      <c r="C14" s="170" t="s">
        <v>359</v>
      </c>
      <c r="D14" s="1301" t="s">
        <v>360</v>
      </c>
      <c r="E14" s="1301"/>
      <c r="F14" s="1301"/>
      <c r="G14" s="1301"/>
      <c r="H14" s="1301"/>
      <c r="I14" s="1301"/>
      <c r="J14" s="1301"/>
      <c r="K14" s="1301"/>
      <c r="L14" s="1301"/>
      <c r="M14" s="1301"/>
      <c r="N14" s="1301"/>
      <c r="O14" s="1301"/>
      <c r="P14" s="1301"/>
    </row>
  </sheetData>
  <mergeCells count="13">
    <mergeCell ref="D14:P14"/>
    <mergeCell ref="D8:P8"/>
    <mergeCell ref="D9:P9"/>
    <mergeCell ref="D10:P10"/>
    <mergeCell ref="D11:P11"/>
    <mergeCell ref="D12:P12"/>
    <mergeCell ref="D13:P13"/>
    <mergeCell ref="D7:P7"/>
    <mergeCell ref="E2:P2"/>
    <mergeCell ref="D3:P3"/>
    <mergeCell ref="D4:P4"/>
    <mergeCell ref="D5:P5"/>
    <mergeCell ref="D6:P6"/>
  </mergeCells>
  <conditionalFormatting sqref="A2:XFD2">
    <cfRule type="duplicateValues" dxfId="72" priority="4"/>
    <cfRule type="duplicateValues" dxfId="71" priority="5"/>
  </conditionalFormatting>
  <conditionalFormatting sqref="A2:XFD1048576 A1:C1 E1:XFD1">
    <cfRule type="duplicateValues" dxfId="70" priority="3"/>
  </conditionalFormatting>
  <conditionalFormatting sqref="A3:XFD1048576 A1:C1 E1:XFD1">
    <cfRule type="duplicateValues" dxfId="69" priority="6"/>
  </conditionalFormatting>
  <conditionalFormatting sqref="B3:P14">
    <cfRule type="expression" dxfId="68" priority="7">
      <formula>MOD(ROW(),2)&gt;0</formula>
    </cfRule>
  </conditionalFormatting>
  <conditionalFormatting sqref="D1">
    <cfRule type="duplicateValues" dxfId="67" priority="1"/>
    <cfRule type="duplicateValues" dxfId="66" priority="2"/>
  </conditionalFormatting>
  <pageMargins left="0.7" right="0.7" top="0.75" bottom="0.75" header="0.3" footer="0.3"/>
  <drawing r:id="rId1"/>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2A42AF-FED6-46AB-AA20-68C6ED4ACEBD}">
  <dimension ref="B1:P13"/>
  <sheetViews>
    <sheetView showGridLines="0" zoomScaleNormal="100" workbookViewId="0">
      <pane ySplit="2" topLeftCell="A3" activePane="bottomLeft" state="frozen"/>
      <selection pane="bottomLeft" activeCell="R4" sqref="R4"/>
    </sheetView>
  </sheetViews>
  <sheetFormatPr defaultColWidth="9.296875" defaultRowHeight="14"/>
  <cols>
    <col min="1" max="1" width="4.796875" style="164" customWidth="1"/>
    <col min="2" max="2" width="17.296875" style="164" customWidth="1"/>
    <col min="3" max="3" width="29.19921875" style="164" customWidth="1"/>
    <col min="4" max="15" width="9.296875" style="164"/>
    <col min="16" max="16" width="26" style="164" customWidth="1"/>
    <col min="17" max="16384" width="9.296875" style="164"/>
  </cols>
  <sheetData>
    <row r="1" spans="2:16" ht="32.25" customHeight="1">
      <c r="D1" s="165" t="s">
        <v>283</v>
      </c>
    </row>
    <row r="2" spans="2:16" ht="38.25" customHeight="1">
      <c r="B2" s="166" t="s">
        <v>361</v>
      </c>
      <c r="C2" s="167" t="s">
        <v>285</v>
      </c>
      <c r="D2" s="168">
        <f>CHUNG!CS12</f>
        <v>4</v>
      </c>
      <c r="E2" s="1310" t="s">
        <v>286</v>
      </c>
      <c r="F2" s="1310"/>
      <c r="G2" s="1310"/>
      <c r="H2" s="1310"/>
      <c r="I2" s="1310"/>
      <c r="J2" s="1310"/>
      <c r="K2" s="1310"/>
      <c r="L2" s="1310"/>
      <c r="M2" s="1310"/>
      <c r="N2" s="1310"/>
      <c r="O2" s="1310"/>
      <c r="P2" s="1310"/>
    </row>
    <row r="3" spans="2:16" ht="34.5" customHeight="1">
      <c r="B3" s="174">
        <v>1</v>
      </c>
      <c r="C3" s="170" t="s">
        <v>362</v>
      </c>
      <c r="D3" s="1301" t="s">
        <v>363</v>
      </c>
      <c r="E3" s="1301"/>
      <c r="F3" s="1301"/>
      <c r="G3" s="1301"/>
      <c r="H3" s="1301"/>
      <c r="I3" s="1301"/>
      <c r="J3" s="1301"/>
      <c r="K3" s="1301"/>
      <c r="L3" s="1301"/>
      <c r="M3" s="1301"/>
      <c r="N3" s="1301"/>
      <c r="O3" s="1301"/>
      <c r="P3" s="1301"/>
    </row>
    <row r="4" spans="2:16" ht="33.75" customHeight="1">
      <c r="B4" s="174">
        <v>2</v>
      </c>
      <c r="C4" s="170" t="s">
        <v>364</v>
      </c>
      <c r="D4" s="1301" t="s">
        <v>365</v>
      </c>
      <c r="E4" s="1301"/>
      <c r="F4" s="1301"/>
      <c r="G4" s="1301"/>
      <c r="H4" s="1301"/>
      <c r="I4" s="1301"/>
      <c r="J4" s="1301"/>
      <c r="K4" s="1301"/>
      <c r="L4" s="1301"/>
      <c r="M4" s="1301"/>
      <c r="N4" s="1301"/>
      <c r="O4" s="1301"/>
      <c r="P4" s="1301"/>
    </row>
    <row r="5" spans="2:16" ht="38.25" customHeight="1">
      <c r="B5" s="174">
        <v>3</v>
      </c>
      <c r="C5" s="170" t="s">
        <v>366</v>
      </c>
      <c r="D5" s="1301" t="s">
        <v>367</v>
      </c>
      <c r="E5" s="1301"/>
      <c r="F5" s="1301"/>
      <c r="G5" s="1301"/>
      <c r="H5" s="1301"/>
      <c r="I5" s="1301"/>
      <c r="J5" s="1301"/>
      <c r="K5" s="1301"/>
      <c r="L5" s="1301"/>
      <c r="M5" s="1301"/>
      <c r="N5" s="1301"/>
      <c r="O5" s="1301"/>
      <c r="P5" s="1301"/>
    </row>
    <row r="6" spans="2:16" ht="34.5" customHeight="1">
      <c r="B6" s="174">
        <v>4</v>
      </c>
      <c r="C6" s="170" t="s">
        <v>368</v>
      </c>
      <c r="D6" s="1301" t="s">
        <v>369</v>
      </c>
      <c r="E6" s="1301"/>
      <c r="F6" s="1301"/>
      <c r="G6" s="1301"/>
      <c r="H6" s="1301"/>
      <c r="I6" s="1301"/>
      <c r="J6" s="1301"/>
      <c r="K6" s="1301"/>
      <c r="L6" s="1301"/>
      <c r="M6" s="1301"/>
      <c r="N6" s="1301"/>
      <c r="O6" s="1301"/>
      <c r="P6" s="1301"/>
    </row>
    <row r="7" spans="2:16" ht="36.75" customHeight="1">
      <c r="B7" s="174">
        <v>5</v>
      </c>
      <c r="C7" s="172" t="s">
        <v>370</v>
      </c>
      <c r="D7" s="1301" t="s">
        <v>371</v>
      </c>
      <c r="E7" s="1301"/>
      <c r="F7" s="1301"/>
      <c r="G7" s="1301"/>
      <c r="H7" s="1301"/>
      <c r="I7" s="1301"/>
      <c r="J7" s="1301"/>
      <c r="K7" s="1301"/>
      <c r="L7" s="1301"/>
      <c r="M7" s="1301"/>
      <c r="N7" s="1301"/>
      <c r="O7" s="1301"/>
      <c r="P7" s="1301"/>
    </row>
    <row r="8" spans="2:16" ht="36" customHeight="1">
      <c r="B8" s="174">
        <v>6</v>
      </c>
      <c r="C8" s="170" t="s">
        <v>372</v>
      </c>
      <c r="D8" s="1301" t="s">
        <v>373</v>
      </c>
      <c r="E8" s="1301"/>
      <c r="F8" s="1301"/>
      <c r="G8" s="1301"/>
      <c r="H8" s="1301"/>
      <c r="I8" s="1301"/>
      <c r="J8" s="1301"/>
      <c r="K8" s="1301"/>
      <c r="L8" s="1301"/>
      <c r="M8" s="1301"/>
      <c r="N8" s="1301"/>
      <c r="O8" s="1301"/>
      <c r="P8" s="1301"/>
    </row>
    <row r="9" spans="2:16" ht="34.5" customHeight="1">
      <c r="B9" s="174">
        <v>7</v>
      </c>
      <c r="C9" s="170" t="s">
        <v>374</v>
      </c>
      <c r="D9" s="1301" t="s">
        <v>375</v>
      </c>
      <c r="E9" s="1301"/>
      <c r="F9" s="1301"/>
      <c r="G9" s="1301"/>
      <c r="H9" s="1301"/>
      <c r="I9" s="1301"/>
      <c r="J9" s="1301"/>
      <c r="K9" s="1301"/>
      <c r="L9" s="1301"/>
      <c r="M9" s="1301"/>
      <c r="N9" s="1301"/>
      <c r="O9" s="1301"/>
      <c r="P9" s="1301"/>
    </row>
    <row r="10" spans="2:16" ht="39" customHeight="1">
      <c r="B10" s="174">
        <v>8</v>
      </c>
      <c r="C10" s="170" t="s">
        <v>376</v>
      </c>
      <c r="D10" s="1301" t="s">
        <v>377</v>
      </c>
      <c r="E10" s="1301"/>
      <c r="F10" s="1301"/>
      <c r="G10" s="1301"/>
      <c r="H10" s="1301"/>
      <c r="I10" s="1301"/>
      <c r="J10" s="1301"/>
      <c r="K10" s="1301"/>
      <c r="L10" s="1301"/>
      <c r="M10" s="1301"/>
      <c r="N10" s="1301"/>
      <c r="O10" s="1301"/>
      <c r="P10" s="1301"/>
    </row>
    <row r="11" spans="2:16" ht="42.75" customHeight="1">
      <c r="B11" s="174">
        <v>9</v>
      </c>
      <c r="C11" s="170" t="s">
        <v>378</v>
      </c>
      <c r="D11" s="1301" t="s">
        <v>379</v>
      </c>
      <c r="E11" s="1301"/>
      <c r="F11" s="1301"/>
      <c r="G11" s="1301"/>
      <c r="H11" s="1301"/>
      <c r="I11" s="1301"/>
      <c r="J11" s="1301"/>
      <c r="K11" s="1301"/>
      <c r="L11" s="1301"/>
      <c r="M11" s="1301"/>
      <c r="N11" s="1301"/>
      <c r="O11" s="1301"/>
      <c r="P11" s="1301"/>
    </row>
    <row r="12" spans="2:16" ht="29.25" customHeight="1">
      <c r="B12" s="174">
        <v>11</v>
      </c>
      <c r="C12" s="170" t="s">
        <v>380</v>
      </c>
      <c r="D12" s="1301" t="s">
        <v>381</v>
      </c>
      <c r="E12" s="1301"/>
      <c r="F12" s="1301"/>
      <c r="G12" s="1301"/>
      <c r="H12" s="1301"/>
      <c r="I12" s="1301"/>
      <c r="J12" s="1301"/>
      <c r="K12" s="1301"/>
      <c r="L12" s="1301"/>
      <c r="M12" s="1301"/>
      <c r="N12" s="1301"/>
      <c r="O12" s="1301"/>
      <c r="P12" s="1301"/>
    </row>
    <row r="13" spans="2:16" ht="29.25" customHeight="1">
      <c r="B13" s="174">
        <v>22</v>
      </c>
      <c r="C13" s="170" t="s">
        <v>382</v>
      </c>
      <c r="D13" s="1301" t="s">
        <v>383</v>
      </c>
      <c r="E13" s="1301"/>
      <c r="F13" s="1301"/>
      <c r="G13" s="1301"/>
      <c r="H13" s="1301"/>
      <c r="I13" s="1301"/>
      <c r="J13" s="1301"/>
      <c r="K13" s="1301"/>
      <c r="L13" s="1301"/>
      <c r="M13" s="1301"/>
      <c r="N13" s="1301"/>
      <c r="O13" s="1301"/>
      <c r="P13" s="1301"/>
    </row>
  </sheetData>
  <mergeCells count="12">
    <mergeCell ref="D13:P13"/>
    <mergeCell ref="E2:P2"/>
    <mergeCell ref="D3:P3"/>
    <mergeCell ref="D4:P4"/>
    <mergeCell ref="D5:P5"/>
    <mergeCell ref="D6:P6"/>
    <mergeCell ref="D7:P7"/>
    <mergeCell ref="D8:P8"/>
    <mergeCell ref="D9:P9"/>
    <mergeCell ref="D10:P10"/>
    <mergeCell ref="D11:P11"/>
    <mergeCell ref="D12:P12"/>
  </mergeCells>
  <conditionalFormatting sqref="A1:C1 A3:XFD1048576 A2:D2 Q2:XFD2 E1:XFD1">
    <cfRule type="duplicateValues" dxfId="65" priority="6"/>
  </conditionalFormatting>
  <conditionalFormatting sqref="A2:D2 Q2:XFD2">
    <cfRule type="duplicateValues" dxfId="64" priority="7"/>
    <cfRule type="duplicateValues" dxfId="63" priority="8"/>
  </conditionalFormatting>
  <conditionalFormatting sqref="A3:XFD1048576 A1:C1 E1:XFD1">
    <cfRule type="duplicateValues" dxfId="62" priority="9"/>
  </conditionalFormatting>
  <conditionalFormatting sqref="B3:P13">
    <cfRule type="expression" dxfId="61" priority="10">
      <formula>MOD(ROW(),2)&gt;0</formula>
    </cfRule>
  </conditionalFormatting>
  <conditionalFormatting sqref="D1">
    <cfRule type="duplicateValues" dxfId="60" priority="1"/>
    <cfRule type="duplicateValues" dxfId="59" priority="2"/>
  </conditionalFormatting>
  <conditionalFormatting sqref="E2:P2">
    <cfRule type="duplicateValues" dxfId="58" priority="3"/>
    <cfRule type="duplicateValues" dxfId="57" priority="4"/>
    <cfRule type="duplicateValues" dxfId="56" priority="5"/>
  </conditionalFormatting>
  <pageMargins left="0.7" right="0.7" top="0.75" bottom="0.75" header="0.3" footer="0.3"/>
  <drawing r:id="rId1"/>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57AFA3-CC3E-4152-B676-EFBC83492C93}">
  <dimension ref="B1:O13"/>
  <sheetViews>
    <sheetView showGridLines="0" zoomScaleNormal="100" workbookViewId="0">
      <pane ySplit="2" topLeftCell="A3" activePane="bottomLeft" state="frozen"/>
      <selection pane="bottomLeft" activeCell="C3" sqref="C3:O3"/>
    </sheetView>
  </sheetViews>
  <sheetFormatPr defaultColWidth="9.296875" defaultRowHeight="14"/>
  <cols>
    <col min="1" max="1" width="4.796875" style="164" customWidth="1"/>
    <col min="2" max="2" width="17.296875" style="164" customWidth="1"/>
    <col min="3" max="14" width="9.296875" style="164"/>
    <col min="15" max="15" width="43.796875" style="164" customWidth="1"/>
    <col min="16" max="16384" width="9.296875" style="164"/>
  </cols>
  <sheetData>
    <row r="1" spans="2:15" ht="24" customHeight="1">
      <c r="C1" s="165" t="s">
        <v>283</v>
      </c>
    </row>
    <row r="2" spans="2:15" ht="32.5">
      <c r="B2" s="166" t="s">
        <v>384</v>
      </c>
      <c r="C2" s="175">
        <f>CHUNG!H17</f>
        <v>6</v>
      </c>
      <c r="D2" s="1310" t="s">
        <v>286</v>
      </c>
      <c r="E2" s="1310"/>
      <c r="F2" s="1310"/>
      <c r="G2" s="1310"/>
      <c r="H2" s="1310"/>
      <c r="I2" s="1310"/>
      <c r="J2" s="1310"/>
      <c r="K2" s="1310"/>
      <c r="L2" s="1310"/>
      <c r="M2" s="1310"/>
      <c r="N2" s="1310"/>
      <c r="O2" s="1310"/>
    </row>
    <row r="3" spans="2:15" ht="82.5" customHeight="1">
      <c r="B3" s="169">
        <v>1</v>
      </c>
      <c r="C3" s="1301" t="s">
        <v>385</v>
      </c>
      <c r="D3" s="1301"/>
      <c r="E3" s="1301"/>
      <c r="F3" s="1301"/>
      <c r="G3" s="1301"/>
      <c r="H3" s="1301"/>
      <c r="I3" s="1301"/>
      <c r="J3" s="1301"/>
      <c r="K3" s="1301"/>
      <c r="L3" s="1301"/>
      <c r="M3" s="1301"/>
      <c r="N3" s="1301"/>
      <c r="O3" s="1301"/>
    </row>
    <row r="4" spans="2:15" ht="81" customHeight="1">
      <c r="B4" s="169">
        <v>2</v>
      </c>
      <c r="C4" s="1301" t="s">
        <v>386</v>
      </c>
      <c r="D4" s="1301"/>
      <c r="E4" s="1301"/>
      <c r="F4" s="1301"/>
      <c r="G4" s="1301"/>
      <c r="H4" s="1301"/>
      <c r="I4" s="1301"/>
      <c r="J4" s="1301"/>
      <c r="K4" s="1301"/>
      <c r="L4" s="1301"/>
      <c r="M4" s="1301"/>
      <c r="N4" s="1301"/>
      <c r="O4" s="1301"/>
    </row>
    <row r="5" spans="2:15" ht="90" customHeight="1">
      <c r="B5" s="169">
        <v>3</v>
      </c>
      <c r="C5" s="1301" t="s">
        <v>387</v>
      </c>
      <c r="D5" s="1301"/>
      <c r="E5" s="1301"/>
      <c r="F5" s="1301"/>
      <c r="G5" s="1301"/>
      <c r="H5" s="1301"/>
      <c r="I5" s="1301"/>
      <c r="J5" s="1301"/>
      <c r="K5" s="1301"/>
      <c r="L5" s="1301"/>
      <c r="M5" s="1301"/>
      <c r="N5" s="1301"/>
      <c r="O5" s="1301"/>
    </row>
    <row r="6" spans="2:15" ht="87.75" customHeight="1">
      <c r="B6" s="169">
        <v>4</v>
      </c>
      <c r="C6" s="1301" t="s">
        <v>388</v>
      </c>
      <c r="D6" s="1301"/>
      <c r="E6" s="1301"/>
      <c r="F6" s="1301"/>
      <c r="G6" s="1301"/>
      <c r="H6" s="1301"/>
      <c r="I6" s="1301"/>
      <c r="J6" s="1301"/>
      <c r="K6" s="1301"/>
      <c r="L6" s="1301"/>
      <c r="M6" s="1301"/>
      <c r="N6" s="1301"/>
      <c r="O6" s="1301"/>
    </row>
    <row r="7" spans="2:15" ht="81" customHeight="1">
      <c r="B7" s="169">
        <v>5</v>
      </c>
      <c r="C7" s="1301" t="s">
        <v>389</v>
      </c>
      <c r="D7" s="1301"/>
      <c r="E7" s="1301"/>
      <c r="F7" s="1301"/>
      <c r="G7" s="1301"/>
      <c r="H7" s="1301"/>
      <c r="I7" s="1301"/>
      <c r="J7" s="1301"/>
      <c r="K7" s="1301"/>
      <c r="L7" s="1301"/>
      <c r="M7" s="1301"/>
      <c r="N7" s="1301"/>
      <c r="O7" s="1301"/>
    </row>
    <row r="8" spans="2:15" ht="89.25" customHeight="1">
      <c r="B8" s="169">
        <v>6</v>
      </c>
      <c r="C8" s="1301" t="s">
        <v>390</v>
      </c>
      <c r="D8" s="1301"/>
      <c r="E8" s="1301"/>
      <c r="F8" s="1301"/>
      <c r="G8" s="1301"/>
      <c r="H8" s="1301"/>
      <c r="I8" s="1301"/>
      <c r="J8" s="1301"/>
      <c r="K8" s="1301"/>
      <c r="L8" s="1301"/>
      <c r="M8" s="1301"/>
      <c r="N8" s="1301"/>
      <c r="O8" s="1301"/>
    </row>
    <row r="9" spans="2:15" ht="59.25" customHeight="1">
      <c r="B9" s="169">
        <v>7</v>
      </c>
      <c r="C9" s="1301" t="s">
        <v>391</v>
      </c>
      <c r="D9" s="1301"/>
      <c r="E9" s="1301"/>
      <c r="F9" s="1301"/>
      <c r="G9" s="1301"/>
      <c r="H9" s="1301"/>
      <c r="I9" s="1301"/>
      <c r="J9" s="1301"/>
      <c r="K9" s="1301"/>
      <c r="L9" s="1301"/>
      <c r="M9" s="1301"/>
      <c r="N9" s="1301"/>
      <c r="O9" s="1301"/>
    </row>
    <row r="10" spans="2:15" ht="61.5" customHeight="1">
      <c r="B10" s="169">
        <v>8</v>
      </c>
      <c r="C10" s="1301" t="s">
        <v>392</v>
      </c>
      <c r="D10" s="1301"/>
      <c r="E10" s="1301"/>
      <c r="F10" s="1301"/>
      <c r="G10" s="1301"/>
      <c r="H10" s="1301"/>
      <c r="I10" s="1301"/>
      <c r="J10" s="1301"/>
      <c r="K10" s="1301"/>
      <c r="L10" s="1301"/>
      <c r="M10" s="1301"/>
      <c r="N10" s="1301"/>
      <c r="O10" s="1301"/>
    </row>
    <row r="11" spans="2:15" ht="80.25" customHeight="1">
      <c r="B11" s="169">
        <v>9</v>
      </c>
      <c r="C11" s="1301" t="s">
        <v>393</v>
      </c>
      <c r="D11" s="1301"/>
      <c r="E11" s="1301"/>
      <c r="F11" s="1301"/>
      <c r="G11" s="1301"/>
      <c r="H11" s="1301"/>
      <c r="I11" s="1301"/>
      <c r="J11" s="1301"/>
      <c r="K11" s="1301"/>
      <c r="L11" s="1301"/>
      <c r="M11" s="1301"/>
      <c r="N11" s="1301"/>
      <c r="O11" s="1301"/>
    </row>
    <row r="12" spans="2:15" ht="58.5" customHeight="1">
      <c r="B12" s="169">
        <v>11</v>
      </c>
      <c r="C12" s="1301" t="s">
        <v>394</v>
      </c>
      <c r="D12" s="1301"/>
      <c r="E12" s="1301"/>
      <c r="F12" s="1301"/>
      <c r="G12" s="1301"/>
      <c r="H12" s="1301"/>
      <c r="I12" s="1301"/>
      <c r="J12" s="1301"/>
      <c r="K12" s="1301"/>
      <c r="L12" s="1301"/>
      <c r="M12" s="1301"/>
      <c r="N12" s="1301"/>
      <c r="O12" s="1301"/>
    </row>
    <row r="13" spans="2:15" ht="84.75" customHeight="1">
      <c r="B13" s="169">
        <v>22</v>
      </c>
      <c r="C13" s="1301" t="s">
        <v>395</v>
      </c>
      <c r="D13" s="1301"/>
      <c r="E13" s="1301"/>
      <c r="F13" s="1301"/>
      <c r="G13" s="1301"/>
      <c r="H13" s="1301"/>
      <c r="I13" s="1301"/>
      <c r="J13" s="1301"/>
      <c r="K13" s="1301"/>
      <c r="L13" s="1301"/>
      <c r="M13" s="1301"/>
      <c r="N13" s="1301"/>
      <c r="O13" s="1301"/>
    </row>
  </sheetData>
  <mergeCells count="12">
    <mergeCell ref="C13:O13"/>
    <mergeCell ref="D2:O2"/>
    <mergeCell ref="C3:O3"/>
    <mergeCell ref="C4:O4"/>
    <mergeCell ref="C5:O5"/>
    <mergeCell ref="C6:O6"/>
    <mergeCell ref="C7:O7"/>
    <mergeCell ref="C8:O8"/>
    <mergeCell ref="C9:O9"/>
    <mergeCell ref="C10:O10"/>
    <mergeCell ref="C11:O11"/>
    <mergeCell ref="C12:O12"/>
  </mergeCells>
  <conditionalFormatting sqref="A2:XFD1048576 A1:B1 D1:XFD1">
    <cfRule type="duplicateValues" dxfId="55" priority="3"/>
  </conditionalFormatting>
  <conditionalFormatting sqref="A3:XFD1048576 A1:B1 D1:XFD1 A2 P2:XFD2">
    <cfRule type="duplicateValues" dxfId="54" priority="6"/>
  </conditionalFormatting>
  <conditionalFormatting sqref="B2:D2">
    <cfRule type="duplicateValues" dxfId="53" priority="4"/>
    <cfRule type="duplicateValues" dxfId="52" priority="5"/>
  </conditionalFormatting>
  <conditionalFormatting sqref="B3:O13">
    <cfRule type="expression" dxfId="51" priority="7">
      <formula>MOD(ROW(),2)&gt;0</formula>
    </cfRule>
  </conditionalFormatting>
  <conditionalFormatting sqref="C1">
    <cfRule type="duplicateValues" dxfId="50" priority="1"/>
    <cfRule type="duplicateValues" dxfId="49" priority="2"/>
  </conditionalFormatting>
  <pageMargins left="0.7" right="0.7" top="0.75" bottom="0.75" header="0.3" footer="0.3"/>
  <drawing r:id="rId1"/>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43DAB6-1C75-447A-94F9-6ABD1F6DB766}">
  <dimension ref="B1:O14"/>
  <sheetViews>
    <sheetView showGridLines="0" workbookViewId="0">
      <pane ySplit="2" topLeftCell="A3" activePane="bottomLeft" state="frozen"/>
      <selection pane="bottomLeft" activeCell="C3" sqref="C3:O3"/>
    </sheetView>
  </sheetViews>
  <sheetFormatPr defaultColWidth="9.296875" defaultRowHeight="14"/>
  <cols>
    <col min="1" max="1" width="4.796875" style="164" customWidth="1"/>
    <col min="2" max="2" width="19.69921875" style="164" customWidth="1"/>
    <col min="3" max="14" width="9.296875" style="164"/>
    <col min="15" max="15" width="43.796875" style="164" customWidth="1"/>
    <col min="16" max="16384" width="9.296875" style="164"/>
  </cols>
  <sheetData>
    <row r="1" spans="2:15" ht="26.25" customHeight="1">
      <c r="C1" s="165" t="s">
        <v>283</v>
      </c>
    </row>
    <row r="2" spans="2:15" ht="32.5">
      <c r="B2" s="166" t="s">
        <v>396</v>
      </c>
      <c r="C2" s="175">
        <f>CHUNG!AL17</f>
        <v>5</v>
      </c>
      <c r="D2" s="1310" t="s">
        <v>286</v>
      </c>
      <c r="E2" s="1310"/>
      <c r="F2" s="1310"/>
      <c r="G2" s="1310"/>
      <c r="H2" s="1310"/>
      <c r="I2" s="1310"/>
      <c r="J2" s="1310"/>
      <c r="K2" s="1310"/>
      <c r="L2" s="1310"/>
      <c r="M2" s="1310"/>
      <c r="N2" s="1310"/>
      <c r="O2" s="1310"/>
    </row>
    <row r="3" spans="2:15" ht="92.25" customHeight="1">
      <c r="B3" s="169">
        <v>1</v>
      </c>
      <c r="C3" s="1301" t="s">
        <v>397</v>
      </c>
      <c r="D3" s="1301"/>
      <c r="E3" s="1301"/>
      <c r="F3" s="1301"/>
      <c r="G3" s="1301"/>
      <c r="H3" s="1301"/>
      <c r="I3" s="1301"/>
      <c r="J3" s="1301"/>
      <c r="K3" s="1301"/>
      <c r="L3" s="1301"/>
      <c r="M3" s="1301"/>
      <c r="N3" s="1301"/>
      <c r="O3" s="1301"/>
    </row>
    <row r="4" spans="2:15" ht="92.25" customHeight="1">
      <c r="B4" s="169">
        <v>2</v>
      </c>
      <c r="C4" s="1301" t="s">
        <v>398</v>
      </c>
      <c r="D4" s="1301"/>
      <c r="E4" s="1301"/>
      <c r="F4" s="1301"/>
      <c r="G4" s="1301"/>
      <c r="H4" s="1301"/>
      <c r="I4" s="1301"/>
      <c r="J4" s="1301"/>
      <c r="K4" s="1301"/>
      <c r="L4" s="1301"/>
      <c r="M4" s="1301"/>
      <c r="N4" s="1301"/>
      <c r="O4" s="1301"/>
    </row>
    <row r="5" spans="2:15" ht="92.25" customHeight="1">
      <c r="B5" s="169">
        <v>3</v>
      </c>
      <c r="C5" s="1301" t="s">
        <v>399</v>
      </c>
      <c r="D5" s="1301"/>
      <c r="E5" s="1301"/>
      <c r="F5" s="1301"/>
      <c r="G5" s="1301"/>
      <c r="H5" s="1301"/>
      <c r="I5" s="1301"/>
      <c r="J5" s="1301"/>
      <c r="K5" s="1301"/>
      <c r="L5" s="1301"/>
      <c r="M5" s="1301"/>
      <c r="N5" s="1301"/>
      <c r="O5" s="1301"/>
    </row>
    <row r="6" spans="2:15" ht="92.25" customHeight="1">
      <c r="B6" s="169">
        <v>4</v>
      </c>
      <c r="C6" s="1301" t="s">
        <v>400</v>
      </c>
      <c r="D6" s="1301"/>
      <c r="E6" s="1301"/>
      <c r="F6" s="1301"/>
      <c r="G6" s="1301"/>
      <c r="H6" s="1301"/>
      <c r="I6" s="1301"/>
      <c r="J6" s="1301"/>
      <c r="K6" s="1301"/>
      <c r="L6" s="1301"/>
      <c r="M6" s="1301"/>
      <c r="N6" s="1301"/>
      <c r="O6" s="1301"/>
    </row>
    <row r="7" spans="2:15" ht="92.25" customHeight="1">
      <c r="B7" s="169">
        <v>5</v>
      </c>
      <c r="C7" s="1301" t="s">
        <v>401</v>
      </c>
      <c r="D7" s="1301"/>
      <c r="E7" s="1301"/>
      <c r="F7" s="1301"/>
      <c r="G7" s="1301"/>
      <c r="H7" s="1301"/>
      <c r="I7" s="1301"/>
      <c r="J7" s="1301"/>
      <c r="K7" s="1301"/>
      <c r="L7" s="1301"/>
      <c r="M7" s="1301"/>
      <c r="N7" s="1301"/>
      <c r="O7" s="1301"/>
    </row>
    <row r="8" spans="2:15" ht="92.25" customHeight="1">
      <c r="B8" s="169">
        <v>6</v>
      </c>
      <c r="C8" s="1301" t="s">
        <v>402</v>
      </c>
      <c r="D8" s="1301"/>
      <c r="E8" s="1301"/>
      <c r="F8" s="1301"/>
      <c r="G8" s="1301"/>
      <c r="H8" s="1301"/>
      <c r="I8" s="1301"/>
      <c r="J8" s="1301"/>
      <c r="K8" s="1301"/>
      <c r="L8" s="1301"/>
      <c r="M8" s="1301"/>
      <c r="N8" s="1301"/>
      <c r="O8" s="1301"/>
    </row>
    <row r="9" spans="2:15" ht="92.25" customHeight="1">
      <c r="B9" s="169">
        <v>7</v>
      </c>
      <c r="C9" s="1301" t="s">
        <v>403</v>
      </c>
      <c r="D9" s="1301"/>
      <c r="E9" s="1301"/>
      <c r="F9" s="1301"/>
      <c r="G9" s="1301"/>
      <c r="H9" s="1301"/>
      <c r="I9" s="1301"/>
      <c r="J9" s="1301"/>
      <c r="K9" s="1301"/>
      <c r="L9" s="1301"/>
      <c r="M9" s="1301"/>
      <c r="N9" s="1301"/>
      <c r="O9" s="1301"/>
    </row>
    <row r="10" spans="2:15" ht="92.25" customHeight="1">
      <c r="B10" s="169">
        <v>8</v>
      </c>
      <c r="C10" s="1301" t="s">
        <v>404</v>
      </c>
      <c r="D10" s="1301"/>
      <c r="E10" s="1301"/>
      <c r="F10" s="1301"/>
      <c r="G10" s="1301"/>
      <c r="H10" s="1301"/>
      <c r="I10" s="1301"/>
      <c r="J10" s="1301"/>
      <c r="K10" s="1301"/>
      <c r="L10" s="1301"/>
      <c r="M10" s="1301"/>
      <c r="N10" s="1301"/>
      <c r="O10" s="1301"/>
    </row>
    <row r="11" spans="2:15" ht="92.25" customHeight="1">
      <c r="B11" s="169">
        <v>9</v>
      </c>
      <c r="C11" s="1301" t="s">
        <v>405</v>
      </c>
      <c r="D11" s="1301"/>
      <c r="E11" s="1301"/>
      <c r="F11" s="1301"/>
      <c r="G11" s="1301"/>
      <c r="H11" s="1301"/>
      <c r="I11" s="1301"/>
      <c r="J11" s="1301"/>
      <c r="K11" s="1301"/>
      <c r="L11" s="1301"/>
      <c r="M11" s="1301"/>
      <c r="N11" s="1301"/>
      <c r="O11" s="1301"/>
    </row>
    <row r="12" spans="2:15" ht="92.25" customHeight="1">
      <c r="B12" s="169">
        <v>11</v>
      </c>
      <c r="C12" s="1301" t="s">
        <v>406</v>
      </c>
      <c r="D12" s="1301"/>
      <c r="E12" s="1301"/>
      <c r="F12" s="1301"/>
      <c r="G12" s="1301"/>
      <c r="H12" s="1301"/>
      <c r="I12" s="1301"/>
      <c r="J12" s="1301"/>
      <c r="K12" s="1301"/>
      <c r="L12" s="1301"/>
      <c r="M12" s="1301"/>
      <c r="N12" s="1301"/>
      <c r="O12" s="1301"/>
    </row>
    <row r="13" spans="2:15" ht="92.25" customHeight="1">
      <c r="B13" s="169">
        <v>22</v>
      </c>
      <c r="C13" s="1301" t="s">
        <v>407</v>
      </c>
      <c r="D13" s="1301"/>
      <c r="E13" s="1301"/>
      <c r="F13" s="1301"/>
      <c r="G13" s="1301"/>
      <c r="H13" s="1301"/>
      <c r="I13" s="1301"/>
      <c r="J13" s="1301"/>
      <c r="K13" s="1301"/>
      <c r="L13" s="1301"/>
      <c r="M13" s="1301"/>
      <c r="N13" s="1301"/>
      <c r="O13" s="1301"/>
    </row>
    <row r="14" spans="2:15" ht="92.25" customHeight="1">
      <c r="B14" s="169">
        <v>33</v>
      </c>
      <c r="C14" s="1301" t="s">
        <v>408</v>
      </c>
      <c r="D14" s="1301"/>
      <c r="E14" s="1301"/>
      <c r="F14" s="1301"/>
      <c r="G14" s="1301"/>
      <c r="H14" s="1301"/>
      <c r="I14" s="1301"/>
      <c r="J14" s="1301"/>
      <c r="K14" s="1301"/>
      <c r="L14" s="1301"/>
      <c r="M14" s="1301"/>
      <c r="N14" s="1301"/>
      <c r="O14" s="1301"/>
    </row>
  </sheetData>
  <mergeCells count="13">
    <mergeCell ref="C14:O14"/>
    <mergeCell ref="C8:O8"/>
    <mergeCell ref="C9:O9"/>
    <mergeCell ref="C10:O10"/>
    <mergeCell ref="C11:O11"/>
    <mergeCell ref="C12:O12"/>
    <mergeCell ref="C13:O13"/>
    <mergeCell ref="C7:O7"/>
    <mergeCell ref="D2:O2"/>
    <mergeCell ref="C3:O3"/>
    <mergeCell ref="C4:O4"/>
    <mergeCell ref="C5:O5"/>
    <mergeCell ref="C6:O6"/>
  </mergeCells>
  <conditionalFormatting sqref="A2:XFD1048576 A1:B1 D1:XFD1">
    <cfRule type="duplicateValues" dxfId="48" priority="3"/>
  </conditionalFormatting>
  <conditionalFormatting sqref="A3:XFD1048576 A1:B1 D1:XFD1 A2 P2:XFD2">
    <cfRule type="duplicateValues" dxfId="47" priority="6"/>
    <cfRule type="duplicateValues" dxfId="46" priority="7"/>
  </conditionalFormatting>
  <conditionalFormatting sqref="B2:D2">
    <cfRule type="duplicateValues" dxfId="45" priority="4"/>
    <cfRule type="duplicateValues" dxfId="44" priority="5"/>
  </conditionalFormatting>
  <conditionalFormatting sqref="B3:O14">
    <cfRule type="expression" dxfId="43" priority="8">
      <formula>MOD(ROW(),2)&gt;0</formula>
    </cfRule>
    <cfRule type="duplicateValues" dxfId="42" priority="9"/>
  </conditionalFormatting>
  <conditionalFormatting sqref="C1">
    <cfRule type="duplicateValues" dxfId="41" priority="1"/>
    <cfRule type="duplicateValues" dxfId="40" priority="2"/>
  </conditionalFormatting>
  <pageMargins left="0.7" right="0.7" top="0.75" bottom="0.75" header="0.3" footer="0.3"/>
  <drawing r:id="rId1"/>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EFCDCD-655E-461C-8860-4E7161F3DAE9}">
  <dimension ref="B1:O11"/>
  <sheetViews>
    <sheetView showGridLines="0" workbookViewId="0">
      <pane ySplit="2" topLeftCell="A3" activePane="bottomLeft" state="frozen"/>
      <selection pane="bottomLeft" activeCell="C3" sqref="C3:O3"/>
    </sheetView>
  </sheetViews>
  <sheetFormatPr defaultColWidth="9.296875" defaultRowHeight="14"/>
  <cols>
    <col min="1" max="1" width="4.796875" style="164" customWidth="1"/>
    <col min="2" max="2" width="19.69921875" style="164" customWidth="1"/>
    <col min="3" max="14" width="9.296875" style="164"/>
    <col min="15" max="15" width="48.296875" style="164" customWidth="1"/>
    <col min="16" max="16384" width="9.296875" style="164"/>
  </cols>
  <sheetData>
    <row r="1" spans="2:15" ht="24" customHeight="1">
      <c r="C1" s="165" t="s">
        <v>283</v>
      </c>
    </row>
    <row r="2" spans="2:15" ht="32.5">
      <c r="B2" s="166" t="s">
        <v>250</v>
      </c>
      <c r="C2" s="175">
        <f ca="1">CHUNG!CA22</f>
        <v>4</v>
      </c>
      <c r="D2" s="1302" t="s">
        <v>409</v>
      </c>
      <c r="E2" s="1302"/>
      <c r="F2" s="1302"/>
      <c r="G2" s="1302"/>
      <c r="H2" s="1302"/>
      <c r="I2" s="1302"/>
      <c r="J2" s="1302"/>
      <c r="K2" s="1302"/>
      <c r="L2" s="1302"/>
      <c r="M2" s="1302"/>
      <c r="N2" s="1302"/>
      <c r="O2" s="1302"/>
    </row>
    <row r="3" spans="2:15" ht="31.5" customHeight="1">
      <c r="B3" s="176">
        <v>1</v>
      </c>
      <c r="C3" s="1301" t="s">
        <v>410</v>
      </c>
      <c r="D3" s="1301"/>
      <c r="E3" s="1301"/>
      <c r="F3" s="1301"/>
      <c r="G3" s="1301"/>
      <c r="H3" s="1301"/>
      <c r="I3" s="1301"/>
      <c r="J3" s="1301"/>
      <c r="K3" s="1301"/>
      <c r="L3" s="1301"/>
      <c r="M3" s="1301"/>
      <c r="N3" s="1301"/>
      <c r="O3" s="1301"/>
    </row>
    <row r="4" spans="2:15" ht="31.5" customHeight="1">
      <c r="B4" s="176">
        <v>2</v>
      </c>
      <c r="C4" s="1301" t="s">
        <v>411</v>
      </c>
      <c r="D4" s="1301"/>
      <c r="E4" s="1301"/>
      <c r="F4" s="1301"/>
      <c r="G4" s="1301"/>
      <c r="H4" s="1301"/>
      <c r="I4" s="1301"/>
      <c r="J4" s="1301"/>
      <c r="K4" s="1301"/>
      <c r="L4" s="1301"/>
      <c r="M4" s="1301"/>
      <c r="N4" s="1301"/>
      <c r="O4" s="1301"/>
    </row>
    <row r="5" spans="2:15" ht="31.5" customHeight="1">
      <c r="B5" s="176">
        <v>3</v>
      </c>
      <c r="C5" s="1301" t="s">
        <v>412</v>
      </c>
      <c r="D5" s="1301"/>
      <c r="E5" s="1301"/>
      <c r="F5" s="1301"/>
      <c r="G5" s="1301"/>
      <c r="H5" s="1301"/>
      <c r="I5" s="1301"/>
      <c r="J5" s="1301"/>
      <c r="K5" s="1301"/>
      <c r="L5" s="1301"/>
      <c r="M5" s="1301"/>
      <c r="N5" s="1301"/>
      <c r="O5" s="1301"/>
    </row>
    <row r="6" spans="2:15" ht="31.5" customHeight="1">
      <c r="B6" s="176">
        <v>4</v>
      </c>
      <c r="C6" s="1301" t="s">
        <v>413</v>
      </c>
      <c r="D6" s="1301"/>
      <c r="E6" s="1301"/>
      <c r="F6" s="1301"/>
      <c r="G6" s="1301"/>
      <c r="H6" s="1301"/>
      <c r="I6" s="1301"/>
      <c r="J6" s="1301"/>
      <c r="K6" s="1301"/>
      <c r="L6" s="1301"/>
      <c r="M6" s="1301"/>
      <c r="N6" s="1301"/>
      <c r="O6" s="1301"/>
    </row>
    <row r="7" spans="2:15" ht="31.5" customHeight="1">
      <c r="B7" s="176">
        <v>5</v>
      </c>
      <c r="C7" s="1301" t="s">
        <v>414</v>
      </c>
      <c r="D7" s="1301"/>
      <c r="E7" s="1301"/>
      <c r="F7" s="1301"/>
      <c r="G7" s="1301"/>
      <c r="H7" s="1301"/>
      <c r="I7" s="1301"/>
      <c r="J7" s="1301"/>
      <c r="K7" s="1301"/>
      <c r="L7" s="1301"/>
      <c r="M7" s="1301"/>
      <c r="N7" s="1301"/>
      <c r="O7" s="1301"/>
    </row>
    <row r="8" spans="2:15" ht="31.5" customHeight="1">
      <c r="B8" s="176">
        <v>6</v>
      </c>
      <c r="C8" s="1301" t="s">
        <v>415</v>
      </c>
      <c r="D8" s="1301"/>
      <c r="E8" s="1301"/>
      <c r="F8" s="1301"/>
      <c r="G8" s="1301"/>
      <c r="H8" s="1301"/>
      <c r="I8" s="1301"/>
      <c r="J8" s="1301"/>
      <c r="K8" s="1301"/>
      <c r="L8" s="1301"/>
      <c r="M8" s="1301"/>
      <c r="N8" s="1301"/>
      <c r="O8" s="1301"/>
    </row>
    <row r="9" spans="2:15" ht="31.5" customHeight="1">
      <c r="B9" s="176">
        <v>7</v>
      </c>
      <c r="C9" s="1301" t="s">
        <v>416</v>
      </c>
      <c r="D9" s="1301"/>
      <c r="E9" s="1301"/>
      <c r="F9" s="1301"/>
      <c r="G9" s="1301"/>
      <c r="H9" s="1301"/>
      <c r="I9" s="1301"/>
      <c r="J9" s="1301"/>
      <c r="K9" s="1301"/>
      <c r="L9" s="1301"/>
      <c r="M9" s="1301"/>
      <c r="N9" s="1301"/>
      <c r="O9" s="1301"/>
    </row>
    <row r="10" spans="2:15" ht="31.5" customHeight="1">
      <c r="B10" s="176">
        <v>8</v>
      </c>
      <c r="C10" s="1301" t="s">
        <v>417</v>
      </c>
      <c r="D10" s="1301"/>
      <c r="E10" s="1301"/>
      <c r="F10" s="1301"/>
      <c r="G10" s="1301"/>
      <c r="H10" s="1301"/>
      <c r="I10" s="1301"/>
      <c r="J10" s="1301"/>
      <c r="K10" s="1301"/>
      <c r="L10" s="1301"/>
      <c r="M10" s="1301"/>
      <c r="N10" s="1301"/>
      <c r="O10" s="1301"/>
    </row>
    <row r="11" spans="2:15" ht="31.5" customHeight="1">
      <c r="B11" s="176">
        <v>9</v>
      </c>
      <c r="C11" s="1301" t="s">
        <v>418</v>
      </c>
      <c r="D11" s="1301"/>
      <c r="E11" s="1301"/>
      <c r="F11" s="1301"/>
      <c r="G11" s="1301"/>
      <c r="H11" s="1301"/>
      <c r="I11" s="1301"/>
      <c r="J11" s="1301"/>
      <c r="K11" s="1301"/>
      <c r="L11" s="1301"/>
      <c r="M11" s="1301"/>
      <c r="N11" s="1301"/>
      <c r="O11" s="1301"/>
    </row>
  </sheetData>
  <mergeCells count="10">
    <mergeCell ref="C8:O8"/>
    <mergeCell ref="C9:O9"/>
    <mergeCell ref="C10:O10"/>
    <mergeCell ref="C11:O11"/>
    <mergeCell ref="D2:O2"/>
    <mergeCell ref="C3:O3"/>
    <mergeCell ref="C4:O4"/>
    <mergeCell ref="C5:O5"/>
    <mergeCell ref="C6:O6"/>
    <mergeCell ref="C7:O7"/>
  </mergeCells>
  <conditionalFormatting sqref="A2:XFD1048576 A1:B1 D1:XFD1">
    <cfRule type="duplicateValues" dxfId="39" priority="3"/>
  </conditionalFormatting>
  <conditionalFormatting sqref="A3:XFD1048576 A1:B1 D1:XFD1 A2 P2:XFD2">
    <cfRule type="duplicateValues" dxfId="38" priority="6"/>
  </conditionalFormatting>
  <conditionalFormatting sqref="A3:XFD1048576 A1:B1 D1:XFD1 P2:XFD2 A2">
    <cfRule type="duplicateValues" dxfId="37" priority="7"/>
    <cfRule type="duplicateValues" dxfId="36" priority="8"/>
  </conditionalFormatting>
  <conditionalFormatting sqref="B2:D2">
    <cfRule type="duplicateValues" dxfId="35" priority="4"/>
    <cfRule type="duplicateValues" dxfId="34" priority="5"/>
  </conditionalFormatting>
  <conditionalFormatting sqref="B3:O11">
    <cfRule type="expression" dxfId="33" priority="9">
      <formula>MOD(ROW(),2)&gt;0</formula>
    </cfRule>
  </conditionalFormatting>
  <conditionalFormatting sqref="C1">
    <cfRule type="duplicateValues" dxfId="32" priority="1"/>
    <cfRule type="duplicateValues" dxfId="31" priority="2"/>
  </conditionalFormatting>
  <pageMargins left="0.7" right="0.7" top="0.75" bottom="0.75" header="0.3" footer="0.3"/>
  <drawing r:id="rId1"/>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70F734-89E4-40A7-91F4-353EEE8D1B29}">
  <dimension ref="B1:O14"/>
  <sheetViews>
    <sheetView showGridLines="0" workbookViewId="0">
      <pane ySplit="2" topLeftCell="A3" activePane="bottomLeft" state="frozen"/>
      <selection pane="bottomLeft" activeCell="O1" sqref="O1"/>
    </sheetView>
  </sheetViews>
  <sheetFormatPr defaultColWidth="9.296875" defaultRowHeight="14"/>
  <cols>
    <col min="1" max="1" width="4.796875" style="164" customWidth="1"/>
    <col min="2" max="2" width="19.69921875" style="164" customWidth="1"/>
    <col min="3" max="14" width="9.296875" style="164"/>
    <col min="15" max="15" width="43.796875" style="164" customWidth="1"/>
    <col min="16" max="16384" width="9.296875" style="164"/>
  </cols>
  <sheetData>
    <row r="1" spans="2:15" ht="25.5" customHeight="1">
      <c r="C1" s="165" t="s">
        <v>283</v>
      </c>
    </row>
    <row r="2" spans="2:15" ht="32.5">
      <c r="B2" s="166" t="s">
        <v>419</v>
      </c>
      <c r="C2" s="175">
        <f>CHUNG!H22</f>
        <v>11</v>
      </c>
      <c r="D2" s="1302" t="s">
        <v>286</v>
      </c>
      <c r="E2" s="1302"/>
      <c r="F2" s="1302"/>
      <c r="G2" s="1302"/>
      <c r="H2" s="1302"/>
      <c r="I2" s="1302"/>
      <c r="J2" s="1302"/>
      <c r="K2" s="1302"/>
      <c r="L2" s="1302"/>
      <c r="M2" s="1302"/>
      <c r="N2" s="1302"/>
      <c r="O2" s="1302"/>
    </row>
    <row r="3" spans="2:15" ht="39.75" customHeight="1">
      <c r="B3" s="169">
        <v>1</v>
      </c>
      <c r="C3" s="1301" t="s">
        <v>420</v>
      </c>
      <c r="D3" s="1301"/>
      <c r="E3" s="1301"/>
      <c r="F3" s="1301"/>
      <c r="G3" s="1301"/>
      <c r="H3" s="1301"/>
      <c r="I3" s="1301"/>
      <c r="J3" s="1301"/>
      <c r="K3" s="1301"/>
      <c r="L3" s="1301"/>
      <c r="M3" s="1301"/>
      <c r="N3" s="1301"/>
      <c r="O3" s="1301"/>
    </row>
    <row r="4" spans="2:15" ht="36" customHeight="1">
      <c r="B4" s="169">
        <v>2</v>
      </c>
      <c r="C4" s="1301" t="s">
        <v>421</v>
      </c>
      <c r="D4" s="1301"/>
      <c r="E4" s="1301"/>
      <c r="F4" s="1301"/>
      <c r="G4" s="1301"/>
      <c r="H4" s="1301"/>
      <c r="I4" s="1301"/>
      <c r="J4" s="1301"/>
      <c r="K4" s="1301"/>
      <c r="L4" s="1301"/>
      <c r="M4" s="1301"/>
      <c r="N4" s="1301"/>
      <c r="O4" s="1301"/>
    </row>
    <row r="5" spans="2:15" ht="35.25" customHeight="1">
      <c r="B5" s="169">
        <v>3</v>
      </c>
      <c r="C5" s="1301" t="s">
        <v>422</v>
      </c>
      <c r="D5" s="1301"/>
      <c r="E5" s="1301"/>
      <c r="F5" s="1301"/>
      <c r="G5" s="1301"/>
      <c r="H5" s="1301"/>
      <c r="I5" s="1301"/>
      <c r="J5" s="1301"/>
      <c r="K5" s="1301"/>
      <c r="L5" s="1301"/>
      <c r="M5" s="1301"/>
      <c r="N5" s="1301"/>
      <c r="O5" s="1301"/>
    </row>
    <row r="6" spans="2:15" ht="33.75" customHeight="1">
      <c r="B6" s="169">
        <v>4</v>
      </c>
      <c r="C6" s="1301" t="s">
        <v>423</v>
      </c>
      <c r="D6" s="1301"/>
      <c r="E6" s="1301"/>
      <c r="F6" s="1301"/>
      <c r="G6" s="1301"/>
      <c r="H6" s="1301"/>
      <c r="I6" s="1301"/>
      <c r="J6" s="1301"/>
      <c r="K6" s="1301"/>
      <c r="L6" s="1301"/>
      <c r="M6" s="1301"/>
      <c r="N6" s="1301"/>
      <c r="O6" s="1301"/>
    </row>
    <row r="7" spans="2:15" ht="38.25" customHeight="1">
      <c r="B7" s="169">
        <v>5</v>
      </c>
      <c r="C7" s="1301" t="s">
        <v>424</v>
      </c>
      <c r="D7" s="1301"/>
      <c r="E7" s="1301"/>
      <c r="F7" s="1301"/>
      <c r="G7" s="1301"/>
      <c r="H7" s="1301"/>
      <c r="I7" s="1301"/>
      <c r="J7" s="1301"/>
      <c r="K7" s="1301"/>
      <c r="L7" s="1301"/>
      <c r="M7" s="1301"/>
      <c r="N7" s="1301"/>
      <c r="O7" s="1301"/>
    </row>
    <row r="8" spans="2:15" ht="35.25" customHeight="1">
      <c r="B8" s="169">
        <v>6</v>
      </c>
      <c r="C8" s="1301" t="s">
        <v>425</v>
      </c>
      <c r="D8" s="1301"/>
      <c r="E8" s="1301"/>
      <c r="F8" s="1301"/>
      <c r="G8" s="1301"/>
      <c r="H8" s="1301"/>
      <c r="I8" s="1301"/>
      <c r="J8" s="1301"/>
      <c r="K8" s="1301"/>
      <c r="L8" s="1301"/>
      <c r="M8" s="1301"/>
      <c r="N8" s="1301"/>
      <c r="O8" s="1301"/>
    </row>
    <row r="9" spans="2:15" ht="40.5" customHeight="1">
      <c r="B9" s="169">
        <v>7</v>
      </c>
      <c r="C9" s="1301" t="s">
        <v>426</v>
      </c>
      <c r="D9" s="1301"/>
      <c r="E9" s="1301"/>
      <c r="F9" s="1301"/>
      <c r="G9" s="1301"/>
      <c r="H9" s="1301"/>
      <c r="I9" s="1301"/>
      <c r="J9" s="1301"/>
      <c r="K9" s="1301"/>
      <c r="L9" s="1301"/>
      <c r="M9" s="1301"/>
      <c r="N9" s="1301"/>
      <c r="O9" s="1301"/>
    </row>
    <row r="10" spans="2:15" ht="47.25" customHeight="1">
      <c r="B10" s="169">
        <v>8</v>
      </c>
      <c r="C10" s="1301" t="s">
        <v>427</v>
      </c>
      <c r="D10" s="1301"/>
      <c r="E10" s="1301"/>
      <c r="F10" s="1301"/>
      <c r="G10" s="1301"/>
      <c r="H10" s="1301"/>
      <c r="I10" s="1301"/>
      <c r="J10" s="1301"/>
      <c r="K10" s="1301"/>
      <c r="L10" s="1301"/>
      <c r="M10" s="1301"/>
      <c r="N10" s="1301"/>
      <c r="O10" s="1301"/>
    </row>
    <row r="11" spans="2:15" ht="42" customHeight="1">
      <c r="B11" s="169">
        <v>9</v>
      </c>
      <c r="C11" s="1301" t="s">
        <v>428</v>
      </c>
      <c r="D11" s="1301"/>
      <c r="E11" s="1301"/>
      <c r="F11" s="1301"/>
      <c r="G11" s="1301"/>
      <c r="H11" s="1301"/>
      <c r="I11" s="1301"/>
      <c r="J11" s="1301"/>
      <c r="K11" s="1301"/>
      <c r="L11" s="1301"/>
      <c r="M11" s="1301"/>
      <c r="N11" s="1301"/>
      <c r="O11" s="1301"/>
    </row>
    <row r="12" spans="2:15" ht="54" customHeight="1">
      <c r="B12" s="169">
        <v>11</v>
      </c>
      <c r="C12" s="1301" t="s">
        <v>429</v>
      </c>
      <c r="D12" s="1301"/>
      <c r="E12" s="1301"/>
      <c r="F12" s="1301"/>
      <c r="G12" s="1301"/>
      <c r="H12" s="1301"/>
      <c r="I12" s="1301"/>
      <c r="J12" s="1301"/>
      <c r="K12" s="1301"/>
      <c r="L12" s="1301"/>
      <c r="M12" s="1301"/>
      <c r="N12" s="1301"/>
      <c r="O12" s="1301"/>
    </row>
    <row r="13" spans="2:15" ht="54" customHeight="1">
      <c r="B13" s="169">
        <v>22</v>
      </c>
      <c r="C13" s="1301" t="s">
        <v>430</v>
      </c>
      <c r="D13" s="1301"/>
      <c r="E13" s="1301"/>
      <c r="F13" s="1301"/>
      <c r="G13" s="1301"/>
      <c r="H13" s="1301"/>
      <c r="I13" s="1301"/>
      <c r="J13" s="1301"/>
      <c r="K13" s="1301"/>
      <c r="L13" s="1301"/>
      <c r="M13" s="1301"/>
      <c r="N13" s="1301"/>
      <c r="O13" s="1301"/>
    </row>
    <row r="14" spans="2:15" ht="56.25" customHeight="1">
      <c r="B14" s="169">
        <v>33</v>
      </c>
      <c r="C14" s="1301" t="s">
        <v>431</v>
      </c>
      <c r="D14" s="1301"/>
      <c r="E14" s="1301"/>
      <c r="F14" s="1301"/>
      <c r="G14" s="1301"/>
      <c r="H14" s="1301"/>
      <c r="I14" s="1301"/>
      <c r="J14" s="1301"/>
      <c r="K14" s="1301"/>
      <c r="L14" s="1301"/>
      <c r="M14" s="1301"/>
      <c r="N14" s="1301"/>
      <c r="O14" s="1301"/>
    </row>
  </sheetData>
  <mergeCells count="13">
    <mergeCell ref="C14:O14"/>
    <mergeCell ref="C8:O8"/>
    <mergeCell ref="C9:O9"/>
    <mergeCell ref="C10:O10"/>
    <mergeCell ref="C11:O11"/>
    <mergeCell ref="C12:O12"/>
    <mergeCell ref="C13:O13"/>
    <mergeCell ref="C7:O7"/>
    <mergeCell ref="D2:O2"/>
    <mergeCell ref="C3:O3"/>
    <mergeCell ref="C4:O4"/>
    <mergeCell ref="C5:O5"/>
    <mergeCell ref="C6:O6"/>
  </mergeCells>
  <conditionalFormatting sqref="A2:XFD1048576 A1:B1 D1:XFD1">
    <cfRule type="duplicateValues" dxfId="30" priority="3"/>
  </conditionalFormatting>
  <conditionalFormatting sqref="A3:XFD1048576 A1:B1 D1:XFD1 A2 P2:XFD2">
    <cfRule type="duplicateValues" dxfId="29" priority="6"/>
  </conditionalFormatting>
  <conditionalFormatting sqref="B2:D2">
    <cfRule type="duplicateValues" dxfId="28" priority="4"/>
    <cfRule type="duplicateValues" dxfId="27" priority="5"/>
  </conditionalFormatting>
  <conditionalFormatting sqref="B3:O14">
    <cfRule type="expression" dxfId="26" priority="7">
      <formula>MOD(ROW(),2)&gt;0</formula>
    </cfRule>
  </conditionalFormatting>
  <conditionalFormatting sqref="C1">
    <cfRule type="duplicateValues" dxfId="25" priority="1"/>
    <cfRule type="duplicateValues" dxfId="24" priority="2"/>
  </conditionalFormatting>
  <pageMargins left="0.7" right="0.7" top="0.75" bottom="0.75" header="0.3" footer="0.3"/>
  <drawing r:id="rId1"/>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239153-AF77-4577-B192-3FBFB13C296C}">
  <dimension ref="B1:P13"/>
  <sheetViews>
    <sheetView showGridLines="0" zoomScale="85" zoomScaleNormal="85" workbookViewId="0">
      <pane ySplit="2" topLeftCell="A3" activePane="bottomLeft" state="frozen"/>
      <selection pane="bottomLeft" activeCell="D2" sqref="D2"/>
    </sheetView>
  </sheetViews>
  <sheetFormatPr defaultColWidth="9.296875" defaultRowHeight="14"/>
  <cols>
    <col min="1" max="1" width="4.796875" style="164" customWidth="1"/>
    <col min="2" max="2" width="16.69921875" style="164" customWidth="1"/>
    <col min="3" max="3" width="22.5" style="164" customWidth="1"/>
    <col min="4" max="15" width="9.296875" style="164"/>
    <col min="16" max="16" width="51.296875" style="164" customWidth="1"/>
    <col min="17" max="16384" width="9.296875" style="164"/>
  </cols>
  <sheetData>
    <row r="1" spans="2:16" ht="36" customHeight="1">
      <c r="D1" s="165" t="s">
        <v>283</v>
      </c>
    </row>
    <row r="2" spans="2:16" ht="32.5">
      <c r="B2" s="166" t="s">
        <v>253</v>
      </c>
      <c r="C2" s="167" t="s">
        <v>285</v>
      </c>
      <c r="D2" s="175">
        <f ca="1">CHUNG!AL22</f>
        <v>6</v>
      </c>
      <c r="E2" s="1302" t="s">
        <v>286</v>
      </c>
      <c r="F2" s="1302"/>
      <c r="G2" s="1302"/>
      <c r="H2" s="1302"/>
      <c r="I2" s="1302"/>
      <c r="J2" s="1302"/>
      <c r="K2" s="1302"/>
      <c r="L2" s="1302"/>
      <c r="M2" s="1302"/>
      <c r="N2" s="1302"/>
      <c r="O2" s="1302"/>
      <c r="P2" s="1302"/>
    </row>
    <row r="3" spans="2:16" ht="126.75" customHeight="1">
      <c r="B3" s="169">
        <v>1</v>
      </c>
      <c r="C3" s="177" t="s">
        <v>432</v>
      </c>
      <c r="D3" s="1301" t="s">
        <v>433</v>
      </c>
      <c r="E3" s="1301"/>
      <c r="F3" s="1301"/>
      <c r="G3" s="1301"/>
      <c r="H3" s="1301"/>
      <c r="I3" s="1301"/>
      <c r="J3" s="1301"/>
      <c r="K3" s="1301"/>
      <c r="L3" s="1301"/>
      <c r="M3" s="1301"/>
      <c r="N3" s="1301"/>
      <c r="O3" s="1301"/>
      <c r="P3" s="1301"/>
    </row>
    <row r="4" spans="2:16" ht="125.25" customHeight="1">
      <c r="B4" s="169">
        <v>2</v>
      </c>
      <c r="C4" s="178" t="s">
        <v>434</v>
      </c>
      <c r="D4" s="1301" t="s">
        <v>435</v>
      </c>
      <c r="E4" s="1301"/>
      <c r="F4" s="1301"/>
      <c r="G4" s="1301"/>
      <c r="H4" s="1301"/>
      <c r="I4" s="1301"/>
      <c r="J4" s="1301"/>
      <c r="K4" s="1301"/>
      <c r="L4" s="1301"/>
      <c r="M4" s="1301"/>
      <c r="N4" s="1301"/>
      <c r="O4" s="1301"/>
      <c r="P4" s="1301"/>
    </row>
    <row r="5" spans="2:16" ht="159" customHeight="1">
      <c r="B5" s="169">
        <v>3</v>
      </c>
      <c r="C5" s="178" t="s">
        <v>436</v>
      </c>
      <c r="D5" s="1301" t="s">
        <v>437</v>
      </c>
      <c r="E5" s="1301"/>
      <c r="F5" s="1301"/>
      <c r="G5" s="1301"/>
      <c r="H5" s="1301"/>
      <c r="I5" s="1301"/>
      <c r="J5" s="1301"/>
      <c r="K5" s="1301"/>
      <c r="L5" s="1301"/>
      <c r="M5" s="1301"/>
      <c r="N5" s="1301"/>
      <c r="O5" s="1301"/>
      <c r="P5" s="1301"/>
    </row>
    <row r="6" spans="2:16" ht="85.5" customHeight="1">
      <c r="B6" s="169">
        <v>4</v>
      </c>
      <c r="C6" s="178" t="s">
        <v>438</v>
      </c>
      <c r="D6" s="1301" t="s">
        <v>439</v>
      </c>
      <c r="E6" s="1301"/>
      <c r="F6" s="1301"/>
      <c r="G6" s="1301"/>
      <c r="H6" s="1301"/>
      <c r="I6" s="1301"/>
      <c r="J6" s="1301"/>
      <c r="K6" s="1301"/>
      <c r="L6" s="1301"/>
      <c r="M6" s="1301"/>
      <c r="N6" s="1301"/>
      <c r="O6" s="1301"/>
      <c r="P6" s="1301"/>
    </row>
    <row r="7" spans="2:16" ht="107.25" customHeight="1">
      <c r="B7" s="169">
        <v>5</v>
      </c>
      <c r="C7" s="178" t="s">
        <v>440</v>
      </c>
      <c r="D7" s="1301" t="s">
        <v>441</v>
      </c>
      <c r="E7" s="1301"/>
      <c r="F7" s="1301"/>
      <c r="G7" s="1301"/>
      <c r="H7" s="1301"/>
      <c r="I7" s="1301"/>
      <c r="J7" s="1301"/>
      <c r="K7" s="1301"/>
      <c r="L7" s="1301"/>
      <c r="M7" s="1301"/>
      <c r="N7" s="1301"/>
      <c r="O7" s="1301"/>
      <c r="P7" s="1301"/>
    </row>
    <row r="8" spans="2:16" ht="118.5" customHeight="1">
      <c r="B8" s="169">
        <v>6</v>
      </c>
      <c r="C8" s="178" t="s">
        <v>442</v>
      </c>
      <c r="D8" s="1301" t="s">
        <v>443</v>
      </c>
      <c r="E8" s="1301"/>
      <c r="F8" s="1301"/>
      <c r="G8" s="1301"/>
      <c r="H8" s="1301"/>
      <c r="I8" s="1301"/>
      <c r="J8" s="1301"/>
      <c r="K8" s="1301"/>
      <c r="L8" s="1301"/>
      <c r="M8" s="1301"/>
      <c r="N8" s="1301"/>
      <c r="O8" s="1301"/>
      <c r="P8" s="1301"/>
    </row>
    <row r="9" spans="2:16" ht="81" customHeight="1">
      <c r="B9" s="169">
        <v>7</v>
      </c>
      <c r="C9" s="178" t="s">
        <v>444</v>
      </c>
      <c r="D9" s="1301" t="s">
        <v>445</v>
      </c>
      <c r="E9" s="1301"/>
      <c r="F9" s="1301"/>
      <c r="G9" s="1301"/>
      <c r="H9" s="1301"/>
      <c r="I9" s="1301"/>
      <c r="J9" s="1301"/>
      <c r="K9" s="1301"/>
      <c r="L9" s="1301"/>
      <c r="M9" s="1301"/>
      <c r="N9" s="1301"/>
      <c r="O9" s="1301"/>
      <c r="P9" s="1301"/>
    </row>
    <row r="10" spans="2:16" ht="141.75" customHeight="1">
      <c r="B10" s="169">
        <v>8</v>
      </c>
      <c r="C10" s="178" t="s">
        <v>446</v>
      </c>
      <c r="D10" s="1301" t="s">
        <v>447</v>
      </c>
      <c r="E10" s="1301"/>
      <c r="F10" s="1301"/>
      <c r="G10" s="1301"/>
      <c r="H10" s="1301"/>
      <c r="I10" s="1301"/>
      <c r="J10" s="1301"/>
      <c r="K10" s="1301"/>
      <c r="L10" s="1301"/>
      <c r="M10" s="1301"/>
      <c r="N10" s="1301"/>
      <c r="O10" s="1301"/>
      <c r="P10" s="1301"/>
    </row>
    <row r="11" spans="2:16" ht="112.5" customHeight="1">
      <c r="B11" s="169">
        <v>9</v>
      </c>
      <c r="C11" s="178" t="s">
        <v>448</v>
      </c>
      <c r="D11" s="1301" t="s">
        <v>449</v>
      </c>
      <c r="E11" s="1301"/>
      <c r="F11" s="1301"/>
      <c r="G11" s="1301"/>
      <c r="H11" s="1301"/>
      <c r="I11" s="1301"/>
      <c r="J11" s="1301"/>
      <c r="K11" s="1301"/>
      <c r="L11" s="1301"/>
      <c r="M11" s="1301"/>
      <c r="N11" s="1301"/>
      <c r="O11" s="1301"/>
      <c r="P11" s="1301"/>
    </row>
    <row r="12" spans="2:16" ht="190.5" customHeight="1">
      <c r="B12" s="169">
        <v>11</v>
      </c>
      <c r="C12" s="178" t="s">
        <v>380</v>
      </c>
      <c r="D12" s="1301" t="s">
        <v>450</v>
      </c>
      <c r="E12" s="1301"/>
      <c r="F12" s="1301"/>
      <c r="G12" s="1301"/>
      <c r="H12" s="1301"/>
      <c r="I12" s="1301"/>
      <c r="J12" s="1301"/>
      <c r="K12" s="1301"/>
      <c r="L12" s="1301"/>
      <c r="M12" s="1301"/>
      <c r="N12" s="1301"/>
      <c r="O12" s="1301"/>
      <c r="P12" s="1301"/>
    </row>
    <row r="13" spans="2:16" ht="130.5" customHeight="1">
      <c r="B13" s="169">
        <v>22</v>
      </c>
      <c r="C13" s="178" t="s">
        <v>382</v>
      </c>
      <c r="D13" s="1301" t="s">
        <v>451</v>
      </c>
      <c r="E13" s="1301"/>
      <c r="F13" s="1301"/>
      <c r="G13" s="1301"/>
      <c r="H13" s="1301"/>
      <c r="I13" s="1301"/>
      <c r="J13" s="1301"/>
      <c r="K13" s="1301"/>
      <c r="L13" s="1301"/>
      <c r="M13" s="1301"/>
      <c r="N13" s="1301"/>
      <c r="O13" s="1301"/>
      <c r="P13" s="1301"/>
    </row>
  </sheetData>
  <mergeCells count="12">
    <mergeCell ref="D13:P13"/>
    <mergeCell ref="E2:P2"/>
    <mergeCell ref="D3:P3"/>
    <mergeCell ref="D4:P4"/>
    <mergeCell ref="D5:P5"/>
    <mergeCell ref="D6:P6"/>
    <mergeCell ref="D7:P7"/>
    <mergeCell ref="D8:P8"/>
    <mergeCell ref="D9:P9"/>
    <mergeCell ref="D10:P10"/>
    <mergeCell ref="D11:P11"/>
    <mergeCell ref="D12:P12"/>
  </mergeCells>
  <conditionalFormatting sqref="A2:XFD1048576 A1:C1 E1:XFD1">
    <cfRule type="duplicateValues" dxfId="23" priority="3"/>
  </conditionalFormatting>
  <conditionalFormatting sqref="A3:XFD1048576 A1:C1 E1:XFD1 A2 Q2:XFD2">
    <cfRule type="duplicateValues" dxfId="22" priority="6"/>
    <cfRule type="duplicateValues" dxfId="21" priority="7"/>
  </conditionalFormatting>
  <conditionalFormatting sqref="B2:D2">
    <cfRule type="duplicateValues" dxfId="20" priority="4"/>
    <cfRule type="duplicateValues" dxfId="19" priority="5"/>
  </conditionalFormatting>
  <conditionalFormatting sqref="B3:P13">
    <cfRule type="expression" dxfId="18" priority="8">
      <formula>MOD(ROW(),2)&gt;0</formula>
    </cfRule>
  </conditionalFormatting>
  <conditionalFormatting sqref="D1">
    <cfRule type="duplicateValues" dxfId="17" priority="1"/>
    <cfRule type="duplicateValues" dxfId="16" priority="2"/>
  </conditionalFormatting>
  <pageMargins left="0.7" right="0.7" top="0.75" bottom="0.75" header="0.3" footer="0.3"/>
  <drawing r:id="rId1"/>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6E2C77-696E-4917-A7F3-0F2940F9B525}">
  <dimension ref="B1:O11"/>
  <sheetViews>
    <sheetView showGridLines="0" topLeftCell="C1" zoomScale="85" zoomScaleNormal="85" workbookViewId="0">
      <pane ySplit="2" topLeftCell="A3" activePane="bottomLeft" state="frozen"/>
      <selection pane="bottomLeft" activeCell="C3" sqref="C3:O3"/>
    </sheetView>
  </sheetViews>
  <sheetFormatPr defaultColWidth="9.296875" defaultRowHeight="14"/>
  <cols>
    <col min="1" max="1" width="4.796875" style="164" customWidth="1"/>
    <col min="2" max="2" width="23.796875" style="164" customWidth="1"/>
    <col min="3" max="14" width="9.296875" style="164"/>
    <col min="15" max="15" width="43.796875" style="164" customWidth="1"/>
    <col min="16" max="16384" width="9.296875" style="164"/>
  </cols>
  <sheetData>
    <row r="1" spans="2:15" ht="46.5" customHeight="1">
      <c r="C1" s="185" t="s">
        <v>523</v>
      </c>
    </row>
    <row r="2" spans="2:15" ht="32.5">
      <c r="B2" s="166" t="s">
        <v>524</v>
      </c>
      <c r="C2" s="175">
        <f>CHUNG!EC37</f>
        <v>5</v>
      </c>
      <c r="D2" s="1311" t="s">
        <v>525</v>
      </c>
      <c r="E2" s="1311"/>
      <c r="F2" s="1311"/>
      <c r="G2" s="1311"/>
      <c r="H2" s="1311"/>
      <c r="I2" s="1311"/>
      <c r="J2" s="1311"/>
      <c r="K2" s="1311"/>
      <c r="L2" s="1311"/>
      <c r="M2" s="1311"/>
      <c r="N2" s="1311"/>
      <c r="O2" s="1311"/>
    </row>
    <row r="3" spans="2:15" ht="94.5" customHeight="1">
      <c r="B3" s="169">
        <v>1</v>
      </c>
      <c r="C3" s="1301" t="s">
        <v>526</v>
      </c>
      <c r="D3" s="1301"/>
      <c r="E3" s="1301"/>
      <c r="F3" s="1301"/>
      <c r="G3" s="1301"/>
      <c r="H3" s="1301"/>
      <c r="I3" s="1301"/>
      <c r="J3" s="1301"/>
      <c r="K3" s="1301"/>
      <c r="L3" s="1301"/>
      <c r="M3" s="1301"/>
      <c r="N3" s="1301"/>
      <c r="O3" s="1301"/>
    </row>
    <row r="4" spans="2:15" ht="94.5" customHeight="1">
      <c r="B4" s="169">
        <v>2</v>
      </c>
      <c r="C4" s="1301" t="s">
        <v>527</v>
      </c>
      <c r="D4" s="1301"/>
      <c r="E4" s="1301"/>
      <c r="F4" s="1301"/>
      <c r="G4" s="1301"/>
      <c r="H4" s="1301"/>
      <c r="I4" s="1301"/>
      <c r="J4" s="1301"/>
      <c r="K4" s="1301"/>
      <c r="L4" s="1301"/>
      <c r="M4" s="1301"/>
      <c r="N4" s="1301"/>
      <c r="O4" s="1301"/>
    </row>
    <row r="5" spans="2:15" ht="94.5" customHeight="1">
      <c r="B5" s="169">
        <v>3</v>
      </c>
      <c r="C5" s="1301" t="s">
        <v>528</v>
      </c>
      <c r="D5" s="1301"/>
      <c r="E5" s="1301"/>
      <c r="F5" s="1301"/>
      <c r="G5" s="1301"/>
      <c r="H5" s="1301"/>
      <c r="I5" s="1301"/>
      <c r="J5" s="1301"/>
      <c r="K5" s="1301"/>
      <c r="L5" s="1301"/>
      <c r="M5" s="1301"/>
      <c r="N5" s="1301"/>
      <c r="O5" s="1301"/>
    </row>
    <row r="6" spans="2:15" ht="94.5" customHeight="1">
      <c r="B6" s="169">
        <v>4</v>
      </c>
      <c r="C6" s="1301" t="s">
        <v>529</v>
      </c>
      <c r="D6" s="1301"/>
      <c r="E6" s="1301"/>
      <c r="F6" s="1301"/>
      <c r="G6" s="1301"/>
      <c r="H6" s="1301"/>
      <c r="I6" s="1301"/>
      <c r="J6" s="1301"/>
      <c r="K6" s="1301"/>
      <c r="L6" s="1301"/>
      <c r="M6" s="1301"/>
      <c r="N6" s="1301"/>
      <c r="O6" s="1301"/>
    </row>
    <row r="7" spans="2:15" ht="94.5" customHeight="1">
      <c r="B7" s="169">
        <v>5</v>
      </c>
      <c r="C7" s="1301" t="s">
        <v>530</v>
      </c>
      <c r="D7" s="1301"/>
      <c r="E7" s="1301"/>
      <c r="F7" s="1301"/>
      <c r="G7" s="1301"/>
      <c r="H7" s="1301"/>
      <c r="I7" s="1301"/>
      <c r="J7" s="1301"/>
      <c r="K7" s="1301"/>
      <c r="L7" s="1301"/>
      <c r="M7" s="1301"/>
      <c r="N7" s="1301"/>
      <c r="O7" s="1301"/>
    </row>
    <row r="8" spans="2:15" ht="94.5" customHeight="1">
      <c r="B8" s="169">
        <v>6</v>
      </c>
      <c r="C8" s="1301" t="s">
        <v>531</v>
      </c>
      <c r="D8" s="1301"/>
      <c r="E8" s="1301"/>
      <c r="F8" s="1301"/>
      <c r="G8" s="1301"/>
      <c r="H8" s="1301"/>
      <c r="I8" s="1301"/>
      <c r="J8" s="1301"/>
      <c r="K8" s="1301"/>
      <c r="L8" s="1301"/>
      <c r="M8" s="1301"/>
      <c r="N8" s="1301"/>
      <c r="O8" s="1301"/>
    </row>
    <row r="9" spans="2:15" ht="94.5" customHeight="1">
      <c r="B9" s="169">
        <v>7</v>
      </c>
      <c r="C9" s="1301" t="s">
        <v>532</v>
      </c>
      <c r="D9" s="1301"/>
      <c r="E9" s="1301"/>
      <c r="F9" s="1301"/>
      <c r="G9" s="1301"/>
      <c r="H9" s="1301"/>
      <c r="I9" s="1301"/>
      <c r="J9" s="1301"/>
      <c r="K9" s="1301"/>
      <c r="L9" s="1301"/>
      <c r="M9" s="1301"/>
      <c r="N9" s="1301"/>
      <c r="O9" s="1301"/>
    </row>
    <row r="10" spans="2:15" ht="94.5" customHeight="1">
      <c r="B10" s="169">
        <v>8</v>
      </c>
      <c r="C10" s="1301" t="s">
        <v>533</v>
      </c>
      <c r="D10" s="1301"/>
      <c r="E10" s="1301"/>
      <c r="F10" s="1301"/>
      <c r="G10" s="1301"/>
      <c r="H10" s="1301"/>
      <c r="I10" s="1301"/>
      <c r="J10" s="1301"/>
      <c r="K10" s="1301"/>
      <c r="L10" s="1301"/>
      <c r="M10" s="1301"/>
      <c r="N10" s="1301"/>
      <c r="O10" s="1301"/>
    </row>
    <row r="11" spans="2:15" ht="94.5" customHeight="1">
      <c r="B11" s="169">
        <v>0</v>
      </c>
      <c r="C11" s="1301" t="s">
        <v>534</v>
      </c>
      <c r="D11" s="1301"/>
      <c r="E11" s="1301"/>
      <c r="F11" s="1301"/>
      <c r="G11" s="1301"/>
      <c r="H11" s="1301"/>
      <c r="I11" s="1301"/>
      <c r="J11" s="1301"/>
      <c r="K11" s="1301"/>
      <c r="L11" s="1301"/>
      <c r="M11" s="1301"/>
      <c r="N11" s="1301"/>
      <c r="O11" s="1301"/>
    </row>
  </sheetData>
  <mergeCells count="10">
    <mergeCell ref="C8:O8"/>
    <mergeCell ref="C9:O9"/>
    <mergeCell ref="C10:O10"/>
    <mergeCell ref="C11:O11"/>
    <mergeCell ref="D2:O2"/>
    <mergeCell ref="C3:O3"/>
    <mergeCell ref="C4:O4"/>
    <mergeCell ref="C5:O5"/>
    <mergeCell ref="C6:O6"/>
    <mergeCell ref="C7:O7"/>
  </mergeCells>
  <conditionalFormatting sqref="A1:B1 A3:XFD1048576 A2 P2:XFD2 D1:XFD1">
    <cfRule type="duplicateValues" dxfId="15" priority="6"/>
    <cfRule type="duplicateValues" dxfId="14" priority="7"/>
  </conditionalFormatting>
  <conditionalFormatting sqref="A2:XFD1048576 A1:B1 D1:XFD1">
    <cfRule type="duplicateValues" dxfId="13" priority="3"/>
  </conditionalFormatting>
  <conditionalFormatting sqref="B2:D2">
    <cfRule type="duplicateValues" dxfId="12" priority="4"/>
    <cfRule type="duplicateValues" dxfId="11" priority="5"/>
  </conditionalFormatting>
  <conditionalFormatting sqref="B3:O11">
    <cfRule type="expression" dxfId="10" priority="8">
      <formula>MOD(ROW(),2)&gt;0</formula>
    </cfRule>
  </conditionalFormatting>
  <conditionalFormatting sqref="C1">
    <cfRule type="duplicateValues" dxfId="9" priority="1"/>
    <cfRule type="duplicateValues" dxfId="8" priority="2"/>
  </conditionalFormatting>
  <pageMargins left="0.7" right="0.7" top="0.75" bottom="0.75" header="0.3" footer="0.3"/>
  <drawing r:id="rId1"/>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3205DE-E395-49A2-A779-50BCF90EC0B1}">
  <dimension ref="B1:J12"/>
  <sheetViews>
    <sheetView showGridLines="0" workbookViewId="0">
      <selection activeCell="L3" sqref="L3"/>
    </sheetView>
  </sheetViews>
  <sheetFormatPr defaultColWidth="9.296875" defaultRowHeight="13"/>
  <cols>
    <col min="1" max="1" width="3.296875" style="55" customWidth="1"/>
    <col min="2" max="3" width="10.69921875" style="55" hidden="1" customWidth="1"/>
    <col min="4" max="4" width="40" style="55" customWidth="1"/>
    <col min="5" max="5" width="20.19921875" style="55" customWidth="1"/>
    <col min="6" max="6" width="27" style="56" customWidth="1"/>
    <col min="7" max="8" width="22.296875" style="56" customWidth="1"/>
    <col min="9" max="9" width="32.796875" style="56" customWidth="1"/>
    <col min="10" max="10" width="38" style="56" customWidth="1"/>
    <col min="11" max="16384" width="9.296875" style="55"/>
  </cols>
  <sheetData>
    <row r="1" spans="4:10" ht="27" customHeight="1"/>
    <row r="2" spans="4:10" ht="31">
      <c r="D2" s="1314" t="s">
        <v>143</v>
      </c>
      <c r="E2" s="1314"/>
      <c r="F2" s="216" t="s">
        <v>144</v>
      </c>
      <c r="G2" s="1315" t="s">
        <v>145</v>
      </c>
      <c r="H2" s="1315"/>
      <c r="I2" s="218" t="s">
        <v>146</v>
      </c>
      <c r="J2" s="220" t="s">
        <v>147</v>
      </c>
    </row>
    <row r="3" spans="4:10" ht="70.5" customHeight="1">
      <c r="D3" s="1316" t="s">
        <v>148</v>
      </c>
      <c r="E3" s="1317"/>
      <c r="F3" s="217" t="s">
        <v>149</v>
      </c>
      <c r="G3" s="1318" t="s">
        <v>150</v>
      </c>
      <c r="H3" s="1318"/>
      <c r="I3" s="219" t="s">
        <v>151</v>
      </c>
      <c r="J3" s="221" t="s">
        <v>152</v>
      </c>
    </row>
    <row r="4" spans="4:10" ht="22.5" customHeight="1">
      <c r="D4" s="64" t="s">
        <v>77</v>
      </c>
      <c r="E4" s="57">
        <v>20000000</v>
      </c>
      <c r="F4" s="1319">
        <f>(E5*12)/E8</f>
        <v>1000000000</v>
      </c>
      <c r="G4" s="1313">
        <f>10*(E4*12)</f>
        <v>2400000000</v>
      </c>
      <c r="H4" s="1313">
        <f>E4*12*15</f>
        <v>3600000000</v>
      </c>
      <c r="I4" s="1312">
        <f>(E7-E6)*E4*12</f>
        <v>7200000000</v>
      </c>
      <c r="J4" s="1313">
        <f>(E10*E4*12)/E8+E9-E12-E11</f>
        <v>3200000000</v>
      </c>
    </row>
    <row r="5" spans="4:10" ht="22.5" customHeight="1">
      <c r="D5" s="64" t="s">
        <v>153</v>
      </c>
      <c r="E5" s="57">
        <v>5000000</v>
      </c>
      <c r="F5" s="1319"/>
      <c r="G5" s="1313"/>
      <c r="H5" s="1313"/>
      <c r="I5" s="1312"/>
      <c r="J5" s="1313"/>
    </row>
    <row r="6" spans="4:10" ht="22.5" customHeight="1">
      <c r="D6" s="64" t="s">
        <v>79</v>
      </c>
      <c r="E6" s="58">
        <v>30</v>
      </c>
      <c r="F6" s="1319"/>
      <c r="G6" s="1313"/>
      <c r="H6" s="1313"/>
      <c r="I6" s="1312"/>
      <c r="J6" s="1313"/>
    </row>
    <row r="7" spans="4:10" ht="22.5" customHeight="1">
      <c r="D7" s="64" t="s">
        <v>154</v>
      </c>
      <c r="E7" s="58">
        <v>60</v>
      </c>
      <c r="F7" s="1319"/>
      <c r="G7" s="1313"/>
      <c r="H7" s="1313"/>
      <c r="I7" s="1312"/>
      <c r="J7" s="1313"/>
    </row>
    <row r="8" spans="4:10" ht="22.5" customHeight="1">
      <c r="D8" s="64" t="s">
        <v>155</v>
      </c>
      <c r="E8" s="59">
        <v>0.06</v>
      </c>
      <c r="F8" s="1319"/>
      <c r="G8" s="1313"/>
      <c r="H8" s="1313"/>
      <c r="I8" s="1312"/>
      <c r="J8" s="1313"/>
    </row>
    <row r="9" spans="4:10" ht="22.5" customHeight="1">
      <c r="D9" s="64" t="s">
        <v>156</v>
      </c>
      <c r="E9" s="57">
        <v>1000000000</v>
      </c>
      <c r="F9" s="1319"/>
      <c r="G9" s="1313"/>
      <c r="H9" s="1313"/>
      <c r="I9" s="1312"/>
      <c r="J9" s="1313"/>
    </row>
    <row r="10" spans="4:10" ht="22.5" customHeight="1">
      <c r="D10" s="64" t="s">
        <v>157</v>
      </c>
      <c r="E10" s="59">
        <v>0.8</v>
      </c>
      <c r="F10" s="1319"/>
      <c r="G10" s="1313"/>
      <c r="H10" s="1313"/>
      <c r="I10" s="1312"/>
      <c r="J10" s="1313"/>
    </row>
    <row r="11" spans="4:10" ht="22.5" customHeight="1">
      <c r="D11" s="64" t="s">
        <v>158</v>
      </c>
      <c r="E11" s="57">
        <v>0</v>
      </c>
      <c r="F11" s="1319"/>
      <c r="G11" s="1313"/>
      <c r="H11" s="1313"/>
      <c r="I11" s="1312"/>
      <c r="J11" s="1313"/>
    </row>
    <row r="12" spans="4:10" ht="28.5" customHeight="1">
      <c r="D12" s="65" t="s">
        <v>159</v>
      </c>
      <c r="E12" s="57">
        <v>1000000000</v>
      </c>
      <c r="F12" s="1319"/>
      <c r="G12" s="1313"/>
      <c r="H12" s="1313"/>
      <c r="I12" s="1312"/>
      <c r="J12" s="1313"/>
    </row>
  </sheetData>
  <mergeCells count="9">
    <mergeCell ref="I4:I12"/>
    <mergeCell ref="J4:J12"/>
    <mergeCell ref="D2:E2"/>
    <mergeCell ref="G2:H2"/>
    <mergeCell ref="D3:E3"/>
    <mergeCell ref="G3:H3"/>
    <mergeCell ref="F4:F12"/>
    <mergeCell ref="G4:G12"/>
    <mergeCell ref="H4:H12"/>
  </mergeCells>
  <conditionalFormatting sqref="D4:E12">
    <cfRule type="expression" dxfId="7" priority="1">
      <formula>MOD(ROW(),2)&gt;0</formula>
    </cfRule>
  </conditionalFormatting>
  <pageMargins left="0.7" right="0.7" top="0.75" bottom="0.75" header="0.3" footer="0.3"/>
  <drawing r:id="rId1"/>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0022CC-D7F6-4843-9F60-8C12664151E3}">
  <dimension ref="B1:C25"/>
  <sheetViews>
    <sheetView showGridLines="0" zoomScaleNormal="100" workbookViewId="0"/>
  </sheetViews>
  <sheetFormatPr defaultColWidth="9.296875" defaultRowHeight="15.5"/>
  <cols>
    <col min="1" max="1" width="4" style="194" customWidth="1"/>
    <col min="2" max="2" width="165.19921875" style="194" customWidth="1"/>
    <col min="3" max="3" width="20" style="194" customWidth="1"/>
    <col min="4" max="16384" width="9.296875" style="194"/>
  </cols>
  <sheetData>
    <row r="1" spans="2:3" ht="3" customHeight="1"/>
    <row r="2" spans="2:3" ht="15" customHeight="1">
      <c r="B2" s="226" t="s">
        <v>561</v>
      </c>
      <c r="C2" s="224" t="s">
        <v>537</v>
      </c>
    </row>
    <row r="3" spans="2:3" ht="1.5" customHeight="1">
      <c r="B3" s="226"/>
      <c r="C3" s="224"/>
    </row>
    <row r="4" spans="2:3" s="229" customFormat="1" ht="13.5" customHeight="1">
      <c r="B4" s="231" t="s">
        <v>562</v>
      </c>
      <c r="C4" s="231"/>
    </row>
    <row r="5" spans="2:3" s="229" customFormat="1" ht="13.5" customHeight="1">
      <c r="B5" s="230" t="s">
        <v>565</v>
      </c>
      <c r="C5" s="232">
        <f>VLOOKUP(B5,Data!$A$1:$B$43,2,0)</f>
        <v>3</v>
      </c>
    </row>
    <row r="6" spans="2:3" s="229" customFormat="1" ht="13.5" customHeight="1">
      <c r="B6" s="231" t="s">
        <v>567</v>
      </c>
      <c r="C6" s="232"/>
    </row>
    <row r="7" spans="2:3" s="229" customFormat="1" ht="13.5" customHeight="1">
      <c r="B7" s="230" t="s">
        <v>569</v>
      </c>
      <c r="C7" s="232">
        <f>VLOOKUP(B7,Data!$A$1:$B$43,2,0)</f>
        <v>2</v>
      </c>
    </row>
    <row r="8" spans="2:3" s="229" customFormat="1" ht="13.5" customHeight="1">
      <c r="B8" s="231" t="s">
        <v>571</v>
      </c>
      <c r="C8" s="232"/>
    </row>
    <row r="9" spans="2:3" s="229" customFormat="1" ht="13.5" customHeight="1">
      <c r="B9" s="230" t="s">
        <v>572</v>
      </c>
      <c r="C9" s="232">
        <f>VLOOKUP(B9,Data!$A$1:$B$43,2,0)</f>
        <v>1</v>
      </c>
    </row>
    <row r="10" spans="2:3" s="229" customFormat="1" ht="13.5" customHeight="1">
      <c r="B10" s="231" t="s">
        <v>576</v>
      </c>
      <c r="C10" s="232"/>
    </row>
    <row r="11" spans="2:3" s="229" customFormat="1" ht="13.5" customHeight="1">
      <c r="B11" s="230" t="s">
        <v>577</v>
      </c>
      <c r="C11" s="232">
        <f>VLOOKUP(B11,Data!$A$1:$B$43,2,0)</f>
        <v>1</v>
      </c>
    </row>
    <row r="12" spans="2:3" s="229" customFormat="1" ht="13.5" customHeight="1">
      <c r="B12" s="231" t="s">
        <v>579</v>
      </c>
      <c r="C12" s="232"/>
    </row>
    <row r="13" spans="2:3" s="229" customFormat="1" ht="13.5" customHeight="1">
      <c r="B13" s="230" t="s">
        <v>582</v>
      </c>
      <c r="C13" s="232">
        <f>VLOOKUP(B13,Data!$A$1:$B$43,2,0)</f>
        <v>3</v>
      </c>
    </row>
    <row r="14" spans="2:3" s="229" customFormat="1" ht="13.5" customHeight="1">
      <c r="B14" s="231" t="s">
        <v>584</v>
      </c>
      <c r="C14" s="232"/>
    </row>
    <row r="15" spans="2:3" s="229" customFormat="1" ht="13.5" customHeight="1">
      <c r="B15" s="230" t="s">
        <v>585</v>
      </c>
      <c r="C15" s="232">
        <f>VLOOKUP(B15,Data!$A$1:$B$43,2,0)</f>
        <v>1</v>
      </c>
    </row>
    <row r="16" spans="2:3" s="229" customFormat="1" ht="13.5" customHeight="1">
      <c r="B16" s="231" t="s">
        <v>589</v>
      </c>
      <c r="C16" s="232"/>
    </row>
    <row r="17" spans="2:3" s="229" customFormat="1" ht="13.5" customHeight="1">
      <c r="B17" s="230" t="s">
        <v>590</v>
      </c>
      <c r="C17" s="232">
        <f>VLOOKUP(B17,Data!$A$1:$B$43,2,0)</f>
        <v>1</v>
      </c>
    </row>
    <row r="18" spans="2:3" s="229" customFormat="1" ht="13.5" customHeight="1">
      <c r="B18" s="231" t="s">
        <v>594</v>
      </c>
      <c r="C18" s="232"/>
    </row>
    <row r="19" spans="2:3" s="229" customFormat="1" ht="13.5" customHeight="1">
      <c r="B19" s="230" t="s">
        <v>596</v>
      </c>
      <c r="C19" s="232">
        <f>VLOOKUP(B19,Data!$A$1:$B$43,2,0)</f>
        <v>1</v>
      </c>
    </row>
    <row r="20" spans="2:3" s="229" customFormat="1" ht="13.5" customHeight="1">
      <c r="B20" s="231" t="s">
        <v>600</v>
      </c>
      <c r="C20" s="232"/>
    </row>
    <row r="21" spans="2:3" s="229" customFormat="1" ht="13.5" customHeight="1">
      <c r="B21" s="230" t="s">
        <v>602</v>
      </c>
      <c r="C21" s="232">
        <f>VLOOKUP(B21,Data!$A$1:$B$43,2,0)</f>
        <v>1</v>
      </c>
    </row>
    <row r="22" spans="2:3" ht="15" customHeight="1">
      <c r="B22" s="234" t="s">
        <v>538</v>
      </c>
      <c r="C22" s="233">
        <f>SUM(C4:C21)</f>
        <v>14</v>
      </c>
    </row>
    <row r="23" spans="2:3">
      <c r="B23" s="227" t="s">
        <v>539</v>
      </c>
      <c r="C23" s="228" t="str">
        <f>IF(C22&lt;15,"RẤT THẬN TRỌNG",IF(AND(C22&gt;=15,C22&lt;=19),"THẬN TRỌNG",IF(AND(C22&gt;=20,C22&lt;=24),"TRUNG BÌNH",IF(AND(C22&gt;=25,C22&lt;=29),"CAO",IF(AND(C22&gt;=30,C22&lt;=34),"RẤT CAO",0)))))</f>
        <v>RẤT THẬN TRỌNG</v>
      </c>
    </row>
    <row r="24" spans="2:3" ht="18" customHeight="1">
      <c r="B24" s="1321" t="str">
        <f>VLOOKUP(C23,Data!A47:B51,2,0)</f>
        <v>Quỹ Thận trọng hoặc kết hợp giữa Quỹ thận trọng và quỹ Cân bằng</v>
      </c>
      <c r="C24" s="1321"/>
    </row>
    <row r="25" spans="2:3" ht="30" customHeight="1">
      <c r="B25" s="1320" t="s">
        <v>617</v>
      </c>
      <c r="C25" s="1320"/>
    </row>
  </sheetData>
  <mergeCells count="2">
    <mergeCell ref="B25:C25"/>
    <mergeCell ref="B24:C24"/>
  </mergeCells>
  <conditionalFormatting sqref="B19">
    <cfRule type="expression" dxfId="6" priority="4">
      <formula>MOD(ROW(),2)&gt;0</formula>
    </cfRule>
  </conditionalFormatting>
  <conditionalFormatting sqref="B21">
    <cfRule type="expression" dxfId="5" priority="2">
      <formula>MOD(ROW(),2)&gt;0</formula>
    </cfRule>
  </conditionalFormatting>
  <conditionalFormatting sqref="B4:C21">
    <cfRule type="expression" dxfId="4" priority="1">
      <formula>MOD(ROW(),2)&gt;0</formula>
    </cfRule>
  </conditionalFormatting>
  <conditionalFormatting sqref="B5:C5 C6:C21 B7 B9 B11 B13 B15 B17">
    <cfRule type="expression" dxfId="3" priority="9">
      <formula>MOD(ROW(),2)&gt;0</formula>
    </cfRule>
  </conditionalFormatting>
  <pageMargins left="0.7" right="0.7" top="0.75" bottom="0.75" header="0.3" footer="0.3"/>
  <pageSetup paperSize="9" orientation="portrait" verticalDpi="0" r:id="rId1"/>
  <drawing r:id="rId2"/>
  <extLst>
    <ext xmlns:x14="http://schemas.microsoft.com/office/spreadsheetml/2009/9/main" uri="{CCE6A557-97BC-4b89-ADB6-D9C93CAAB3DF}">
      <x14:dataValidations xmlns:xm="http://schemas.microsoft.com/office/excel/2006/main" count="9">
        <x14:dataValidation type="list" allowBlank="1" showInputMessage="1" showErrorMessage="1" xr:uid="{CF0ADC12-CEE6-46AC-A0A0-A22BBC92E1AD}">
          <x14:formula1>
            <xm:f>Data!$A$2:$A$5</xm:f>
          </x14:formula1>
          <xm:sqref>B5</xm:sqref>
        </x14:dataValidation>
        <x14:dataValidation type="list" allowBlank="1" showInputMessage="1" showErrorMessage="1" xr:uid="{446F0F5F-69E0-4607-A5E6-D10EC0C02FCC}">
          <x14:formula1>
            <xm:f>Data!$A$7:$A$9</xm:f>
          </x14:formula1>
          <xm:sqref>B7</xm:sqref>
        </x14:dataValidation>
        <x14:dataValidation type="list" allowBlank="1" showInputMessage="1" showErrorMessage="1" xr:uid="{1949D5B2-AC9A-48A0-B9EE-C67DE34CF8E3}">
          <x14:formula1>
            <xm:f>Data!$A$11:$A$14</xm:f>
          </x14:formula1>
          <xm:sqref>B9</xm:sqref>
        </x14:dataValidation>
        <x14:dataValidation type="list" allowBlank="1" showInputMessage="1" showErrorMessage="1" xr:uid="{C07305E9-E0E4-414A-B242-941839E273CE}">
          <x14:formula1>
            <xm:f>Data!$A$16:$A$18</xm:f>
          </x14:formula1>
          <xm:sqref>B11</xm:sqref>
        </x14:dataValidation>
        <x14:dataValidation type="list" allowBlank="1" showInputMessage="1" showErrorMessage="1" xr:uid="{0C1B26DB-BB7F-40D2-BBFE-53EDBDDBD1DC}">
          <x14:formula1>
            <xm:f>Data!$A$20:$A$23</xm:f>
          </x14:formula1>
          <xm:sqref>B13</xm:sqref>
        </x14:dataValidation>
        <x14:dataValidation type="list" allowBlank="1" showInputMessage="1" showErrorMessage="1" xr:uid="{DA54CA73-134B-425B-BB95-183ABFCA87AA}">
          <x14:formula1>
            <xm:f>Data!$A$25:$A$28</xm:f>
          </x14:formula1>
          <xm:sqref>B15</xm:sqref>
        </x14:dataValidation>
        <x14:dataValidation type="list" allowBlank="1" showInputMessage="1" showErrorMessage="1" xr:uid="{74941DE3-DE29-42FF-A7F6-A41095A19AEF}">
          <x14:formula1>
            <xm:f>Data!$A$30:$A$33</xm:f>
          </x14:formula1>
          <xm:sqref>B17</xm:sqref>
        </x14:dataValidation>
        <x14:dataValidation type="list" allowBlank="1" showInputMessage="1" showErrorMessage="1" xr:uid="{8D89BD0E-E10C-42C9-A5FD-BEFED3ECD698}">
          <x14:formula1>
            <xm:f>Data!$A$35:$A$38</xm:f>
          </x14:formula1>
          <xm:sqref>B19</xm:sqref>
        </x14:dataValidation>
        <x14:dataValidation type="list" allowBlank="1" showInputMessage="1" showErrorMessage="1" xr:uid="{61FC1397-51FD-4FF3-AEC6-E72E7B119BCE}">
          <x14:formula1>
            <xm:f>Data!$A$40:$A$43</xm:f>
          </x14:formula1>
          <xm:sqref>B21</xm:sqref>
        </x14:dataValidation>
      </x14:dataValidations>
    </ext>
  </extLst>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D3C493-25B9-4EA0-8C50-CEE197DED1EA}">
  <dimension ref="A1:L51"/>
  <sheetViews>
    <sheetView topLeftCell="A36" workbookViewId="0">
      <selection activeCell="B52" sqref="B52"/>
    </sheetView>
  </sheetViews>
  <sheetFormatPr defaultColWidth="9.296875" defaultRowHeight="15.75" customHeight="1"/>
  <cols>
    <col min="1" max="1" width="141.796875" style="196" customWidth="1"/>
    <col min="2" max="2" width="56.5" style="196" customWidth="1"/>
    <col min="3" max="16384" width="9.296875" style="196"/>
  </cols>
  <sheetData>
    <row r="1" spans="1:12" ht="15.75" customHeight="1">
      <c r="A1" s="195" t="s">
        <v>540</v>
      </c>
    </row>
    <row r="2" spans="1:12" ht="15.75" customHeight="1">
      <c r="A2" s="222" t="s">
        <v>563</v>
      </c>
      <c r="B2" s="196">
        <v>1</v>
      </c>
    </row>
    <row r="3" spans="1:12" ht="15.75" customHeight="1">
      <c r="A3" s="222" t="s">
        <v>564</v>
      </c>
      <c r="B3" s="196">
        <v>2</v>
      </c>
      <c r="L3" s="197"/>
    </row>
    <row r="4" spans="1:12" ht="15.75" customHeight="1">
      <c r="A4" s="222" t="s">
        <v>565</v>
      </c>
      <c r="B4" s="196">
        <v>3</v>
      </c>
      <c r="L4" s="197"/>
    </row>
    <row r="5" spans="1:12" ht="15.75" customHeight="1">
      <c r="A5" s="222" t="s">
        <v>566</v>
      </c>
      <c r="B5" s="196">
        <v>4</v>
      </c>
    </row>
    <row r="6" spans="1:12" ht="15.75" customHeight="1">
      <c r="A6" s="196" t="s">
        <v>541</v>
      </c>
    </row>
    <row r="7" spans="1:12" ht="15.75" customHeight="1">
      <c r="A7" s="223" t="s">
        <v>568</v>
      </c>
      <c r="B7" s="196">
        <v>1</v>
      </c>
    </row>
    <row r="8" spans="1:12" ht="15.75" customHeight="1">
      <c r="A8" s="223" t="s">
        <v>569</v>
      </c>
      <c r="B8" s="196">
        <v>2</v>
      </c>
    </row>
    <row r="9" spans="1:12" ht="15.75" customHeight="1">
      <c r="A9" s="223" t="s">
        <v>570</v>
      </c>
      <c r="B9" s="196">
        <v>3</v>
      </c>
    </row>
    <row r="10" spans="1:12" ht="15.75" customHeight="1">
      <c r="A10" s="195" t="s">
        <v>542</v>
      </c>
    </row>
    <row r="11" spans="1:12" ht="15.75" customHeight="1">
      <c r="A11" s="222" t="s">
        <v>572</v>
      </c>
      <c r="B11" s="196">
        <v>1</v>
      </c>
    </row>
    <row r="12" spans="1:12" ht="15.75" customHeight="1">
      <c r="A12" s="222" t="s">
        <v>573</v>
      </c>
      <c r="B12" s="196">
        <v>2</v>
      </c>
    </row>
    <row r="13" spans="1:12" ht="15.75" customHeight="1">
      <c r="A13" s="222" t="s">
        <v>574</v>
      </c>
      <c r="B13" s="196">
        <v>3</v>
      </c>
    </row>
    <row r="14" spans="1:12" ht="15.75" customHeight="1">
      <c r="A14" s="222" t="s">
        <v>575</v>
      </c>
      <c r="B14" s="196">
        <v>4</v>
      </c>
    </row>
    <row r="15" spans="1:12" ht="15.75" customHeight="1">
      <c r="A15" s="196" t="s">
        <v>543</v>
      </c>
    </row>
    <row r="16" spans="1:12" ht="15.75" customHeight="1">
      <c r="A16" s="222" t="s">
        <v>577</v>
      </c>
      <c r="B16" s="196">
        <v>1</v>
      </c>
    </row>
    <row r="17" spans="1:2" ht="15.75" customHeight="1">
      <c r="A17" s="222" t="s">
        <v>578</v>
      </c>
      <c r="B17" s="196">
        <v>2</v>
      </c>
    </row>
    <row r="18" spans="1:2" ht="15.75" customHeight="1">
      <c r="A18" s="222" t="s">
        <v>606</v>
      </c>
      <c r="B18" s="196">
        <v>3</v>
      </c>
    </row>
    <row r="19" spans="1:2" ht="15.75" customHeight="1">
      <c r="A19" s="196" t="s">
        <v>544</v>
      </c>
    </row>
    <row r="20" spans="1:2" ht="15.75" customHeight="1">
      <c r="A20" s="222" t="s">
        <v>580</v>
      </c>
      <c r="B20" s="196">
        <v>1</v>
      </c>
    </row>
    <row r="21" spans="1:2" ht="15.75" customHeight="1">
      <c r="A21" s="222" t="s">
        <v>581</v>
      </c>
      <c r="B21" s="196">
        <v>2</v>
      </c>
    </row>
    <row r="22" spans="1:2" ht="15.75" customHeight="1">
      <c r="A22" s="222" t="s">
        <v>582</v>
      </c>
      <c r="B22" s="196">
        <v>3</v>
      </c>
    </row>
    <row r="23" spans="1:2" ht="15.75" customHeight="1">
      <c r="A23" s="222" t="s">
        <v>583</v>
      </c>
      <c r="B23" s="196">
        <v>4</v>
      </c>
    </row>
    <row r="24" spans="1:2" ht="15.75" customHeight="1">
      <c r="A24" s="196" t="s">
        <v>545</v>
      </c>
    </row>
    <row r="25" spans="1:2" ht="15.75" customHeight="1">
      <c r="A25" s="222" t="s">
        <v>585</v>
      </c>
      <c r="B25" s="196">
        <v>1</v>
      </c>
    </row>
    <row r="26" spans="1:2" ht="15.75" customHeight="1">
      <c r="A26" s="222" t="s">
        <v>586</v>
      </c>
      <c r="B26" s="196">
        <v>2</v>
      </c>
    </row>
    <row r="27" spans="1:2" ht="15.75" customHeight="1">
      <c r="A27" s="222" t="s">
        <v>587</v>
      </c>
      <c r="B27" s="196">
        <v>3</v>
      </c>
    </row>
    <row r="28" spans="1:2" ht="15.75" customHeight="1">
      <c r="A28" s="222" t="s">
        <v>588</v>
      </c>
      <c r="B28" s="196">
        <v>4</v>
      </c>
    </row>
    <row r="29" spans="1:2" ht="15.75" customHeight="1">
      <c r="A29" s="223" t="s">
        <v>591</v>
      </c>
    </row>
    <row r="30" spans="1:2" ht="15.75" customHeight="1">
      <c r="A30" s="223" t="s">
        <v>590</v>
      </c>
      <c r="B30" s="196">
        <v>1</v>
      </c>
    </row>
    <row r="31" spans="1:2" ht="15.75" customHeight="1">
      <c r="A31" s="223" t="s">
        <v>592</v>
      </c>
      <c r="B31" s="196">
        <v>2</v>
      </c>
    </row>
    <row r="32" spans="1:2" ht="15.75" customHeight="1">
      <c r="A32" s="223" t="s">
        <v>593</v>
      </c>
      <c r="B32" s="196">
        <v>3</v>
      </c>
    </row>
    <row r="33" spans="1:2" ht="15.75" customHeight="1">
      <c r="A33" s="223" t="s">
        <v>593</v>
      </c>
      <c r="B33" s="196">
        <v>4</v>
      </c>
    </row>
    <row r="34" spans="1:2" ht="15.75" customHeight="1">
      <c r="A34" s="223" t="s">
        <v>595</v>
      </c>
    </row>
    <row r="35" spans="1:2" ht="15.75" customHeight="1">
      <c r="A35" s="223" t="s">
        <v>596</v>
      </c>
      <c r="B35" s="196">
        <v>1</v>
      </c>
    </row>
    <row r="36" spans="1:2" ht="15.75" customHeight="1">
      <c r="A36" s="223" t="s">
        <v>597</v>
      </c>
      <c r="B36" s="196">
        <v>2</v>
      </c>
    </row>
    <row r="37" spans="1:2" ht="15.75" customHeight="1">
      <c r="A37" s="223" t="s">
        <v>598</v>
      </c>
      <c r="B37" s="196">
        <v>3</v>
      </c>
    </row>
    <row r="38" spans="1:2" ht="15.75" customHeight="1">
      <c r="A38" s="223" t="s">
        <v>599</v>
      </c>
      <c r="B38" s="196">
        <v>4</v>
      </c>
    </row>
    <row r="39" spans="1:2" ht="15.75" customHeight="1">
      <c r="A39" s="223" t="s">
        <v>601</v>
      </c>
    </row>
    <row r="40" spans="1:2" ht="15.75" customHeight="1">
      <c r="A40" s="225" t="s">
        <v>602</v>
      </c>
      <c r="B40" s="196">
        <v>1</v>
      </c>
    </row>
    <row r="41" spans="1:2" ht="15.75" customHeight="1">
      <c r="A41" s="225" t="s">
        <v>603</v>
      </c>
      <c r="B41" s="196">
        <v>2</v>
      </c>
    </row>
    <row r="42" spans="1:2" ht="15.75" customHeight="1">
      <c r="A42" s="225" t="s">
        <v>604</v>
      </c>
      <c r="B42" s="196">
        <v>3</v>
      </c>
    </row>
    <row r="43" spans="1:2" ht="15.75" customHeight="1">
      <c r="A43" s="225" t="s">
        <v>605</v>
      </c>
      <c r="B43" s="196">
        <v>4</v>
      </c>
    </row>
    <row r="47" spans="1:2" ht="15.75" customHeight="1">
      <c r="A47" s="225" t="s">
        <v>607</v>
      </c>
      <c r="B47" s="223" t="s">
        <v>612</v>
      </c>
    </row>
    <row r="48" spans="1:2" ht="15.75" customHeight="1">
      <c r="A48" s="223" t="s">
        <v>608</v>
      </c>
      <c r="B48" s="223" t="s">
        <v>613</v>
      </c>
    </row>
    <row r="49" spans="1:2" ht="15.75" customHeight="1">
      <c r="A49" s="223" t="s">
        <v>609</v>
      </c>
      <c r="B49" s="223" t="s">
        <v>614</v>
      </c>
    </row>
    <row r="50" spans="1:2" ht="15.75" customHeight="1">
      <c r="A50" s="223" t="s">
        <v>610</v>
      </c>
      <c r="B50" s="223" t="s">
        <v>615</v>
      </c>
    </row>
    <row r="51" spans="1:2" ht="15.75" customHeight="1">
      <c r="A51" s="223" t="s">
        <v>611</v>
      </c>
      <c r="B51" s="223" t="s">
        <v>616</v>
      </c>
    </row>
  </sheetData>
  <conditionalFormatting sqref="L3:L4">
    <cfRule type="containsText" dxfId="2" priority="1" operator="containsText" text="N">
      <formula>NOT(ISERROR(SEARCH("N",L3)))</formula>
    </cfRule>
    <cfRule type="containsText" dxfId="1" priority="2" operator="containsText" text="Y">
      <formula>NOT(ISERROR(SEARCH("Y",L3)))</formula>
    </cfRule>
    <cfRule type="containsText" dxfId="0" priority="3" operator="containsText" text="Y">
      <formula>NOT(ISERROR(SEARCH("Y",L3)))</formula>
    </cfRule>
  </conditionalFormatting>
  <dataValidations count="1">
    <dataValidation type="list" allowBlank="1" showErrorMessage="1" promptTitle="hhhh" prompt="hhhh" sqref="L3:L4" xr:uid="{EB1B1FB1-8279-470B-B888-DE01155E1351}">
      <formula1>"Y,N"</formula1>
    </dataValidation>
  </dataValidation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83</vt:i4>
      </vt:variant>
      <vt:variant>
        <vt:lpstr>Named Ranges</vt:lpstr>
      </vt:variant>
      <vt:variant>
        <vt:i4>1</vt:i4>
      </vt:variant>
    </vt:vector>
  </HeadingPairs>
  <TitlesOfParts>
    <vt:vector size="84" baseType="lpstr">
      <vt:lpstr>Start</vt:lpstr>
      <vt:lpstr>Gioithieubanthan</vt:lpstr>
      <vt:lpstr>Hoach dinh tai chinh</vt:lpstr>
      <vt:lpstr>Chitieu</vt:lpstr>
      <vt:lpstr>Tinh phi QL</vt:lpstr>
      <vt:lpstr>Hoavon</vt:lpstr>
      <vt:lpstr>Tom Tat QL</vt:lpstr>
      <vt:lpstr>Than so hoc</vt:lpstr>
      <vt:lpstr>VTLGTTKcamket</vt:lpstr>
      <vt:lpstr>VTLGTTKMH</vt:lpstr>
      <vt:lpstr>KBAGTTKcamket</vt:lpstr>
      <vt:lpstr>KBAGTTKMH</vt:lpstr>
      <vt:lpstr>KTVBVGTTKcamket</vt:lpstr>
      <vt:lpstr>KTVBVGTTKMH</vt:lpstr>
      <vt:lpstr>KTVTUGTTKcamket</vt:lpstr>
      <vt:lpstr>KTVTDGTTKcamket</vt:lpstr>
      <vt:lpstr>KTVTDGTTKMH</vt:lpstr>
      <vt:lpstr>KTVTUGTTKMH</vt:lpstr>
      <vt:lpstr>KTVTU20namcamket</vt:lpstr>
      <vt:lpstr>KTVTUCOI</vt:lpstr>
      <vt:lpstr>KTVBVPhi20nam</vt:lpstr>
      <vt:lpstr>KTVTU20namMH</vt:lpstr>
      <vt:lpstr>KTV</vt:lpstr>
      <vt:lpstr>LS</vt:lpstr>
      <vt:lpstr>VTLPhi</vt:lpstr>
      <vt:lpstr>Bao cao HDTC</vt:lpstr>
      <vt:lpstr>KTVTD20namMH</vt:lpstr>
      <vt:lpstr>KTVTRDGTTKcamket</vt:lpstr>
      <vt:lpstr>KTVTRDGTTKMH</vt:lpstr>
      <vt:lpstr>KTVTRDPhi</vt:lpstr>
      <vt:lpstr>KTVTRD20namMH</vt:lpstr>
      <vt:lpstr>KST</vt:lpstr>
      <vt:lpstr>KTVTRD20namcamket</vt:lpstr>
      <vt:lpstr>Giá Quỹ</vt:lpstr>
      <vt:lpstr>KTVBVPhi</vt:lpstr>
      <vt:lpstr>KTVCOI</vt:lpstr>
      <vt:lpstr>KTVTDPhi</vt:lpstr>
      <vt:lpstr>KTVBV20namMH</vt:lpstr>
      <vt:lpstr>KTVTDPhi20nam</vt:lpstr>
      <vt:lpstr>KTVBV20namcamket</vt:lpstr>
      <vt:lpstr>KTVTD20namcamket</vt:lpstr>
      <vt:lpstr>VTLPhi20nam</vt:lpstr>
      <vt:lpstr>TTD</vt:lpstr>
      <vt:lpstr>The</vt:lpstr>
      <vt:lpstr>BVTC</vt:lpstr>
      <vt:lpstr>Giaoduc</vt:lpstr>
      <vt:lpstr>Huu Tri</vt:lpstr>
      <vt:lpstr>Gia tang tai san</vt:lpstr>
      <vt:lpstr>Cham soc suc khoe</vt:lpstr>
      <vt:lpstr>TCYT</vt:lpstr>
      <vt:lpstr>Tuky</vt:lpstr>
      <vt:lpstr>BHN</vt:lpstr>
      <vt:lpstr>MTPNam</vt:lpstr>
      <vt:lpstr>MTPNu</vt:lpstr>
      <vt:lpstr>BGL</vt:lpstr>
      <vt:lpstr>KBAPhi</vt:lpstr>
      <vt:lpstr>KBA20namMH</vt:lpstr>
      <vt:lpstr>KBACOI</vt:lpstr>
      <vt:lpstr>KBA20namcamket</vt:lpstr>
      <vt:lpstr>VTL20namMH</vt:lpstr>
      <vt:lpstr>VTLCOI</vt:lpstr>
      <vt:lpstr>KBA</vt:lpstr>
      <vt:lpstr>VTL20namcamket</vt:lpstr>
      <vt:lpstr>Van hanh Quy &amp; so sanh</vt:lpstr>
      <vt:lpstr>Chi phi phong giuong</vt:lpstr>
      <vt:lpstr>Chi phi BHN</vt:lpstr>
      <vt:lpstr>CHUNG</vt:lpstr>
      <vt:lpstr>BIỂU ĐỒ TÊN</vt:lpstr>
      <vt:lpstr>BÀI HỌC NGHIỆP</vt:lpstr>
      <vt:lpstr>BIỂU ĐỒ</vt:lpstr>
      <vt:lpstr>ĐƯỜNG ĐỜI</vt:lpstr>
      <vt:lpstr>VẬN MỆNH</vt:lpstr>
      <vt:lpstr>LINH HỒN</vt:lpstr>
      <vt:lpstr>TÍNH CÁCH</vt:lpstr>
      <vt:lpstr>NGÀY SINH</vt:lpstr>
      <vt:lpstr>THÁI ĐỘ</vt:lpstr>
      <vt:lpstr>THÁNG CÁ NHÂN</vt:lpstr>
      <vt:lpstr>TRƯỞNG THÀNH</vt:lpstr>
      <vt:lpstr>NĂM CÁ NHÂN</vt:lpstr>
      <vt:lpstr>CĂNG THẲNG TÂM HỒN</vt:lpstr>
      <vt:lpstr>4 cach tinh STBH</vt:lpstr>
      <vt:lpstr>Result</vt:lpstr>
      <vt:lpstr>Data</vt:lpstr>
      <vt:lpstr>'Bao cao HDTC'!Print_Area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Silver MC plus rider - Prem Rate - Approval.pdf</dc:title>
  <dc:creator>hunhknh</dc:creator>
  <cp:lastModifiedBy>huy tran</cp:lastModifiedBy>
  <cp:lastPrinted>2026-05-18T02:37:54Z</cp:lastPrinted>
  <dcterms:created xsi:type="dcterms:W3CDTF">2023-11-22T23:06:38Z</dcterms:created>
  <dcterms:modified xsi:type="dcterms:W3CDTF">2026-07-26T11:13:36Z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2022-12-27T00:00:00Z</vt:filetime>
  </property>
  <property fmtid="{D5CDD505-2E9C-101B-9397-08002B2CF9AE}" pid="3" name="LastSaved">
    <vt:filetime>2023-11-22T00:00:00Z</vt:filetime>
  </property>
  <property fmtid="{D5CDD505-2E9C-101B-9397-08002B2CF9AE}" pid="4" name="Producer">
    <vt:lpwstr>Microsoft: Print To PDF</vt:lpwstr>
  </property>
</Properties>
</file>