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-45" windowWidth="17400" windowHeight="8430" activeTab="1"/>
  </bookViews>
  <sheets>
    <sheet name="Client Data" sheetId="9" r:id="rId1"/>
    <sheet name="Scoring variables and weights" sheetId="10" r:id="rId2"/>
    <sheet name="Rating model" sheetId="11" r:id="rId3"/>
  </sheets>
  <calcPr calcId="124519"/>
</workbook>
</file>

<file path=xl/calcChain.xml><?xml version="1.0" encoding="utf-8"?>
<calcChain xmlns="http://schemas.openxmlformats.org/spreadsheetml/2006/main">
  <c r="F41" i="9"/>
  <c r="B28" i="11" l="1"/>
  <c r="D31" l="1"/>
  <c r="D35"/>
  <c r="D36" s="1"/>
  <c r="C10" i="10"/>
  <c r="B38" i="9"/>
  <c r="B39"/>
  <c r="B40"/>
  <c r="B37"/>
  <c r="C9" i="10" s="1"/>
  <c r="C89"/>
  <c r="C129"/>
  <c r="C109"/>
  <c r="C65"/>
  <c r="H141"/>
  <c r="H134"/>
  <c r="H128"/>
  <c r="H122"/>
  <c r="H116"/>
  <c r="H108"/>
  <c r="H103"/>
  <c r="H98"/>
  <c r="H93"/>
  <c r="H88"/>
  <c r="H83"/>
  <c r="H77"/>
  <c r="H71"/>
  <c r="H64"/>
  <c r="H60"/>
  <c r="H57"/>
  <c r="H52"/>
  <c r="H48"/>
  <c r="H43"/>
  <c r="H37"/>
  <c r="H31"/>
  <c r="H23"/>
  <c r="H18"/>
  <c r="I141"/>
  <c r="I134"/>
  <c r="I128"/>
  <c r="I122"/>
  <c r="I116"/>
  <c r="I129" s="1"/>
  <c r="I108"/>
  <c r="I103"/>
  <c r="I98"/>
  <c r="I93"/>
  <c r="I109" s="1"/>
  <c r="I88"/>
  <c r="I83"/>
  <c r="I77"/>
  <c r="I71"/>
  <c r="I64"/>
  <c r="I60"/>
  <c r="I57"/>
  <c r="I52"/>
  <c r="I48"/>
  <c r="I23"/>
  <c r="I18"/>
  <c r="I43"/>
  <c r="I37"/>
  <c r="I31"/>
  <c r="D52"/>
  <c r="A50"/>
  <c r="A51"/>
  <c r="A49"/>
  <c r="A118"/>
  <c r="A119"/>
  <c r="A120"/>
  <c r="A121"/>
  <c r="A117"/>
  <c r="D122"/>
  <c r="D116"/>
  <c r="A38"/>
  <c r="A39"/>
  <c r="A40"/>
  <c r="A41"/>
  <c r="A42"/>
  <c r="D57"/>
  <c r="A54"/>
  <c r="A55"/>
  <c r="A56"/>
  <c r="A53"/>
  <c r="I89" l="1"/>
  <c r="H89"/>
  <c r="I65"/>
  <c r="H65"/>
  <c r="H109"/>
  <c r="H129"/>
  <c r="E122"/>
  <c r="E36" i="11"/>
  <c r="D33"/>
  <c r="E33" s="1"/>
  <c r="E31"/>
  <c r="E35"/>
  <c r="D37"/>
  <c r="E37" s="1"/>
  <c r="F122" i="10"/>
  <c r="E52"/>
  <c r="F52" s="1"/>
  <c r="E57"/>
  <c r="A112"/>
  <c r="A113"/>
  <c r="A114"/>
  <c r="A115"/>
  <c r="A111"/>
  <c r="E116" s="1"/>
  <c r="F223" i="9"/>
  <c r="D93" i="10" s="1"/>
  <c r="E93" s="1"/>
  <c r="D71"/>
  <c r="C171" i="9"/>
  <c r="A68" i="10"/>
  <c r="A69"/>
  <c r="A70"/>
  <c r="A67"/>
  <c r="A62"/>
  <c r="A63"/>
  <c r="A61"/>
  <c r="A59"/>
  <c r="A58"/>
  <c r="A45"/>
  <c r="A46"/>
  <c r="A47"/>
  <c r="A44"/>
  <c r="D18"/>
  <c r="A14"/>
  <c r="A15"/>
  <c r="A16"/>
  <c r="A17"/>
  <c r="A13"/>
  <c r="F34" i="9"/>
  <c r="D5" i="10"/>
  <c r="E5" s="1"/>
  <c r="D4"/>
  <c r="D3"/>
  <c r="C172" i="9"/>
  <c r="C173"/>
  <c r="C174"/>
  <c r="G93" i="10" l="1"/>
  <c r="C25" i="11" s="1"/>
  <c r="F93" i="10"/>
  <c r="E71"/>
  <c r="F182" i="9"/>
  <c r="F32" l="1"/>
  <c r="F33" s="1"/>
  <c r="F151"/>
  <c r="F147"/>
  <c r="F43" s="1"/>
  <c r="F152" l="1"/>
  <c r="F35"/>
  <c r="D32" i="11" s="1"/>
  <c r="D141" i="10"/>
  <c r="E141" s="1"/>
  <c r="D134"/>
  <c r="E134" s="1"/>
  <c r="D48"/>
  <c r="D64"/>
  <c r="F105" i="9"/>
  <c r="D31" i="10" s="1"/>
  <c r="E31" s="1"/>
  <c r="B27" i="11"/>
  <c r="B26"/>
  <c r="B24"/>
  <c r="B23"/>
  <c r="B22"/>
  <c r="B21"/>
  <c r="F42" i="9"/>
  <c r="D83" i="10"/>
  <c r="B17" i="11"/>
  <c r="B18"/>
  <c r="B19"/>
  <c r="B16"/>
  <c r="D108" i="10"/>
  <c r="D103"/>
  <c r="D98"/>
  <c r="E32" i="11" l="1"/>
  <c r="D34"/>
  <c r="E34" s="1"/>
  <c r="E98" i="10"/>
  <c r="G98"/>
  <c r="C26" i="11" s="1"/>
  <c r="E108" i="10"/>
  <c r="G108"/>
  <c r="C28" i="11" s="1"/>
  <c r="E103" i="10"/>
  <c r="G103"/>
  <c r="E83"/>
  <c r="G83"/>
  <c r="C23" i="11" s="1"/>
  <c r="F49" i="9"/>
  <c r="D10" i="10" s="1"/>
  <c r="E10" s="1"/>
  <c r="G128" s="1"/>
  <c r="D9"/>
  <c r="E9" s="1"/>
  <c r="C21" i="11" s="1"/>
  <c r="F103" i="10"/>
  <c r="C27" i="11"/>
  <c r="F108" i="10"/>
  <c r="E109" l="1"/>
  <c r="D128"/>
  <c r="C22" i="11"/>
  <c r="E7" i="10"/>
  <c r="C19" i="11" s="1"/>
  <c r="E6" i="10"/>
  <c r="C18" i="11" s="1"/>
  <c r="E128" i="10" l="1"/>
  <c r="F109" i="9"/>
  <c r="D37" i="10" s="1"/>
  <c r="E37" s="1"/>
  <c r="F37" s="1"/>
  <c r="B15" i="11"/>
  <c r="A15"/>
  <c r="D2" i="10"/>
  <c r="B2"/>
  <c r="F128" l="1"/>
  <c r="E129"/>
  <c r="I142"/>
  <c r="F141"/>
  <c r="F134"/>
  <c r="F98"/>
  <c r="F109" s="1"/>
  <c r="F83"/>
  <c r="D88"/>
  <c r="D77"/>
  <c r="E88" l="1"/>
  <c r="F88" s="1"/>
  <c r="G88"/>
  <c r="C24" i="11" s="1"/>
  <c r="H142" i="10"/>
  <c r="E77"/>
  <c r="F71"/>
  <c r="F142"/>
  <c r="C142"/>
  <c r="E142"/>
  <c r="E64"/>
  <c r="F64" s="1"/>
  <c r="D60"/>
  <c r="E60" s="1"/>
  <c r="F60" s="1"/>
  <c r="E48"/>
  <c r="F48" s="1"/>
  <c r="D43"/>
  <c r="E43" s="1"/>
  <c r="D23"/>
  <c r="E23" s="1"/>
  <c r="E18"/>
  <c r="F18" s="1"/>
  <c r="E4"/>
  <c r="C17" i="11" s="1"/>
  <c r="F77" i="10" l="1"/>
  <c r="F89" s="1"/>
  <c r="E89"/>
  <c r="E65"/>
  <c r="C144"/>
  <c r="E3"/>
  <c r="C16" i="11" s="1"/>
  <c r="F116" i="10"/>
  <c r="F129" s="1"/>
  <c r="H144"/>
  <c r="E10" i="11" s="1"/>
  <c r="F57" i="10"/>
  <c r="F43"/>
  <c r="I144"/>
  <c r="D3" i="11" s="1"/>
  <c r="F23" i="10"/>
  <c r="E3" i="11" l="1"/>
  <c r="F31" i="10"/>
  <c r="F65" l="1"/>
  <c r="F144" s="1"/>
  <c r="D15" i="11" s="1"/>
  <c r="E144" i="10"/>
  <c r="D4" i="11"/>
  <c r="E4" l="1"/>
  <c r="D5" s="1"/>
  <c r="E5" s="1"/>
  <c r="D6" s="1"/>
  <c r="E6" l="1"/>
  <c r="D7" s="1"/>
  <c r="E7" l="1"/>
  <c r="D8" s="1"/>
  <c r="E8" l="1"/>
  <c r="D9" l="1"/>
  <c r="C15" l="1"/>
  <c r="F15" s="1"/>
  <c r="E30" s="1"/>
  <c r="D39" s="1"/>
  <c r="E39" s="1"/>
  <c r="E9"/>
  <c r="D10" s="1"/>
</calcChain>
</file>

<file path=xl/sharedStrings.xml><?xml version="1.0" encoding="utf-8"?>
<sst xmlns="http://schemas.openxmlformats.org/spreadsheetml/2006/main" count="539" uniqueCount="332">
  <si>
    <t>Visa</t>
  </si>
  <si>
    <t>Diners Club</t>
  </si>
  <si>
    <t>Judgement</t>
  </si>
  <si>
    <t>Default Data</t>
  </si>
  <si>
    <t>Trace Alerts</t>
  </si>
  <si>
    <t>Amount</t>
  </si>
  <si>
    <t xml:space="preserve">ITC reference number </t>
  </si>
  <si>
    <t>TransUnion ITC Subject Number</t>
  </si>
  <si>
    <t>Borrower Name</t>
  </si>
  <si>
    <t>Given Name</t>
  </si>
  <si>
    <t>XXX</t>
  </si>
  <si>
    <t>Official Identification</t>
  </si>
  <si>
    <t>ID number Borrower</t>
  </si>
  <si>
    <t>ID #</t>
  </si>
  <si>
    <t>ID number Spouse/Partner</t>
  </si>
  <si>
    <t>Marital Status</t>
  </si>
  <si>
    <t>Single</t>
  </si>
  <si>
    <t>Married</t>
  </si>
  <si>
    <t>Divorced</t>
  </si>
  <si>
    <t>Widowed</t>
  </si>
  <si>
    <t>Marital contract type</t>
  </si>
  <si>
    <t>other</t>
  </si>
  <si>
    <t>0 to 12 years of age</t>
  </si>
  <si>
    <t>#</t>
  </si>
  <si>
    <t>Grand Parents</t>
  </si>
  <si>
    <t>Aunts / Uncles / cousins</t>
  </si>
  <si>
    <t>Other</t>
  </si>
  <si>
    <t>detail</t>
  </si>
  <si>
    <t>Building name, floor…</t>
  </si>
  <si>
    <t>Street Name &amp; number</t>
  </si>
  <si>
    <t>Town</t>
  </si>
  <si>
    <t>postal code</t>
  </si>
  <si>
    <t>Country</t>
  </si>
  <si>
    <t>Years at present address</t>
  </si>
  <si>
    <t># years working at present employer</t>
  </si>
  <si>
    <t>Borrower</t>
  </si>
  <si>
    <t>Real Estate</t>
  </si>
  <si>
    <t>First Residence</t>
  </si>
  <si>
    <t>Second home</t>
  </si>
  <si>
    <t>Real Estate for rental</t>
  </si>
  <si>
    <t>Financial Investments</t>
  </si>
  <si>
    <t>Shares</t>
  </si>
  <si>
    <t>Bonds</t>
  </si>
  <si>
    <t>Other Investments</t>
  </si>
  <si>
    <t>Savings accounts</t>
  </si>
  <si>
    <t>Bank Deposits accounts</t>
  </si>
  <si>
    <t>Have you subscribed to insurances?</t>
  </si>
  <si>
    <t>Life Insurance</t>
  </si>
  <si>
    <t>Medical Insurance</t>
  </si>
  <si>
    <t>Family Insurance</t>
  </si>
  <si>
    <t>House Insurance</t>
  </si>
  <si>
    <t>Car Insurance</t>
  </si>
  <si>
    <t>Mortgage loans</t>
  </si>
  <si>
    <t>Fixed/Float</t>
  </si>
  <si>
    <t>?</t>
  </si>
  <si>
    <t>BBS</t>
  </si>
  <si>
    <t>BBS Relationship</t>
  </si>
  <si>
    <t>Savings account</t>
  </si>
  <si>
    <t>Deposit account</t>
  </si>
  <si>
    <t>Share account</t>
  </si>
  <si>
    <t>ST loans</t>
  </si>
  <si>
    <t>Mortgages</t>
  </si>
  <si>
    <t>Why was this needed ?</t>
  </si>
  <si>
    <t>Unexpected expenses</t>
  </si>
  <si>
    <t>Increased instalments</t>
  </si>
  <si>
    <t>Reduced revenues</t>
  </si>
  <si>
    <t>Passport number Borrower</t>
  </si>
  <si>
    <t>Passport number Spouse/Partner</t>
  </si>
  <si>
    <t>Number of Dependants</t>
  </si>
  <si>
    <t>Borrower Present Address</t>
  </si>
  <si>
    <t>Own/Rent</t>
  </si>
  <si>
    <t>Amount outstanding</t>
  </si>
  <si>
    <t>Estimated Value</t>
  </si>
  <si>
    <t>YES/NO</t>
  </si>
  <si>
    <t>LIABILITIES</t>
  </si>
  <si>
    <t>ASSETS</t>
  </si>
  <si>
    <t>1 (Bank name)</t>
  </si>
  <si>
    <t>2 (Bank name)</t>
  </si>
  <si>
    <t>3 (Bank name)</t>
  </si>
  <si>
    <t>Auto loans</t>
  </si>
  <si>
    <t>Overdrafts</t>
  </si>
  <si>
    <t>Financial Assets &amp; Liabilities (household)</t>
  </si>
  <si>
    <t>Instalment pm</t>
  </si>
  <si>
    <t>Premium pm</t>
  </si>
  <si>
    <t>AMEX</t>
  </si>
  <si>
    <t>Master Card</t>
  </si>
  <si>
    <t>Other initials or given names</t>
  </si>
  <si>
    <t>Spouse/Partner Borrowing relationship</t>
  </si>
  <si>
    <t>Employee</t>
  </si>
  <si>
    <t>Civil Servant</t>
  </si>
  <si>
    <t>Self Employed</t>
  </si>
  <si>
    <t>Credit Bureau Consumer Enquiry (TransUnion ITC)</t>
  </si>
  <si>
    <t>Surname Name</t>
  </si>
  <si>
    <t>ITC REPORT SUB-RECORD</t>
  </si>
  <si>
    <t>Personal Data</t>
  </si>
  <si>
    <t>Single or double salary</t>
  </si>
  <si>
    <t>Double</t>
  </si>
  <si>
    <t>Education level</t>
  </si>
  <si>
    <t>None</t>
  </si>
  <si>
    <t>total number</t>
  </si>
  <si>
    <t>Farm for own use</t>
  </si>
  <si>
    <t>Mutual share accounts (BBS)</t>
  </si>
  <si>
    <t>Score</t>
  </si>
  <si>
    <t>University</t>
  </si>
  <si>
    <t>Monthly payment (rental/instalment)</t>
  </si>
  <si>
    <t>Trusts &amp; Funds (excl. Pension Fund)</t>
  </si>
  <si>
    <t>Professional category</t>
  </si>
  <si>
    <t>General initial data</t>
  </si>
  <si>
    <t>Area of residence</t>
  </si>
  <si>
    <t>Major Urban</t>
  </si>
  <si>
    <t>Minor Urban</t>
  </si>
  <si>
    <t>Rural</t>
  </si>
  <si>
    <t>18 - 24</t>
  </si>
  <si>
    <t>35 - 45</t>
  </si>
  <si>
    <t>25 - 34</t>
  </si>
  <si>
    <t>45 +</t>
  </si>
  <si>
    <t>Number of household members</t>
  </si>
  <si>
    <t>Years of banking relationship with BBS</t>
  </si>
  <si>
    <t># of arrears incidence over the last 12 months</t>
  </si>
  <si>
    <t>Blacklist Flag</t>
  </si>
  <si>
    <t>Reject</t>
  </si>
  <si>
    <t>Characteristics / Attributes</t>
  </si>
  <si>
    <t>Answer</t>
  </si>
  <si>
    <t>Spouse, Partner, Co-Borrower Name</t>
  </si>
  <si>
    <t>Length &amp; depth of banking BBS relationship</t>
  </si>
  <si>
    <t>Product characteristics</t>
  </si>
  <si>
    <t>Mortgage Loan Type</t>
  </si>
  <si>
    <t>xxx</t>
  </si>
  <si>
    <t>zzzzzzzzzzz</t>
  </si>
  <si>
    <t>na</t>
  </si>
  <si>
    <t>ccc</t>
  </si>
  <si>
    <t>n</t>
  </si>
  <si>
    <t>Customer type</t>
  </si>
  <si>
    <t>Reject if foreign</t>
  </si>
  <si>
    <t>Reject if legal</t>
  </si>
  <si>
    <t>YES / NO</t>
  </si>
  <si>
    <t>Birth dates</t>
  </si>
  <si>
    <t>Spouse</t>
  </si>
  <si>
    <t>Children living at home</t>
  </si>
  <si>
    <t>Other dependents living in household</t>
  </si>
  <si>
    <t>Technical School</t>
  </si>
  <si>
    <t>Secondary School</t>
  </si>
  <si>
    <t>Primary School</t>
  </si>
  <si>
    <t xml:space="preserve">Professional category </t>
  </si>
  <si>
    <t>Second Bank</t>
  </si>
  <si>
    <t>MIN</t>
  </si>
  <si>
    <t>MAX</t>
  </si>
  <si>
    <t>SCORING ATTRIBUTES</t>
  </si>
  <si>
    <t>Weight</t>
  </si>
  <si>
    <t>Result</t>
  </si>
  <si>
    <t>weighted score</t>
  </si>
  <si>
    <t>TOTAL FINAL RESULTS</t>
  </si>
  <si>
    <t>Possible score</t>
  </si>
  <si>
    <t>Write-Off</t>
  </si>
  <si>
    <t>Excellent very low PD</t>
  </si>
  <si>
    <t>Very Good low PD</t>
  </si>
  <si>
    <t>Average creditworthiness average PD</t>
  </si>
  <si>
    <t>Special Mention</t>
  </si>
  <si>
    <t>Non Accruing</t>
  </si>
  <si>
    <t>Loss</t>
  </si>
  <si>
    <t>Standard</t>
  </si>
  <si>
    <t>Possible default, watch list</t>
  </si>
  <si>
    <t>high risk but still acceptable PD</t>
  </si>
  <si>
    <t>Past due 30 days</t>
  </si>
  <si>
    <t>Past due 90 days</t>
  </si>
  <si>
    <t>Loan called and Collateral repossessed</t>
  </si>
  <si>
    <t>Good existing but still low PD</t>
  </si>
  <si>
    <t>Max</t>
  </si>
  <si>
    <t>Min</t>
  </si>
  <si>
    <t>PD</t>
  </si>
  <si>
    <t>Rating</t>
  </si>
  <si>
    <t>RATE</t>
  </si>
  <si>
    <t>Judgements</t>
  </si>
  <si>
    <t>Defaults</t>
  </si>
  <si>
    <t>Traces</t>
  </si>
  <si>
    <t>if 0 = good; if 1 = ok but; if 2 watch; if 3 + reject</t>
  </si>
  <si>
    <t>REJECT</t>
  </si>
  <si>
    <t>Fixed</t>
  </si>
  <si>
    <t>Floating</t>
  </si>
  <si>
    <t>Variable</t>
  </si>
  <si>
    <t>NA</t>
  </si>
  <si>
    <t>Loan Amount Requested</t>
  </si>
  <si>
    <t>LOAN TO VALUE</t>
  </si>
  <si>
    <t>Loan Maturity Requested (in years)</t>
  </si>
  <si>
    <t>AFFORDABILITY RATIO (Inst/Salary)</t>
  </si>
  <si>
    <t>Loan to Value Policy</t>
  </si>
  <si>
    <t>Affordability Policy</t>
  </si>
  <si>
    <t>Policy</t>
  </si>
  <si>
    <t>Personal Financial Data</t>
  </si>
  <si>
    <t>Maturity of the loan in years</t>
  </si>
  <si>
    <t>Colour coding</t>
  </si>
  <si>
    <t>Estimated Instalment of the requested loan</t>
  </si>
  <si>
    <t>Customer Type:   Legal / Physical</t>
  </si>
  <si>
    <t>Nationality:  Batswana / Foreign</t>
  </si>
  <si>
    <t>Automatic Fraud alert</t>
  </si>
  <si>
    <t># of banking products with BBS excl. new request</t>
  </si>
  <si>
    <t>Number of credit cards personally held</t>
  </si>
  <si>
    <r>
      <t>Affordability ratio</t>
    </r>
    <r>
      <rPr>
        <sz val="9"/>
        <color rgb="FF000000"/>
        <rFont val="Calibri"/>
        <family val="2"/>
      </rPr>
      <t xml:space="preserve"> (Inst/Salary; from 0% to y%, etc.)</t>
    </r>
  </si>
  <si>
    <t xml:space="preserve">  </t>
  </si>
  <si>
    <t>Total Revenues for affordability</t>
  </si>
  <si>
    <t>TOTAL Allowable Household Revenues</t>
  </si>
  <si>
    <t>Professional Revenues (Gross amounts) Borrower</t>
  </si>
  <si>
    <t>Professional Revenues (Gross amounts) Household Partner</t>
  </si>
  <si>
    <t>community of property</t>
  </si>
  <si>
    <t>other marital contract</t>
  </si>
  <si>
    <t>13 to 18 years of age</t>
  </si>
  <si>
    <t>19 to 26 years of age</t>
  </si>
  <si>
    <t>Projected Location of acquired Real Estate</t>
  </si>
  <si>
    <t>Permanent Country of Residency</t>
  </si>
  <si>
    <t>Nationality</t>
  </si>
  <si>
    <t>xx/xx/xxxx</t>
  </si>
  <si>
    <t>Type of Property</t>
  </si>
  <si>
    <t>Hatched Residential</t>
  </si>
  <si>
    <t>Residential</t>
  </si>
  <si>
    <t>Hatched Commercial</t>
  </si>
  <si>
    <t>Commercial</t>
  </si>
  <si>
    <t>Open Market Value</t>
  </si>
  <si>
    <t>Rate over open market value</t>
  </si>
  <si>
    <t>Estimated Insurance premium (pm)</t>
  </si>
  <si>
    <t>Insurance Premiums</t>
  </si>
  <si>
    <t>Co-borrower/ Guarantor</t>
  </si>
  <si>
    <t>-</t>
  </si>
  <si>
    <t>Wedding Date</t>
  </si>
  <si>
    <t>Other Dates</t>
  </si>
  <si>
    <t>Divorce data</t>
  </si>
  <si>
    <t>Botswana</t>
  </si>
  <si>
    <t xml:space="preserve">LOAN APPLICATION         </t>
  </si>
  <si>
    <t xml:space="preserve">  Information  given by borrower and/or through the DW</t>
  </si>
  <si>
    <t>Choice from list</t>
  </si>
  <si>
    <t>Direct Input</t>
  </si>
  <si>
    <t>Own</t>
  </si>
  <si>
    <t>Rent</t>
  </si>
  <si>
    <t>SUM</t>
  </si>
  <si>
    <t>Captions</t>
  </si>
  <si>
    <t>input or calculated data</t>
  </si>
  <si>
    <t>instructions</t>
  </si>
  <si>
    <t>ref #</t>
  </si>
  <si>
    <t>subject #</t>
  </si>
  <si>
    <t># of events</t>
  </si>
  <si>
    <t>Input</t>
  </si>
  <si>
    <t>Main Bank</t>
  </si>
  <si>
    <t>Third Bank</t>
  </si>
  <si>
    <t>since 1 to 5 years</t>
  </si>
  <si>
    <t>since less than 1 year</t>
  </si>
  <si>
    <t>BSB</t>
  </si>
  <si>
    <t>NDB</t>
  </si>
  <si>
    <t>FNBB</t>
  </si>
  <si>
    <t>S&amp;C</t>
  </si>
  <si>
    <t>B</t>
  </si>
  <si>
    <t>not applicable</t>
  </si>
  <si>
    <t>SUM # products</t>
  </si>
  <si>
    <t>Banks</t>
  </si>
  <si>
    <t>Barclays</t>
  </si>
  <si>
    <t>Stanbic</t>
  </si>
  <si>
    <t>Bank Gaborone</t>
  </si>
  <si>
    <t>Bank A</t>
  </si>
  <si>
    <t>Bank B</t>
  </si>
  <si>
    <t>Bank C</t>
  </si>
  <si>
    <t>Bank D</t>
  </si>
  <si>
    <t>Bank E</t>
  </si>
  <si>
    <t>product availability</t>
  </si>
  <si>
    <t>In the last 12 months how often have you had a loan with BBS in arrears for 30 days or more?</t>
  </si>
  <si>
    <t>In the last 24 months, how often have you had to renegotiate a loan with BBS because it was in arrears?</t>
  </si>
  <si>
    <t>Number of credit card personally held</t>
  </si>
  <si>
    <t>xxxxxxxxxx</t>
  </si>
  <si>
    <t>yyyyyyyyyy</t>
  </si>
  <si>
    <t>Card held since (in years)</t>
  </si>
  <si>
    <t>less than 1 year</t>
  </si>
  <si>
    <t>more than ( years</t>
  </si>
  <si>
    <t>2 to 5 years</t>
  </si>
  <si>
    <t>Very important data but not presently available, if credit depends on this then manual treatment</t>
  </si>
  <si>
    <t>Physical</t>
  </si>
  <si>
    <t>Legal entity</t>
  </si>
  <si>
    <t>Foreign</t>
  </si>
  <si>
    <t>Permanent Residency: Botswana / Other</t>
  </si>
  <si>
    <t>Estimated Loan Current (Offered) Interest Rate pa</t>
  </si>
  <si>
    <t>Acceptable total revenues for affordability</t>
  </si>
  <si>
    <t>Age Group of Borrower</t>
  </si>
  <si>
    <t>Years with employer (0-1; 1-5…)</t>
  </si>
  <si>
    <t>more than 5 years</t>
  </si>
  <si>
    <t>Age of relationship</t>
  </si>
  <si>
    <t>Loan overdue &amp; renegotiated (last 2 years)</t>
  </si>
  <si>
    <t>If # of paid debt &gt; = Default Data = OK, if not then low score</t>
  </si>
  <si>
    <t>Paid Debt calculation (0=bad; 1=good)</t>
  </si>
  <si>
    <t>Paid Debt (see cell F180)</t>
  </si>
  <si>
    <t>select cell; select result</t>
  </si>
  <si>
    <t>choice from list =</t>
  </si>
  <si>
    <t>Annual Salary Amount (Gross)</t>
  </si>
  <si>
    <t>Fixed Permanent  allowances (pa)</t>
  </si>
  <si>
    <t>0 to 3</t>
  </si>
  <si>
    <t>3 to 5</t>
  </si>
  <si>
    <t xml:space="preserve">5 to 10 </t>
  </si>
  <si>
    <t xml:space="preserve"> +  10</t>
  </si>
  <si>
    <t>0 to1</t>
  </si>
  <si>
    <t>1 to 5</t>
  </si>
  <si>
    <t>20 and more</t>
  </si>
  <si>
    <t>5 to 20</t>
  </si>
  <si>
    <t>Household Professional Revenues</t>
  </si>
  <si>
    <t>Number of children</t>
  </si>
  <si>
    <t xml:space="preserve">Number of loans presently outstanding </t>
  </si>
  <si>
    <t>Number of loans presently outstanding</t>
  </si>
  <si>
    <t>Borrower Education</t>
  </si>
  <si>
    <t>Contractual</t>
  </si>
  <si>
    <t xml:space="preserve">Permanent </t>
  </si>
  <si>
    <t>Employment Contract type</t>
  </si>
  <si>
    <t>Guaranteed scheme</t>
  </si>
  <si>
    <t>Standard Non Citizens</t>
  </si>
  <si>
    <t>Second Time owner</t>
  </si>
  <si>
    <t>Loan Type</t>
  </si>
  <si>
    <t>Standard to Batswana</t>
  </si>
  <si>
    <t>Rate Type Requested (Fixed, Floating, Variable)</t>
  </si>
  <si>
    <t>greater than 50%</t>
  </si>
  <si>
    <t>Affordability policy</t>
  </si>
  <si>
    <t>unemployed, farmer…</t>
  </si>
  <si>
    <t>Loan Amount</t>
  </si>
  <si>
    <t>3 Months instalments</t>
  </si>
  <si>
    <t>General Costs estimation</t>
  </si>
  <si>
    <t>Estimated EAD</t>
  </si>
  <si>
    <t>Estimated PD</t>
  </si>
  <si>
    <t>Estimated OMV</t>
  </si>
  <si>
    <t>Haircut</t>
  </si>
  <si>
    <t>BWP</t>
  </si>
  <si>
    <t>%</t>
  </si>
  <si>
    <t>Estimated LGD</t>
  </si>
  <si>
    <t>Expected Loss (to be LLP-ed)</t>
  </si>
  <si>
    <t xml:space="preserve">Other </t>
  </si>
  <si>
    <t>(self employed &amp; others)</t>
  </si>
  <si>
    <t>Employment contract</t>
  </si>
  <si>
    <t>Insurance Replacement Cost</t>
  </si>
  <si>
    <t>Estimated Instalment &amp; Insurance Premium</t>
  </si>
  <si>
    <t>Batswana</t>
  </si>
  <si>
    <t>Paid Debt vs. Defaults (if 1 = more paid than defaults)</t>
  </si>
</sst>
</file>

<file path=xl/styles.xml><?xml version="1.0" encoding="utf-8"?>
<styleSheet xmlns="http://schemas.openxmlformats.org/spreadsheetml/2006/main">
  <numFmts count="9">
    <numFmt numFmtId="164" formatCode="&quot;€&quot;\ #,##0;[Red]&quot;€&quot;\ \-#,##0"/>
    <numFmt numFmtId="165" formatCode="0.0"/>
    <numFmt numFmtId="166" formatCode="#,##0_ ;[Red]\-#,##0\ "/>
    <numFmt numFmtId="167" formatCode="[$BWP]\ #,##0.00"/>
    <numFmt numFmtId="168" formatCode="0.0%"/>
    <numFmt numFmtId="169" formatCode="[$BWP]\ #,##0"/>
    <numFmt numFmtId="170" formatCode="[$BWP]\ #,##0;[$BWP]\ \-#,##0"/>
    <numFmt numFmtId="171" formatCode="0.0000%"/>
    <numFmt numFmtId="172" formatCode="d/mm/yyyy;@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i/>
      <sz val="10"/>
      <name val="Arial"/>
      <family val="2"/>
    </font>
    <font>
      <b/>
      <i/>
      <sz val="12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i/>
      <sz val="1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19">
    <xf numFmtId="0" fontId="0" fillId="0" borderId="0" xfId="0"/>
    <xf numFmtId="0" fontId="4" fillId="0" borderId="0" xfId="0" applyFont="1" applyAlignment="1">
      <alignment horizontal="left" wrapText="1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right" indent="1"/>
    </xf>
    <xf numFmtId="0" fontId="0" fillId="0" borderId="0" xfId="0" applyFont="1" applyAlignment="1">
      <alignment horizontal="right" wrapText="1" indent="1"/>
    </xf>
    <xf numFmtId="0" fontId="1" fillId="4" borderId="1" xfId="0" applyFont="1" applyFill="1" applyBorder="1" applyAlignment="1">
      <alignment horizontal="right" indent="1"/>
    </xf>
    <xf numFmtId="0" fontId="5" fillId="0" borderId="1" xfId="0" applyFont="1" applyBorder="1" applyAlignment="1">
      <alignment horizontal="right" vertical="center" inden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right" vertical="center" indent="1"/>
    </xf>
    <xf numFmtId="9" fontId="6" fillId="3" borderId="1" xfId="0" applyNumberFormat="1" applyFont="1" applyFill="1" applyBorder="1" applyAlignment="1">
      <alignment horizontal="right" vertical="center" indent="1"/>
    </xf>
    <xf numFmtId="0" fontId="0" fillId="3" borderId="1" xfId="0" applyFont="1" applyFill="1" applyBorder="1" applyAlignment="1">
      <alignment horizontal="right" indent="1"/>
    </xf>
    <xf numFmtId="0" fontId="0" fillId="3" borderId="1" xfId="0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 vertical="center" indent="1"/>
    </xf>
    <xf numFmtId="0" fontId="6" fillId="3" borderId="1" xfId="0" applyFont="1" applyFill="1" applyBorder="1" applyAlignment="1">
      <alignment horizontal="right" vertical="center" wrapText="1" indent="1"/>
    </xf>
    <xf numFmtId="0" fontId="0" fillId="3" borderId="2" xfId="0" applyFont="1" applyFill="1" applyBorder="1" applyAlignment="1">
      <alignment horizontal="right" indent="1"/>
    </xf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 indent="1"/>
    </xf>
    <xf numFmtId="9" fontId="7" fillId="4" borderId="1" xfId="0" applyNumberFormat="1" applyFont="1" applyFill="1" applyBorder="1" applyAlignment="1">
      <alignment horizontal="right" vertical="center" indent="1"/>
    </xf>
    <xf numFmtId="0" fontId="0" fillId="4" borderId="1" xfId="0" applyFont="1" applyFill="1" applyBorder="1" applyAlignment="1">
      <alignment horizontal="right" indent="1"/>
    </xf>
    <xf numFmtId="0" fontId="0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right" indent="1"/>
    </xf>
    <xf numFmtId="0" fontId="11" fillId="0" borderId="0" xfId="0" applyFont="1" applyAlignment="1">
      <alignment wrapText="1"/>
    </xf>
    <xf numFmtId="0" fontId="11" fillId="0" borderId="0" xfId="0" applyFont="1"/>
    <xf numFmtId="1" fontId="1" fillId="4" borderId="1" xfId="0" applyNumberFormat="1" applyFont="1" applyFill="1" applyBorder="1" applyAlignment="1">
      <alignment horizontal="right" indent="1"/>
    </xf>
    <xf numFmtId="1" fontId="2" fillId="4" borderId="1" xfId="0" applyNumberFormat="1" applyFont="1" applyFill="1" applyBorder="1" applyAlignment="1">
      <alignment horizontal="right" indent="1"/>
    </xf>
    <xf numFmtId="1" fontId="0" fillId="3" borderId="1" xfId="0" applyNumberFormat="1" applyFont="1" applyFill="1" applyBorder="1" applyAlignment="1">
      <alignment horizontal="right" indent="2"/>
    </xf>
    <xf numFmtId="1" fontId="1" fillId="4" borderId="1" xfId="0" applyNumberFormat="1" applyFont="1" applyFill="1" applyBorder="1" applyAlignment="1">
      <alignment horizontal="right" indent="2"/>
    </xf>
    <xf numFmtId="1" fontId="0" fillId="0" borderId="0" xfId="0" applyNumberFormat="1" applyFont="1" applyAlignment="1">
      <alignment horizontal="right" indent="2"/>
    </xf>
    <xf numFmtId="1" fontId="0" fillId="0" borderId="0" xfId="0" applyNumberFormat="1" applyFont="1" applyAlignment="1">
      <alignment horizontal="right" wrapText="1" indent="2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5" fillId="0" borderId="1" xfId="0" applyFont="1" applyFill="1" applyBorder="1" applyAlignment="1">
      <alignment horizontal="right" vertical="center" indent="1"/>
    </xf>
    <xf numFmtId="0" fontId="0" fillId="0" borderId="0" xfId="0" applyFont="1" applyFill="1" applyAlignment="1">
      <alignment horizontal="right" indent="1"/>
    </xf>
    <xf numFmtId="1" fontId="0" fillId="0" borderId="0" xfId="0" applyNumberFormat="1" applyFont="1" applyFill="1" applyAlignment="1">
      <alignment horizontal="right" indent="2"/>
    </xf>
    <xf numFmtId="0" fontId="0" fillId="0" borderId="0" xfId="0" applyFont="1" applyFill="1"/>
    <xf numFmtId="0" fontId="6" fillId="0" borderId="1" xfId="0" applyFont="1" applyFill="1" applyBorder="1" applyAlignment="1">
      <alignment horizontal="right" vertical="center" wrapText="1" indent="1"/>
    </xf>
    <xf numFmtId="0" fontId="15" fillId="0" borderId="0" xfId="0" applyFont="1" applyFill="1"/>
    <xf numFmtId="0" fontId="4" fillId="0" borderId="0" xfId="0" applyFont="1" applyFill="1" applyAlignment="1">
      <alignment horizontal="left" wrapText="1"/>
    </xf>
    <xf numFmtId="0" fontId="0" fillId="0" borderId="0" xfId="0" applyFont="1" applyFill="1" applyBorder="1" applyAlignment="1">
      <alignment horizontal="right" indent="1"/>
    </xf>
    <xf numFmtId="0" fontId="0" fillId="0" borderId="1" xfId="0" applyFont="1" applyFill="1" applyBorder="1" applyAlignment="1">
      <alignment horizontal="right" inden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 wrapText="1" indent="1"/>
    </xf>
    <xf numFmtId="0" fontId="3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168" fontId="6" fillId="3" borderId="1" xfId="0" applyNumberFormat="1" applyFont="1" applyFill="1" applyBorder="1" applyAlignment="1">
      <alignment horizontal="right" vertical="center" indent="1"/>
    </xf>
    <xf numFmtId="168" fontId="0" fillId="0" borderId="0" xfId="0" applyNumberFormat="1" applyFont="1" applyFill="1" applyAlignment="1">
      <alignment horizontal="right" indent="1"/>
    </xf>
    <xf numFmtId="168" fontId="0" fillId="0" borderId="0" xfId="0" applyNumberFormat="1" applyFont="1" applyFill="1" applyBorder="1" applyAlignment="1">
      <alignment horizontal="right" indent="1"/>
    </xf>
    <xf numFmtId="168" fontId="7" fillId="4" borderId="1" xfId="0" applyNumberFormat="1" applyFont="1" applyFill="1" applyBorder="1" applyAlignment="1">
      <alignment horizontal="right" vertical="center" indent="1"/>
    </xf>
    <xf numFmtId="168" fontId="0" fillId="0" borderId="0" xfId="0" applyNumberFormat="1" applyFont="1" applyAlignment="1">
      <alignment horizontal="right" wrapText="1" indent="1"/>
    </xf>
    <xf numFmtId="168" fontId="13" fillId="4" borderId="1" xfId="0" applyNumberFormat="1" applyFont="1" applyFill="1" applyBorder="1" applyAlignment="1">
      <alignment horizontal="right" vertical="center" indent="1"/>
    </xf>
    <xf numFmtId="168" fontId="0" fillId="3" borderId="4" xfId="1" applyNumberFormat="1" applyFont="1" applyFill="1" applyBorder="1" applyAlignment="1">
      <alignment horizontal="right" indent="1"/>
    </xf>
    <xf numFmtId="9" fontId="0" fillId="3" borderId="1" xfId="0" applyNumberFormat="1" applyFont="1" applyFill="1" applyBorder="1" applyAlignment="1">
      <alignment horizontal="center"/>
    </xf>
    <xf numFmtId="9" fontId="0" fillId="3" borderId="1" xfId="0" applyNumberFormat="1" applyFont="1" applyFill="1" applyBorder="1" applyAlignment="1">
      <alignment horizontal="right" indent="1"/>
    </xf>
    <xf numFmtId="9" fontId="0" fillId="0" borderId="1" xfId="0" applyNumberFormat="1" applyFont="1" applyFill="1" applyBorder="1" applyAlignment="1">
      <alignment horizontal="right"/>
    </xf>
    <xf numFmtId="0" fontId="0" fillId="5" borderId="1" xfId="0" applyFont="1" applyFill="1" applyBorder="1" applyAlignment="1">
      <alignment horizontal="right" indent="1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8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horizontal="left" wrapText="1" indent="1"/>
    </xf>
    <xf numFmtId="172" fontId="18" fillId="2" borderId="1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0" xfId="0" applyFont="1"/>
    <xf numFmtId="0" fontId="21" fillId="0" borderId="0" xfId="0" applyFont="1" applyAlignment="1">
      <alignment wrapText="1"/>
    </xf>
    <xf numFmtId="0" fontId="26" fillId="0" borderId="0" xfId="0" applyFont="1" applyAlignment="1">
      <alignment horizontal="center" wrapText="1"/>
    </xf>
    <xf numFmtId="0" fontId="21" fillId="0" borderId="0" xfId="0" applyFont="1" applyAlignment="1">
      <alignment horizontal="left" wrapText="1"/>
    </xf>
    <xf numFmtId="0" fontId="21" fillId="0" borderId="0" xfId="0" applyFont="1"/>
    <xf numFmtId="0" fontId="28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wrapText="1"/>
    </xf>
    <xf numFmtId="0" fontId="19" fillId="0" borderId="0" xfId="0" applyFont="1" applyAlignment="1">
      <alignment wrapText="1"/>
    </xf>
    <xf numFmtId="0" fontId="19" fillId="0" borderId="0" xfId="0" applyFont="1" applyBorder="1" applyAlignment="1">
      <alignment vertical="center" wrapText="1"/>
    </xf>
    <xf numFmtId="0" fontId="18" fillId="2" borderId="4" xfId="0" applyFont="1" applyFill="1" applyBorder="1" applyAlignment="1">
      <alignment horizontal="center" wrapText="1"/>
    </xf>
    <xf numFmtId="0" fontId="30" fillId="0" borderId="0" xfId="0" applyFont="1" applyAlignment="1">
      <alignment horizontal="center" wrapText="1"/>
    </xf>
    <xf numFmtId="0" fontId="20" fillId="0" borderId="0" xfId="0" applyFont="1" applyAlignment="1">
      <alignment vertical="top" wrapText="1"/>
    </xf>
    <xf numFmtId="0" fontId="18" fillId="2" borderId="1" xfId="0" applyFont="1" applyFill="1" applyBorder="1" applyAlignment="1">
      <alignment horizontal="left" wrapText="1"/>
    </xf>
    <xf numFmtId="0" fontId="18" fillId="2" borderId="1" xfId="0" applyFont="1" applyFill="1" applyBorder="1" applyAlignment="1">
      <alignment horizontal="left" wrapText="1" indent="2"/>
    </xf>
    <xf numFmtId="0" fontId="18" fillId="2" borderId="1" xfId="0" applyFont="1" applyFill="1" applyBorder="1" applyAlignment="1">
      <alignment horizontal="left" wrapText="1" indent="3"/>
    </xf>
    <xf numFmtId="0" fontId="28" fillId="7" borderId="1" xfId="0" applyFont="1" applyFill="1" applyBorder="1" applyAlignment="1">
      <alignment horizontal="center" vertical="center" wrapText="1"/>
    </xf>
    <xf numFmtId="169" fontId="18" fillId="2" borderId="1" xfId="0" applyNumberFormat="1" applyFont="1" applyFill="1" applyBorder="1" applyAlignment="1">
      <alignment horizontal="center" wrapText="1"/>
    </xf>
    <xf numFmtId="10" fontId="18" fillId="2" borderId="1" xfId="1" applyNumberFormat="1" applyFont="1" applyFill="1" applyBorder="1" applyAlignment="1">
      <alignment horizontal="center" wrapText="1"/>
    </xf>
    <xf numFmtId="170" fontId="18" fillId="2" borderId="1" xfId="0" applyNumberFormat="1" applyFont="1" applyFill="1" applyBorder="1" applyAlignment="1">
      <alignment horizontal="center" wrapText="1"/>
    </xf>
    <xf numFmtId="0" fontId="18" fillId="7" borderId="1" xfId="0" applyFont="1" applyFill="1" applyBorder="1" applyAlignment="1">
      <alignment horizontal="center" wrapText="1"/>
    </xf>
    <xf numFmtId="0" fontId="19" fillId="7" borderId="4" xfId="0" applyFont="1" applyFill="1" applyBorder="1" applyAlignment="1">
      <alignment wrapText="1"/>
    </xf>
    <xf numFmtId="0" fontId="19" fillId="7" borderId="1" xfId="0" applyFont="1" applyFill="1" applyBorder="1" applyAlignment="1">
      <alignment horizontal="left" wrapText="1" indent="1"/>
    </xf>
    <xf numFmtId="0" fontId="18" fillId="7" borderId="1" xfId="0" applyFont="1" applyFill="1" applyBorder="1" applyAlignment="1">
      <alignment horizontal="left" wrapText="1" indent="2"/>
    </xf>
    <xf numFmtId="0" fontId="19" fillId="7" borderId="1" xfId="0" applyFont="1" applyFill="1" applyBorder="1" applyAlignment="1">
      <alignment horizontal="left" wrapText="1"/>
    </xf>
    <xf numFmtId="0" fontId="19" fillId="7" borderId="1" xfId="0" applyFont="1" applyFill="1" applyBorder="1" applyAlignment="1">
      <alignment wrapText="1"/>
    </xf>
    <xf numFmtId="167" fontId="18" fillId="7" borderId="1" xfId="0" applyNumberFormat="1" applyFont="1" applyFill="1" applyBorder="1" applyAlignment="1">
      <alignment horizontal="center" wrapText="1"/>
    </xf>
    <xf numFmtId="0" fontId="29" fillId="7" borderId="4" xfId="0" applyFont="1" applyFill="1" applyBorder="1" applyAlignment="1">
      <alignment wrapText="1"/>
    </xf>
    <xf numFmtId="0" fontId="18" fillId="7" borderId="4" xfId="0" applyFont="1" applyFill="1" applyBorder="1" applyAlignment="1">
      <alignment horizontal="center" wrapText="1"/>
    </xf>
    <xf numFmtId="0" fontId="19" fillId="7" borderId="1" xfId="0" applyFont="1" applyFill="1" applyBorder="1" applyAlignment="1">
      <alignment horizontal="center" wrapText="1"/>
    </xf>
    <xf numFmtId="166" fontId="18" fillId="7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/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0" fontId="19" fillId="7" borderId="1" xfId="0" applyFont="1" applyFill="1" applyBorder="1" applyAlignment="1">
      <alignment horizontal="right"/>
    </xf>
    <xf numFmtId="0" fontId="18" fillId="7" borderId="1" xfId="0" applyFont="1" applyFill="1" applyBorder="1" applyAlignment="1">
      <alignment horizontal="left" wrapText="1"/>
    </xf>
    <xf numFmtId="9" fontId="18" fillId="3" borderId="1" xfId="1" applyNumberFormat="1" applyFont="1" applyFill="1" applyBorder="1" applyAlignment="1">
      <alignment horizontal="center" wrapText="1"/>
    </xf>
    <xf numFmtId="0" fontId="18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 wrapText="1" indent="3"/>
    </xf>
    <xf numFmtId="164" fontId="18" fillId="2" borderId="1" xfId="0" applyNumberFormat="1" applyFont="1" applyFill="1" applyBorder="1" applyAlignment="1">
      <alignment horizontal="center" wrapText="1"/>
    </xf>
    <xf numFmtId="0" fontId="22" fillId="2" borderId="0" xfId="0" applyFont="1" applyFill="1" applyAlignment="1">
      <alignment horizontal="center" wrapText="1"/>
    </xf>
    <xf numFmtId="167" fontId="18" fillId="2" borderId="1" xfId="0" applyNumberFormat="1" applyFont="1" applyFill="1" applyBorder="1" applyAlignment="1">
      <alignment horizontal="center" wrapText="1"/>
    </xf>
    <xf numFmtId="166" fontId="18" fillId="2" borderId="1" xfId="0" applyNumberFormat="1" applyFont="1" applyFill="1" applyBorder="1" applyAlignment="1">
      <alignment horizontal="center" vertical="center" wrapText="1"/>
    </xf>
    <xf numFmtId="166" fontId="18" fillId="2" borderId="1" xfId="0" applyNumberFormat="1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/>
    </xf>
    <xf numFmtId="0" fontId="32" fillId="7" borderId="4" xfId="0" applyFont="1" applyFill="1" applyBorder="1" applyAlignment="1"/>
    <xf numFmtId="0" fontId="32" fillId="7" borderId="5" xfId="0" applyFont="1" applyFill="1" applyBorder="1" applyAlignment="1"/>
    <xf numFmtId="0" fontId="18" fillId="0" borderId="6" xfId="0" applyFont="1" applyBorder="1" applyAlignment="1">
      <alignment vertical="top" wrapText="1"/>
    </xf>
    <xf numFmtId="0" fontId="18" fillId="2" borderId="4" xfId="0" applyFont="1" applyFill="1" applyBorder="1"/>
    <xf numFmtId="0" fontId="32" fillId="7" borderId="1" xfId="0" applyFont="1" applyFill="1" applyBorder="1" applyAlignment="1"/>
    <xf numFmtId="0" fontId="19" fillId="0" borderId="0" xfId="0" applyFont="1"/>
    <xf numFmtId="0" fontId="18" fillId="7" borderId="4" xfId="0" applyFont="1" applyFill="1" applyBorder="1" applyAlignment="1">
      <alignment horizontal="left" wrapText="1" indent="2"/>
    </xf>
    <xf numFmtId="0" fontId="19" fillId="7" borderId="1" xfId="0" applyFont="1" applyFill="1" applyBorder="1" applyAlignment="1">
      <alignment horizontal="left" wrapText="1" indent="2"/>
    </xf>
    <xf numFmtId="0" fontId="19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/>
    </xf>
    <xf numFmtId="0" fontId="31" fillId="0" borderId="4" xfId="0" applyFont="1" applyBorder="1" applyAlignment="1">
      <alignment vertical="top" wrapText="1"/>
    </xf>
    <xf numFmtId="0" fontId="33" fillId="0" borderId="0" xfId="0" applyFont="1" applyAlignment="1">
      <alignment horizontal="center" wrapText="1"/>
    </xf>
    <xf numFmtId="0" fontId="11" fillId="4" borderId="1" xfId="0" applyFont="1" applyFill="1" applyBorder="1" applyAlignment="1">
      <alignment horizontal="right" wrapText="1" indent="1"/>
    </xf>
    <xf numFmtId="1" fontId="3" fillId="4" borderId="1" xfId="0" applyNumberFormat="1" applyFont="1" applyFill="1" applyBorder="1" applyAlignment="1">
      <alignment horizontal="right" indent="2"/>
    </xf>
    <xf numFmtId="0" fontId="5" fillId="0" borderId="7" xfId="0" applyFont="1" applyFill="1" applyBorder="1" applyAlignment="1">
      <alignment horizontal="right" vertical="center" indent="1"/>
    </xf>
    <xf numFmtId="0" fontId="21" fillId="5" borderId="7" xfId="0" applyFont="1" applyFill="1" applyBorder="1" applyAlignment="1">
      <alignment wrapText="1"/>
    </xf>
    <xf numFmtId="0" fontId="21" fillId="5" borderId="3" xfId="0" applyFont="1" applyFill="1" applyBorder="1" applyAlignment="1">
      <alignment wrapText="1"/>
    </xf>
    <xf numFmtId="10" fontId="0" fillId="0" borderId="0" xfId="0" applyNumberFormat="1" applyFont="1" applyFill="1" applyAlignment="1">
      <alignment horizontal="right" indent="1"/>
    </xf>
    <xf numFmtId="0" fontId="16" fillId="4" borderId="1" xfId="0" applyFont="1" applyFill="1" applyBorder="1" applyAlignment="1">
      <alignment horizontal="left" vertical="center" indent="1"/>
    </xf>
    <xf numFmtId="1" fontId="0" fillId="4" borderId="1" xfId="0" applyNumberFormat="1" applyFont="1" applyFill="1" applyBorder="1" applyAlignment="1">
      <alignment horizontal="right" indent="1"/>
    </xf>
    <xf numFmtId="0" fontId="11" fillId="0" borderId="0" xfId="0" applyFont="1" applyBorder="1" applyAlignment="1">
      <alignment horizontal="left" vertical="center" wrapText="1"/>
    </xf>
    <xf numFmtId="0" fontId="35" fillId="0" borderId="0" xfId="0" applyFont="1"/>
    <xf numFmtId="0" fontId="35" fillId="4" borderId="1" xfId="0" applyFont="1" applyFill="1" applyBorder="1" applyAlignment="1">
      <alignment horizontal="center"/>
    </xf>
    <xf numFmtId="0" fontId="35" fillId="3" borderId="4" xfId="0" applyFont="1" applyFill="1" applyBorder="1" applyAlignment="1">
      <alignment horizontal="right" indent="2"/>
    </xf>
    <xf numFmtId="1" fontId="35" fillId="3" borderId="1" xfId="0" applyNumberFormat="1" applyFont="1" applyFill="1" applyBorder="1" applyAlignment="1">
      <alignment horizontal="right" indent="2"/>
    </xf>
    <xf numFmtId="10" fontId="35" fillId="3" borderId="1" xfId="1" applyNumberFormat="1" applyFont="1" applyFill="1" applyBorder="1" applyAlignment="1">
      <alignment horizontal="right" indent="1"/>
    </xf>
    <xf numFmtId="0" fontId="35" fillId="4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10" fontId="36" fillId="3" borderId="1" xfId="1" applyNumberFormat="1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0" xfId="0" applyFont="1" applyAlignment="1">
      <alignment horizontal="right" indent="2"/>
    </xf>
    <xf numFmtId="0" fontId="36" fillId="8" borderId="1" xfId="0" applyFont="1" applyFill="1" applyBorder="1" applyAlignment="1">
      <alignment horizontal="center"/>
    </xf>
    <xf numFmtId="0" fontId="36" fillId="4" borderId="1" xfId="0" applyFont="1" applyFill="1" applyBorder="1"/>
    <xf numFmtId="0" fontId="36" fillId="4" borderId="1" xfId="0" applyFont="1" applyFill="1" applyBorder="1" applyAlignment="1">
      <alignment horizontal="right" indent="2"/>
    </xf>
    <xf numFmtId="10" fontId="36" fillId="4" borderId="1" xfId="0" applyNumberFormat="1" applyFont="1" applyFill="1" applyBorder="1" applyAlignment="1">
      <alignment horizontal="center"/>
    </xf>
    <xf numFmtId="0" fontId="36" fillId="0" borderId="0" xfId="0" applyFont="1"/>
    <xf numFmtId="0" fontId="35" fillId="3" borderId="1" xfId="0" applyFont="1" applyFill="1" applyBorder="1"/>
    <xf numFmtId="0" fontId="35" fillId="3" borderId="1" xfId="0" applyFont="1" applyFill="1" applyBorder="1" applyAlignment="1">
      <alignment horizontal="right" indent="2"/>
    </xf>
    <xf numFmtId="169" fontId="33" fillId="3" borderId="1" xfId="0" applyNumberFormat="1" applyFont="1" applyFill="1" applyBorder="1" applyAlignment="1">
      <alignment horizontal="center" wrapText="1"/>
    </xf>
    <xf numFmtId="9" fontId="35" fillId="3" borderId="1" xfId="0" applyNumberFormat="1" applyFont="1" applyFill="1" applyBorder="1" applyAlignment="1">
      <alignment horizontal="center"/>
    </xf>
    <xf numFmtId="9" fontId="35" fillId="3" borderId="1" xfId="0" applyNumberFormat="1" applyFont="1" applyFill="1" applyBorder="1" applyAlignment="1">
      <alignment horizontal="right" indent="2"/>
    </xf>
    <xf numFmtId="9" fontId="36" fillId="4" borderId="1" xfId="0" applyNumberFormat="1" applyFont="1" applyFill="1" applyBorder="1" applyAlignment="1">
      <alignment horizontal="center"/>
    </xf>
    <xf numFmtId="169" fontId="37" fillId="4" borderId="1" xfId="0" applyNumberFormat="1" applyFont="1" applyFill="1" applyBorder="1" applyAlignment="1">
      <alignment horizontal="center" wrapText="1"/>
    </xf>
    <xf numFmtId="0" fontId="35" fillId="4" borderId="1" xfId="0" applyFont="1" applyFill="1" applyBorder="1" applyAlignment="1">
      <alignment horizontal="right" indent="2"/>
    </xf>
    <xf numFmtId="0" fontId="35" fillId="3" borderId="1" xfId="0" applyFont="1" applyFill="1" applyBorder="1" applyAlignment="1">
      <alignment horizontal="right"/>
    </xf>
    <xf numFmtId="0" fontId="18" fillId="9" borderId="0" xfId="0" applyFont="1" applyFill="1" applyAlignment="1">
      <alignment wrapText="1"/>
    </xf>
    <xf numFmtId="171" fontId="18" fillId="9" borderId="1" xfId="1" applyNumberFormat="1" applyFont="1" applyFill="1" applyBorder="1" applyAlignment="1">
      <alignment horizontal="left" wrapText="1"/>
    </xf>
    <xf numFmtId="1" fontId="18" fillId="9" borderId="1" xfId="1" applyNumberFormat="1" applyFont="1" applyFill="1" applyBorder="1" applyAlignment="1">
      <alignment horizontal="center" wrapText="1"/>
    </xf>
    <xf numFmtId="0" fontId="21" fillId="9" borderId="0" xfId="0" applyFont="1" applyFill="1" applyAlignment="1">
      <alignment wrapText="1"/>
    </xf>
    <xf numFmtId="0" fontId="18" fillId="9" borderId="1" xfId="0" applyFont="1" applyFill="1" applyBorder="1" applyAlignment="1">
      <alignment wrapText="1"/>
    </xf>
    <xf numFmtId="171" fontId="18" fillId="9" borderId="4" xfId="1" applyNumberFormat="1" applyFont="1" applyFill="1" applyBorder="1" applyAlignment="1">
      <alignment horizontal="center" wrapText="1"/>
    </xf>
    <xf numFmtId="9" fontId="18" fillId="9" borderId="1" xfId="0" applyNumberFormat="1" applyFont="1" applyFill="1" applyBorder="1" applyAlignment="1">
      <alignment horizontal="center" wrapText="1"/>
    </xf>
    <xf numFmtId="0" fontId="20" fillId="9" borderId="0" xfId="0" applyFont="1" applyFill="1" applyAlignment="1">
      <alignment horizontal="left" wrapText="1"/>
    </xf>
    <xf numFmtId="0" fontId="23" fillId="7" borderId="3" xfId="0" applyFont="1" applyFill="1" applyBorder="1" applyAlignment="1">
      <alignment horizontal="center" wrapText="1"/>
    </xf>
    <xf numFmtId="0" fontId="19" fillId="7" borderId="1" xfId="0" applyFont="1" applyFill="1" applyBorder="1" applyAlignment="1">
      <alignment horizontal="center" wrapText="1"/>
    </xf>
    <xf numFmtId="0" fontId="29" fillId="7" borderId="1" xfId="0" applyFont="1" applyFill="1" applyBorder="1" applyAlignment="1">
      <alignment horizont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27" fillId="9" borderId="4" xfId="0" applyFont="1" applyFill="1" applyBorder="1" applyAlignment="1">
      <alignment horizontal="center" vertical="center" wrapText="1"/>
    </xf>
    <xf numFmtId="0" fontId="27" fillId="9" borderId="5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right" vertical="center" wrapText="1"/>
    </xf>
    <xf numFmtId="0" fontId="25" fillId="3" borderId="4" xfId="0" applyFont="1" applyFill="1" applyBorder="1" applyAlignment="1">
      <alignment horizontal="right" vertical="center" wrapText="1"/>
    </xf>
    <xf numFmtId="0" fontId="25" fillId="3" borderId="6" xfId="0" applyFont="1" applyFill="1" applyBorder="1" applyAlignment="1">
      <alignment horizontal="right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12" fillId="3" borderId="5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35" fillId="4" borderId="1" xfId="0" applyFont="1" applyFill="1" applyBorder="1" applyAlignment="1">
      <alignment horizontal="center" vertical="center" wrapText="1"/>
    </xf>
    <xf numFmtId="1" fontId="36" fillId="3" borderId="1" xfId="0" applyNumberFormat="1" applyFont="1" applyFill="1" applyBorder="1" applyAlignment="1">
      <alignment horizontal="center" wrapText="1"/>
    </xf>
    <xf numFmtId="0" fontId="35" fillId="6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1" fontId="36" fillId="3" borderId="4" xfId="0" applyNumberFormat="1" applyFont="1" applyFill="1" applyBorder="1" applyAlignment="1">
      <alignment horizontal="center"/>
    </xf>
    <xf numFmtId="1" fontId="36" fillId="3" borderId="6" xfId="0" applyNumberFormat="1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9" borderId="0" xfId="0" applyFont="1" applyFill="1"/>
    <xf numFmtId="1" fontId="34" fillId="3" borderId="1" xfId="0" applyNumberFormat="1" applyFont="1" applyFill="1" applyBorder="1" applyAlignment="1">
      <alignment horizontal="right" indent="2"/>
    </xf>
    <xf numFmtId="1" fontId="34" fillId="0" borderId="0" xfId="0" applyNumberFormat="1" applyFont="1" applyFill="1" applyAlignment="1">
      <alignment horizontal="right" indent="2"/>
    </xf>
    <xf numFmtId="1" fontId="0" fillId="9" borderId="1" xfId="0" applyNumberFormat="1" applyFont="1" applyFill="1" applyBorder="1" applyAlignment="1">
      <alignment horizontal="right" indent="2"/>
    </xf>
  </cellXfs>
  <cellStyles count="2">
    <cellStyle name="Normal" xfId="0" builtinId="0"/>
    <cellStyle name="Percent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71"/>
  <sheetViews>
    <sheetView topLeftCell="A131" workbookViewId="0">
      <selection activeCell="D182" sqref="D182"/>
    </sheetView>
  </sheetViews>
  <sheetFormatPr defaultColWidth="11.42578125" defaultRowHeight="15.75" outlineLevelRow="1" outlineLevelCol="1"/>
  <cols>
    <col min="1" max="1" width="6.140625" style="83" customWidth="1"/>
    <col min="2" max="3" width="26.140625" style="83" customWidth="1" outlineLevel="1"/>
    <col min="4" max="4" width="37.140625" style="83" customWidth="1"/>
    <col min="5" max="5" width="18.140625" style="83" customWidth="1"/>
    <col min="6" max="6" width="32.85546875" style="83" customWidth="1"/>
    <col min="7" max="9" width="13.140625" style="83" customWidth="1"/>
    <col min="10" max="10" width="13.140625" style="84" customWidth="1"/>
    <col min="11" max="11" width="10.28515625" style="85" customWidth="1"/>
    <col min="12" max="25" width="11.42578125" style="86"/>
    <col min="26" max="16384" width="11.42578125" style="83"/>
  </cols>
  <sheetData>
    <row r="1" spans="1:6" hidden="1" outlineLevel="1">
      <c r="A1" s="83" t="s">
        <v>55</v>
      </c>
      <c r="D1" s="122" t="s">
        <v>233</v>
      </c>
    </row>
    <row r="2" spans="1:6" hidden="1" outlineLevel="1">
      <c r="D2" s="100" t="s">
        <v>234</v>
      </c>
    </row>
    <row r="3" spans="1:6" collapsed="1">
      <c r="D3" s="83" t="s">
        <v>190</v>
      </c>
      <c r="E3" s="77" t="s">
        <v>286</v>
      </c>
      <c r="F3" s="77" t="s">
        <v>285</v>
      </c>
    </row>
    <row r="4" spans="1:6" ht="21" customHeight="1">
      <c r="B4" s="179"/>
      <c r="C4" s="179"/>
      <c r="D4" s="200" t="s">
        <v>226</v>
      </c>
      <c r="E4" s="200"/>
      <c r="F4" s="200"/>
    </row>
    <row r="5" spans="1:6" ht="30" customHeight="1">
      <c r="B5" s="179"/>
      <c r="C5" s="179"/>
      <c r="D5" s="201" t="s">
        <v>227</v>
      </c>
      <c r="E5" s="201"/>
      <c r="F5" s="201"/>
    </row>
    <row r="6" spans="1:6">
      <c r="B6" s="179"/>
      <c r="C6" s="179"/>
      <c r="D6" s="196" t="s">
        <v>181</v>
      </c>
      <c r="E6" s="196"/>
      <c r="F6" s="104">
        <v>350000</v>
      </c>
    </row>
    <row r="7" spans="1:6">
      <c r="B7" s="179"/>
      <c r="C7" s="179"/>
      <c r="D7" s="196" t="s">
        <v>211</v>
      </c>
      <c r="E7" s="196"/>
      <c r="F7" s="75" t="s">
        <v>213</v>
      </c>
    </row>
    <row r="8" spans="1:6">
      <c r="B8" s="179"/>
      <c r="C8" s="179"/>
      <c r="D8" s="196" t="s">
        <v>216</v>
      </c>
      <c r="E8" s="196"/>
      <c r="F8" s="104">
        <v>400000</v>
      </c>
    </row>
    <row r="9" spans="1:6" hidden="1" outlineLevel="1">
      <c r="B9" s="179"/>
      <c r="C9" s="180" t="s">
        <v>309</v>
      </c>
    </row>
    <row r="10" spans="1:6" hidden="1" outlineLevel="1">
      <c r="B10" s="179"/>
      <c r="C10" s="180" t="s">
        <v>305</v>
      </c>
    </row>
    <row r="11" spans="1:6" hidden="1" outlineLevel="1">
      <c r="B11" s="179"/>
      <c r="C11" s="180" t="s">
        <v>306</v>
      </c>
    </row>
    <row r="12" spans="1:6" hidden="1" outlineLevel="1">
      <c r="B12" s="179"/>
      <c r="C12" s="180" t="s">
        <v>307</v>
      </c>
    </row>
    <row r="13" spans="1:6" collapsed="1">
      <c r="B13" s="179"/>
      <c r="C13" s="179"/>
      <c r="D13" s="196" t="s">
        <v>308</v>
      </c>
      <c r="E13" s="196"/>
      <c r="F13" s="104" t="s">
        <v>309</v>
      </c>
    </row>
    <row r="14" spans="1:6" hidden="1" outlineLevel="1">
      <c r="B14" s="179"/>
      <c r="C14" s="181">
        <v>5</v>
      </c>
    </row>
    <row r="15" spans="1:6" hidden="1" outlineLevel="1">
      <c r="B15" s="179"/>
      <c r="C15" s="181">
        <v>10</v>
      </c>
    </row>
    <row r="16" spans="1:6" hidden="1" outlineLevel="1">
      <c r="B16" s="179"/>
      <c r="C16" s="181">
        <v>15</v>
      </c>
    </row>
    <row r="17" spans="2:25" hidden="1" outlineLevel="1">
      <c r="B17" s="179"/>
      <c r="C17" s="181">
        <v>20</v>
      </c>
    </row>
    <row r="18" spans="2:25" hidden="1" outlineLevel="1">
      <c r="B18" s="179"/>
      <c r="C18" s="181">
        <v>25</v>
      </c>
    </row>
    <row r="19" spans="2:25" hidden="1" outlineLevel="1">
      <c r="B19" s="179"/>
      <c r="C19" s="181">
        <v>30</v>
      </c>
    </row>
    <row r="20" spans="2:25" collapsed="1">
      <c r="B20" s="179"/>
      <c r="C20" s="179"/>
      <c r="D20" s="196" t="s">
        <v>183</v>
      </c>
      <c r="E20" s="196"/>
      <c r="F20" s="75">
        <v>20</v>
      </c>
    </row>
    <row r="21" spans="2:25" hidden="1" outlineLevel="1">
      <c r="B21" s="179"/>
      <c r="C21" s="180" t="s">
        <v>177</v>
      </c>
    </row>
    <row r="22" spans="2:25" hidden="1" outlineLevel="1">
      <c r="B22" s="179"/>
      <c r="C22" s="180" t="s">
        <v>178</v>
      </c>
    </row>
    <row r="23" spans="2:25" hidden="1" outlineLevel="1">
      <c r="B23" s="179"/>
      <c r="C23" s="180" t="s">
        <v>179</v>
      </c>
    </row>
    <row r="24" spans="2:25" collapsed="1">
      <c r="B24" s="179"/>
      <c r="C24" s="179"/>
      <c r="D24" s="196" t="s">
        <v>310</v>
      </c>
      <c r="E24" s="196"/>
      <c r="F24" s="75" t="s">
        <v>177</v>
      </c>
    </row>
    <row r="25" spans="2:25">
      <c r="B25" s="179"/>
      <c r="C25" s="179"/>
      <c r="D25" s="196" t="s">
        <v>275</v>
      </c>
      <c r="E25" s="196"/>
      <c r="F25" s="105">
        <v>0.125</v>
      </c>
    </row>
    <row r="26" spans="2:25" s="87" customFormat="1">
      <c r="B26" s="182"/>
      <c r="C26" s="182"/>
      <c r="D26" s="197" t="s">
        <v>217</v>
      </c>
      <c r="E26" s="198"/>
      <c r="F26" s="123">
        <v>0.4</v>
      </c>
      <c r="J26" s="88"/>
      <c r="K26" s="89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</row>
    <row r="27" spans="2:25" s="87" customFormat="1" hidden="1" outlineLevel="1">
      <c r="B27" s="194" t="s">
        <v>219</v>
      </c>
      <c r="C27" s="195"/>
      <c r="D27" s="199"/>
      <c r="E27" s="199"/>
      <c r="F27" s="148"/>
      <c r="J27" s="88"/>
      <c r="K27" s="89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spans="2:25" s="87" customFormat="1" hidden="1" outlineLevel="1">
      <c r="B28" s="183" t="s">
        <v>212</v>
      </c>
      <c r="C28" s="184">
        <v>6.0000000000000001E-3</v>
      </c>
      <c r="D28" s="199"/>
      <c r="E28" s="199"/>
      <c r="F28" s="148"/>
      <c r="J28" s="88"/>
      <c r="K28" s="89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</row>
    <row r="29" spans="2:25" s="87" customFormat="1" hidden="1" outlineLevel="1">
      <c r="B29" s="183" t="s">
        <v>213</v>
      </c>
      <c r="C29" s="184">
        <v>6.9999999999999999E-4</v>
      </c>
      <c r="D29" s="199"/>
      <c r="E29" s="199"/>
      <c r="F29" s="148"/>
      <c r="J29" s="88"/>
      <c r="K29" s="89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</row>
    <row r="30" spans="2:25" s="87" customFormat="1" hidden="1" outlineLevel="1">
      <c r="B30" s="183" t="s">
        <v>214</v>
      </c>
      <c r="C30" s="184">
        <v>8.9999999999999993E-3</v>
      </c>
      <c r="D30" s="199"/>
      <c r="E30" s="199"/>
      <c r="F30" s="148"/>
      <c r="J30" s="88"/>
      <c r="K30" s="89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</row>
    <row r="31" spans="2:25" s="87" customFormat="1" hidden="1" outlineLevel="1">
      <c r="B31" s="183" t="s">
        <v>215</v>
      </c>
      <c r="C31" s="184">
        <v>1.25E-3</v>
      </c>
      <c r="D31" s="199"/>
      <c r="E31" s="199"/>
      <c r="F31" s="149"/>
      <c r="J31" s="88"/>
      <c r="K31" s="89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</row>
    <row r="32" spans="2:25" collapsed="1">
      <c r="B32" s="179"/>
      <c r="C32" s="179"/>
      <c r="D32" s="196" t="s">
        <v>328</v>
      </c>
      <c r="E32" s="196"/>
      <c r="F32" s="104">
        <f>F8*(1+F26)</f>
        <v>560000</v>
      </c>
    </row>
    <row r="33" spans="2:9">
      <c r="B33" s="179"/>
      <c r="C33" s="179"/>
      <c r="D33" s="196" t="s">
        <v>218</v>
      </c>
      <c r="E33" s="196"/>
      <c r="F33" s="106">
        <f>IF(F7=B28,F32*C28/12,IF(F7=B29,F32*C29/12,IF(F7=B30,F32*C30/12,IF(F7=B31,F32*C31/12))))</f>
        <v>32.666666666666664</v>
      </c>
    </row>
    <row r="34" spans="2:9" ht="15.75" customHeight="1">
      <c r="B34" s="179"/>
      <c r="C34" s="179"/>
      <c r="D34" s="196" t="s">
        <v>191</v>
      </c>
      <c r="E34" s="196"/>
      <c r="F34" s="106">
        <f>-PMT(F25/12,F20*12,F6,0,0)</f>
        <v>3976.4919240002928</v>
      </c>
    </row>
    <row r="35" spans="2:9" ht="15.75" customHeight="1">
      <c r="B35" s="179"/>
      <c r="C35" s="179"/>
      <c r="D35" s="196" t="s">
        <v>329</v>
      </c>
      <c r="E35" s="196"/>
      <c r="F35" s="106">
        <f>F34+F33</f>
        <v>4009.1585906669593</v>
      </c>
    </row>
    <row r="36" spans="2:9" ht="15.75" customHeight="1">
      <c r="B36" s="179"/>
      <c r="C36" s="179"/>
    </row>
    <row r="37" spans="2:9" ht="15.75" hidden="1" customHeight="1" outlineLevel="1">
      <c r="B37" s="180" t="str">
        <f>C9</f>
        <v>Standard to Batswana</v>
      </c>
      <c r="C37" s="185">
        <v>0.9</v>
      </c>
    </row>
    <row r="38" spans="2:9" ht="15.75" hidden="1" customHeight="1" outlineLevel="1">
      <c r="B38" s="180" t="str">
        <f t="shared" ref="B38:B40" si="0">C10</f>
        <v>Guaranteed scheme</v>
      </c>
      <c r="C38" s="185">
        <v>1</v>
      </c>
    </row>
    <row r="39" spans="2:9" ht="15.75" hidden="1" customHeight="1" outlineLevel="1">
      <c r="B39" s="180" t="str">
        <f t="shared" si="0"/>
        <v>Standard Non Citizens</v>
      </c>
      <c r="C39" s="185">
        <v>0.75</v>
      </c>
    </row>
    <row r="40" spans="2:9" ht="15.75" hidden="1" customHeight="1" outlineLevel="1">
      <c r="B40" s="180" t="str">
        <f t="shared" si="0"/>
        <v>Second Time owner</v>
      </c>
      <c r="C40" s="185">
        <v>0.75</v>
      </c>
    </row>
    <row r="41" spans="2:9" collapsed="1">
      <c r="B41" s="179"/>
      <c r="C41" s="179"/>
      <c r="D41" s="197" t="s">
        <v>185</v>
      </c>
      <c r="E41" s="198"/>
      <c r="F41" s="123">
        <f>IF(F13=B37,C37,IF(F13=B38,C38,IF(F13=B39,C39,IF(F13=B40,C40))))</f>
        <v>0.9</v>
      </c>
    </row>
    <row r="42" spans="2:9">
      <c r="B42" s="179"/>
      <c r="C42" s="179"/>
      <c r="D42" s="196" t="s">
        <v>182</v>
      </c>
      <c r="E42" s="196"/>
      <c r="F42" s="105">
        <f>F6/F8</f>
        <v>0.875</v>
      </c>
      <c r="I42" s="83" t="s">
        <v>198</v>
      </c>
    </row>
    <row r="43" spans="2:9">
      <c r="B43" s="179"/>
      <c r="C43" s="179"/>
      <c r="D43" s="196" t="s">
        <v>276</v>
      </c>
      <c r="E43" s="196"/>
      <c r="F43" s="104">
        <f>IF((F95=C91)*(F99=C96),(F147+F151),IF((F95=C91)*(F99=C97)*(F103=C100),(F147+F151),IF((F95=C90)*(F103=C100),(F147+F151),IF((F95=C94)*(F103=C100),(F147+F151),F147))))</f>
        <v>95000</v>
      </c>
    </row>
    <row r="44" spans="2:9" hidden="1" outlineLevel="1">
      <c r="B44" s="179"/>
      <c r="C44" s="185">
        <v>0.35</v>
      </c>
    </row>
    <row r="45" spans="2:9" hidden="1" outlineLevel="1">
      <c r="B45" s="179"/>
      <c r="C45" s="185">
        <v>0.4</v>
      </c>
    </row>
    <row r="46" spans="2:9" hidden="1" outlineLevel="1">
      <c r="B46" s="179"/>
      <c r="C46" s="185">
        <v>0.45</v>
      </c>
    </row>
    <row r="47" spans="2:9" hidden="1" outlineLevel="1">
      <c r="B47" s="179"/>
      <c r="C47" s="185">
        <v>0.5</v>
      </c>
    </row>
    <row r="48" spans="2:9" collapsed="1">
      <c r="B48" s="179"/>
      <c r="C48" s="179"/>
      <c r="D48" s="197" t="s">
        <v>312</v>
      </c>
      <c r="E48" s="198"/>
      <c r="F48" s="123">
        <v>0.4</v>
      </c>
    </row>
    <row r="49" spans="2:25">
      <c r="B49" s="179"/>
      <c r="C49" s="179"/>
      <c r="D49" s="196" t="s">
        <v>184</v>
      </c>
      <c r="E49" s="196"/>
      <c r="F49" s="105">
        <f>(F35*12)/F43</f>
        <v>0.5064200325053001</v>
      </c>
    </row>
    <row r="50" spans="2:25" ht="21" customHeight="1">
      <c r="I50" s="91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</row>
    <row r="51" spans="2:25" s="92" customFormat="1" ht="19.5" customHeight="1">
      <c r="D51" s="103" t="s">
        <v>121</v>
      </c>
      <c r="E51" s="103" t="s">
        <v>235</v>
      </c>
      <c r="F51" s="103" t="s">
        <v>122</v>
      </c>
      <c r="G51" s="83"/>
      <c r="H51" s="83"/>
      <c r="I51" s="91"/>
      <c r="J51" s="93"/>
    </row>
    <row r="52" spans="2:25" s="82" customFormat="1" ht="15.75" hidden="1" customHeight="1" outlineLevel="1">
      <c r="C52" s="78" t="s">
        <v>272</v>
      </c>
      <c r="G52" s="83"/>
      <c r="H52" s="83"/>
      <c r="K52" s="94"/>
    </row>
    <row r="53" spans="2:25" s="82" customFormat="1" ht="15.75" hidden="1" customHeight="1" outlineLevel="1">
      <c r="C53" s="78" t="s">
        <v>271</v>
      </c>
      <c r="G53" s="83"/>
      <c r="H53" s="83"/>
      <c r="K53" s="94"/>
    </row>
    <row r="54" spans="2:25" s="82" customFormat="1" ht="15.75" customHeight="1" collapsed="1">
      <c r="D54" s="108" t="s">
        <v>132</v>
      </c>
      <c r="E54" s="76" t="s">
        <v>228</v>
      </c>
      <c r="F54" s="75" t="s">
        <v>271</v>
      </c>
      <c r="G54" s="83"/>
      <c r="H54" s="83"/>
      <c r="I54" s="83"/>
    </row>
    <row r="55" spans="2:25" s="82" customFormat="1" ht="15.75" customHeight="1">
      <c r="D55" s="108" t="s">
        <v>8</v>
      </c>
      <c r="E55" s="75" t="s">
        <v>229</v>
      </c>
      <c r="F55" s="102"/>
      <c r="G55" s="83"/>
      <c r="H55" s="83"/>
    </row>
    <row r="56" spans="2:25" s="82" customFormat="1" ht="15.75" customHeight="1">
      <c r="C56" s="186"/>
      <c r="D56" s="110" t="s">
        <v>9</v>
      </c>
      <c r="E56" s="75" t="s">
        <v>127</v>
      </c>
      <c r="F56" s="102" t="s">
        <v>127</v>
      </c>
      <c r="G56" s="83"/>
      <c r="H56" s="83"/>
      <c r="K56" s="94"/>
    </row>
    <row r="57" spans="2:25" s="82" customFormat="1" ht="15.75" customHeight="1">
      <c r="C57" s="186"/>
      <c r="D57" s="110" t="s">
        <v>86</v>
      </c>
      <c r="E57" s="75" t="s">
        <v>127</v>
      </c>
      <c r="F57" s="102" t="s">
        <v>221</v>
      </c>
      <c r="G57" s="83"/>
      <c r="H57" s="83"/>
      <c r="K57" s="94"/>
    </row>
    <row r="58" spans="2:25" s="82" customFormat="1" ht="15.75" customHeight="1">
      <c r="C58" s="186"/>
      <c r="D58" s="110" t="s">
        <v>92</v>
      </c>
      <c r="E58" s="75" t="s">
        <v>127</v>
      </c>
      <c r="F58" s="102" t="s">
        <v>127</v>
      </c>
      <c r="G58" s="83"/>
      <c r="H58" s="83"/>
      <c r="K58" s="94"/>
    </row>
    <row r="59" spans="2:25" s="82" customFormat="1" ht="15.75" customHeight="1">
      <c r="D59" s="108" t="s">
        <v>123</v>
      </c>
      <c r="E59" s="75" t="s">
        <v>229</v>
      </c>
      <c r="F59" s="124"/>
      <c r="G59" s="83"/>
      <c r="H59" s="83"/>
      <c r="I59" s="83"/>
    </row>
    <row r="60" spans="2:25" s="82" customFormat="1" ht="15.75" customHeight="1">
      <c r="D60" s="110" t="s">
        <v>9</v>
      </c>
      <c r="E60" s="75" t="s">
        <v>10</v>
      </c>
      <c r="F60" s="102" t="s">
        <v>127</v>
      </c>
      <c r="G60" s="83"/>
      <c r="H60" s="83"/>
      <c r="K60" s="94"/>
    </row>
    <row r="61" spans="2:25" s="82" customFormat="1" ht="15.75" customHeight="1">
      <c r="D61" s="110" t="s">
        <v>86</v>
      </c>
      <c r="E61" s="75" t="s">
        <v>10</v>
      </c>
      <c r="F61" s="102" t="s">
        <v>127</v>
      </c>
      <c r="G61" s="83"/>
      <c r="H61" s="83"/>
      <c r="K61" s="94"/>
    </row>
    <row r="62" spans="2:25" s="82" customFormat="1" ht="15.75" customHeight="1">
      <c r="D62" s="110" t="s">
        <v>92</v>
      </c>
      <c r="E62" s="75" t="s">
        <v>10</v>
      </c>
      <c r="F62" s="102" t="s">
        <v>127</v>
      </c>
      <c r="G62" s="83"/>
      <c r="H62" s="83"/>
      <c r="K62" s="94"/>
    </row>
    <row r="63" spans="2:25" s="82" customFormat="1" ht="15.75" customHeight="1">
      <c r="D63" s="108" t="s">
        <v>11</v>
      </c>
      <c r="E63" s="75" t="s">
        <v>229</v>
      </c>
      <c r="F63" s="125"/>
      <c r="G63" s="83"/>
      <c r="H63" s="83"/>
      <c r="K63" s="94"/>
    </row>
    <row r="64" spans="2:25" s="82" customFormat="1" ht="15.75" customHeight="1">
      <c r="D64" s="110" t="s">
        <v>12</v>
      </c>
      <c r="E64" s="80" t="s">
        <v>13</v>
      </c>
      <c r="F64" s="102" t="s">
        <v>128</v>
      </c>
      <c r="G64" s="83"/>
      <c r="H64" s="83"/>
      <c r="K64" s="94"/>
    </row>
    <row r="65" spans="3:25" s="82" customFormat="1" ht="15.75" customHeight="1">
      <c r="D65" s="110" t="s">
        <v>14</v>
      </c>
      <c r="E65" s="80" t="s">
        <v>13</v>
      </c>
      <c r="F65" s="102" t="s">
        <v>128</v>
      </c>
      <c r="G65" s="83"/>
      <c r="H65" s="83"/>
      <c r="K65" s="94"/>
    </row>
    <row r="66" spans="3:25" s="82" customFormat="1" ht="15.75" customHeight="1">
      <c r="D66" s="110" t="s">
        <v>66</v>
      </c>
      <c r="E66" s="80" t="s">
        <v>13</v>
      </c>
      <c r="F66" s="102" t="s">
        <v>128</v>
      </c>
      <c r="G66" s="83"/>
      <c r="H66" s="83"/>
      <c r="K66" s="94"/>
    </row>
    <row r="67" spans="3:25" s="82" customFormat="1" ht="15.75" customHeight="1">
      <c r="D67" s="110" t="s">
        <v>67</v>
      </c>
      <c r="E67" s="80" t="s">
        <v>13</v>
      </c>
      <c r="F67" s="102" t="s">
        <v>128</v>
      </c>
      <c r="G67" s="83"/>
      <c r="H67" s="83"/>
      <c r="K67" s="94"/>
    </row>
    <row r="68" spans="3:25" s="82" customFormat="1" ht="15.75" hidden="1" customHeight="1" outlineLevel="1">
      <c r="C68" s="78" t="s">
        <v>330</v>
      </c>
      <c r="D68" s="83"/>
      <c r="E68" s="83"/>
      <c r="F68" s="83"/>
      <c r="G68" s="83"/>
      <c r="H68" s="83"/>
      <c r="K68" s="94"/>
    </row>
    <row r="69" spans="3:25" s="82" customFormat="1" ht="15.75" hidden="1" customHeight="1" outlineLevel="1">
      <c r="C69" s="78" t="s">
        <v>273</v>
      </c>
      <c r="D69" s="83"/>
      <c r="E69" s="83"/>
      <c r="F69" s="83"/>
      <c r="G69" s="83"/>
      <c r="H69" s="83"/>
      <c r="K69" s="94"/>
    </row>
    <row r="70" spans="3:25" s="82" customFormat="1" ht="15.75" customHeight="1" collapsed="1">
      <c r="D70" s="108" t="s">
        <v>209</v>
      </c>
      <c r="E70" s="76" t="s">
        <v>228</v>
      </c>
      <c r="F70" s="75" t="s">
        <v>330</v>
      </c>
      <c r="G70" s="83"/>
      <c r="H70" s="83"/>
      <c r="K70" s="94"/>
    </row>
    <row r="71" spans="3:25" s="86" customFormat="1" ht="16.5" hidden="1" customHeight="1" outlineLevel="1">
      <c r="C71" s="78" t="s">
        <v>109</v>
      </c>
      <c r="E71" s="137"/>
      <c r="O71" s="82"/>
    </row>
    <row r="72" spans="3:25" s="86" customFormat="1" ht="15" hidden="1" outlineLevel="1">
      <c r="C72" s="78" t="s">
        <v>110</v>
      </c>
      <c r="E72" s="137"/>
      <c r="O72" s="82"/>
    </row>
    <row r="73" spans="3:25" s="86" customFormat="1" ht="15" hidden="1" outlineLevel="1">
      <c r="C73" s="78" t="s">
        <v>111</v>
      </c>
      <c r="E73" s="137"/>
      <c r="O73" s="82"/>
    </row>
    <row r="74" spans="3:25" s="86" customFormat="1" ht="15" customHeight="1" collapsed="1">
      <c r="D74" s="108" t="s">
        <v>207</v>
      </c>
      <c r="E74" s="76" t="s">
        <v>228</v>
      </c>
      <c r="F74" s="75" t="s">
        <v>109</v>
      </c>
      <c r="O74" s="82"/>
    </row>
    <row r="75" spans="3:25" s="82" customFormat="1" ht="15.75" customHeight="1">
      <c r="D75" s="108" t="s">
        <v>69</v>
      </c>
      <c r="E75" s="75" t="s">
        <v>229</v>
      </c>
      <c r="F75" s="100"/>
      <c r="G75" s="83"/>
      <c r="H75" s="83"/>
      <c r="I75" s="83"/>
      <c r="K75" s="94"/>
    </row>
    <row r="76" spans="3:25" s="82" customFormat="1" ht="15.75" customHeight="1">
      <c r="D76" s="110" t="s">
        <v>28</v>
      </c>
      <c r="E76" s="75" t="s">
        <v>27</v>
      </c>
      <c r="F76" s="75" t="s">
        <v>130</v>
      </c>
      <c r="G76" s="83"/>
      <c r="H76" s="83"/>
      <c r="I76" s="83"/>
      <c r="K76" s="94"/>
    </row>
    <row r="77" spans="3:25" s="82" customFormat="1" ht="15.75" customHeight="1">
      <c r="D77" s="110" t="s">
        <v>29</v>
      </c>
      <c r="E77" s="75" t="s">
        <v>27</v>
      </c>
      <c r="F77" s="75" t="s">
        <v>130</v>
      </c>
      <c r="G77" s="83"/>
      <c r="H77" s="83"/>
      <c r="I77" s="83"/>
    </row>
    <row r="78" spans="3:25" s="82" customFormat="1" ht="15.75" customHeight="1">
      <c r="D78" s="110" t="s">
        <v>30</v>
      </c>
      <c r="E78" s="75" t="s">
        <v>27</v>
      </c>
      <c r="F78" s="75" t="s">
        <v>130</v>
      </c>
      <c r="G78" s="83"/>
      <c r="H78" s="83"/>
      <c r="I78" s="83"/>
    </row>
    <row r="79" spans="3:25">
      <c r="D79" s="110" t="s">
        <v>31</v>
      </c>
      <c r="E79" s="75" t="s">
        <v>27</v>
      </c>
      <c r="F79" s="75" t="s">
        <v>130</v>
      </c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</row>
    <row r="80" spans="3:25" ht="15.75" customHeight="1">
      <c r="D80" s="110" t="s">
        <v>32</v>
      </c>
      <c r="E80" s="75" t="s">
        <v>27</v>
      </c>
      <c r="F80" s="75" t="s">
        <v>130</v>
      </c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</row>
    <row r="81" spans="3:25" ht="15.75" hidden="1" customHeight="1" outlineLevel="1">
      <c r="C81" s="78" t="s">
        <v>225</v>
      </c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</row>
    <row r="82" spans="3:25" ht="15.75" hidden="1" customHeight="1" outlineLevel="1">
      <c r="C82" s="78" t="s">
        <v>26</v>
      </c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</row>
    <row r="83" spans="3:25" ht="15.75" customHeight="1" collapsed="1">
      <c r="D83" s="108" t="s">
        <v>208</v>
      </c>
      <c r="E83" s="76" t="s">
        <v>228</v>
      </c>
      <c r="F83" s="75" t="s">
        <v>225</v>
      </c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</row>
    <row r="84" spans="3:25" s="82" customFormat="1" ht="15.75" customHeight="1">
      <c r="D84" s="108" t="s">
        <v>136</v>
      </c>
      <c r="E84" s="75" t="s">
        <v>229</v>
      </c>
      <c r="F84" s="100"/>
      <c r="G84" s="83"/>
      <c r="H84" s="83"/>
      <c r="K84" s="94"/>
    </row>
    <row r="85" spans="3:25" s="82" customFormat="1" ht="15.75" customHeight="1">
      <c r="D85" s="110" t="s">
        <v>35</v>
      </c>
      <c r="E85" s="75" t="s">
        <v>229</v>
      </c>
      <c r="F85" s="81">
        <v>18541</v>
      </c>
      <c r="G85" s="83"/>
      <c r="H85" s="83"/>
      <c r="K85" s="94"/>
    </row>
    <row r="86" spans="3:25" s="82" customFormat="1" ht="15.75" customHeight="1">
      <c r="D86" s="110" t="s">
        <v>137</v>
      </c>
      <c r="E86" s="75" t="s">
        <v>229</v>
      </c>
      <c r="F86" s="81" t="s">
        <v>210</v>
      </c>
      <c r="G86" s="83"/>
      <c r="H86" s="83"/>
      <c r="K86" s="94"/>
    </row>
    <row r="87" spans="3:25" s="82" customFormat="1" ht="15.75" customHeight="1">
      <c r="D87" s="108" t="s">
        <v>223</v>
      </c>
      <c r="E87" s="100"/>
      <c r="F87" s="100"/>
      <c r="G87" s="83"/>
      <c r="H87" s="83"/>
      <c r="K87" s="94"/>
    </row>
    <row r="88" spans="3:25" s="82" customFormat="1" ht="15.75" customHeight="1">
      <c r="D88" s="110" t="s">
        <v>222</v>
      </c>
      <c r="E88" s="75" t="s">
        <v>229</v>
      </c>
      <c r="F88" s="81" t="s">
        <v>210</v>
      </c>
      <c r="G88" s="83"/>
      <c r="H88" s="83"/>
      <c r="K88" s="94"/>
    </row>
    <row r="89" spans="3:25" s="82" customFormat="1" ht="15.75" customHeight="1">
      <c r="D89" s="110" t="s">
        <v>224</v>
      </c>
      <c r="E89" s="75" t="s">
        <v>229</v>
      </c>
      <c r="F89" s="81" t="s">
        <v>210</v>
      </c>
      <c r="G89" s="83"/>
      <c r="H89" s="83"/>
      <c r="K89" s="94"/>
    </row>
    <row r="90" spans="3:25" s="82" customFormat="1" ht="15.75" hidden="1" customHeight="1" outlineLevel="1">
      <c r="C90" s="78" t="s">
        <v>16</v>
      </c>
      <c r="G90" s="83"/>
      <c r="H90" s="83"/>
      <c r="K90" s="94"/>
    </row>
    <row r="91" spans="3:25" s="82" customFormat="1" ht="15.75" hidden="1" customHeight="1" outlineLevel="1">
      <c r="C91" s="78" t="s">
        <v>17</v>
      </c>
      <c r="K91" s="94"/>
    </row>
    <row r="92" spans="3:25" s="82" customFormat="1" ht="15.75" hidden="1" customHeight="1" outlineLevel="1">
      <c r="C92" s="78" t="s">
        <v>18</v>
      </c>
      <c r="K92" s="94"/>
    </row>
    <row r="93" spans="3:25" s="82" customFormat="1" ht="15.75" hidden="1" customHeight="1" outlineLevel="1">
      <c r="C93" s="78" t="s">
        <v>19</v>
      </c>
      <c r="K93" s="94"/>
    </row>
    <row r="94" spans="3:25" s="82" customFormat="1" ht="15.75" hidden="1" customHeight="1" outlineLevel="1">
      <c r="C94" s="78" t="s">
        <v>26</v>
      </c>
      <c r="K94" s="94"/>
    </row>
    <row r="95" spans="3:25" s="82" customFormat="1" ht="15.75" customHeight="1" collapsed="1">
      <c r="D95" s="108" t="s">
        <v>15</v>
      </c>
      <c r="E95" s="76" t="s">
        <v>228</v>
      </c>
      <c r="F95" s="75" t="s">
        <v>16</v>
      </c>
      <c r="G95" s="83"/>
      <c r="H95" s="83"/>
      <c r="K95" s="94"/>
    </row>
    <row r="96" spans="3:25" s="82" customFormat="1" ht="15.75" hidden="1" customHeight="1" outlineLevel="1">
      <c r="C96" s="78" t="s">
        <v>203</v>
      </c>
      <c r="G96" s="83"/>
      <c r="H96" s="83"/>
      <c r="I96" s="83"/>
      <c r="K96" s="94"/>
    </row>
    <row r="97" spans="3:11" s="82" customFormat="1" ht="15.75" hidden="1" customHeight="1" outlineLevel="1">
      <c r="C97" s="78" t="s">
        <v>204</v>
      </c>
      <c r="G97" s="83"/>
      <c r="H97" s="83"/>
      <c r="I97" s="83"/>
      <c r="K97" s="94"/>
    </row>
    <row r="98" spans="3:11" s="82" customFormat="1" ht="15.75" hidden="1" customHeight="1" outlineLevel="1">
      <c r="C98" s="78" t="s">
        <v>129</v>
      </c>
      <c r="G98" s="83"/>
      <c r="H98" s="83"/>
      <c r="I98" s="83"/>
      <c r="K98" s="94"/>
    </row>
    <row r="99" spans="3:11" s="82" customFormat="1" ht="15.75" customHeight="1" collapsed="1">
      <c r="D99" s="108" t="s">
        <v>20</v>
      </c>
      <c r="E99" s="76" t="s">
        <v>228</v>
      </c>
      <c r="F99" s="75" t="s">
        <v>129</v>
      </c>
      <c r="G99" s="83"/>
      <c r="H99" s="83"/>
      <c r="I99" s="83"/>
      <c r="K99" s="94"/>
    </row>
    <row r="100" spans="3:11" s="82" customFormat="1" ht="15.75" hidden="1" customHeight="1" outlineLevel="1">
      <c r="C100" s="78" t="s">
        <v>220</v>
      </c>
      <c r="G100" s="83"/>
      <c r="H100" s="83"/>
      <c r="I100" s="83"/>
      <c r="K100" s="94"/>
    </row>
    <row r="101" spans="3:11" s="82" customFormat="1" ht="15.75" hidden="1" customHeight="1" outlineLevel="1">
      <c r="C101" s="78" t="s">
        <v>26</v>
      </c>
      <c r="G101" s="83"/>
      <c r="H101" s="83"/>
      <c r="I101" s="83"/>
      <c r="K101" s="94"/>
    </row>
    <row r="102" spans="3:11" s="82" customFormat="1" ht="15.75" hidden="1" customHeight="1" outlineLevel="1">
      <c r="C102" s="78" t="s">
        <v>129</v>
      </c>
      <c r="G102" s="83"/>
      <c r="H102" s="83"/>
      <c r="I102" s="83"/>
      <c r="K102" s="94"/>
    </row>
    <row r="103" spans="3:11" s="82" customFormat="1" ht="15.75" customHeight="1" collapsed="1">
      <c r="D103" s="108" t="s">
        <v>87</v>
      </c>
      <c r="E103" s="76" t="s">
        <v>228</v>
      </c>
      <c r="F103" s="75" t="s">
        <v>129</v>
      </c>
      <c r="G103" s="83"/>
      <c r="H103" s="83"/>
      <c r="I103" s="83"/>
      <c r="K103" s="94"/>
    </row>
    <row r="104" spans="3:11" s="82" customFormat="1" ht="15.75" customHeight="1">
      <c r="D104" s="108" t="s">
        <v>68</v>
      </c>
      <c r="E104" s="75" t="s">
        <v>229</v>
      </c>
      <c r="F104" s="100"/>
      <c r="G104" s="83"/>
      <c r="H104" s="83"/>
      <c r="I104" s="83"/>
      <c r="K104" s="94"/>
    </row>
    <row r="105" spans="3:11" s="82" customFormat="1" ht="15.75" customHeight="1">
      <c r="D105" s="109" t="s">
        <v>138</v>
      </c>
      <c r="E105" s="75" t="s">
        <v>99</v>
      </c>
      <c r="F105" s="107">
        <f>SUM(F106:F108)</f>
        <v>2</v>
      </c>
      <c r="G105" s="83"/>
      <c r="H105" s="83"/>
      <c r="I105" s="83"/>
      <c r="K105" s="94"/>
    </row>
    <row r="106" spans="3:11" s="82" customFormat="1" ht="15.75" customHeight="1">
      <c r="D106" s="110" t="s">
        <v>22</v>
      </c>
      <c r="E106" s="75" t="s">
        <v>23</v>
      </c>
      <c r="F106" s="75">
        <v>0</v>
      </c>
      <c r="G106" s="83"/>
      <c r="H106" s="83"/>
      <c r="I106" s="83"/>
      <c r="K106" s="94"/>
    </row>
    <row r="107" spans="3:11" s="82" customFormat="1" ht="15.75" customHeight="1">
      <c r="D107" s="110" t="s">
        <v>205</v>
      </c>
      <c r="E107" s="75" t="s">
        <v>23</v>
      </c>
      <c r="F107" s="75">
        <v>1</v>
      </c>
      <c r="G107" s="83"/>
      <c r="H107" s="83"/>
      <c r="I107" s="83"/>
      <c r="K107" s="94"/>
    </row>
    <row r="108" spans="3:11" s="82" customFormat="1" ht="15.75" customHeight="1">
      <c r="D108" s="110" t="s">
        <v>206</v>
      </c>
      <c r="E108" s="75" t="s">
        <v>23</v>
      </c>
      <c r="F108" s="75">
        <v>1</v>
      </c>
      <c r="G108" s="83"/>
      <c r="H108" s="83"/>
      <c r="I108" s="83"/>
      <c r="K108" s="94"/>
    </row>
    <row r="109" spans="3:11" s="82" customFormat="1" ht="15.75" customHeight="1">
      <c r="C109" s="186"/>
      <c r="D109" s="109" t="s">
        <v>139</v>
      </c>
      <c r="E109" s="75" t="s">
        <v>99</v>
      </c>
      <c r="F109" s="107">
        <f>SUM(F110:F112)</f>
        <v>2</v>
      </c>
      <c r="G109" s="83"/>
      <c r="H109" s="83"/>
      <c r="I109" s="83"/>
      <c r="K109" s="94"/>
    </row>
    <row r="110" spans="3:11" s="82" customFormat="1" ht="15.75" customHeight="1">
      <c r="D110" s="110" t="s">
        <v>24</v>
      </c>
      <c r="E110" s="75" t="s">
        <v>23</v>
      </c>
      <c r="F110" s="75">
        <v>2</v>
      </c>
      <c r="G110" s="83"/>
      <c r="H110" s="83"/>
      <c r="I110" s="83"/>
      <c r="K110" s="94"/>
    </row>
    <row r="111" spans="3:11" s="82" customFormat="1" ht="15.75" customHeight="1">
      <c r="D111" s="110" t="s">
        <v>25</v>
      </c>
      <c r="E111" s="75" t="s">
        <v>23</v>
      </c>
      <c r="F111" s="75">
        <v>0</v>
      </c>
      <c r="G111" s="83"/>
      <c r="H111" s="83"/>
      <c r="I111" s="83"/>
      <c r="K111" s="94"/>
    </row>
    <row r="112" spans="3:11" s="82" customFormat="1" ht="15.75" customHeight="1">
      <c r="D112" s="110" t="s">
        <v>26</v>
      </c>
      <c r="E112" s="75" t="s">
        <v>23</v>
      </c>
      <c r="F112" s="75">
        <v>0</v>
      </c>
      <c r="G112" s="83"/>
      <c r="H112" s="83"/>
      <c r="I112" s="83"/>
      <c r="K112" s="94"/>
    </row>
    <row r="113" spans="3:25" s="82" customFormat="1" ht="15.75" hidden="1" customHeight="1" outlineLevel="1">
      <c r="C113" s="75" t="s">
        <v>289</v>
      </c>
      <c r="D113" s="83"/>
      <c r="E113" s="83"/>
      <c r="F113" s="83"/>
      <c r="G113" s="83"/>
      <c r="H113" s="83"/>
      <c r="I113" s="83"/>
      <c r="K113" s="94"/>
    </row>
    <row r="114" spans="3:25" s="82" customFormat="1" ht="15.75" hidden="1" customHeight="1" outlineLevel="1">
      <c r="C114" s="75" t="s">
        <v>290</v>
      </c>
      <c r="D114" s="83"/>
      <c r="E114" s="83"/>
      <c r="F114" s="83"/>
      <c r="G114" s="83"/>
      <c r="H114" s="83"/>
      <c r="I114" s="83"/>
      <c r="K114" s="94"/>
    </row>
    <row r="115" spans="3:25" s="82" customFormat="1" ht="15.75" hidden="1" customHeight="1" outlineLevel="1">
      <c r="C115" s="75" t="s">
        <v>291</v>
      </c>
      <c r="D115" s="83"/>
      <c r="E115" s="83"/>
      <c r="F115" s="83"/>
      <c r="G115" s="83"/>
      <c r="H115" s="83"/>
      <c r="I115" s="83"/>
      <c r="K115" s="94"/>
    </row>
    <row r="116" spans="3:25" s="82" customFormat="1" ht="15.75" hidden="1" customHeight="1" outlineLevel="1">
      <c r="C116" s="75" t="s">
        <v>292</v>
      </c>
      <c r="D116" s="83"/>
      <c r="E116" s="83"/>
      <c r="F116" s="83"/>
      <c r="G116" s="83"/>
      <c r="H116" s="83"/>
      <c r="I116" s="83"/>
      <c r="K116" s="94"/>
    </row>
    <row r="117" spans="3:25" collapsed="1">
      <c r="D117" s="111" t="s">
        <v>33</v>
      </c>
      <c r="E117" s="76" t="s">
        <v>228</v>
      </c>
      <c r="F117" s="75" t="s">
        <v>289</v>
      </c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</row>
    <row r="118" spans="3:25" hidden="1" outlineLevel="1">
      <c r="C118" s="78" t="s">
        <v>230</v>
      </c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</row>
    <row r="119" spans="3:25" hidden="1" outlineLevel="1">
      <c r="C119" s="78" t="s">
        <v>231</v>
      </c>
      <c r="D119" s="111" t="s">
        <v>70</v>
      </c>
      <c r="E119" s="75" t="s">
        <v>229</v>
      </c>
      <c r="F119" s="75" t="s">
        <v>231</v>
      </c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</row>
    <row r="120" spans="3:25" ht="15.75" customHeight="1" collapsed="1">
      <c r="D120" s="111" t="s">
        <v>104</v>
      </c>
      <c r="E120" s="75" t="s">
        <v>229</v>
      </c>
      <c r="F120" s="126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</row>
    <row r="121" spans="3:25" hidden="1" outlineLevel="1">
      <c r="C121" s="78" t="s">
        <v>103</v>
      </c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</row>
    <row r="122" spans="3:25" hidden="1" outlineLevel="1">
      <c r="C122" s="78" t="s">
        <v>140</v>
      </c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</row>
    <row r="123" spans="3:25" hidden="1" outlineLevel="1">
      <c r="C123" s="78" t="s">
        <v>141</v>
      </c>
      <c r="J123" s="127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</row>
    <row r="124" spans="3:25" hidden="1" outlineLevel="1">
      <c r="C124" s="78" t="s">
        <v>142</v>
      </c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</row>
    <row r="125" spans="3:25" hidden="1" outlineLevel="1">
      <c r="C125" s="78" t="s">
        <v>98</v>
      </c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</row>
    <row r="126" spans="3:25" ht="15.75" customHeight="1" collapsed="1">
      <c r="D126" s="108" t="s">
        <v>301</v>
      </c>
      <c r="E126" s="76" t="s">
        <v>228</v>
      </c>
      <c r="F126" s="75" t="s">
        <v>140</v>
      </c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</row>
    <row r="127" spans="3:25" ht="15" hidden="1" outlineLevel="1">
      <c r="C127" s="78" t="s">
        <v>89</v>
      </c>
      <c r="E127" s="95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</row>
    <row r="128" spans="3:25" ht="15" hidden="1" customHeight="1" outlineLevel="1">
      <c r="C128" s="78" t="s">
        <v>88</v>
      </c>
      <c r="E128" s="95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</row>
    <row r="129" spans="2:25" ht="15" hidden="1" outlineLevel="1">
      <c r="C129" s="78" t="s">
        <v>90</v>
      </c>
      <c r="E129" s="95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</row>
    <row r="130" spans="2:25" ht="15" hidden="1" outlineLevel="1">
      <c r="C130" s="78" t="s">
        <v>26</v>
      </c>
      <c r="D130" s="83" t="s">
        <v>313</v>
      </c>
      <c r="E130" s="95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</row>
    <row r="131" spans="2:25" ht="15" collapsed="1">
      <c r="D131" s="108" t="s">
        <v>106</v>
      </c>
      <c r="E131" s="76" t="s">
        <v>228</v>
      </c>
      <c r="F131" s="75" t="s">
        <v>90</v>
      </c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</row>
    <row r="132" spans="2:25" ht="15" hidden="1" outlineLevel="1">
      <c r="C132" s="78" t="s">
        <v>303</v>
      </c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</row>
    <row r="133" spans="2:25" ht="15" hidden="1" outlineLevel="1">
      <c r="C133" s="78" t="s">
        <v>302</v>
      </c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</row>
    <row r="134" spans="2:25" ht="14.25" hidden="1" customHeight="1" outlineLevel="1">
      <c r="C134" s="78" t="s">
        <v>325</v>
      </c>
      <c r="D134" s="83" t="s">
        <v>326</v>
      </c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</row>
    <row r="135" spans="2:25" collapsed="1">
      <c r="D135" s="111" t="s">
        <v>327</v>
      </c>
      <c r="E135" s="76" t="s">
        <v>228</v>
      </c>
      <c r="F135" s="75" t="s">
        <v>325</v>
      </c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</row>
    <row r="136" spans="2:25" s="50" customFormat="1" ht="15" hidden="1" outlineLevel="1">
      <c r="B136" s="64"/>
      <c r="C136" s="75" t="s">
        <v>293</v>
      </c>
      <c r="D136" s="54"/>
      <c r="E136" s="54"/>
      <c r="F136" s="49"/>
      <c r="H136" s="48"/>
      <c r="I136" s="48"/>
      <c r="K136" s="52"/>
      <c r="L136" s="53"/>
    </row>
    <row r="137" spans="2:25" s="50" customFormat="1" ht="15" hidden="1" outlineLevel="1">
      <c r="B137" s="63"/>
      <c r="C137" s="75" t="s">
        <v>294</v>
      </c>
      <c r="D137" s="48"/>
      <c r="E137" s="48"/>
      <c r="F137" s="49"/>
      <c r="H137" s="48"/>
      <c r="I137" s="48"/>
      <c r="K137" s="52"/>
      <c r="L137" s="53"/>
    </row>
    <row r="138" spans="2:25" s="50" customFormat="1" ht="15" hidden="1" outlineLevel="1">
      <c r="B138" s="63"/>
      <c r="C138" s="75" t="s">
        <v>296</v>
      </c>
      <c r="D138" s="48"/>
      <c r="E138" s="48"/>
      <c r="F138" s="49"/>
      <c r="H138" s="48"/>
      <c r="I138" s="48"/>
      <c r="K138" s="52"/>
      <c r="L138" s="53"/>
    </row>
    <row r="139" spans="2:25" s="50" customFormat="1" ht="15" hidden="1" outlineLevel="1">
      <c r="B139" s="63"/>
      <c r="C139" s="75" t="s">
        <v>295</v>
      </c>
      <c r="D139" s="48"/>
      <c r="E139" s="48"/>
      <c r="F139" s="49"/>
      <c r="H139" s="48"/>
      <c r="I139" s="48"/>
      <c r="K139" s="52"/>
      <c r="L139" s="53"/>
    </row>
    <row r="140" spans="2:25" collapsed="1">
      <c r="D140" s="111" t="s">
        <v>34</v>
      </c>
      <c r="E140" s="76" t="s">
        <v>228</v>
      </c>
      <c r="F140" s="75" t="s">
        <v>294</v>
      </c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</row>
    <row r="141" spans="2:25" ht="15" hidden="1" outlineLevel="1">
      <c r="C141" s="78" t="s">
        <v>16</v>
      </c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</row>
    <row r="142" spans="2:25" ht="15" hidden="1" outlineLevel="1">
      <c r="C142" s="78" t="s">
        <v>96</v>
      </c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</row>
    <row r="143" spans="2:25" ht="15" collapsed="1">
      <c r="D143" s="108" t="s">
        <v>297</v>
      </c>
      <c r="E143" s="76" t="s">
        <v>228</v>
      </c>
      <c r="F143" s="75" t="s">
        <v>16</v>
      </c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</row>
    <row r="144" spans="2:25" ht="15" customHeight="1">
      <c r="D144" s="108" t="s">
        <v>201</v>
      </c>
      <c r="E144" s="75" t="s">
        <v>229</v>
      </c>
      <c r="F144" s="100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</row>
    <row r="145" spans="2:25" ht="15" customHeight="1">
      <c r="D145" s="110" t="s">
        <v>287</v>
      </c>
      <c r="E145" s="75" t="s">
        <v>5</v>
      </c>
      <c r="F145" s="128">
        <v>75000</v>
      </c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</row>
    <row r="146" spans="2:25" ht="15">
      <c r="D146" s="110" t="s">
        <v>288</v>
      </c>
      <c r="E146" s="75" t="s">
        <v>5</v>
      </c>
      <c r="F146" s="128">
        <v>20000</v>
      </c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</row>
    <row r="147" spans="2:25" ht="15">
      <c r="D147" s="110" t="s">
        <v>199</v>
      </c>
      <c r="E147" s="75" t="s">
        <v>232</v>
      </c>
      <c r="F147" s="113">
        <f>SUM(F145:F146)</f>
        <v>95000</v>
      </c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</row>
    <row r="148" spans="2:25" ht="15.75" customHeight="1">
      <c r="D148" s="108" t="s">
        <v>202</v>
      </c>
      <c r="E148" s="75" t="s">
        <v>229</v>
      </c>
      <c r="F148" s="100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</row>
    <row r="149" spans="2:25" ht="15.75" customHeight="1">
      <c r="D149" s="110" t="s">
        <v>287</v>
      </c>
      <c r="E149" s="75" t="s">
        <v>5</v>
      </c>
      <c r="F149" s="128">
        <v>25000</v>
      </c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</row>
    <row r="150" spans="2:25" ht="15.75" customHeight="1">
      <c r="D150" s="110" t="s">
        <v>288</v>
      </c>
      <c r="E150" s="75" t="s">
        <v>5</v>
      </c>
      <c r="F150" s="128">
        <v>50000</v>
      </c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</row>
    <row r="151" spans="2:25" ht="15.75" customHeight="1">
      <c r="D151" s="110" t="s">
        <v>199</v>
      </c>
      <c r="E151" s="75" t="s">
        <v>232</v>
      </c>
      <c r="F151" s="113">
        <f>SUM(F149:F150)</f>
        <v>75000</v>
      </c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</row>
    <row r="152" spans="2:25" s="95" customFormat="1" ht="15.75" customHeight="1">
      <c r="D152" s="112" t="s">
        <v>200</v>
      </c>
      <c r="E152" s="75" t="s">
        <v>232</v>
      </c>
      <c r="F152" s="113">
        <f>F147+F151</f>
        <v>170000</v>
      </c>
      <c r="G152" s="83"/>
      <c r="H152" s="83"/>
    </row>
    <row r="153" spans="2:25" hidden="1" outlineLevel="1">
      <c r="B153" s="78" t="s">
        <v>180</v>
      </c>
    </row>
    <row r="154" spans="2:25" hidden="1" outlineLevel="1">
      <c r="B154" s="78" t="s">
        <v>55</v>
      </c>
    </row>
    <row r="155" spans="2:25" hidden="1" outlineLevel="1">
      <c r="B155" s="78" t="s">
        <v>244</v>
      </c>
    </row>
    <row r="156" spans="2:25" hidden="1" outlineLevel="1">
      <c r="B156" s="78" t="s">
        <v>245</v>
      </c>
    </row>
    <row r="157" spans="2:25" hidden="1" outlineLevel="1">
      <c r="B157" s="78" t="s">
        <v>246</v>
      </c>
    </row>
    <row r="158" spans="2:25" hidden="1" outlineLevel="1">
      <c r="B158" s="78" t="s">
        <v>247</v>
      </c>
    </row>
    <row r="159" spans="2:25" hidden="1" outlineLevel="1">
      <c r="B159" s="78" t="s">
        <v>252</v>
      </c>
    </row>
    <row r="160" spans="2:25" hidden="1" outlineLevel="1">
      <c r="B160" s="78" t="s">
        <v>253</v>
      </c>
    </row>
    <row r="161" spans="2:25" hidden="1" outlineLevel="1">
      <c r="B161" s="78" t="s">
        <v>254</v>
      </c>
    </row>
    <row r="162" spans="2:25" hidden="1" outlineLevel="1">
      <c r="B162" s="78" t="s">
        <v>255</v>
      </c>
    </row>
    <row r="163" spans="2:25" hidden="1" outlineLevel="1">
      <c r="B163" s="78" t="s">
        <v>256</v>
      </c>
    </row>
    <row r="164" spans="2:25" hidden="1" outlineLevel="1">
      <c r="B164" s="78" t="s">
        <v>257</v>
      </c>
    </row>
    <row r="165" spans="2:25" hidden="1" outlineLevel="1">
      <c r="B165" s="78" t="s">
        <v>258</v>
      </c>
    </row>
    <row r="166" spans="2:25" hidden="1" outlineLevel="1">
      <c r="B166" s="78" t="s">
        <v>259</v>
      </c>
    </row>
    <row r="167" spans="2:25" collapsed="1">
      <c r="D167" s="139" t="s">
        <v>251</v>
      </c>
    </row>
    <row r="168" spans="2:25" ht="15" customHeight="1">
      <c r="D168" s="110" t="s">
        <v>240</v>
      </c>
      <c r="E168" s="76" t="s">
        <v>228</v>
      </c>
      <c r="F168" s="75" t="s">
        <v>55</v>
      </c>
      <c r="I168" s="84"/>
      <c r="J168" s="85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</row>
    <row r="169" spans="2:25" ht="15.75" customHeight="1">
      <c r="D169" s="110" t="s">
        <v>144</v>
      </c>
      <c r="E169" s="76" t="s">
        <v>228</v>
      </c>
      <c r="F169" s="75" t="s">
        <v>248</v>
      </c>
      <c r="I169" s="84"/>
      <c r="J169" s="85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</row>
    <row r="170" spans="2:25" ht="15.75" customHeight="1">
      <c r="D170" s="138" t="s">
        <v>241</v>
      </c>
      <c r="E170" s="76" t="s">
        <v>228</v>
      </c>
      <c r="F170" s="75" t="s">
        <v>249</v>
      </c>
      <c r="I170" s="84"/>
      <c r="J170" s="85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</row>
    <row r="171" spans="2:25" ht="15.75" hidden="1" customHeight="1" outlineLevel="1">
      <c r="B171" s="124" t="s">
        <v>180</v>
      </c>
      <c r="C171" s="75">
        <f>IF(F178=$B$171,0,1)</f>
        <v>0</v>
      </c>
      <c r="I171" s="84"/>
      <c r="J171" s="85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</row>
    <row r="172" spans="2:25" ht="15.75" hidden="1" customHeight="1" outlineLevel="1">
      <c r="B172" s="124" t="s">
        <v>243</v>
      </c>
      <c r="C172" s="75">
        <f>IF(F179=$B$171,0,1)</f>
        <v>0</v>
      </c>
      <c r="I172" s="84"/>
      <c r="J172" s="85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</row>
    <row r="173" spans="2:25" ht="15.75" hidden="1" customHeight="1" outlineLevel="1">
      <c r="B173" s="124" t="s">
        <v>242</v>
      </c>
      <c r="C173" s="75">
        <f>IF(F180=$B$171,0,1)</f>
        <v>0</v>
      </c>
      <c r="I173" s="84"/>
      <c r="J173" s="85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</row>
    <row r="174" spans="2:25" ht="15.75" hidden="1" customHeight="1" outlineLevel="1">
      <c r="B174" s="124" t="s">
        <v>279</v>
      </c>
      <c r="C174" s="75">
        <f>IF(F181=$B$171,0,1)</f>
        <v>0</v>
      </c>
      <c r="I174" s="84"/>
      <c r="J174" s="85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</row>
    <row r="175" spans="2:25" ht="15.75" customHeight="1" collapsed="1">
      <c r="D175" s="112" t="s">
        <v>280</v>
      </c>
      <c r="E175" s="76" t="s">
        <v>228</v>
      </c>
      <c r="F175" s="130" t="s">
        <v>180</v>
      </c>
      <c r="I175" s="84"/>
      <c r="J175" s="85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</row>
    <row r="176" spans="2:25" ht="15">
      <c r="D176" s="112" t="s">
        <v>260</v>
      </c>
      <c r="J176" s="85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</row>
    <row r="177" spans="3:25" ht="15" customHeight="1">
      <c r="D177" s="110" t="s">
        <v>57</v>
      </c>
      <c r="E177" s="76" t="s">
        <v>228</v>
      </c>
      <c r="F177" s="130" t="s">
        <v>180</v>
      </c>
      <c r="I177" s="84"/>
      <c r="J177" s="85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</row>
    <row r="178" spans="3:25" ht="15" customHeight="1">
      <c r="D178" s="110" t="s">
        <v>58</v>
      </c>
      <c r="E178" s="140" t="s">
        <v>228</v>
      </c>
      <c r="F178" s="130" t="s">
        <v>180</v>
      </c>
      <c r="I178" s="84"/>
      <c r="J178" s="85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</row>
    <row r="179" spans="3:25" ht="15" customHeight="1">
      <c r="D179" s="110" t="s">
        <v>59</v>
      </c>
      <c r="E179" s="76" t="s">
        <v>228</v>
      </c>
      <c r="F179" s="130" t="s">
        <v>180</v>
      </c>
      <c r="I179" s="84"/>
      <c r="J179" s="85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</row>
    <row r="180" spans="3:25" ht="15" customHeight="1">
      <c r="D180" s="110" t="s">
        <v>60</v>
      </c>
      <c r="E180" s="76" t="s">
        <v>228</v>
      </c>
      <c r="F180" s="130" t="s">
        <v>180</v>
      </c>
      <c r="I180" s="84"/>
      <c r="J180" s="85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</row>
    <row r="181" spans="3:25" ht="15" customHeight="1">
      <c r="D181" s="110" t="s">
        <v>61</v>
      </c>
      <c r="E181" s="76" t="s">
        <v>228</v>
      </c>
      <c r="F181" s="130" t="s">
        <v>180</v>
      </c>
      <c r="I181" s="84"/>
      <c r="J181" s="85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</row>
    <row r="182" spans="3:25" ht="15" customHeight="1">
      <c r="D182" s="108" t="s">
        <v>56</v>
      </c>
      <c r="E182" s="75" t="s">
        <v>250</v>
      </c>
      <c r="F182" s="117">
        <f>SUM(C171:C174)</f>
        <v>0</v>
      </c>
      <c r="I182" s="84"/>
      <c r="J182" s="85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</row>
    <row r="183" spans="3:25" ht="15.75" hidden="1" customHeight="1" outlineLevel="1">
      <c r="C183" s="75">
        <v>0</v>
      </c>
      <c r="I183" s="84"/>
      <c r="J183" s="85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</row>
    <row r="184" spans="3:25" ht="15.75" hidden="1" customHeight="1" outlineLevel="1">
      <c r="C184" s="75">
        <v>1</v>
      </c>
      <c r="I184" s="84"/>
      <c r="J184" s="85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</row>
    <row r="185" spans="3:25" ht="15.75" hidden="1" customHeight="1" outlineLevel="1">
      <c r="C185" s="75">
        <v>2</v>
      </c>
      <c r="I185" s="84"/>
      <c r="J185" s="85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</row>
    <row r="186" spans="3:25" ht="15.75" hidden="1" customHeight="1" outlineLevel="1">
      <c r="C186" s="75">
        <v>3</v>
      </c>
      <c r="J186" s="85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</row>
    <row r="187" spans="3:25" ht="15.75" hidden="1" customHeight="1" outlineLevel="1">
      <c r="C187" s="75">
        <v>4</v>
      </c>
      <c r="J187" s="85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</row>
    <row r="188" spans="3:25" ht="47.25" customHeight="1" collapsed="1">
      <c r="D188" s="108" t="s">
        <v>261</v>
      </c>
      <c r="E188" s="140" t="s">
        <v>228</v>
      </c>
      <c r="F188" s="129">
        <v>4</v>
      </c>
      <c r="I188" s="84"/>
      <c r="J188" s="85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</row>
    <row r="189" spans="3:25" ht="15.75" hidden="1" customHeight="1" outlineLevel="1">
      <c r="C189" s="75">
        <v>0</v>
      </c>
      <c r="I189" s="84"/>
      <c r="J189" s="85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</row>
    <row r="190" spans="3:25" ht="15.75" hidden="1" customHeight="1" outlineLevel="1">
      <c r="C190" s="75">
        <v>1</v>
      </c>
      <c r="I190" s="84"/>
      <c r="J190" s="85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</row>
    <row r="191" spans="3:25" ht="15.75" hidden="1" customHeight="1" outlineLevel="1">
      <c r="C191" s="75">
        <v>2</v>
      </c>
      <c r="I191" s="84"/>
      <c r="J191" s="85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</row>
    <row r="192" spans="3:25" ht="15.75" hidden="1" customHeight="1" outlineLevel="1">
      <c r="C192" s="75">
        <v>3</v>
      </c>
      <c r="I192" s="84"/>
      <c r="J192" s="85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</row>
    <row r="193" spans="3:25" ht="15.75" hidden="1" customHeight="1" outlineLevel="1">
      <c r="C193" s="75" t="s">
        <v>129</v>
      </c>
      <c r="J193" s="85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</row>
    <row r="194" spans="3:25" ht="29.25" customHeight="1" collapsed="1">
      <c r="D194" s="108" t="s">
        <v>262</v>
      </c>
      <c r="E194" s="140" t="s">
        <v>228</v>
      </c>
      <c r="F194" s="129">
        <v>3</v>
      </c>
      <c r="I194" s="84"/>
      <c r="J194" s="85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</row>
    <row r="195" spans="3:25" hidden="1" outlineLevel="1">
      <c r="C195" s="78" t="s">
        <v>63</v>
      </c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</row>
    <row r="196" spans="3:25" ht="14.25" hidden="1" customHeight="1" outlineLevel="1">
      <c r="C196" s="78" t="s">
        <v>64</v>
      </c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</row>
    <row r="197" spans="3:25" hidden="1" outlineLevel="1">
      <c r="C197" s="78" t="s">
        <v>65</v>
      </c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</row>
    <row r="198" spans="3:25" hidden="1" outlineLevel="1">
      <c r="C198" s="78" t="s">
        <v>21</v>
      </c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</row>
    <row r="199" spans="3:25" ht="15" customHeight="1" collapsed="1">
      <c r="D199" s="108" t="s">
        <v>62</v>
      </c>
      <c r="E199" s="140" t="s">
        <v>228</v>
      </c>
      <c r="F199" s="79"/>
      <c r="J199" s="85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</row>
    <row r="200" spans="3:25" ht="15" hidden="1" customHeight="1" outlineLevel="1">
      <c r="C200" s="75">
        <v>0</v>
      </c>
      <c r="J200" s="85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</row>
    <row r="201" spans="3:25" ht="15" hidden="1" customHeight="1" outlineLevel="1">
      <c r="C201" s="75">
        <v>1</v>
      </c>
      <c r="J201" s="85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</row>
    <row r="202" spans="3:25" ht="15" hidden="1" customHeight="1" outlineLevel="1">
      <c r="C202" s="75">
        <v>2</v>
      </c>
      <c r="J202" s="85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</row>
    <row r="203" spans="3:25" ht="15" hidden="1" customHeight="1" outlineLevel="1">
      <c r="C203" s="75">
        <v>3</v>
      </c>
      <c r="J203" s="85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</row>
    <row r="204" spans="3:25" ht="15" hidden="1" customHeight="1" outlineLevel="1">
      <c r="C204" s="75">
        <v>4</v>
      </c>
      <c r="J204" s="85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</row>
    <row r="205" spans="3:25" ht="17.25" customHeight="1" collapsed="1">
      <c r="D205" s="108" t="s">
        <v>263</v>
      </c>
      <c r="E205" s="140" t="s">
        <v>228</v>
      </c>
      <c r="F205" s="141">
        <v>0</v>
      </c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</row>
    <row r="206" spans="3:25" ht="17.25" hidden="1" customHeight="1" outlineLevel="1">
      <c r="C206" s="75" t="s">
        <v>180</v>
      </c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</row>
    <row r="207" spans="3:25" ht="17.25" hidden="1" customHeight="1" outlineLevel="1">
      <c r="C207" s="75" t="s">
        <v>267</v>
      </c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</row>
    <row r="208" spans="3:25" ht="17.25" hidden="1" customHeight="1" outlineLevel="1">
      <c r="C208" s="75" t="s">
        <v>269</v>
      </c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</row>
    <row r="209" spans="3:25" ht="17.25" hidden="1" customHeight="1" outlineLevel="1">
      <c r="C209" s="75" t="s">
        <v>268</v>
      </c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</row>
    <row r="210" spans="3:25" collapsed="1">
      <c r="D210" s="101" t="s">
        <v>0</v>
      </c>
      <c r="E210" s="140" t="s">
        <v>228</v>
      </c>
      <c r="F210" s="75" t="s">
        <v>267</v>
      </c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</row>
    <row r="211" spans="3:25">
      <c r="D211" s="101" t="s">
        <v>84</v>
      </c>
      <c r="E211" s="140" t="s">
        <v>228</v>
      </c>
      <c r="F211" s="75" t="s">
        <v>180</v>
      </c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</row>
    <row r="212" spans="3:25">
      <c r="D212" s="101" t="s">
        <v>1</v>
      </c>
      <c r="E212" s="140" t="s">
        <v>228</v>
      </c>
      <c r="F212" s="75" t="s">
        <v>180</v>
      </c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</row>
    <row r="213" spans="3:25">
      <c r="D213" s="101" t="s">
        <v>85</v>
      </c>
      <c r="E213" s="140" t="s">
        <v>228</v>
      </c>
      <c r="F213" s="75" t="s">
        <v>180</v>
      </c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</row>
    <row r="214" spans="3:25">
      <c r="D214" s="101" t="s">
        <v>26</v>
      </c>
      <c r="E214" s="140" t="s">
        <v>228</v>
      </c>
      <c r="F214" s="75" t="s">
        <v>180</v>
      </c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</row>
    <row r="215" spans="3:25" ht="17.25" customHeight="1">
      <c r="D215" s="108" t="s">
        <v>266</v>
      </c>
      <c r="E215" s="140"/>
      <c r="F215" s="141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</row>
    <row r="216" spans="3:25" ht="15" hidden="1" customHeight="1" outlineLevel="1">
      <c r="C216" s="75">
        <v>0</v>
      </c>
      <c r="J216" s="85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</row>
    <row r="217" spans="3:25" ht="15" hidden="1" customHeight="1" outlineLevel="1">
      <c r="C217" s="75">
        <v>1</v>
      </c>
      <c r="J217" s="85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</row>
    <row r="218" spans="3:25" ht="15" hidden="1" customHeight="1" outlineLevel="1">
      <c r="C218" s="75">
        <v>2</v>
      </c>
      <c r="J218" s="85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</row>
    <row r="219" spans="3:25" ht="15" hidden="1" customHeight="1" outlineLevel="1">
      <c r="C219" s="75">
        <v>3</v>
      </c>
      <c r="J219" s="85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</row>
    <row r="220" spans="3:25" ht="15" hidden="1" customHeight="1" outlineLevel="1">
      <c r="C220" s="75">
        <v>4</v>
      </c>
      <c r="J220" s="85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</row>
    <row r="221" spans="3:25" ht="17.25" customHeight="1" collapsed="1">
      <c r="D221" s="108" t="s">
        <v>299</v>
      </c>
      <c r="E221" s="140" t="s">
        <v>228</v>
      </c>
      <c r="F221" s="141">
        <v>0</v>
      </c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</row>
    <row r="222" spans="3:25" ht="17.25" customHeight="1"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</row>
    <row r="223" spans="3:25" ht="25.5" hidden="1" customHeight="1" outlineLevel="1">
      <c r="C223" s="75">
        <v>1</v>
      </c>
      <c r="D223" s="143" t="s">
        <v>282</v>
      </c>
      <c r="E223" s="134"/>
      <c r="F223" s="116">
        <f>IF(F230&gt;=F232,1,0)</f>
        <v>1</v>
      </c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</row>
    <row r="224" spans="3:25" ht="25.5" hidden="1" customHeight="1" outlineLevel="1">
      <c r="C224" s="75">
        <v>2</v>
      </c>
      <c r="D224" s="143" t="s">
        <v>175</v>
      </c>
      <c r="E224" s="134"/>
      <c r="F224" s="144" t="s">
        <v>283</v>
      </c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</row>
    <row r="225" spans="3:25" ht="25.5" hidden="1" customHeight="1" outlineLevel="1">
      <c r="C225" s="75">
        <v>3</v>
      </c>
      <c r="D225" s="143" t="s">
        <v>175</v>
      </c>
      <c r="E225" s="134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</row>
    <row r="226" spans="3:25" ht="25.5" hidden="1" customHeight="1" outlineLevel="1">
      <c r="C226" s="75">
        <v>4</v>
      </c>
      <c r="D226" s="143" t="s">
        <v>175</v>
      </c>
      <c r="E226" s="134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</row>
    <row r="227" spans="3:25" ht="15.75" customHeight="1" collapsed="1">
      <c r="D227" s="118" t="s">
        <v>6</v>
      </c>
      <c r="E227" s="135" t="s">
        <v>236</v>
      </c>
      <c r="F227" s="75" t="s">
        <v>264</v>
      </c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</row>
    <row r="228" spans="3:25" ht="15.75" customHeight="1">
      <c r="D228" s="118" t="s">
        <v>7</v>
      </c>
      <c r="E228" s="135" t="s">
        <v>237</v>
      </c>
      <c r="F228" s="75" t="s">
        <v>265</v>
      </c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</row>
    <row r="229" spans="3:25">
      <c r="D229" s="119" t="s">
        <v>93</v>
      </c>
      <c r="E229" s="76" t="s">
        <v>239</v>
      </c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</row>
    <row r="230" spans="3:25" ht="15.75" customHeight="1">
      <c r="D230" s="120" t="s">
        <v>284</v>
      </c>
      <c r="E230" s="75" t="s">
        <v>238</v>
      </c>
      <c r="F230" s="131">
        <v>0</v>
      </c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</row>
    <row r="231" spans="3:25" ht="15" customHeight="1">
      <c r="D231" s="121" t="s">
        <v>2</v>
      </c>
      <c r="E231" s="75" t="s">
        <v>238</v>
      </c>
      <c r="F231" s="131">
        <v>0</v>
      </c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</row>
    <row r="232" spans="3:25" ht="15" customHeight="1">
      <c r="D232" s="121" t="s">
        <v>3</v>
      </c>
      <c r="E232" s="75" t="s">
        <v>238</v>
      </c>
      <c r="F232" s="76">
        <v>0</v>
      </c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</row>
    <row r="233" spans="3:25" ht="15" customHeight="1">
      <c r="D233" s="121" t="s">
        <v>4</v>
      </c>
      <c r="E233" s="75" t="s">
        <v>238</v>
      </c>
      <c r="F233" s="76">
        <v>0</v>
      </c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</row>
    <row r="234" spans="3:25" ht="18.75" customHeight="1">
      <c r="D234" s="132" t="s">
        <v>91</v>
      </c>
      <c r="E234" s="133"/>
      <c r="F234" s="136"/>
      <c r="L234" s="83"/>
      <c r="M234" s="99"/>
      <c r="N234" s="99"/>
      <c r="O234" s="99"/>
      <c r="P234" s="83"/>
      <c r="Q234" s="83"/>
      <c r="R234" s="83"/>
      <c r="S234" s="83"/>
      <c r="T234" s="83"/>
      <c r="U234" s="83"/>
      <c r="V234" s="83"/>
      <c r="W234" s="83"/>
      <c r="X234" s="83"/>
      <c r="Y234" s="83"/>
    </row>
    <row r="235" spans="3:25" ht="18.75" customHeight="1">
      <c r="L235" s="83"/>
      <c r="M235" s="99"/>
      <c r="N235" s="99"/>
      <c r="O235" s="99"/>
      <c r="P235" s="83"/>
      <c r="Q235" s="83"/>
      <c r="R235" s="83"/>
      <c r="S235" s="83"/>
      <c r="T235" s="83"/>
      <c r="U235" s="83"/>
      <c r="V235" s="83"/>
      <c r="W235" s="83"/>
      <c r="X235" s="83"/>
      <c r="Y235" s="83"/>
    </row>
    <row r="236" spans="3:25" ht="33" customHeight="1">
      <c r="D236" s="193" t="s">
        <v>270</v>
      </c>
      <c r="E236" s="193"/>
      <c r="F236" s="193"/>
      <c r="G236" s="193"/>
      <c r="H236" s="19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</row>
    <row r="237" spans="3:25" ht="26.25" hidden="1" customHeight="1" outlineLevel="1">
      <c r="D237" s="187" t="s">
        <v>81</v>
      </c>
      <c r="E237" s="187"/>
      <c r="F237" s="187"/>
      <c r="J237" s="96"/>
      <c r="K237" s="96"/>
      <c r="L237" s="96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</row>
    <row r="238" spans="3:25" ht="15.75" hidden="1" customHeight="1" outlineLevel="1">
      <c r="D238" s="188" t="s">
        <v>75</v>
      </c>
      <c r="E238" s="188"/>
      <c r="F238" s="188"/>
      <c r="J238" s="96"/>
      <c r="K238" s="96"/>
      <c r="L238" s="96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</row>
    <row r="239" spans="3:25" ht="15.75" hidden="1" customHeight="1" outlineLevel="1">
      <c r="D239" s="112" t="s">
        <v>36</v>
      </c>
      <c r="E239" s="107" t="s">
        <v>72</v>
      </c>
      <c r="F239" s="107"/>
      <c r="J239" s="96"/>
      <c r="K239" s="96"/>
      <c r="L239" s="96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</row>
    <row r="240" spans="3:25" ht="15.75" hidden="1" customHeight="1" outlineLevel="1">
      <c r="D240" s="110" t="s">
        <v>37</v>
      </c>
      <c r="E240" s="75" t="s">
        <v>5</v>
      </c>
      <c r="F240" s="128">
        <v>0</v>
      </c>
      <c r="J240" s="96"/>
      <c r="K240" s="96"/>
      <c r="L240" s="96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</row>
    <row r="241" spans="4:25" ht="15.75" hidden="1" customHeight="1" outlineLevel="1">
      <c r="D241" s="110" t="s">
        <v>38</v>
      </c>
      <c r="E241" s="75" t="s">
        <v>5</v>
      </c>
      <c r="F241" s="128">
        <v>0</v>
      </c>
      <c r="J241" s="96"/>
      <c r="K241" s="96"/>
      <c r="L241" s="96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</row>
    <row r="242" spans="4:25" ht="15.75" hidden="1" customHeight="1" outlineLevel="1">
      <c r="D242" s="110" t="s">
        <v>100</v>
      </c>
      <c r="E242" s="75" t="s">
        <v>5</v>
      </c>
      <c r="F242" s="128">
        <v>0</v>
      </c>
      <c r="J242" s="96"/>
      <c r="K242" s="96"/>
      <c r="L242" s="96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</row>
    <row r="243" spans="4:25" ht="15.75" hidden="1" customHeight="1" outlineLevel="1">
      <c r="D243" s="110" t="s">
        <v>39</v>
      </c>
      <c r="E243" s="75" t="s">
        <v>5</v>
      </c>
      <c r="F243" s="128">
        <v>0</v>
      </c>
      <c r="J243" s="96"/>
      <c r="K243" s="96"/>
      <c r="L243" s="96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</row>
    <row r="244" spans="4:25" ht="15.75" hidden="1" customHeight="1" outlineLevel="1">
      <c r="D244" s="112" t="s">
        <v>40</v>
      </c>
      <c r="E244" s="107" t="s">
        <v>72</v>
      </c>
      <c r="F244" s="113"/>
      <c r="J244" s="96"/>
      <c r="K244" s="96"/>
      <c r="L244" s="96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</row>
    <row r="245" spans="4:25" ht="15.75" hidden="1" customHeight="1" outlineLevel="1">
      <c r="D245" s="110" t="s">
        <v>41</v>
      </c>
      <c r="E245" s="75" t="s">
        <v>5</v>
      </c>
      <c r="F245" s="128">
        <v>0</v>
      </c>
      <c r="J245" s="96"/>
      <c r="K245" s="96"/>
      <c r="L245" s="96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</row>
    <row r="246" spans="4:25" ht="15.75" hidden="1" customHeight="1" outlineLevel="1">
      <c r="D246" s="110" t="s">
        <v>42</v>
      </c>
      <c r="E246" s="75" t="s">
        <v>5</v>
      </c>
      <c r="F246" s="128">
        <v>0</v>
      </c>
      <c r="J246" s="96"/>
      <c r="K246" s="96"/>
      <c r="L246" s="96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</row>
    <row r="247" spans="4:25" ht="15.75" hidden="1" customHeight="1" outlineLevel="1">
      <c r="D247" s="110" t="s">
        <v>105</v>
      </c>
      <c r="E247" s="75" t="s">
        <v>5</v>
      </c>
      <c r="F247" s="128">
        <v>0</v>
      </c>
      <c r="J247" s="96"/>
      <c r="K247" s="96"/>
      <c r="L247" s="96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</row>
    <row r="248" spans="4:25" ht="15.75" hidden="1" customHeight="1" outlineLevel="1">
      <c r="D248" s="110" t="s">
        <v>43</v>
      </c>
      <c r="E248" s="75" t="s">
        <v>5</v>
      </c>
      <c r="F248" s="128">
        <v>0</v>
      </c>
      <c r="J248" s="96"/>
      <c r="K248" s="96"/>
      <c r="L248" s="96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</row>
    <row r="249" spans="4:25" ht="15.75" hidden="1" customHeight="1" outlineLevel="1">
      <c r="D249" s="110" t="s">
        <v>44</v>
      </c>
      <c r="E249" s="75" t="s">
        <v>5</v>
      </c>
      <c r="F249" s="128">
        <v>0</v>
      </c>
      <c r="J249" s="96"/>
      <c r="K249" s="96"/>
      <c r="L249" s="96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</row>
    <row r="250" spans="4:25" ht="15.75" hidden="1" customHeight="1" outlineLevel="1">
      <c r="D250" s="110" t="s">
        <v>45</v>
      </c>
      <c r="E250" s="75" t="s">
        <v>5</v>
      </c>
      <c r="F250" s="128">
        <v>0</v>
      </c>
      <c r="J250" s="96"/>
      <c r="K250" s="96"/>
      <c r="L250" s="96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</row>
    <row r="251" spans="4:25" ht="15.75" hidden="1" customHeight="1" outlineLevel="1">
      <c r="D251" s="110" t="s">
        <v>101</v>
      </c>
      <c r="E251" s="75" t="s">
        <v>5</v>
      </c>
      <c r="F251" s="128">
        <v>0</v>
      </c>
      <c r="J251" s="96"/>
      <c r="K251" s="96"/>
      <c r="L251" s="96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</row>
    <row r="252" spans="4:25" ht="15.75" hidden="1" customHeight="1" outlineLevel="1">
      <c r="D252" s="114" t="s">
        <v>46</v>
      </c>
      <c r="E252" s="107" t="s">
        <v>72</v>
      </c>
      <c r="F252" s="107"/>
      <c r="G252" s="107" t="s">
        <v>83</v>
      </c>
      <c r="H252" s="96"/>
      <c r="J252" s="96"/>
      <c r="K252" s="96"/>
      <c r="L252" s="96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</row>
    <row r="253" spans="4:25" ht="15.75" hidden="1" customHeight="1" outlineLevel="1">
      <c r="D253" s="110" t="s">
        <v>47</v>
      </c>
      <c r="E253" s="97" t="s">
        <v>73</v>
      </c>
      <c r="F253" s="126"/>
      <c r="G253" s="75" t="s">
        <v>5</v>
      </c>
      <c r="H253" s="96"/>
      <c r="J253" s="96"/>
      <c r="K253" s="96"/>
      <c r="L253" s="96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</row>
    <row r="254" spans="4:25" ht="15.75" hidden="1" customHeight="1" outlineLevel="1">
      <c r="D254" s="110" t="s">
        <v>48</v>
      </c>
      <c r="E254" s="97" t="s">
        <v>73</v>
      </c>
      <c r="F254" s="126"/>
      <c r="G254" s="126">
        <v>0</v>
      </c>
      <c r="H254" s="96"/>
      <c r="J254" s="96"/>
      <c r="K254" s="96"/>
      <c r="L254" s="96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</row>
    <row r="255" spans="4:25" ht="15.75" hidden="1" customHeight="1" outlineLevel="1">
      <c r="D255" s="110" t="s">
        <v>49</v>
      </c>
      <c r="E255" s="97" t="s">
        <v>73</v>
      </c>
      <c r="F255" s="126"/>
      <c r="G255" s="126">
        <v>0</v>
      </c>
      <c r="H255" s="96"/>
      <c r="J255" s="96"/>
      <c r="K255" s="96"/>
      <c r="L255" s="96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</row>
    <row r="256" spans="4:25" ht="15.75" hidden="1" customHeight="1" outlineLevel="1">
      <c r="D256" s="110" t="s">
        <v>50</v>
      </c>
      <c r="E256" s="97" t="s">
        <v>73</v>
      </c>
      <c r="F256" s="126"/>
      <c r="G256" s="126">
        <v>0</v>
      </c>
      <c r="H256" s="96"/>
      <c r="J256" s="96"/>
      <c r="K256" s="96"/>
      <c r="L256" s="96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</row>
    <row r="257" spans="4:25" ht="15.75" hidden="1" customHeight="1" outlineLevel="1">
      <c r="D257" s="110" t="s">
        <v>51</v>
      </c>
      <c r="E257" s="97" t="s">
        <v>73</v>
      </c>
      <c r="F257" s="126"/>
      <c r="G257" s="126">
        <v>0</v>
      </c>
      <c r="H257" s="96"/>
      <c r="J257" s="96"/>
      <c r="K257" s="96"/>
      <c r="L257" s="96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</row>
    <row r="258" spans="4:25" ht="15.75" hidden="1" customHeight="1" outlineLevel="1">
      <c r="D258" s="189" t="s">
        <v>74</v>
      </c>
      <c r="E258" s="189"/>
      <c r="F258" s="189"/>
      <c r="G258" s="189"/>
      <c r="H258" s="96"/>
      <c r="J258" s="96"/>
      <c r="K258" s="96"/>
      <c r="L258" s="96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</row>
    <row r="259" spans="4:25" ht="30" hidden="1" outlineLevel="1">
      <c r="D259" s="108" t="s">
        <v>52</v>
      </c>
      <c r="E259" s="107" t="s">
        <v>71</v>
      </c>
      <c r="F259" s="115"/>
      <c r="G259" s="115" t="s">
        <v>82</v>
      </c>
      <c r="H259" s="115" t="s">
        <v>53</v>
      </c>
      <c r="J259" s="96"/>
      <c r="K259" s="96"/>
      <c r="L259" s="96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</row>
    <row r="260" spans="4:25" ht="15.75" hidden="1" customHeight="1" outlineLevel="1">
      <c r="D260" s="110" t="s">
        <v>76</v>
      </c>
      <c r="E260" s="97" t="s">
        <v>5</v>
      </c>
      <c r="F260" s="128">
        <v>0</v>
      </c>
      <c r="G260" s="75" t="s">
        <v>5</v>
      </c>
      <c r="H260" s="75" t="s">
        <v>54</v>
      </c>
      <c r="J260" s="96"/>
      <c r="K260" s="96"/>
      <c r="L260" s="96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</row>
    <row r="261" spans="4:25" ht="15.75" hidden="1" customHeight="1" outlineLevel="1">
      <c r="D261" s="110" t="s">
        <v>77</v>
      </c>
      <c r="E261" s="97" t="s">
        <v>5</v>
      </c>
      <c r="F261" s="128">
        <v>0</v>
      </c>
      <c r="G261" s="75" t="s">
        <v>5</v>
      </c>
      <c r="H261" s="75" t="s">
        <v>54</v>
      </c>
      <c r="J261" s="96"/>
      <c r="K261" s="96"/>
      <c r="L261" s="96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</row>
    <row r="262" spans="4:25" ht="15.75" hidden="1" customHeight="1" outlineLevel="1">
      <c r="D262" s="110" t="s">
        <v>78</v>
      </c>
      <c r="E262" s="97" t="s">
        <v>5</v>
      </c>
      <c r="F262" s="128">
        <v>0</v>
      </c>
      <c r="G262" s="75" t="s">
        <v>5</v>
      </c>
      <c r="H262" s="75" t="s">
        <v>54</v>
      </c>
      <c r="J262" s="96"/>
      <c r="K262" s="96"/>
      <c r="L262" s="96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</row>
    <row r="263" spans="4:25" hidden="1" outlineLevel="1">
      <c r="D263" s="112" t="s">
        <v>79</v>
      </c>
      <c r="E263" s="84"/>
      <c r="F263" s="98"/>
      <c r="G263" s="84"/>
      <c r="H263" s="84"/>
      <c r="J263" s="96"/>
      <c r="K263" s="96"/>
      <c r="L263" s="96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</row>
    <row r="264" spans="4:25" ht="15.75" hidden="1" customHeight="1" outlineLevel="1">
      <c r="D264" s="110" t="s">
        <v>76</v>
      </c>
      <c r="E264" s="97" t="s">
        <v>5</v>
      </c>
      <c r="F264" s="128">
        <v>0</v>
      </c>
      <c r="G264" s="75" t="s">
        <v>5</v>
      </c>
      <c r="H264" s="75" t="s">
        <v>54</v>
      </c>
      <c r="J264" s="96"/>
      <c r="K264" s="96"/>
      <c r="L264" s="96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</row>
    <row r="265" spans="4:25" ht="15.75" hidden="1" customHeight="1" outlineLevel="1">
      <c r="D265" s="110" t="s">
        <v>77</v>
      </c>
      <c r="E265" s="97" t="s">
        <v>5</v>
      </c>
      <c r="F265" s="128">
        <v>0</v>
      </c>
      <c r="G265" s="75" t="s">
        <v>5</v>
      </c>
      <c r="H265" s="75" t="s">
        <v>54</v>
      </c>
      <c r="J265" s="96"/>
      <c r="K265" s="96"/>
      <c r="L265" s="96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</row>
    <row r="266" spans="4:25" ht="15.75" hidden="1" customHeight="1" outlineLevel="1">
      <c r="D266" s="110" t="s">
        <v>78</v>
      </c>
      <c r="E266" s="97" t="s">
        <v>5</v>
      </c>
      <c r="F266" s="128">
        <v>0</v>
      </c>
      <c r="G266" s="75" t="s">
        <v>5</v>
      </c>
      <c r="H266" s="75" t="s">
        <v>54</v>
      </c>
      <c r="J266" s="96"/>
      <c r="K266" s="96"/>
      <c r="L266" s="96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</row>
    <row r="267" spans="4:25" hidden="1" outlineLevel="1">
      <c r="D267" s="112" t="s">
        <v>80</v>
      </c>
      <c r="E267" s="84"/>
      <c r="F267" s="98"/>
      <c r="G267" s="84"/>
      <c r="H267" s="84"/>
      <c r="J267" s="96"/>
      <c r="K267" s="96"/>
      <c r="L267" s="96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</row>
    <row r="268" spans="4:25" ht="15.75" hidden="1" customHeight="1" outlineLevel="1">
      <c r="D268" s="110" t="s">
        <v>76</v>
      </c>
      <c r="E268" s="97" t="s">
        <v>5</v>
      </c>
      <c r="F268" s="128">
        <v>0</v>
      </c>
      <c r="G268" s="75" t="s">
        <v>5</v>
      </c>
      <c r="H268" s="75" t="s">
        <v>54</v>
      </c>
      <c r="J268" s="96"/>
      <c r="K268" s="96"/>
      <c r="L268" s="96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</row>
    <row r="269" spans="4:25" ht="15.75" hidden="1" customHeight="1" outlineLevel="1">
      <c r="D269" s="110" t="s">
        <v>77</v>
      </c>
      <c r="E269" s="97" t="s">
        <v>5</v>
      </c>
      <c r="F269" s="128">
        <v>0</v>
      </c>
      <c r="G269" s="75" t="s">
        <v>5</v>
      </c>
      <c r="H269" s="75" t="s">
        <v>54</v>
      </c>
      <c r="J269" s="96"/>
      <c r="K269" s="96"/>
      <c r="L269" s="96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</row>
    <row r="270" spans="4:25" ht="15.75" hidden="1" customHeight="1" outlineLevel="1">
      <c r="D270" s="110" t="s">
        <v>78</v>
      </c>
      <c r="E270" s="97" t="s">
        <v>5</v>
      </c>
      <c r="F270" s="128">
        <v>0</v>
      </c>
      <c r="G270" s="75" t="s">
        <v>5</v>
      </c>
      <c r="H270" s="75" t="s">
        <v>54</v>
      </c>
      <c r="J270" s="96"/>
      <c r="K270" s="96"/>
      <c r="L270" s="96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</row>
    <row r="271" spans="4:25" ht="27" customHeight="1" collapsed="1">
      <c r="D271" s="190" t="s">
        <v>81</v>
      </c>
      <c r="E271" s="191"/>
      <c r="F271" s="191"/>
      <c r="G271" s="191"/>
      <c r="H271" s="192"/>
      <c r="J271" s="96"/>
      <c r="K271" s="96"/>
      <c r="L271" s="96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</row>
  </sheetData>
  <dataConsolidate/>
  <mergeCells count="26">
    <mergeCell ref="D4:F4"/>
    <mergeCell ref="D5:F5"/>
    <mergeCell ref="D32:E32"/>
    <mergeCell ref="D33:E33"/>
    <mergeCell ref="D6:E6"/>
    <mergeCell ref="B27:C27"/>
    <mergeCell ref="D34:E34"/>
    <mergeCell ref="D42:E42"/>
    <mergeCell ref="D49:E49"/>
    <mergeCell ref="D7:E7"/>
    <mergeCell ref="D8:E8"/>
    <mergeCell ref="D20:E20"/>
    <mergeCell ref="D25:E25"/>
    <mergeCell ref="D24:E24"/>
    <mergeCell ref="D41:E41"/>
    <mergeCell ref="D13:E13"/>
    <mergeCell ref="D26:E26"/>
    <mergeCell ref="D48:E48"/>
    <mergeCell ref="D43:E43"/>
    <mergeCell ref="D35:E35"/>
    <mergeCell ref="D27:E31"/>
    <mergeCell ref="D237:F237"/>
    <mergeCell ref="D238:F238"/>
    <mergeCell ref="D258:G258"/>
    <mergeCell ref="D271:H271"/>
    <mergeCell ref="D236:H236"/>
  </mergeCells>
  <dataValidations count="30">
    <dataValidation type="list" allowBlank="1" showInputMessage="1" showErrorMessage="1" sqref="F54">
      <formula1>'Client Data'!$C$52:$C$53</formula1>
    </dataValidation>
    <dataValidation type="list" allowBlank="1" showInputMessage="1" showErrorMessage="1" sqref="F95">
      <formula1>'Client Data'!$C$90:$C$94</formula1>
    </dataValidation>
    <dataValidation type="list" allowBlank="1" showInputMessage="1" showErrorMessage="1" sqref="F103">
      <formula1>'Client Data'!$C$100:$C$102</formula1>
    </dataValidation>
    <dataValidation type="list" allowBlank="1" showInputMessage="1" showErrorMessage="1" sqref="F83">
      <formula1>'Client Data'!$C$81:$C$82</formula1>
    </dataValidation>
    <dataValidation type="list" allowBlank="1" showInputMessage="1" showErrorMessage="1" sqref="F74">
      <formula1>'Client Data'!$C$71:$C$73</formula1>
    </dataValidation>
    <dataValidation type="list" allowBlank="1" showInputMessage="1" showErrorMessage="1" sqref="F126">
      <formula1>'Client Data'!$C$121:$C$125</formula1>
    </dataValidation>
    <dataValidation type="list" allowBlank="1" showInputMessage="1" showErrorMessage="1" sqref="F136:F139">
      <formula1>'Client Data'!$C$127:$C$130</formula1>
    </dataValidation>
    <dataValidation type="list" allowBlank="1" showInputMessage="1" showErrorMessage="1" sqref="F131">
      <formula1>'Client Data'!$C$127:$C$130</formula1>
    </dataValidation>
    <dataValidation type="list" allowBlank="1" showInputMessage="1" showErrorMessage="1" sqref="F143">
      <formula1>'Client Data'!$C$141:$C$142</formula1>
    </dataValidation>
    <dataValidation type="list" allowBlank="1" showInputMessage="1" showErrorMessage="1" sqref="F70">
      <formula1>'Client Data'!$C$68:$C$69</formula1>
    </dataValidation>
    <dataValidation type="list" allowBlank="1" showInputMessage="1" showErrorMessage="1" sqref="F7">
      <formula1>'Client Data'!$B$28:$B$31</formula1>
    </dataValidation>
    <dataValidation type="list" allowBlank="1" showInputMessage="1" showErrorMessage="1" sqref="F99">
      <formula1>'Client Data'!$C$96:$C$98</formula1>
    </dataValidation>
    <dataValidation type="list" allowBlank="1" showInputMessage="1" showErrorMessage="1" sqref="F119">
      <formula1>'Client Data'!$C$118:$C$119</formula1>
    </dataValidation>
    <dataValidation type="list" allowBlank="1" showInputMessage="1" showErrorMessage="1" sqref="F168:F170">
      <formula1>'Client Data'!$B$153:$B$166</formula1>
    </dataValidation>
    <dataValidation type="list" allowBlank="1" showInputMessage="1" showErrorMessage="1" sqref="F177:F181">
      <formula1>'Client Data'!$B$171:$B$174</formula1>
    </dataValidation>
    <dataValidation type="list" allowBlank="1" showInputMessage="1" showErrorMessage="1" sqref="F175">
      <formula1>'Client Data'!$B$171:$B$174</formula1>
    </dataValidation>
    <dataValidation type="list" allowBlank="1" showInputMessage="1" showErrorMessage="1" sqref="F188">
      <formula1>'Client Data'!$C$183:$C$187</formula1>
    </dataValidation>
    <dataValidation type="list" allowBlank="1" showInputMessage="1" showErrorMessage="1" sqref="F194">
      <formula1>'Client Data'!$C$189:$C$193</formula1>
    </dataValidation>
    <dataValidation type="list" allowBlank="1" showInputMessage="1" showErrorMessage="1" sqref="F205">
      <formula1>'Client Data'!$C$200:$C$204</formula1>
    </dataValidation>
    <dataValidation type="list" allowBlank="1" showInputMessage="1" showErrorMessage="1" sqref="F221">
      <formula1>'Client Data'!$C$200:$C$204</formula1>
    </dataValidation>
    <dataValidation type="list" allowBlank="1" showInputMessage="1" showErrorMessage="1" sqref="F215">
      <formula1>'Client Data'!$C$200:$C$204</formula1>
    </dataValidation>
    <dataValidation type="list" allowBlank="1" showInputMessage="1" showErrorMessage="1" sqref="F210:F214">
      <formula1>'Client Data'!$C$206:$C$209</formula1>
    </dataValidation>
    <dataValidation type="list" allowBlank="1" showInputMessage="1" showErrorMessage="1" sqref="F199">
      <formula1>'Client Data'!$C$195:$C$198</formula1>
    </dataValidation>
    <dataValidation type="list" allowBlank="1" showInputMessage="1" showErrorMessage="1" sqref="F117">
      <formula1>'Client Data'!$C$113:$C$116</formula1>
    </dataValidation>
    <dataValidation type="list" allowBlank="1" showInputMessage="1" showErrorMessage="1" sqref="F140">
      <formula1>'Client Data'!$C$136:$C$139</formula1>
    </dataValidation>
    <dataValidation type="list" allowBlank="1" showInputMessage="1" showErrorMessage="1" sqref="F135">
      <formula1>'Client Data'!$C$132:$C$134</formula1>
    </dataValidation>
    <dataValidation type="list" allowBlank="1" showInputMessage="1" showErrorMessage="1" sqref="F13">
      <formula1>'Client Data'!$C$9:$C$12</formula1>
    </dataValidation>
    <dataValidation type="list" allowBlank="1" showInputMessage="1" showErrorMessage="1" sqref="F48">
      <formula1>'Client Data'!$C$44:$C$47</formula1>
    </dataValidation>
    <dataValidation type="list" allowBlank="1" showInputMessage="1" showErrorMessage="1" sqref="F20">
      <formula1>'Client Data'!$C$14:$C$19</formula1>
    </dataValidation>
    <dataValidation type="list" allowBlank="1" showInputMessage="1" showErrorMessage="1" sqref="F24">
      <formula1>'Client Data'!$C$21:$C$23</formula1>
    </dataValidation>
  </dataValidation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44"/>
  <sheetViews>
    <sheetView tabSelected="1" topLeftCell="A60" workbookViewId="0">
      <selection activeCell="F88" sqref="F88"/>
    </sheetView>
  </sheetViews>
  <sheetFormatPr defaultRowHeight="15" outlineLevelRow="1"/>
  <cols>
    <col min="1" max="1" width="36" style="9" customWidth="1"/>
    <col min="2" max="2" width="11" style="7" customWidth="1"/>
    <col min="3" max="3" width="11" style="10" customWidth="1"/>
    <col min="4" max="4" width="20.5703125" style="9" customWidth="1"/>
    <col min="5" max="5" width="13" style="9" customWidth="1"/>
    <col min="6" max="6" width="12.42578125" style="9" customWidth="1"/>
    <col min="7" max="7" width="10.28515625" style="9" customWidth="1"/>
    <col min="8" max="8" width="11" style="10" customWidth="1"/>
    <col min="9" max="9" width="12.140625" style="10" customWidth="1"/>
    <col min="10" max="10" width="2.7109375" style="9" customWidth="1"/>
    <col min="11" max="11" width="10.42578125" style="46" customWidth="1"/>
    <col min="12" max="12" width="10.42578125" style="9" customWidth="1"/>
    <col min="13" max="16384" width="9.140625" style="2"/>
  </cols>
  <sheetData>
    <row r="1" spans="1:12" ht="21">
      <c r="A1" s="58" t="s">
        <v>107</v>
      </c>
      <c r="B1" s="204"/>
      <c r="C1" s="204"/>
      <c r="D1" s="204"/>
      <c r="E1" s="204"/>
      <c r="F1" s="6"/>
      <c r="G1" s="6"/>
      <c r="H1" s="6"/>
      <c r="I1" s="6"/>
      <c r="J1" s="6"/>
      <c r="K1" s="43"/>
      <c r="L1" s="1"/>
    </row>
    <row r="2" spans="1:12" ht="21">
      <c r="A2" s="151" t="s">
        <v>8</v>
      </c>
      <c r="B2" s="207" t="str">
        <f>'Client Data'!F56</f>
        <v>xxx</v>
      </c>
      <c r="C2" s="207"/>
      <c r="D2" s="205" t="str">
        <f>'Client Data'!F58</f>
        <v>xxx</v>
      </c>
      <c r="E2" s="206"/>
      <c r="F2" s="6"/>
      <c r="G2" s="6"/>
      <c r="H2" s="6"/>
      <c r="I2" s="6"/>
      <c r="J2" s="6"/>
      <c r="K2" s="43"/>
      <c r="L2" s="1"/>
    </row>
    <row r="3" spans="1:12">
      <c r="A3" s="24" t="s">
        <v>192</v>
      </c>
      <c r="B3" s="203" t="s">
        <v>134</v>
      </c>
      <c r="C3" s="203"/>
      <c r="D3" s="32" t="str">
        <f>'Client Data'!F54</f>
        <v>Physical</v>
      </c>
      <c r="E3" s="3" t="str">
        <f>IF(D3="Legal","reject","OK")</f>
        <v>OK</v>
      </c>
      <c r="F3" s="6"/>
      <c r="G3" s="6"/>
      <c r="H3" s="6"/>
      <c r="I3" s="6"/>
      <c r="J3" s="6"/>
      <c r="K3" s="43"/>
      <c r="L3" s="1"/>
    </row>
    <row r="4" spans="1:12">
      <c r="A4" s="24" t="s">
        <v>193</v>
      </c>
      <c r="B4" s="203" t="s">
        <v>133</v>
      </c>
      <c r="C4" s="203"/>
      <c r="D4" s="32" t="str">
        <f>'Client Data'!F70</f>
        <v>Batswana</v>
      </c>
      <c r="E4" s="3" t="str">
        <f>IF(D4="Foreign","Reject","OK")</f>
        <v>OK</v>
      </c>
      <c r="F4" s="6"/>
      <c r="G4" s="6"/>
      <c r="H4" s="6"/>
      <c r="I4" s="6"/>
      <c r="J4" s="6"/>
      <c r="K4" s="43"/>
      <c r="L4" s="1"/>
    </row>
    <row r="5" spans="1:12">
      <c r="A5" s="24" t="s">
        <v>274</v>
      </c>
      <c r="B5" s="73"/>
      <c r="C5" s="142"/>
      <c r="D5" s="73" t="str">
        <f>'Client Data'!F83</f>
        <v>Botswana</v>
      </c>
      <c r="E5" s="3" t="str">
        <f>IF(D5="Other","Reject","OK")</f>
        <v>OK</v>
      </c>
      <c r="F5" s="6"/>
      <c r="G5" s="6"/>
      <c r="H5" s="6"/>
      <c r="I5" s="6"/>
      <c r="J5" s="6"/>
      <c r="K5" s="43"/>
      <c r="L5" s="1"/>
    </row>
    <row r="6" spans="1:12">
      <c r="A6" s="24" t="s">
        <v>119</v>
      </c>
      <c r="B6" s="74" t="s">
        <v>135</v>
      </c>
      <c r="C6" s="142" t="s">
        <v>120</v>
      </c>
      <c r="D6" s="32" t="s">
        <v>131</v>
      </c>
      <c r="E6" s="3" t="str">
        <f>IF(D6="N", "OK","REJECT")</f>
        <v>OK</v>
      </c>
      <c r="F6" s="6"/>
      <c r="G6" s="6"/>
      <c r="H6" s="6"/>
      <c r="I6" s="6"/>
      <c r="J6" s="6"/>
      <c r="K6" s="43"/>
      <c r="L6" s="1"/>
    </row>
    <row r="7" spans="1:12">
      <c r="A7" s="24" t="s">
        <v>194</v>
      </c>
      <c r="B7" s="74" t="s">
        <v>135</v>
      </c>
      <c r="C7" s="142" t="s">
        <v>120</v>
      </c>
      <c r="D7" s="32" t="s">
        <v>131</v>
      </c>
      <c r="E7" s="3" t="str">
        <f>IF(D7="N", "OK","REJECT")</f>
        <v>OK</v>
      </c>
      <c r="F7" s="6"/>
      <c r="G7" s="6"/>
      <c r="H7" s="6"/>
      <c r="I7" s="6"/>
      <c r="J7" s="6"/>
      <c r="K7" s="43"/>
      <c r="L7" s="1"/>
    </row>
    <row r="8" spans="1:12">
      <c r="A8" s="6"/>
      <c r="B8" s="6"/>
      <c r="C8" s="6"/>
      <c r="D8" s="6"/>
      <c r="E8" s="6"/>
      <c r="F8" s="6"/>
      <c r="G8" s="6"/>
      <c r="H8" s="6"/>
      <c r="I8" s="6"/>
      <c r="J8" s="6"/>
      <c r="K8" s="43"/>
      <c r="L8" s="1"/>
    </row>
    <row r="9" spans="1:12">
      <c r="A9" s="24" t="s">
        <v>185</v>
      </c>
      <c r="B9" s="74" t="s">
        <v>187</v>
      </c>
      <c r="C9" s="68">
        <f>'Client Data'!F41</f>
        <v>0.9</v>
      </c>
      <c r="D9" s="69">
        <f>'Client Data'!F42</f>
        <v>0.875</v>
      </c>
      <c r="E9" s="3" t="str">
        <f>IF(D9&lt;=C9, "OK","REJECT")</f>
        <v>OK</v>
      </c>
      <c r="F9" s="6"/>
      <c r="G9" s="6"/>
      <c r="H9" s="6"/>
      <c r="I9" s="6"/>
      <c r="J9" s="6"/>
      <c r="K9" s="43"/>
      <c r="L9" s="1"/>
    </row>
    <row r="10" spans="1:12">
      <c r="A10" s="24" t="s">
        <v>186</v>
      </c>
      <c r="B10" s="74" t="s">
        <v>187</v>
      </c>
      <c r="C10" s="68">
        <f>'Client Data'!F26</f>
        <v>0.4</v>
      </c>
      <c r="D10" s="69">
        <f>'Client Data'!F49</f>
        <v>0.5064200325053001</v>
      </c>
      <c r="E10" s="3" t="str">
        <f>IF(D10&lt;=C10, "OK","REJECT")</f>
        <v>REJECT</v>
      </c>
      <c r="F10" s="6"/>
      <c r="G10" s="6"/>
      <c r="H10" s="6"/>
      <c r="I10" s="6"/>
      <c r="J10" s="6"/>
      <c r="K10" s="43"/>
      <c r="L10" s="1"/>
    </row>
    <row r="11" spans="1:12">
      <c r="A11" s="6"/>
      <c r="B11" s="6"/>
      <c r="C11" s="6"/>
      <c r="D11" s="6"/>
      <c r="E11" s="6"/>
      <c r="F11" s="6"/>
      <c r="G11" s="6"/>
      <c r="H11" s="6"/>
      <c r="I11" s="6"/>
      <c r="J11" s="6"/>
      <c r="K11" s="43"/>
      <c r="L11" s="1"/>
    </row>
    <row r="12" spans="1:12" s="7" customFormat="1" ht="30">
      <c r="A12" s="59" t="s">
        <v>147</v>
      </c>
      <c r="B12" s="17" t="s">
        <v>152</v>
      </c>
      <c r="C12" s="18" t="s">
        <v>148</v>
      </c>
      <c r="D12" s="18" t="s">
        <v>149</v>
      </c>
      <c r="E12" s="18" t="s">
        <v>102</v>
      </c>
      <c r="F12" s="18" t="s">
        <v>150</v>
      </c>
      <c r="G12" s="6"/>
      <c r="H12" s="19" t="s">
        <v>145</v>
      </c>
      <c r="I12" s="19" t="s">
        <v>146</v>
      </c>
      <c r="K12" s="44"/>
      <c r="L12" s="11"/>
    </row>
    <row r="13" spans="1:12" hidden="1" outlineLevel="1">
      <c r="A13" s="12" t="str">
        <f>'Client Data'!C90</f>
        <v>Single</v>
      </c>
      <c r="B13" s="47">
        <v>300</v>
      </c>
      <c r="C13" s="6"/>
      <c r="D13" s="2"/>
      <c r="E13" s="2"/>
      <c r="F13" s="2"/>
      <c r="G13" s="6"/>
      <c r="H13" s="6"/>
      <c r="I13" s="6"/>
      <c r="J13" s="2"/>
      <c r="K13" s="45"/>
      <c r="L13" s="1"/>
    </row>
    <row r="14" spans="1:12" hidden="1" outlineLevel="1">
      <c r="A14" s="12" t="str">
        <f>'Client Data'!C91</f>
        <v>Married</v>
      </c>
      <c r="B14" s="47">
        <v>400</v>
      </c>
      <c r="C14" s="6"/>
      <c r="D14" s="2"/>
      <c r="E14" s="2"/>
      <c r="F14" s="2"/>
      <c r="G14" s="6"/>
      <c r="H14" s="6"/>
      <c r="I14" s="6"/>
      <c r="J14" s="2"/>
      <c r="K14" s="45"/>
      <c r="L14" s="1"/>
    </row>
    <row r="15" spans="1:12" hidden="1" outlineLevel="1">
      <c r="A15" s="12" t="str">
        <f>'Client Data'!C92</f>
        <v>Divorced</v>
      </c>
      <c r="B15" s="47">
        <v>500</v>
      </c>
      <c r="C15" s="6"/>
      <c r="D15" s="2"/>
      <c r="E15" s="2"/>
      <c r="F15" s="2"/>
      <c r="G15" s="6"/>
      <c r="H15" s="6"/>
      <c r="I15" s="6"/>
      <c r="J15" s="2"/>
      <c r="K15" s="45"/>
      <c r="L15" s="1"/>
    </row>
    <row r="16" spans="1:12" hidden="1" outlineLevel="1">
      <c r="A16" s="12" t="str">
        <f>'Client Data'!C93</f>
        <v>Widowed</v>
      </c>
      <c r="B16" s="47">
        <v>300</v>
      </c>
      <c r="C16" s="6"/>
      <c r="D16" s="2"/>
      <c r="E16" s="2"/>
      <c r="F16" s="2"/>
      <c r="G16" s="6"/>
      <c r="H16" s="6"/>
      <c r="I16" s="6"/>
      <c r="J16" s="2"/>
      <c r="K16" s="45"/>
      <c r="L16" s="1"/>
    </row>
    <row r="17" spans="1:12" hidden="1" outlineLevel="1">
      <c r="A17" s="12" t="str">
        <f>'Client Data'!C94</f>
        <v>Other</v>
      </c>
      <c r="B17" s="47">
        <v>200</v>
      </c>
      <c r="C17" s="6"/>
      <c r="D17" s="2"/>
      <c r="E17" s="2"/>
      <c r="F17" s="2"/>
      <c r="G17" s="6"/>
      <c r="H17" s="6"/>
      <c r="I17" s="6"/>
      <c r="J17" s="2"/>
      <c r="K17" s="45"/>
      <c r="L17" s="1"/>
    </row>
    <row r="18" spans="1:12" collapsed="1">
      <c r="A18" s="20" t="s">
        <v>15</v>
      </c>
      <c r="B18" s="21"/>
      <c r="C18" s="62">
        <v>0.03</v>
      </c>
      <c r="D18" s="23" t="str">
        <f>'Client Data'!F95</f>
        <v>Single</v>
      </c>
      <c r="E18" s="23">
        <f>IF(D18=A13,B13,IF(D18=A14,B14,IF(D18=A15,B15,IF(D18=A16,B16,IF(D18=A17,B17)))))</f>
        <v>300</v>
      </c>
      <c r="F18" s="216">
        <f>E18*C18</f>
        <v>9</v>
      </c>
      <c r="G18" s="214"/>
      <c r="H18" s="23">
        <f>C18*MIN(B13:B17)</f>
        <v>6</v>
      </c>
      <c r="I18" s="23">
        <f>C18*MAX(B13:B17)</f>
        <v>15</v>
      </c>
      <c r="J18" s="2"/>
      <c r="K18" s="45"/>
      <c r="L18" s="1"/>
    </row>
    <row r="19" spans="1:12" hidden="1" outlineLevel="1">
      <c r="A19" s="5" t="s">
        <v>112</v>
      </c>
      <c r="B19" s="47">
        <v>100</v>
      </c>
      <c r="C19" s="63"/>
      <c r="D19" s="48"/>
      <c r="E19" s="48"/>
      <c r="F19" s="217"/>
      <c r="G19" s="6"/>
      <c r="H19" s="48"/>
      <c r="I19" s="48"/>
      <c r="J19" s="2"/>
      <c r="K19" s="45"/>
      <c r="L19" s="1"/>
    </row>
    <row r="20" spans="1:12" hidden="1" outlineLevel="1">
      <c r="A20" s="5" t="s">
        <v>114</v>
      </c>
      <c r="B20" s="47">
        <v>200</v>
      </c>
      <c r="C20" s="63"/>
      <c r="D20" s="48"/>
      <c r="E20" s="48"/>
      <c r="F20" s="217"/>
      <c r="G20" s="6"/>
      <c r="H20" s="48"/>
      <c r="I20" s="48"/>
      <c r="J20" s="2"/>
      <c r="K20" s="45"/>
      <c r="L20" s="1"/>
    </row>
    <row r="21" spans="1:12" hidden="1" outlineLevel="1">
      <c r="A21" s="5" t="s">
        <v>113</v>
      </c>
      <c r="B21" s="47">
        <v>400</v>
      </c>
      <c r="C21" s="63"/>
      <c r="D21" s="48"/>
      <c r="E21" s="48"/>
      <c r="F21" s="217"/>
      <c r="G21" s="6"/>
      <c r="H21" s="48"/>
      <c r="I21" s="48"/>
      <c r="J21" s="2"/>
      <c r="K21" s="45"/>
      <c r="L21" s="1"/>
    </row>
    <row r="22" spans="1:12" hidden="1" outlineLevel="1">
      <c r="A22" s="5" t="s">
        <v>115</v>
      </c>
      <c r="B22" s="47">
        <v>200</v>
      </c>
      <c r="C22" s="63"/>
      <c r="D22" s="48"/>
      <c r="E22" s="48"/>
      <c r="F22" s="217"/>
      <c r="G22" s="6"/>
      <c r="H22" s="48"/>
      <c r="I22" s="48"/>
      <c r="J22" s="2"/>
      <c r="K22" s="45"/>
      <c r="L22" s="1"/>
    </row>
    <row r="23" spans="1:12" collapsed="1">
      <c r="A23" s="20" t="s">
        <v>277</v>
      </c>
      <c r="B23" s="21"/>
      <c r="C23" s="62">
        <v>0.02</v>
      </c>
      <c r="D23" s="25">
        <f ca="1">(TODAY()-'Client Data'!F85)/365</f>
        <v>60.065753424657537</v>
      </c>
      <c r="E23" s="23">
        <f ca="1">IF((D23&gt;=18)*(D23&lt;24)*0.9,B19,IF((D23&gt;=25)*(D23&lt;34.9),B20,IF((D23&gt;=35)*(D23&lt;44.9),B21,IF((D23&gt;=45),B22))))</f>
        <v>200</v>
      </c>
      <c r="F23" s="216">
        <f ca="1">E23*C23</f>
        <v>4</v>
      </c>
      <c r="G23" s="6"/>
      <c r="H23" s="23">
        <f>C23*MIN(B19:B22)</f>
        <v>2</v>
      </c>
      <c r="I23" s="23">
        <f>C23*MAX(B19:B22)</f>
        <v>8</v>
      </c>
      <c r="J23" s="2"/>
      <c r="K23" s="45"/>
      <c r="L23" s="1"/>
    </row>
    <row r="24" spans="1:12" s="50" customFormat="1" hidden="1" outlineLevel="1">
      <c r="A24" s="5">
        <v>0</v>
      </c>
      <c r="B24" s="51">
        <v>100</v>
      </c>
      <c r="C24" s="63"/>
      <c r="D24" s="48"/>
      <c r="E24" s="48"/>
      <c r="F24" s="217"/>
      <c r="G24" s="6"/>
      <c r="H24" s="48"/>
      <c r="I24" s="48"/>
      <c r="K24" s="52"/>
      <c r="L24" s="53"/>
    </row>
    <row r="25" spans="1:12" s="50" customFormat="1" hidden="1" outlineLevel="1">
      <c r="A25" s="5">
        <v>1</v>
      </c>
      <c r="B25" s="51">
        <v>200</v>
      </c>
      <c r="C25" s="63"/>
      <c r="D25" s="48"/>
      <c r="E25" s="48"/>
      <c r="F25" s="217"/>
      <c r="G25" s="6"/>
      <c r="H25" s="48"/>
      <c r="I25" s="48"/>
      <c r="K25" s="52"/>
      <c r="L25" s="53"/>
    </row>
    <row r="26" spans="1:12" s="50" customFormat="1" hidden="1" outlineLevel="1">
      <c r="A26" s="5">
        <v>2</v>
      </c>
      <c r="B26" s="51">
        <v>300</v>
      </c>
      <c r="C26" s="63"/>
      <c r="D26" s="48"/>
      <c r="E26" s="48"/>
      <c r="F26" s="217"/>
      <c r="G26" s="6"/>
      <c r="H26" s="48"/>
      <c r="I26" s="48"/>
      <c r="K26" s="52"/>
      <c r="L26" s="53"/>
    </row>
    <row r="27" spans="1:12" s="50" customFormat="1" hidden="1" outlineLevel="1">
      <c r="A27" s="5">
        <v>3</v>
      </c>
      <c r="B27" s="51">
        <v>400</v>
      </c>
      <c r="C27" s="63"/>
      <c r="D27" s="48"/>
      <c r="E27" s="48"/>
      <c r="F27" s="217"/>
      <c r="G27" s="6"/>
      <c r="H27" s="48"/>
      <c r="I27" s="48"/>
      <c r="K27" s="52"/>
      <c r="L27" s="53"/>
    </row>
    <row r="28" spans="1:12" s="50" customFormat="1" hidden="1" outlineLevel="1">
      <c r="A28" s="5">
        <v>4</v>
      </c>
      <c r="B28" s="51">
        <v>300</v>
      </c>
      <c r="C28" s="63"/>
      <c r="D28" s="48"/>
      <c r="E28" s="48"/>
      <c r="F28" s="217"/>
      <c r="G28" s="6"/>
      <c r="H28" s="48"/>
      <c r="I28" s="48"/>
      <c r="K28" s="52"/>
      <c r="L28" s="53"/>
    </row>
    <row r="29" spans="1:12" s="50" customFormat="1" hidden="1" outlineLevel="1">
      <c r="A29" s="5">
        <v>5</v>
      </c>
      <c r="B29" s="51">
        <v>200</v>
      </c>
      <c r="C29" s="63"/>
      <c r="D29" s="48"/>
      <c r="E29" s="48"/>
      <c r="F29" s="217"/>
      <c r="G29" s="6"/>
      <c r="H29" s="48"/>
      <c r="I29" s="48"/>
      <c r="K29" s="52"/>
      <c r="L29" s="53"/>
    </row>
    <row r="30" spans="1:12" s="50" customFormat="1" hidden="1" outlineLevel="1">
      <c r="A30" s="5">
        <v>6</v>
      </c>
      <c r="B30" s="51">
        <v>100</v>
      </c>
      <c r="C30" s="63"/>
      <c r="D30" s="48"/>
      <c r="E30" s="48"/>
      <c r="F30" s="217"/>
      <c r="G30" s="6"/>
      <c r="H30" s="48"/>
      <c r="I30" s="48"/>
      <c r="K30" s="52"/>
      <c r="L30" s="53"/>
    </row>
    <row r="31" spans="1:12" collapsed="1">
      <c r="A31" s="20" t="s">
        <v>298</v>
      </c>
      <c r="B31" s="26"/>
      <c r="C31" s="62">
        <v>0.01</v>
      </c>
      <c r="D31" s="23">
        <f>'Client Data'!F105</f>
        <v>2</v>
      </c>
      <c r="E31" s="23">
        <f>IF((D31=A24),B24,IF((D31=A25),B25,IF((D31=A26),B26,IF(D31=A27,B27,IF(D31=A28,B28,IF(D31=A29,B29,IF((D31&gt;=A30),B30)))))))</f>
        <v>300</v>
      </c>
      <c r="F31" s="216">
        <f>E31*C31</f>
        <v>3</v>
      </c>
      <c r="G31" s="215"/>
      <c r="H31" s="23">
        <f>C31*MIN(B24:B30)</f>
        <v>1</v>
      </c>
      <c r="I31" s="23">
        <f>C31*MAX(B24:B30)</f>
        <v>4</v>
      </c>
      <c r="J31" s="2"/>
      <c r="K31" s="45"/>
      <c r="L31" s="1"/>
    </row>
    <row r="32" spans="1:12" s="50" customFormat="1" hidden="1" outlineLevel="1">
      <c r="A32" s="5">
        <v>0</v>
      </c>
      <c r="B32" s="51">
        <v>100</v>
      </c>
      <c r="C32" s="63"/>
      <c r="D32" s="48"/>
      <c r="E32" s="48"/>
      <c r="F32" s="217"/>
      <c r="G32" s="6"/>
      <c r="H32" s="48"/>
      <c r="I32" s="48"/>
      <c r="K32" s="52"/>
      <c r="L32" s="53"/>
    </row>
    <row r="33" spans="1:12" s="50" customFormat="1" hidden="1" outlineLevel="1">
      <c r="A33" s="5">
        <v>1</v>
      </c>
      <c r="B33" s="51">
        <v>200</v>
      </c>
      <c r="C33" s="63"/>
      <c r="D33" s="48"/>
      <c r="E33" s="48"/>
      <c r="F33" s="217"/>
      <c r="G33" s="6"/>
      <c r="H33" s="48"/>
      <c r="I33" s="48"/>
      <c r="K33" s="52"/>
      <c r="L33" s="53"/>
    </row>
    <row r="34" spans="1:12" s="50" customFormat="1" hidden="1" outlineLevel="1">
      <c r="A34" s="5">
        <v>2</v>
      </c>
      <c r="B34" s="51">
        <v>300</v>
      </c>
      <c r="C34" s="63"/>
      <c r="D34" s="48"/>
      <c r="E34" s="48"/>
      <c r="F34" s="217"/>
      <c r="G34" s="6"/>
      <c r="H34" s="48"/>
      <c r="I34" s="48"/>
      <c r="K34" s="52"/>
      <c r="L34" s="53"/>
    </row>
    <row r="35" spans="1:12" s="50" customFormat="1" hidden="1" outlineLevel="1">
      <c r="A35" s="5">
        <v>3</v>
      </c>
      <c r="B35" s="51">
        <v>300</v>
      </c>
      <c r="C35" s="63"/>
      <c r="D35" s="48"/>
      <c r="E35" s="48"/>
      <c r="F35" s="217"/>
      <c r="G35" s="6"/>
      <c r="H35" s="48"/>
      <c r="I35" s="48"/>
      <c r="K35" s="52"/>
      <c r="L35" s="53"/>
    </row>
    <row r="36" spans="1:12" s="50" customFormat="1" hidden="1" outlineLevel="1">
      <c r="A36" s="5">
        <v>4</v>
      </c>
      <c r="B36" s="51">
        <v>100</v>
      </c>
      <c r="C36" s="63"/>
      <c r="D36" s="48"/>
      <c r="E36" s="48"/>
      <c r="F36" s="217"/>
      <c r="G36" s="6"/>
      <c r="H36" s="48"/>
      <c r="I36" s="48"/>
      <c r="K36" s="52"/>
      <c r="L36" s="53"/>
    </row>
    <row r="37" spans="1:12" collapsed="1">
      <c r="A37" s="20" t="s">
        <v>116</v>
      </c>
      <c r="B37" s="26"/>
      <c r="C37" s="62">
        <v>0.01</v>
      </c>
      <c r="D37" s="23">
        <f>'Client Data'!F109</f>
        <v>2</v>
      </c>
      <c r="E37" s="23">
        <f>IF((D37=A32),B32,IF((D37=A33),B33,IF((D37=A34),B34,IF((D37=A35),B35,IF(D37&gt;=A36,B36)))))</f>
        <v>300</v>
      </c>
      <c r="F37" s="216">
        <f>E37*C37</f>
        <v>3</v>
      </c>
      <c r="G37" s="2"/>
      <c r="H37" s="23">
        <f>C37*MIN(B32:B35)</f>
        <v>1</v>
      </c>
      <c r="I37" s="23">
        <f>C37*MAX(B32:B35)</f>
        <v>3</v>
      </c>
      <c r="J37" s="2"/>
      <c r="K37" s="45"/>
      <c r="L37" s="1"/>
    </row>
    <row r="38" spans="1:12" s="50" customFormat="1" hidden="1" outlineLevel="1">
      <c r="A38" s="5" t="str">
        <f>'Client Data'!C121</f>
        <v>University</v>
      </c>
      <c r="B38" s="47">
        <v>350</v>
      </c>
      <c r="C38" s="63"/>
      <c r="D38" s="48"/>
      <c r="E38" s="48"/>
      <c r="F38" s="217"/>
      <c r="H38" s="48"/>
      <c r="I38" s="48"/>
      <c r="K38" s="52"/>
      <c r="L38" s="53"/>
    </row>
    <row r="39" spans="1:12" s="50" customFormat="1" hidden="1" outlineLevel="1">
      <c r="A39" s="5" t="str">
        <f>'Client Data'!C122</f>
        <v>Technical School</v>
      </c>
      <c r="B39" s="47">
        <v>300</v>
      </c>
      <c r="C39" s="63"/>
      <c r="D39" s="48"/>
      <c r="E39" s="48"/>
      <c r="F39" s="217"/>
      <c r="H39" s="48"/>
      <c r="I39" s="48"/>
      <c r="K39" s="52"/>
      <c r="L39" s="53"/>
    </row>
    <row r="40" spans="1:12" s="50" customFormat="1" hidden="1" outlineLevel="1">
      <c r="A40" s="5" t="str">
        <f>'Client Data'!C123</f>
        <v>Secondary School</v>
      </c>
      <c r="B40" s="47">
        <v>250</v>
      </c>
      <c r="C40" s="63"/>
      <c r="D40" s="48"/>
      <c r="E40" s="48"/>
      <c r="F40" s="217"/>
      <c r="H40" s="48"/>
      <c r="I40" s="48"/>
      <c r="K40" s="52"/>
      <c r="L40" s="53"/>
    </row>
    <row r="41" spans="1:12" s="50" customFormat="1" hidden="1" outlineLevel="1">
      <c r="A41" s="5" t="str">
        <f>'Client Data'!C124</f>
        <v>Primary School</v>
      </c>
      <c r="B41" s="47">
        <v>200</v>
      </c>
      <c r="C41" s="63"/>
      <c r="D41" s="48"/>
      <c r="E41" s="48"/>
      <c r="F41" s="217"/>
      <c r="H41" s="48"/>
      <c r="I41" s="48"/>
      <c r="K41" s="52"/>
      <c r="L41" s="53"/>
    </row>
    <row r="42" spans="1:12" s="50" customFormat="1" hidden="1" outlineLevel="1">
      <c r="A42" s="5" t="str">
        <f>'Client Data'!C125</f>
        <v>None</v>
      </c>
      <c r="B42" s="47">
        <v>100</v>
      </c>
      <c r="C42" s="63"/>
      <c r="D42" s="48"/>
      <c r="E42" s="48"/>
      <c r="F42" s="217"/>
      <c r="H42" s="48"/>
      <c r="I42" s="48"/>
      <c r="K42" s="52"/>
      <c r="L42" s="53"/>
    </row>
    <row r="43" spans="1:12" collapsed="1">
      <c r="A43" s="20" t="s">
        <v>97</v>
      </c>
      <c r="B43" s="21"/>
      <c r="C43" s="62">
        <v>0.04</v>
      </c>
      <c r="D43" s="23" t="str">
        <f>'Client Data'!F126</f>
        <v>Technical School</v>
      </c>
      <c r="E43" s="23">
        <f>IF((D43=A38),B38,IF((D43=A39),B39,IF((D43=A40),B40,IF((D43=A41),B41,IF((D43=A42),B42)))))</f>
        <v>300</v>
      </c>
      <c r="F43" s="216">
        <f>E43*C43</f>
        <v>12</v>
      </c>
      <c r="G43" s="2"/>
      <c r="H43" s="23">
        <f>C43*MIN(B38:B42)</f>
        <v>4</v>
      </c>
      <c r="I43" s="23">
        <f>C43*MAX(B38:B42)</f>
        <v>14</v>
      </c>
      <c r="J43" s="2"/>
      <c r="K43" s="45"/>
      <c r="L43" s="1"/>
    </row>
    <row r="44" spans="1:12" s="50" customFormat="1" hidden="1" outlineLevel="1">
      <c r="A44" s="5" t="str">
        <f>'Client Data'!C127</f>
        <v>Civil Servant</v>
      </c>
      <c r="B44" s="47">
        <v>500</v>
      </c>
      <c r="C44" s="63"/>
      <c r="D44" s="48"/>
      <c r="E44" s="48"/>
      <c r="F44" s="217"/>
      <c r="H44" s="48"/>
      <c r="I44" s="48"/>
      <c r="K44" s="52"/>
      <c r="L44" s="53"/>
    </row>
    <row r="45" spans="1:12" s="50" customFormat="1" hidden="1" outlineLevel="1">
      <c r="A45" s="5" t="str">
        <f>'Client Data'!C128</f>
        <v>Employee</v>
      </c>
      <c r="B45" s="47">
        <v>400</v>
      </c>
      <c r="C45" s="63"/>
      <c r="D45" s="48"/>
      <c r="E45" s="48"/>
      <c r="F45" s="217"/>
      <c r="H45" s="48"/>
      <c r="I45" s="48"/>
      <c r="K45" s="52"/>
      <c r="L45" s="53"/>
    </row>
    <row r="46" spans="1:12" s="50" customFormat="1" hidden="1" outlineLevel="1">
      <c r="A46" s="5" t="str">
        <f>'Client Data'!C129</f>
        <v>Self Employed</v>
      </c>
      <c r="B46" s="47">
        <v>200</v>
      </c>
      <c r="C46" s="63"/>
      <c r="D46" s="48"/>
      <c r="E46" s="48"/>
      <c r="F46" s="217"/>
      <c r="H46" s="48"/>
      <c r="I46" s="48"/>
      <c r="K46" s="52"/>
      <c r="L46" s="53"/>
    </row>
    <row r="47" spans="1:12" s="50" customFormat="1" hidden="1" outlineLevel="1">
      <c r="A47" s="5" t="str">
        <f>'Client Data'!C130</f>
        <v>Other</v>
      </c>
      <c r="B47" s="47">
        <v>200</v>
      </c>
      <c r="C47" s="63"/>
      <c r="D47" s="48"/>
      <c r="E47" s="48"/>
      <c r="F47" s="217"/>
      <c r="H47" s="48"/>
      <c r="I47" s="48"/>
      <c r="K47" s="52"/>
      <c r="L47" s="53"/>
    </row>
    <row r="48" spans="1:12" collapsed="1">
      <c r="A48" s="20" t="s">
        <v>143</v>
      </c>
      <c r="B48" s="21"/>
      <c r="C48" s="62">
        <v>0.08</v>
      </c>
      <c r="D48" s="23" t="str">
        <f>'Client Data'!F131</f>
        <v>Self Employed</v>
      </c>
      <c r="E48" s="23">
        <f>IF(D48=A44,B44,IF(D48=A45,B45,IF(D48=A46,B46,IF(D48=A47,B47,IF(D48=#REF!,#REF!)))))</f>
        <v>200</v>
      </c>
      <c r="F48" s="216">
        <f>E48*C48</f>
        <v>16</v>
      </c>
      <c r="G48" s="2"/>
      <c r="H48" s="23">
        <f>C48*MIN(B44:B47)</f>
        <v>16</v>
      </c>
      <c r="I48" s="23">
        <f>C48*MAX(B44:B47)</f>
        <v>40</v>
      </c>
      <c r="J48" s="2"/>
      <c r="K48" s="45"/>
      <c r="L48" s="1"/>
    </row>
    <row r="49" spans="1:12" s="50" customFormat="1" hidden="1" outlineLevel="1">
      <c r="A49" s="5" t="str">
        <f>'Client Data'!C132</f>
        <v xml:space="preserve">Permanent </v>
      </c>
      <c r="B49" s="47">
        <v>500</v>
      </c>
      <c r="C49" s="63"/>
      <c r="D49" s="48"/>
      <c r="E49" s="48"/>
      <c r="F49" s="217"/>
      <c r="H49" s="48"/>
      <c r="I49" s="48"/>
      <c r="K49" s="52"/>
      <c r="L49" s="53"/>
    </row>
    <row r="50" spans="1:12" s="50" customFormat="1" hidden="1" outlineLevel="1">
      <c r="A50" s="5" t="str">
        <f>'Client Data'!C133</f>
        <v>Contractual</v>
      </c>
      <c r="B50" s="47">
        <v>300</v>
      </c>
      <c r="C50" s="63"/>
      <c r="D50" s="48"/>
      <c r="E50" s="48"/>
      <c r="F50" s="217"/>
      <c r="H50" s="48"/>
      <c r="I50" s="48"/>
      <c r="K50" s="52"/>
      <c r="L50" s="53"/>
    </row>
    <row r="51" spans="1:12" s="50" customFormat="1" hidden="1" outlineLevel="1">
      <c r="A51" s="5" t="str">
        <f>'Client Data'!C134</f>
        <v xml:space="preserve">Other </v>
      </c>
      <c r="B51" s="47">
        <v>200</v>
      </c>
      <c r="C51" s="63"/>
      <c r="D51" s="48"/>
      <c r="E51" s="48"/>
      <c r="F51" s="217"/>
      <c r="H51" s="48"/>
      <c r="I51" s="48"/>
      <c r="K51" s="52"/>
      <c r="L51" s="53"/>
    </row>
    <row r="52" spans="1:12" collapsed="1">
      <c r="A52" s="20" t="s">
        <v>304</v>
      </c>
      <c r="B52" s="21"/>
      <c r="C52" s="62">
        <v>0.08</v>
      </c>
      <c r="D52" s="23" t="str">
        <f>'Client Data'!F135</f>
        <v xml:space="preserve">Other </v>
      </c>
      <c r="E52" s="23">
        <f>IF(D52=A49,B49,IF(D52=A50,B50,IF(D52=A51,B51)))</f>
        <v>200</v>
      </c>
      <c r="F52" s="216">
        <f>E52*C52</f>
        <v>16</v>
      </c>
      <c r="G52" s="2"/>
      <c r="H52" s="23">
        <f>C52*MIN(B49:B51)</f>
        <v>16</v>
      </c>
      <c r="I52" s="23">
        <f>C52*MAX(B49:B51)</f>
        <v>40</v>
      </c>
      <c r="J52" s="2"/>
      <c r="K52" s="45"/>
      <c r="L52" s="1"/>
    </row>
    <row r="53" spans="1:12" s="50" customFormat="1" hidden="1" outlineLevel="1">
      <c r="A53" s="5" t="str">
        <f>'Client Data'!C136</f>
        <v>0 to1</v>
      </c>
      <c r="B53" s="47">
        <v>200</v>
      </c>
      <c r="C53" s="64"/>
      <c r="D53" s="54"/>
      <c r="E53" s="54"/>
      <c r="F53" s="217"/>
      <c r="H53" s="48"/>
      <c r="I53" s="48"/>
      <c r="K53" s="52"/>
      <c r="L53" s="53"/>
    </row>
    <row r="54" spans="1:12" s="50" customFormat="1" hidden="1" outlineLevel="1">
      <c r="A54" s="5" t="str">
        <f>'Client Data'!C137</f>
        <v>1 to 5</v>
      </c>
      <c r="B54" s="47">
        <v>400</v>
      </c>
      <c r="C54" s="63"/>
      <c r="D54" s="48"/>
      <c r="E54" s="48"/>
      <c r="F54" s="217"/>
      <c r="H54" s="48"/>
      <c r="I54" s="48"/>
      <c r="K54" s="52"/>
      <c r="L54" s="53"/>
    </row>
    <row r="55" spans="1:12" s="50" customFormat="1" hidden="1" outlineLevel="1">
      <c r="A55" s="5" t="str">
        <f>'Client Data'!C138</f>
        <v>5 to 20</v>
      </c>
      <c r="B55" s="47">
        <v>300</v>
      </c>
      <c r="C55" s="63"/>
      <c r="D55" s="48"/>
      <c r="E55" s="48"/>
      <c r="F55" s="217"/>
      <c r="H55" s="48"/>
      <c r="I55" s="48"/>
      <c r="K55" s="52"/>
      <c r="L55" s="53"/>
    </row>
    <row r="56" spans="1:12" s="50" customFormat="1" hidden="1" outlineLevel="1">
      <c r="A56" s="5" t="str">
        <f>'Client Data'!C139</f>
        <v>20 and more</v>
      </c>
      <c r="B56" s="47">
        <v>300</v>
      </c>
      <c r="C56" s="63"/>
      <c r="D56" s="48"/>
      <c r="E56" s="48"/>
      <c r="F56" s="217"/>
      <c r="H56" s="48"/>
      <c r="I56" s="48"/>
      <c r="K56" s="52"/>
      <c r="L56" s="53"/>
    </row>
    <row r="57" spans="1:12" collapsed="1">
      <c r="A57" s="20" t="s">
        <v>278</v>
      </c>
      <c r="B57" s="21"/>
      <c r="C57" s="62">
        <v>0.02</v>
      </c>
      <c r="D57" s="23" t="str">
        <f>'Client Data'!F140</f>
        <v>1 to 5</v>
      </c>
      <c r="E57" s="23">
        <f>IF((D57=A53),B53,IF((D57=A54),B54,IF((D57=A55),B55,IF((D57=A56),B56))))</f>
        <v>400</v>
      </c>
      <c r="F57" s="216">
        <f>E57*C57</f>
        <v>8</v>
      </c>
      <c r="G57" s="2"/>
      <c r="H57" s="23">
        <f>C57*MIN(B53:B56)</f>
        <v>4</v>
      </c>
      <c r="I57" s="23">
        <f>C57*MAX(B53:B56)</f>
        <v>8</v>
      </c>
      <c r="J57" s="2"/>
      <c r="K57" s="45"/>
      <c r="L57" s="1"/>
    </row>
    <row r="58" spans="1:12" s="50" customFormat="1" hidden="1" outlineLevel="1">
      <c r="A58" s="55" t="str">
        <f>'Client Data'!C141</f>
        <v>Single</v>
      </c>
      <c r="B58" s="47">
        <v>250</v>
      </c>
      <c r="C58" s="63"/>
      <c r="D58" s="48"/>
      <c r="E58" s="48"/>
      <c r="F58" s="217"/>
      <c r="H58" s="48"/>
      <c r="I58" s="48"/>
      <c r="K58" s="52"/>
      <c r="L58" s="53"/>
    </row>
    <row r="59" spans="1:12" s="50" customFormat="1" hidden="1" outlineLevel="1">
      <c r="A59" s="55" t="str">
        <f>'Client Data'!C142</f>
        <v>Double</v>
      </c>
      <c r="B59" s="47">
        <v>500</v>
      </c>
      <c r="C59" s="63"/>
      <c r="D59" s="48"/>
      <c r="E59" s="48"/>
      <c r="F59" s="217"/>
      <c r="H59" s="48"/>
      <c r="I59" s="48"/>
      <c r="K59" s="52"/>
      <c r="L59" s="53"/>
    </row>
    <row r="60" spans="1:12" collapsed="1">
      <c r="A60" s="20" t="s">
        <v>95</v>
      </c>
      <c r="B60" s="21"/>
      <c r="C60" s="62">
        <v>0.03</v>
      </c>
      <c r="D60" s="23" t="str">
        <f>'Client Data'!F143</f>
        <v>Single</v>
      </c>
      <c r="E60" s="23">
        <f>IF(D60=A58,B58,IF(D60=A59,B59))</f>
        <v>250</v>
      </c>
      <c r="F60" s="216">
        <f>E60*C60</f>
        <v>7.5</v>
      </c>
      <c r="G60" s="2"/>
      <c r="H60" s="23">
        <f>C60*MIN(B58:B59)</f>
        <v>7.5</v>
      </c>
      <c r="I60" s="23">
        <f>C60*MAX(B58:B59)</f>
        <v>15</v>
      </c>
      <c r="J60" s="2"/>
      <c r="K60" s="45"/>
      <c r="L60" s="1"/>
    </row>
    <row r="61" spans="1:12" s="50" customFormat="1" hidden="1" outlineLevel="1">
      <c r="A61" s="5" t="str">
        <f>'Client Data'!C71</f>
        <v>Major Urban</v>
      </c>
      <c r="B61" s="47">
        <v>400</v>
      </c>
      <c r="C61" s="63"/>
      <c r="D61" s="48"/>
      <c r="E61" s="48"/>
      <c r="F61" s="217"/>
      <c r="H61" s="48"/>
      <c r="I61" s="48"/>
      <c r="K61" s="52"/>
      <c r="L61" s="53"/>
    </row>
    <row r="62" spans="1:12" s="50" customFormat="1" hidden="1" outlineLevel="1">
      <c r="A62" s="5" t="str">
        <f>'Client Data'!C72</f>
        <v>Minor Urban</v>
      </c>
      <c r="B62" s="47">
        <v>300</v>
      </c>
      <c r="C62" s="63"/>
      <c r="D62" s="48"/>
      <c r="E62" s="48"/>
      <c r="F62" s="217"/>
      <c r="H62" s="48"/>
      <c r="I62" s="48"/>
      <c r="K62" s="52"/>
      <c r="L62" s="53"/>
    </row>
    <row r="63" spans="1:12" s="50" customFormat="1" hidden="1" outlineLevel="1">
      <c r="A63" s="5" t="str">
        <f>'Client Data'!C73</f>
        <v>Rural</v>
      </c>
      <c r="B63" s="47">
        <v>200</v>
      </c>
      <c r="C63" s="63"/>
      <c r="D63" s="48"/>
      <c r="E63" s="48"/>
      <c r="F63" s="217"/>
      <c r="H63" s="48"/>
      <c r="I63" s="48"/>
      <c r="K63" s="52"/>
      <c r="L63" s="53"/>
    </row>
    <row r="64" spans="1:12" collapsed="1">
      <c r="A64" s="20" t="s">
        <v>108</v>
      </c>
      <c r="B64" s="21"/>
      <c r="C64" s="62">
        <v>0.02</v>
      </c>
      <c r="D64" s="23" t="str">
        <f>'Client Data'!F74</f>
        <v>Major Urban</v>
      </c>
      <c r="E64" s="27">
        <f>IF(D64=A61,B61,IF(D64=A62,B62,IF(D64=A63,B63)))</f>
        <v>400</v>
      </c>
      <c r="F64" s="216">
        <f t="shared" ref="F64" si="0">E64*C64</f>
        <v>8</v>
      </c>
      <c r="G64" s="2"/>
      <c r="H64" s="23">
        <f>C64*MIN(B61:B63)</f>
        <v>4</v>
      </c>
      <c r="I64" s="23">
        <f>C64*MAX(B61:B63)</f>
        <v>8</v>
      </c>
      <c r="J64" s="2"/>
      <c r="K64" s="45"/>
      <c r="L64" s="1"/>
    </row>
    <row r="65" spans="1:12">
      <c r="A65" s="28" t="s">
        <v>94</v>
      </c>
      <c r="B65" s="29"/>
      <c r="C65" s="65">
        <f>C18+C23+C31+C37+C43+C48+C52+C57+C60+C64</f>
        <v>0.34000000000000008</v>
      </c>
      <c r="D65" s="31"/>
      <c r="E65" s="31">
        <f ca="1">E18+E23+E31+E37+E43+E48+E52+E57+E60+E64</f>
        <v>2850</v>
      </c>
      <c r="F65" s="15">
        <f ca="1">F18+F23+F31+F37+F43+F48+F52+F57+F60+F64</f>
        <v>86.5</v>
      </c>
      <c r="G65" s="2"/>
      <c r="H65" s="15">
        <f>H18+H23+H31+H37+H43+H48+H52+H57+H60+H64</f>
        <v>61.5</v>
      </c>
      <c r="I65" s="15">
        <f>I18+I23+I31+I37+I43+I48+I52+I57+I60+I64</f>
        <v>155</v>
      </c>
      <c r="J65" s="2"/>
      <c r="K65" s="45"/>
      <c r="L65" s="1"/>
    </row>
    <row r="66" spans="1:12">
      <c r="A66" s="8"/>
      <c r="B66" s="16"/>
      <c r="C66" s="13"/>
      <c r="D66" s="13"/>
      <c r="E66" s="13"/>
      <c r="F66" s="40"/>
      <c r="G66" s="2"/>
      <c r="H66" s="13"/>
      <c r="I66" s="13"/>
      <c r="J66" s="2"/>
      <c r="K66" s="45"/>
      <c r="L66" s="1"/>
    </row>
    <row r="67" spans="1:12" hidden="1" outlineLevel="1">
      <c r="A67" s="4" t="str">
        <f>'Client Data'!B171</f>
        <v>NA</v>
      </c>
      <c r="B67" s="16">
        <v>100</v>
      </c>
      <c r="C67" s="13"/>
      <c r="D67" s="13"/>
      <c r="E67" s="13"/>
      <c r="F67" s="40"/>
      <c r="G67" s="2"/>
      <c r="H67" s="13"/>
      <c r="I67" s="13"/>
      <c r="J67" s="2"/>
      <c r="K67" s="45"/>
      <c r="L67" s="1"/>
    </row>
    <row r="68" spans="1:12" hidden="1" outlineLevel="1">
      <c r="A68" s="4" t="str">
        <f>'Client Data'!B172</f>
        <v>since less than 1 year</v>
      </c>
      <c r="B68" s="16">
        <v>200</v>
      </c>
      <c r="C68" s="13"/>
      <c r="D68" s="13"/>
      <c r="E68" s="13"/>
      <c r="F68" s="40"/>
      <c r="G68" s="2"/>
      <c r="H68" s="13"/>
      <c r="I68" s="13"/>
      <c r="J68" s="2"/>
      <c r="K68" s="45"/>
      <c r="L68" s="1"/>
    </row>
    <row r="69" spans="1:12" hidden="1" outlineLevel="1">
      <c r="A69" s="4" t="str">
        <f>'Client Data'!B173</f>
        <v>since 1 to 5 years</v>
      </c>
      <c r="B69" s="16">
        <v>400</v>
      </c>
      <c r="C69" s="13"/>
      <c r="D69" s="13"/>
      <c r="E69" s="13"/>
      <c r="F69" s="40"/>
      <c r="G69" s="2"/>
      <c r="H69" s="13"/>
      <c r="I69" s="13"/>
      <c r="J69" s="2"/>
      <c r="K69" s="45"/>
      <c r="L69" s="1"/>
    </row>
    <row r="70" spans="1:12" hidden="1" outlineLevel="1">
      <c r="A70" s="4" t="str">
        <f>'Client Data'!B174</f>
        <v>more than 5 years</v>
      </c>
      <c r="B70" s="16">
        <v>500</v>
      </c>
      <c r="C70" s="13"/>
      <c r="D70" s="13"/>
      <c r="E70" s="13"/>
      <c r="F70" s="40"/>
      <c r="G70" s="2"/>
      <c r="H70" s="13"/>
      <c r="I70" s="13"/>
      <c r="J70" s="2"/>
      <c r="K70" s="45"/>
      <c r="L70" s="1"/>
    </row>
    <row r="71" spans="1:12" ht="15" customHeight="1" collapsed="1">
      <c r="A71" s="20" t="s">
        <v>117</v>
      </c>
      <c r="B71" s="21"/>
      <c r="C71" s="62">
        <v>0.03</v>
      </c>
      <c r="D71" s="23" t="str">
        <f>'Client Data'!F175</f>
        <v>NA</v>
      </c>
      <c r="E71" s="23">
        <f>IF((D71=A67),B67,IF((D71=A68),B68,IF((D71=A69),B69,IF((D71=A70),B70))))</f>
        <v>100</v>
      </c>
      <c r="F71" s="218">
        <f>E71*C71</f>
        <v>3</v>
      </c>
      <c r="G71" s="2"/>
      <c r="H71" s="23">
        <f>C71*MIN(B67:B70)</f>
        <v>3</v>
      </c>
      <c r="I71" s="23">
        <f>C71*MAX(B67:B70)</f>
        <v>15</v>
      </c>
      <c r="J71" s="2"/>
      <c r="K71" s="45"/>
      <c r="L71" s="1"/>
    </row>
    <row r="72" spans="1:12" s="50" customFormat="1" ht="15" hidden="1" customHeight="1" outlineLevel="1">
      <c r="A72" s="5">
        <v>0</v>
      </c>
      <c r="B72" s="47">
        <v>100</v>
      </c>
      <c r="C72" s="63"/>
      <c r="D72" s="48"/>
      <c r="E72" s="48"/>
      <c r="F72" s="49"/>
      <c r="H72" s="48"/>
      <c r="I72" s="48"/>
      <c r="K72" s="45"/>
      <c r="L72" s="53"/>
    </row>
    <row r="73" spans="1:12" s="50" customFormat="1" ht="15" hidden="1" customHeight="1" outlineLevel="1">
      <c r="A73" s="5">
        <v>1</v>
      </c>
      <c r="B73" s="47">
        <v>200</v>
      </c>
      <c r="C73" s="63"/>
      <c r="D73" s="48"/>
      <c r="E73" s="48"/>
      <c r="F73" s="49"/>
      <c r="H73" s="48"/>
      <c r="I73" s="48"/>
      <c r="K73" s="45"/>
      <c r="L73" s="53"/>
    </row>
    <row r="74" spans="1:12" s="50" customFormat="1" ht="15" hidden="1" customHeight="1" outlineLevel="1">
      <c r="A74" s="5">
        <v>2</v>
      </c>
      <c r="B74" s="47">
        <v>300</v>
      </c>
      <c r="C74" s="63"/>
      <c r="D74" s="48"/>
      <c r="E74" s="48"/>
      <c r="F74" s="49"/>
      <c r="H74" s="48"/>
      <c r="I74" s="48"/>
      <c r="K74" s="45"/>
      <c r="L74" s="53"/>
    </row>
    <row r="75" spans="1:12" s="50" customFormat="1" ht="15" hidden="1" customHeight="1" outlineLevel="1">
      <c r="A75" s="5">
        <v>3</v>
      </c>
      <c r="B75" s="47">
        <v>400</v>
      </c>
      <c r="C75" s="63"/>
      <c r="D75" s="48"/>
      <c r="E75" s="48"/>
      <c r="F75" s="49"/>
      <c r="H75" s="48"/>
      <c r="I75" s="48"/>
      <c r="K75" s="45"/>
      <c r="L75" s="53"/>
    </row>
    <row r="76" spans="1:12" s="50" customFormat="1" ht="15" hidden="1" customHeight="1" outlineLevel="1">
      <c r="A76" s="5">
        <v>4</v>
      </c>
      <c r="B76" s="47">
        <v>500</v>
      </c>
      <c r="C76" s="63"/>
      <c r="D76" s="48"/>
      <c r="E76" s="48"/>
      <c r="F76" s="49"/>
      <c r="H76" s="48"/>
      <c r="I76" s="48"/>
      <c r="K76" s="45"/>
      <c r="L76" s="53"/>
    </row>
    <row r="77" spans="1:12" ht="15" customHeight="1" collapsed="1">
      <c r="A77" s="20" t="s">
        <v>195</v>
      </c>
      <c r="B77" s="21"/>
      <c r="C77" s="62">
        <v>0.02</v>
      </c>
      <c r="D77" s="23">
        <f>'Client Data'!F182</f>
        <v>0</v>
      </c>
      <c r="E77" s="23">
        <f>IF((D77&gt;=A72)*(D77&lt;A73),B72,IF((D77&gt;=A73)*(D77&lt;A74),B73,IF((D77&gt;=A74)*(D77&lt;A75),B74,IF((D77&gt;=A75)*(D77&lt;A76),B75,IF((D77&gt;=A76),B76)))))</f>
        <v>100</v>
      </c>
      <c r="F77" s="218">
        <f>E77*C77</f>
        <v>2</v>
      </c>
      <c r="G77" s="2"/>
      <c r="H77" s="23">
        <f>C77*MIN(B72:B76)</f>
        <v>2</v>
      </c>
      <c r="I77" s="23">
        <f>C77*MAX(B72:B76)</f>
        <v>10</v>
      </c>
      <c r="J77" s="2"/>
      <c r="K77" s="45"/>
      <c r="L77" s="1"/>
    </row>
    <row r="78" spans="1:12" s="50" customFormat="1" ht="15" hidden="1" customHeight="1" outlineLevel="1">
      <c r="A78" s="5">
        <v>0</v>
      </c>
      <c r="B78" s="47">
        <v>400</v>
      </c>
      <c r="C78" s="63"/>
      <c r="D78" s="48"/>
      <c r="E78" s="48"/>
      <c r="F78" s="49"/>
      <c r="H78" s="48"/>
      <c r="I78" s="48"/>
      <c r="K78" s="45"/>
      <c r="L78" s="53"/>
    </row>
    <row r="79" spans="1:12" s="50" customFormat="1" ht="15" hidden="1" customHeight="1" outlineLevel="1">
      <c r="A79" s="5">
        <v>1</v>
      </c>
      <c r="B79" s="47">
        <v>100</v>
      </c>
      <c r="C79" s="63"/>
      <c r="D79" s="48"/>
      <c r="E79" s="48"/>
      <c r="F79" s="49"/>
      <c r="H79" s="48"/>
      <c r="I79" s="48"/>
      <c r="K79" s="45"/>
      <c r="L79" s="53"/>
    </row>
    <row r="80" spans="1:12" s="50" customFormat="1" ht="15" hidden="1" customHeight="1" outlineLevel="1">
      <c r="A80" s="5">
        <v>2</v>
      </c>
      <c r="B80" s="47">
        <v>50</v>
      </c>
      <c r="C80" s="63"/>
      <c r="D80" s="48"/>
      <c r="E80" s="48"/>
      <c r="F80" s="49"/>
      <c r="H80" s="48"/>
      <c r="I80" s="48"/>
      <c r="K80" s="45"/>
      <c r="L80" s="53"/>
    </row>
    <row r="81" spans="1:12" s="50" customFormat="1" ht="15" hidden="1" customHeight="1" outlineLevel="1">
      <c r="A81" s="5">
        <v>3</v>
      </c>
      <c r="B81" s="147">
        <v>0</v>
      </c>
      <c r="C81" s="47" t="s">
        <v>176</v>
      </c>
      <c r="D81" s="48"/>
      <c r="E81" s="48"/>
      <c r="F81" s="49"/>
      <c r="H81" s="48"/>
      <c r="I81" s="48"/>
      <c r="K81" s="45"/>
      <c r="L81" s="53"/>
    </row>
    <row r="82" spans="1:12" s="50" customFormat="1" ht="15" hidden="1" customHeight="1" outlineLevel="1">
      <c r="A82" s="5" t="s">
        <v>129</v>
      </c>
      <c r="B82" s="47">
        <v>100</v>
      </c>
      <c r="C82" s="63"/>
      <c r="D82" s="48"/>
      <c r="E82" s="48"/>
      <c r="F82" s="49"/>
      <c r="H82" s="48"/>
      <c r="I82" s="48"/>
      <c r="K82" s="45"/>
      <c r="L82" s="53"/>
    </row>
    <row r="83" spans="1:12" ht="15" customHeight="1" collapsed="1">
      <c r="A83" s="20" t="s">
        <v>118</v>
      </c>
      <c r="B83" s="21"/>
      <c r="C83" s="62">
        <v>0.1</v>
      </c>
      <c r="D83" s="23">
        <f>'Client Data'!F188</f>
        <v>4</v>
      </c>
      <c r="E83" s="23">
        <f>IF(D83="NA",B82,IF(D83&gt;=A81,B81,IF(D83=A80,B80,IF(D83=A79,B79,IF(D83=A78,B78)))))</f>
        <v>0</v>
      </c>
      <c r="F83" s="38">
        <f>E83*C83</f>
        <v>0</v>
      </c>
      <c r="G83" s="3" t="str">
        <f>IF(D83&gt;=A81,C81,"OK")</f>
        <v>REJECT</v>
      </c>
      <c r="H83" s="23">
        <f>C83*MIN(B78:B82)</f>
        <v>0</v>
      </c>
      <c r="I83" s="23">
        <f>C83*MAX(B78:B82)</f>
        <v>40</v>
      </c>
      <c r="J83" s="2"/>
      <c r="K83" s="45"/>
      <c r="L83" s="1"/>
    </row>
    <row r="84" spans="1:12" ht="15" hidden="1" customHeight="1" outlineLevel="1">
      <c r="A84" s="5">
        <v>0</v>
      </c>
      <c r="B84" s="47">
        <v>400</v>
      </c>
      <c r="C84" s="63"/>
      <c r="D84" s="48"/>
      <c r="E84" s="48"/>
      <c r="F84" s="49"/>
      <c r="G84" s="50"/>
      <c r="H84" s="48"/>
      <c r="I84" s="48"/>
      <c r="J84" s="2"/>
      <c r="K84" s="45"/>
      <c r="L84" s="1"/>
    </row>
    <row r="85" spans="1:12" ht="15" hidden="1" customHeight="1" outlineLevel="1">
      <c r="A85" s="5">
        <v>1</v>
      </c>
      <c r="B85" s="47">
        <v>100</v>
      </c>
      <c r="C85" s="63"/>
      <c r="D85" s="48"/>
      <c r="E85" s="48"/>
      <c r="F85" s="49"/>
      <c r="G85" s="50"/>
      <c r="H85" s="48"/>
      <c r="I85" s="48"/>
      <c r="J85" s="2"/>
      <c r="K85" s="45"/>
      <c r="L85" s="1"/>
    </row>
    <row r="86" spans="1:12" ht="15" hidden="1" customHeight="1" outlineLevel="1">
      <c r="A86" s="5">
        <v>2</v>
      </c>
      <c r="B86" s="47">
        <v>0</v>
      </c>
      <c r="C86" s="47" t="s">
        <v>176</v>
      </c>
      <c r="D86" s="48"/>
      <c r="E86" s="48"/>
      <c r="F86" s="49"/>
      <c r="G86" s="50"/>
      <c r="H86" s="48"/>
      <c r="I86" s="48"/>
      <c r="J86" s="2"/>
      <c r="K86" s="45"/>
      <c r="L86" s="1"/>
    </row>
    <row r="87" spans="1:12" ht="15" hidden="1" customHeight="1" outlineLevel="1">
      <c r="A87" s="5" t="s">
        <v>129</v>
      </c>
      <c r="B87" s="47">
        <v>100</v>
      </c>
      <c r="C87" s="63"/>
      <c r="D87" s="48"/>
      <c r="E87" s="48"/>
      <c r="F87" s="49"/>
      <c r="G87" s="50"/>
      <c r="H87" s="48"/>
      <c r="I87" s="48"/>
      <c r="J87" s="2"/>
      <c r="K87" s="45"/>
      <c r="L87" s="1"/>
    </row>
    <row r="88" spans="1:12" ht="15" customHeight="1" collapsed="1">
      <c r="A88" s="20" t="s">
        <v>281</v>
      </c>
      <c r="B88" s="21"/>
      <c r="C88" s="62">
        <v>0.15</v>
      </c>
      <c r="D88" s="23">
        <f>'Client Data'!F194</f>
        <v>3</v>
      </c>
      <c r="E88" s="23">
        <f>IF(D88="NA",B87,IF(D88&gt;=A86,B86,IF(D88=A85,B85,IF(D88=A84,B84))))</f>
        <v>0</v>
      </c>
      <c r="F88" s="218">
        <f>E88*C88</f>
        <v>0</v>
      </c>
      <c r="G88" s="3" t="str">
        <f>IF(D88&gt;=A86,C86,"OK")</f>
        <v>REJECT</v>
      </c>
      <c r="H88" s="23">
        <f>C88*MIN(B84:B87)</f>
        <v>0</v>
      </c>
      <c r="I88" s="23">
        <f>C88*MAX(B84:B87)</f>
        <v>60</v>
      </c>
      <c r="J88" s="42"/>
      <c r="K88" s="45"/>
      <c r="L88" s="1"/>
    </row>
    <row r="89" spans="1:12" ht="15" customHeight="1">
      <c r="A89" s="28" t="s">
        <v>124</v>
      </c>
      <c r="B89" s="29"/>
      <c r="C89" s="65">
        <f>C71+C77+C83+C88</f>
        <v>0.30000000000000004</v>
      </c>
      <c r="D89" s="31"/>
      <c r="E89" s="152">
        <f>E71+E77+E83+E88</f>
        <v>200</v>
      </c>
      <c r="F89" s="36">
        <f>F71+F77+F83+F88</f>
        <v>5</v>
      </c>
      <c r="G89" s="2"/>
      <c r="H89" s="36">
        <f t="shared" ref="H89:I89" si="1">H71+H77+H83+H88</f>
        <v>5</v>
      </c>
      <c r="I89" s="36">
        <f t="shared" si="1"/>
        <v>125</v>
      </c>
      <c r="J89" s="2"/>
      <c r="K89" s="45"/>
      <c r="L89" s="1"/>
    </row>
    <row r="90" spans="1:12" ht="1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1"/>
    </row>
    <row r="91" spans="1:12" ht="15" hidden="1" customHeight="1" outlineLevel="1">
      <c r="A91" s="5">
        <v>0</v>
      </c>
      <c r="B91" s="47">
        <v>0</v>
      </c>
      <c r="C91" s="47" t="s">
        <v>176</v>
      </c>
      <c r="D91" s="48"/>
      <c r="E91" s="48"/>
      <c r="F91" s="49"/>
      <c r="G91" s="50"/>
      <c r="H91" s="48"/>
      <c r="I91" s="48"/>
      <c r="J91" s="2"/>
      <c r="K91" s="61"/>
      <c r="L91" s="1"/>
    </row>
    <row r="92" spans="1:12" ht="15" hidden="1" customHeight="1" outlineLevel="1">
      <c r="A92" s="5">
        <v>1</v>
      </c>
      <c r="B92" s="47">
        <v>250</v>
      </c>
      <c r="C92" s="48"/>
      <c r="D92" s="48"/>
      <c r="E92" s="48"/>
      <c r="F92" s="49"/>
      <c r="G92" s="50"/>
      <c r="H92" s="48"/>
      <c r="I92" s="48"/>
      <c r="J92" s="2"/>
      <c r="K92" s="61"/>
      <c r="L92" s="1"/>
    </row>
    <row r="93" spans="1:12" ht="15" customHeight="1" collapsed="1">
      <c r="A93" s="20" t="s">
        <v>331</v>
      </c>
      <c r="B93" s="21"/>
      <c r="C93" s="62">
        <v>0.02</v>
      </c>
      <c r="D93" s="23">
        <f>'Client Data'!F223</f>
        <v>1</v>
      </c>
      <c r="E93" s="23">
        <f>IF(D93=A91,B91,IF(D93=A92,B92))</f>
        <v>250</v>
      </c>
      <c r="F93" s="38">
        <f>E93*C93</f>
        <v>5</v>
      </c>
      <c r="G93" s="3" t="str">
        <f>IF(D93=A91,C91,"OK")</f>
        <v>OK</v>
      </c>
      <c r="H93" s="23">
        <f>C93*MIN(B91:B92)</f>
        <v>0</v>
      </c>
      <c r="I93" s="23">
        <f>C93*MAX(B91:B92)</f>
        <v>5</v>
      </c>
      <c r="J93" s="42"/>
      <c r="K93" s="61"/>
      <c r="L93" s="1"/>
    </row>
    <row r="94" spans="1:12" ht="15" hidden="1" customHeight="1" outlineLevel="1">
      <c r="A94" s="5">
        <v>0</v>
      </c>
      <c r="B94" s="47">
        <v>500</v>
      </c>
      <c r="C94" s="48"/>
      <c r="D94" s="48"/>
      <c r="E94" s="48"/>
      <c r="F94" s="49"/>
      <c r="G94" s="50"/>
      <c r="H94" s="48"/>
      <c r="I94" s="48"/>
      <c r="J94" s="2"/>
      <c r="K94" s="61"/>
      <c r="L94" s="1"/>
    </row>
    <row r="95" spans="1:12" ht="15" hidden="1" customHeight="1" outlineLevel="1">
      <c r="A95" s="5">
        <v>1</v>
      </c>
      <c r="B95" s="47">
        <v>200</v>
      </c>
      <c r="C95" s="48"/>
      <c r="D95" s="48"/>
      <c r="E95" s="48"/>
      <c r="F95" s="49"/>
      <c r="G95" s="50"/>
      <c r="H95" s="48"/>
      <c r="I95" s="48"/>
      <c r="J95" s="2"/>
      <c r="K95" s="61"/>
      <c r="L95" s="1"/>
    </row>
    <row r="96" spans="1:12" ht="15" hidden="1" customHeight="1" outlineLevel="1">
      <c r="A96" s="5">
        <v>2</v>
      </c>
      <c r="B96" s="47">
        <v>100</v>
      </c>
      <c r="C96" s="48"/>
      <c r="D96" s="48"/>
      <c r="E96" s="48"/>
      <c r="F96" s="49"/>
      <c r="G96" s="50"/>
      <c r="H96" s="48"/>
      <c r="I96" s="48"/>
      <c r="J96" s="2"/>
      <c r="K96" s="61"/>
      <c r="L96" s="1"/>
    </row>
    <row r="97" spans="1:12" ht="15" hidden="1" customHeight="1" outlineLevel="1">
      <c r="A97" s="5">
        <v>3</v>
      </c>
      <c r="B97" s="147">
        <v>0</v>
      </c>
      <c r="C97" s="47" t="s">
        <v>176</v>
      </c>
      <c r="D97" s="48"/>
      <c r="E97" s="48"/>
      <c r="F97" s="49"/>
      <c r="G97" s="50"/>
      <c r="H97" s="48"/>
      <c r="I97" s="48"/>
      <c r="J97" s="2"/>
      <c r="K97" s="61"/>
      <c r="L97" s="1"/>
    </row>
    <row r="98" spans="1:12" ht="15" customHeight="1" collapsed="1">
      <c r="A98" s="20" t="s">
        <v>172</v>
      </c>
      <c r="B98" s="21"/>
      <c r="C98" s="62">
        <v>0.09</v>
      </c>
      <c r="D98" s="23">
        <f>'Client Data'!F231</f>
        <v>0</v>
      </c>
      <c r="E98" s="23">
        <f>IF((D98=A94),B94,IF((D98=A95),B95,IF((D98=A96),B96,IF((D98&gt;=A97),B97))))</f>
        <v>500</v>
      </c>
      <c r="F98" s="38">
        <f>E98*C98</f>
        <v>45</v>
      </c>
      <c r="G98" s="3" t="str">
        <f>IF(D98&gt;=A97,C97,"OK")</f>
        <v>OK</v>
      </c>
      <c r="H98" s="23">
        <f>C98*MIN(B94:B97)</f>
        <v>0</v>
      </c>
      <c r="I98" s="23">
        <f>C98*MAX(B94:B97)</f>
        <v>45</v>
      </c>
      <c r="J98" s="42"/>
      <c r="K98" s="61"/>
      <c r="L98" s="1"/>
    </row>
    <row r="99" spans="1:12" ht="15" hidden="1" customHeight="1" outlineLevel="1">
      <c r="A99" s="5">
        <v>0</v>
      </c>
      <c r="B99" s="47">
        <v>500</v>
      </c>
      <c r="C99" s="63"/>
      <c r="D99" s="48"/>
      <c r="E99" s="48"/>
      <c r="F99" s="49"/>
      <c r="G99" s="50"/>
      <c r="H99" s="48"/>
      <c r="I99" s="48"/>
      <c r="J99" s="2"/>
      <c r="K99" s="61"/>
      <c r="L99" s="1"/>
    </row>
    <row r="100" spans="1:12" ht="15" hidden="1" customHeight="1" outlineLevel="1">
      <c r="A100" s="5">
        <v>1</v>
      </c>
      <c r="B100" s="47">
        <v>200</v>
      </c>
      <c r="C100" s="63"/>
      <c r="D100" s="48"/>
      <c r="E100" s="48"/>
      <c r="F100" s="49"/>
      <c r="G100" s="50"/>
      <c r="H100" s="48"/>
      <c r="I100" s="48"/>
      <c r="J100" s="2"/>
      <c r="K100" s="61"/>
      <c r="L100" s="1"/>
    </row>
    <row r="101" spans="1:12" ht="15" hidden="1" customHeight="1" outlineLevel="1">
      <c r="A101" s="5">
        <v>2</v>
      </c>
      <c r="B101" s="47">
        <v>100</v>
      </c>
      <c r="C101" s="63"/>
      <c r="D101" s="48"/>
      <c r="E101" s="48"/>
      <c r="F101" s="49"/>
      <c r="G101" s="50"/>
      <c r="H101" s="48"/>
      <c r="I101" s="48"/>
      <c r="J101" s="2"/>
      <c r="K101" s="61"/>
      <c r="L101" s="1"/>
    </row>
    <row r="102" spans="1:12" ht="15" hidden="1" customHeight="1" outlineLevel="1">
      <c r="A102" s="5">
        <v>3</v>
      </c>
      <c r="B102" s="147">
        <v>0</v>
      </c>
      <c r="C102" s="47" t="s">
        <v>176</v>
      </c>
      <c r="D102" s="48"/>
      <c r="E102" s="48"/>
      <c r="F102" s="49"/>
      <c r="G102" s="50"/>
      <c r="H102" s="48"/>
      <c r="I102" s="48"/>
      <c r="J102" s="2"/>
      <c r="K102" s="61"/>
      <c r="L102" s="1"/>
    </row>
    <row r="103" spans="1:12" ht="15" customHeight="1" collapsed="1">
      <c r="A103" s="20" t="s">
        <v>173</v>
      </c>
      <c r="B103" s="21"/>
      <c r="C103" s="62">
        <v>0.09</v>
      </c>
      <c r="D103" s="23">
        <f>'Client Data'!F232</f>
        <v>0</v>
      </c>
      <c r="E103" s="23">
        <f>IF((D103=A99),B99,IF((D103=A100),B100,IF((D103=A101),B101,IF((D103&gt;=A102),B102))))</f>
        <v>500</v>
      </c>
      <c r="F103" s="38">
        <f>E103*C103</f>
        <v>45</v>
      </c>
      <c r="G103" s="3" t="str">
        <f>IF(D103&gt;=A102,C102,"OK")</f>
        <v>OK</v>
      </c>
      <c r="H103" s="23">
        <f>C103*MIN(B99:B102)</f>
        <v>0</v>
      </c>
      <c r="I103" s="23">
        <f>C103*MAX(B99:B102)</f>
        <v>45</v>
      </c>
      <c r="J103" s="42"/>
      <c r="K103" s="61"/>
      <c r="L103" s="1"/>
    </row>
    <row r="104" spans="1:12" ht="15" hidden="1" customHeight="1" outlineLevel="1">
      <c r="A104" s="5">
        <v>0</v>
      </c>
      <c r="B104" s="47">
        <v>500</v>
      </c>
      <c r="C104" s="63"/>
      <c r="D104" s="48"/>
      <c r="E104" s="48"/>
      <c r="F104" s="49"/>
      <c r="G104" s="50"/>
      <c r="H104" s="48"/>
      <c r="I104" s="48"/>
      <c r="J104" s="2"/>
      <c r="K104" s="61"/>
      <c r="L104" s="1"/>
    </row>
    <row r="105" spans="1:12" ht="15" hidden="1" customHeight="1" outlineLevel="1">
      <c r="A105" s="5">
        <v>1</v>
      </c>
      <c r="B105" s="47">
        <v>200</v>
      </c>
      <c r="C105" s="63"/>
      <c r="D105" s="48"/>
      <c r="E105" s="48"/>
      <c r="F105" s="49"/>
      <c r="G105" s="50"/>
      <c r="H105" s="48"/>
      <c r="I105" s="48"/>
      <c r="J105" s="2"/>
      <c r="K105" s="61"/>
      <c r="L105" s="1"/>
    </row>
    <row r="106" spans="1:12" ht="15" hidden="1" customHeight="1" outlineLevel="1">
      <c r="A106" s="5">
        <v>2</v>
      </c>
      <c r="B106" s="47">
        <v>100</v>
      </c>
      <c r="C106" s="63"/>
      <c r="D106" s="48"/>
      <c r="E106" s="48"/>
      <c r="F106" s="49"/>
      <c r="G106" s="50"/>
      <c r="H106" s="48"/>
      <c r="I106" s="48"/>
      <c r="J106" s="2"/>
      <c r="K106" s="61"/>
      <c r="L106" s="1"/>
    </row>
    <row r="107" spans="1:12" ht="15" hidden="1" customHeight="1" outlineLevel="1">
      <c r="A107" s="5">
        <v>3</v>
      </c>
      <c r="B107" s="147">
        <v>0</v>
      </c>
      <c r="C107" s="47" t="s">
        <v>176</v>
      </c>
      <c r="D107" s="48"/>
      <c r="E107" s="48"/>
      <c r="F107" s="49"/>
      <c r="G107" s="50"/>
      <c r="H107" s="48"/>
      <c r="I107" s="48"/>
      <c r="J107" s="2"/>
      <c r="K107" s="61"/>
      <c r="L107" s="1"/>
    </row>
    <row r="108" spans="1:12" ht="15" customHeight="1" collapsed="1">
      <c r="A108" s="20" t="s">
        <v>174</v>
      </c>
      <c r="B108" s="21"/>
      <c r="C108" s="62">
        <v>0.02</v>
      </c>
      <c r="D108" s="23">
        <f>'Client Data'!F233</f>
        <v>0</v>
      </c>
      <c r="E108" s="23">
        <f>IF((D108=A104),B104,IF((D108=A105),B105,IF((D108=A106),B106,IF((D108&gt;=A107),B107))))</f>
        <v>500</v>
      </c>
      <c r="F108" s="38">
        <f>E108*C108</f>
        <v>10</v>
      </c>
      <c r="G108" s="3" t="str">
        <f>IF(D108&gt;=A107,C107,"OK")</f>
        <v>OK</v>
      </c>
      <c r="H108" s="23">
        <f>C108*MIN(B104:B107)</f>
        <v>0</v>
      </c>
      <c r="I108" s="23">
        <f>C108*MAX(B104:B107)</f>
        <v>10</v>
      </c>
      <c r="J108" s="42"/>
      <c r="K108" s="61"/>
      <c r="L108" s="1"/>
    </row>
    <row r="109" spans="1:12" ht="15" customHeight="1">
      <c r="A109" s="28" t="s">
        <v>93</v>
      </c>
      <c r="B109" s="29"/>
      <c r="C109" s="65">
        <f>C93+C98+C103+C108</f>
        <v>0.22</v>
      </c>
      <c r="D109" s="31"/>
      <c r="E109" s="31">
        <f>E93+E98+E103+E108</f>
        <v>1750</v>
      </c>
      <c r="F109" s="15">
        <f>F93+F98+F103+F108</f>
        <v>105</v>
      </c>
      <c r="G109" s="2"/>
      <c r="H109" s="15">
        <f>H93+H98+H103+H108</f>
        <v>0</v>
      </c>
      <c r="I109" s="15">
        <f>I93+I98+I103+I108</f>
        <v>105</v>
      </c>
      <c r="J109" s="42"/>
      <c r="K109" s="60"/>
      <c r="L109" s="1"/>
    </row>
    <row r="110" spans="1:12" ht="15" customHeight="1">
      <c r="A110" s="60"/>
      <c r="B110" s="60"/>
      <c r="C110" s="60"/>
      <c r="D110" s="60"/>
      <c r="E110" s="153"/>
      <c r="F110" s="60"/>
      <c r="G110" s="60"/>
      <c r="H110" s="60"/>
      <c r="I110" s="60"/>
      <c r="J110" s="60"/>
      <c r="K110" s="60"/>
      <c r="L110" s="1"/>
    </row>
    <row r="111" spans="1:12" s="50" customFormat="1" ht="15" hidden="1" customHeight="1" outlineLevel="1">
      <c r="A111" s="72">
        <f>'Client Data'!C200</f>
        <v>0</v>
      </c>
      <c r="B111" s="47">
        <v>100</v>
      </c>
      <c r="C111" s="48"/>
      <c r="D111" s="48"/>
      <c r="E111" s="48"/>
      <c r="F111" s="49"/>
      <c r="G111" s="56"/>
      <c r="H111" s="57"/>
      <c r="I111" s="57"/>
      <c r="J111" s="56"/>
      <c r="K111" s="45"/>
      <c r="L111" s="53"/>
    </row>
    <row r="112" spans="1:12" s="50" customFormat="1" ht="15" hidden="1" customHeight="1" outlineLevel="1">
      <c r="A112" s="72">
        <f>'Client Data'!C201</f>
        <v>1</v>
      </c>
      <c r="B112" s="47">
        <v>200</v>
      </c>
      <c r="C112" s="48"/>
      <c r="D112" s="48"/>
      <c r="E112" s="48"/>
      <c r="F112" s="49"/>
      <c r="G112" s="56"/>
      <c r="H112" s="57"/>
      <c r="I112" s="57"/>
      <c r="J112" s="56"/>
      <c r="K112" s="45"/>
      <c r="L112" s="53"/>
    </row>
    <row r="113" spans="1:12" s="50" customFormat="1" ht="15" hidden="1" customHeight="1" outlineLevel="1">
      <c r="A113" s="72">
        <f>'Client Data'!C202</f>
        <v>2</v>
      </c>
      <c r="B113" s="47">
        <v>250</v>
      </c>
      <c r="C113" s="48"/>
      <c r="D113" s="48"/>
      <c r="E113" s="48"/>
      <c r="F113" s="49"/>
      <c r="G113" s="56"/>
      <c r="H113" s="57"/>
      <c r="I113" s="57"/>
      <c r="J113" s="56"/>
      <c r="K113" s="45"/>
      <c r="L113" s="53"/>
    </row>
    <row r="114" spans="1:12" s="50" customFormat="1" ht="15" hidden="1" customHeight="1" outlineLevel="1">
      <c r="A114" s="72">
        <f>'Client Data'!C203</f>
        <v>3</v>
      </c>
      <c r="B114" s="47">
        <v>100</v>
      </c>
      <c r="C114" s="48"/>
      <c r="D114" s="48"/>
      <c r="E114" s="48"/>
      <c r="F114" s="49"/>
      <c r="G114" s="56"/>
      <c r="H114" s="57"/>
      <c r="I114" s="57"/>
      <c r="J114" s="56"/>
      <c r="K114" s="45"/>
      <c r="L114" s="53"/>
    </row>
    <row r="115" spans="1:12" s="50" customFormat="1" ht="15" hidden="1" customHeight="1" outlineLevel="1">
      <c r="A115" s="72">
        <f>'Client Data'!C204</f>
        <v>4</v>
      </c>
      <c r="B115" s="47">
        <v>0</v>
      </c>
      <c r="C115" s="48"/>
      <c r="D115" s="48"/>
      <c r="E115" s="48"/>
      <c r="F115" s="49"/>
      <c r="G115" s="56"/>
      <c r="H115" s="57"/>
      <c r="I115" s="57"/>
      <c r="J115" s="56"/>
      <c r="K115" s="45"/>
      <c r="L115" s="53"/>
    </row>
    <row r="116" spans="1:12" ht="15" customHeight="1" collapsed="1">
      <c r="A116" s="20" t="s">
        <v>196</v>
      </c>
      <c r="B116" s="21"/>
      <c r="C116" s="22">
        <v>0.02</v>
      </c>
      <c r="D116" s="23">
        <f>'Client Data'!F205</f>
        <v>0</v>
      </c>
      <c r="E116" s="23">
        <f>IF(D116=A111,B111,IF((D116=A112),B112,IF(D116=A113,B113,IF(D116=A114,B114,IF(D116&gt;=A115,B115)))))</f>
        <v>100</v>
      </c>
      <c r="F116" s="38">
        <f>E116*C116</f>
        <v>2</v>
      </c>
      <c r="H116" s="23">
        <f>C116*MIN(B111:B115)</f>
        <v>0</v>
      </c>
      <c r="I116" s="23">
        <f>C116*MAX(B111:B115)</f>
        <v>5</v>
      </c>
      <c r="K116" s="45"/>
      <c r="L116" s="1"/>
    </row>
    <row r="117" spans="1:12" s="50" customFormat="1" ht="15" hidden="1" customHeight="1" outlineLevel="1">
      <c r="A117" s="72">
        <f>'Client Data'!C216</f>
        <v>0</v>
      </c>
      <c r="B117" s="47">
        <v>100</v>
      </c>
      <c r="C117" s="48"/>
      <c r="D117" s="48"/>
      <c r="E117" s="48"/>
      <c r="F117" s="49"/>
      <c r="G117" s="56"/>
      <c r="H117" s="57"/>
      <c r="I117" s="57"/>
      <c r="J117" s="56"/>
      <c r="K117" s="45"/>
      <c r="L117" s="53"/>
    </row>
    <row r="118" spans="1:12" s="50" customFormat="1" ht="15" hidden="1" customHeight="1" outlineLevel="1">
      <c r="A118" s="72">
        <f>'Client Data'!C217</f>
        <v>1</v>
      </c>
      <c r="B118" s="47">
        <v>200</v>
      </c>
      <c r="C118" s="48"/>
      <c r="D118" s="48"/>
      <c r="E118" s="48"/>
      <c r="F118" s="49"/>
      <c r="G118" s="56"/>
      <c r="H118" s="57"/>
      <c r="I118" s="57"/>
      <c r="J118" s="56"/>
      <c r="K118" s="45"/>
      <c r="L118" s="53"/>
    </row>
    <row r="119" spans="1:12" s="50" customFormat="1" ht="15" hidden="1" customHeight="1" outlineLevel="1">
      <c r="A119" s="72">
        <f>'Client Data'!C218</f>
        <v>2</v>
      </c>
      <c r="B119" s="47">
        <v>250</v>
      </c>
      <c r="C119" s="48"/>
      <c r="D119" s="48"/>
      <c r="E119" s="48"/>
      <c r="F119" s="49"/>
      <c r="G119" s="56"/>
      <c r="H119" s="57"/>
      <c r="I119" s="57"/>
      <c r="J119" s="56"/>
      <c r="K119" s="45"/>
      <c r="L119" s="53"/>
    </row>
    <row r="120" spans="1:12" s="50" customFormat="1" ht="15" hidden="1" customHeight="1" outlineLevel="1">
      <c r="A120" s="72">
        <f>'Client Data'!C219</f>
        <v>3</v>
      </c>
      <c r="B120" s="47">
        <v>100</v>
      </c>
      <c r="C120" s="48"/>
      <c r="D120" s="48"/>
      <c r="E120" s="48"/>
      <c r="F120" s="49"/>
      <c r="G120" s="56"/>
      <c r="H120" s="57"/>
      <c r="I120" s="57"/>
      <c r="J120" s="56"/>
      <c r="K120" s="45"/>
      <c r="L120" s="53"/>
    </row>
    <row r="121" spans="1:12" s="50" customFormat="1" ht="15" hidden="1" customHeight="1" outlineLevel="1">
      <c r="A121" s="72">
        <f>'Client Data'!C220</f>
        <v>4</v>
      </c>
      <c r="B121" s="47">
        <v>0</v>
      </c>
      <c r="C121" s="48"/>
      <c r="D121" s="48"/>
      <c r="E121" s="48"/>
      <c r="F121" s="49"/>
      <c r="G121" s="56"/>
      <c r="H121" s="57"/>
      <c r="I121" s="57"/>
      <c r="J121" s="56"/>
      <c r="K121" s="45"/>
      <c r="L121" s="53"/>
    </row>
    <row r="122" spans="1:12" ht="15" customHeight="1" collapsed="1">
      <c r="A122" s="20" t="s">
        <v>300</v>
      </c>
      <c r="B122" s="21"/>
      <c r="C122" s="22">
        <v>0.02</v>
      </c>
      <c r="D122" s="23">
        <f>'Client Data'!F221</f>
        <v>0</v>
      </c>
      <c r="E122" s="23">
        <f>IF(D122=A117,B117,IF((D122=A118),B118,IF(D122=A119,B119,IF(D122=A120,B120,IF(D122&gt;=A121,B121)))))</f>
        <v>100</v>
      </c>
      <c r="F122" s="38">
        <f>E122*C122</f>
        <v>2</v>
      </c>
      <c r="H122" s="23">
        <f>C122*MIN(B117:B121)</f>
        <v>0</v>
      </c>
      <c r="I122" s="23">
        <f>C122*MAX(B117:B121)</f>
        <v>5</v>
      </c>
      <c r="K122" s="45"/>
      <c r="L122" s="1"/>
    </row>
    <row r="123" spans="1:12" s="50" customFormat="1" ht="15" hidden="1" customHeight="1" outlineLevel="1">
      <c r="A123" s="71">
        <v>0.15</v>
      </c>
      <c r="B123" s="47">
        <v>500</v>
      </c>
      <c r="C123" s="48"/>
      <c r="D123" s="48"/>
      <c r="E123" s="48"/>
      <c r="F123" s="49"/>
      <c r="G123" s="56"/>
      <c r="H123" s="57"/>
      <c r="I123" s="57"/>
      <c r="J123" s="56"/>
      <c r="K123" s="45"/>
      <c r="L123" s="53"/>
    </row>
    <row r="124" spans="1:12" s="50" customFormat="1" ht="15" hidden="1" customHeight="1" outlineLevel="1">
      <c r="A124" s="71">
        <v>0.3</v>
      </c>
      <c r="B124" s="47">
        <v>400</v>
      </c>
      <c r="C124" s="48"/>
      <c r="D124" s="48"/>
      <c r="E124" s="48"/>
      <c r="F124" s="49"/>
      <c r="G124" s="56"/>
      <c r="H124" s="57"/>
      <c r="I124" s="57"/>
      <c r="J124" s="56"/>
      <c r="K124" s="45"/>
      <c r="L124" s="53"/>
    </row>
    <row r="125" spans="1:12" s="50" customFormat="1" ht="15" hidden="1" customHeight="1" outlineLevel="1">
      <c r="A125" s="71">
        <v>0.4</v>
      </c>
      <c r="B125" s="47">
        <v>200</v>
      </c>
      <c r="C125" s="48"/>
      <c r="D125" s="48"/>
      <c r="E125" s="48"/>
      <c r="F125" s="49"/>
      <c r="G125" s="56"/>
      <c r="H125" s="57"/>
      <c r="I125" s="57"/>
      <c r="J125" s="56"/>
      <c r="K125" s="45"/>
      <c r="L125" s="53"/>
    </row>
    <row r="126" spans="1:12" s="50" customFormat="1" ht="15" hidden="1" customHeight="1" outlineLevel="1">
      <c r="A126" s="71">
        <v>0.5</v>
      </c>
      <c r="B126" s="47">
        <v>100</v>
      </c>
      <c r="C126" s="48"/>
      <c r="D126" s="48"/>
      <c r="E126" s="48"/>
      <c r="F126" s="49"/>
      <c r="G126" s="56"/>
      <c r="H126" s="57"/>
      <c r="I126" s="57"/>
      <c r="J126" s="56"/>
      <c r="K126" s="45"/>
      <c r="L126" s="53"/>
    </row>
    <row r="127" spans="1:12" s="50" customFormat="1" ht="15" hidden="1" customHeight="1" outlineLevel="1">
      <c r="A127" s="71" t="s">
        <v>311</v>
      </c>
      <c r="B127" s="47">
        <v>0</v>
      </c>
      <c r="C127" s="150"/>
      <c r="D127" s="48"/>
      <c r="E127" s="48"/>
      <c r="F127" s="49"/>
      <c r="G127" s="56"/>
      <c r="H127" s="57"/>
      <c r="I127" s="57"/>
      <c r="J127" s="56"/>
      <c r="K127" s="45"/>
      <c r="L127" s="53"/>
    </row>
    <row r="128" spans="1:12" ht="15" customHeight="1" collapsed="1">
      <c r="A128" s="20" t="s">
        <v>197</v>
      </c>
      <c r="B128" s="21"/>
      <c r="C128" s="22">
        <v>7.0000000000000007E-2</v>
      </c>
      <c r="D128" s="70">
        <f>'Client Data'!F49</f>
        <v>0.5064200325053001</v>
      </c>
      <c r="E128" s="23">
        <f>IF(D128&lt;=A123,B123,IF((D128&gt;A123)*(D128&lt;=A124),B124,IF((D128&gt;A124)*(D128&lt;=A125),B125,IF((D128&gt;A125)*(D128&lt;A126),B126,IF(D128&gt;A126,B127)))))</f>
        <v>0</v>
      </c>
      <c r="F128" s="38">
        <f>E128*C128</f>
        <v>0</v>
      </c>
      <c r="G128" s="3" t="str">
        <f>E10</f>
        <v>REJECT</v>
      </c>
      <c r="H128" s="23">
        <f>C128*MIN(B123:B127)</f>
        <v>0</v>
      </c>
      <c r="I128" s="23">
        <f>C128*MAX(B123:B127)</f>
        <v>35</v>
      </c>
      <c r="K128" s="45"/>
      <c r="L128" s="1"/>
    </row>
    <row r="129" spans="1:12">
      <c r="A129" s="28" t="s">
        <v>188</v>
      </c>
      <c r="B129" s="29"/>
      <c r="C129" s="30">
        <f>C116+C122+C128</f>
        <v>0.11000000000000001</v>
      </c>
      <c r="D129" s="31"/>
      <c r="E129" s="31">
        <f>E116+E122+E128</f>
        <v>200</v>
      </c>
      <c r="F129" s="15">
        <f>F116+F122+F128</f>
        <v>4</v>
      </c>
      <c r="G129" s="2"/>
      <c r="H129" s="15">
        <f>H116+H122+H128</f>
        <v>0</v>
      </c>
      <c r="I129" s="15">
        <f>I116+I122+I128</f>
        <v>45</v>
      </c>
      <c r="J129" s="2"/>
      <c r="K129" s="45"/>
      <c r="L129" s="1"/>
    </row>
    <row r="130" spans="1:1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1"/>
    </row>
    <row r="131" spans="1:12" ht="15.75" outlineLevel="1">
      <c r="A131" s="4" t="s">
        <v>177</v>
      </c>
      <c r="B131" s="16">
        <v>400</v>
      </c>
      <c r="C131" s="13"/>
      <c r="D131" s="13"/>
      <c r="E131" s="13"/>
      <c r="F131" s="40"/>
      <c r="H131" s="14"/>
      <c r="I131" s="14"/>
      <c r="J131" s="2"/>
      <c r="K131" s="60"/>
      <c r="L131" s="1"/>
    </row>
    <row r="132" spans="1:12" ht="15.75" outlineLevel="1">
      <c r="A132" s="4" t="s">
        <v>178</v>
      </c>
      <c r="B132" s="16">
        <v>300</v>
      </c>
      <c r="C132" s="13"/>
      <c r="D132" s="13"/>
      <c r="E132" s="13"/>
      <c r="F132" s="40"/>
      <c r="H132" s="14"/>
      <c r="I132" s="14"/>
      <c r="J132" s="2"/>
      <c r="K132" s="60"/>
      <c r="L132" s="1"/>
    </row>
    <row r="133" spans="1:12" ht="15.75" outlineLevel="1">
      <c r="A133" s="4" t="s">
        <v>179</v>
      </c>
      <c r="B133" s="16">
        <v>200</v>
      </c>
      <c r="C133" s="13"/>
      <c r="D133" s="13"/>
      <c r="E133" s="13"/>
      <c r="F133" s="40"/>
      <c r="H133" s="14"/>
      <c r="I133" s="14"/>
      <c r="J133" s="2"/>
      <c r="K133" s="60"/>
      <c r="L133" s="1"/>
    </row>
    <row r="134" spans="1:12" ht="15" customHeight="1">
      <c r="A134" s="20" t="s">
        <v>126</v>
      </c>
      <c r="B134" s="21"/>
      <c r="C134" s="62">
        <v>0.02</v>
      </c>
      <c r="D134" s="23" t="str">
        <f>'Client Data'!F24</f>
        <v>Fixed</v>
      </c>
      <c r="E134" s="23">
        <f>IF(D134=A131,B131,IF(D134=A132,B132,IF(D134=A133,B133)))</f>
        <v>400</v>
      </c>
      <c r="F134" s="38">
        <f>E134*C134</f>
        <v>8</v>
      </c>
      <c r="H134" s="23">
        <f>C134*MIN(B131:B133)</f>
        <v>4</v>
      </c>
      <c r="I134" s="23">
        <f>C134*MAX(B131:B133)</f>
        <v>8</v>
      </c>
      <c r="J134" s="2"/>
      <c r="K134" s="60"/>
      <c r="L134" s="1"/>
    </row>
    <row r="135" spans="1:12" ht="15" hidden="1" customHeight="1" outlineLevel="1">
      <c r="A135" s="5">
        <v>5</v>
      </c>
      <c r="B135" s="47">
        <v>300</v>
      </c>
      <c r="C135" s="63"/>
      <c r="D135" s="48"/>
      <c r="E135" s="48"/>
      <c r="F135" s="49"/>
      <c r="G135" s="56"/>
      <c r="H135" s="57"/>
      <c r="I135" s="57"/>
      <c r="J135" s="2"/>
      <c r="K135" s="60"/>
      <c r="L135" s="1"/>
    </row>
    <row r="136" spans="1:12" ht="15" hidden="1" customHeight="1" outlineLevel="1">
      <c r="A136" s="5">
        <v>10</v>
      </c>
      <c r="B136" s="47">
        <v>350</v>
      </c>
      <c r="C136" s="63"/>
      <c r="D136" s="48"/>
      <c r="E136" s="48"/>
      <c r="F136" s="49"/>
      <c r="G136" s="56"/>
      <c r="H136" s="57"/>
      <c r="I136" s="57"/>
      <c r="J136" s="2"/>
      <c r="K136" s="60"/>
      <c r="L136" s="1"/>
    </row>
    <row r="137" spans="1:12" ht="15" hidden="1" customHeight="1" outlineLevel="1">
      <c r="A137" s="5">
        <v>15</v>
      </c>
      <c r="B137" s="47">
        <v>400</v>
      </c>
      <c r="C137" s="63"/>
      <c r="D137" s="48"/>
      <c r="E137" s="48"/>
      <c r="F137" s="49"/>
      <c r="G137" s="56"/>
      <c r="H137" s="57"/>
      <c r="I137" s="57"/>
      <c r="J137" s="2"/>
      <c r="K137" s="60"/>
      <c r="L137" s="1"/>
    </row>
    <row r="138" spans="1:12" ht="15" hidden="1" customHeight="1" outlineLevel="1">
      <c r="A138" s="5">
        <v>20</v>
      </c>
      <c r="B138" s="47">
        <v>350</v>
      </c>
      <c r="C138" s="63"/>
      <c r="D138" s="48"/>
      <c r="E138" s="48"/>
      <c r="F138" s="49"/>
      <c r="G138" s="56"/>
      <c r="H138" s="57"/>
      <c r="I138" s="57"/>
      <c r="J138" s="2"/>
      <c r="K138" s="60"/>
      <c r="L138" s="1"/>
    </row>
    <row r="139" spans="1:12" ht="15" hidden="1" customHeight="1" outlineLevel="1">
      <c r="A139" s="5">
        <v>25</v>
      </c>
      <c r="B139" s="47">
        <v>300</v>
      </c>
      <c r="C139" s="63"/>
      <c r="D139" s="48"/>
      <c r="E139" s="48"/>
      <c r="F139" s="49"/>
      <c r="G139" s="56"/>
      <c r="H139" s="57"/>
      <c r="I139" s="57"/>
      <c r="J139" s="2"/>
      <c r="K139" s="60"/>
      <c r="L139" s="1"/>
    </row>
    <row r="140" spans="1:12" ht="15" hidden="1" customHeight="1" outlineLevel="1">
      <c r="A140" s="5">
        <v>30</v>
      </c>
      <c r="B140" s="47">
        <v>250</v>
      </c>
      <c r="C140" s="63"/>
      <c r="D140" s="48"/>
      <c r="E140" s="48"/>
      <c r="F140" s="49"/>
      <c r="G140" s="56"/>
      <c r="H140" s="57"/>
      <c r="I140" s="57"/>
      <c r="J140" s="2"/>
      <c r="K140" s="60"/>
      <c r="L140" s="1"/>
    </row>
    <row r="141" spans="1:12" ht="15" customHeight="1" collapsed="1">
      <c r="A141" s="20" t="s">
        <v>189</v>
      </c>
      <c r="B141" s="21"/>
      <c r="C141" s="62">
        <v>0.01</v>
      </c>
      <c r="D141" s="23">
        <f>'Client Data'!F20</f>
        <v>20</v>
      </c>
      <c r="E141" s="23">
        <f>IF(D141=A135,B135,IF(D141=A136,B136,IF(D141=A137,B137,IF(D141=A138,B138,IF(D141=A139,B139,IF(D141=A140,B140))))))</f>
        <v>350</v>
      </c>
      <c r="F141" s="38">
        <f>E141*C141</f>
        <v>3.5</v>
      </c>
      <c r="H141" s="23">
        <f>C141*MIN(B135:B140)</f>
        <v>2.5</v>
      </c>
      <c r="I141" s="23">
        <f>C141*MAX(B135:B140)</f>
        <v>4</v>
      </c>
      <c r="J141" s="2"/>
      <c r="K141" s="60"/>
      <c r="L141" s="1"/>
    </row>
    <row r="142" spans="1:12" ht="15.75">
      <c r="A142" s="28" t="s">
        <v>125</v>
      </c>
      <c r="B142" s="29"/>
      <c r="C142" s="65">
        <f>C134+C141</f>
        <v>0.03</v>
      </c>
      <c r="D142" s="31"/>
      <c r="E142" s="31">
        <f>E134+E141</f>
        <v>750</v>
      </c>
      <c r="F142" s="39">
        <f>F134+F141</f>
        <v>11.5</v>
      </c>
      <c r="G142" s="2"/>
      <c r="H142" s="36">
        <f t="shared" ref="H142:I142" si="2">H134+H141</f>
        <v>6.5</v>
      </c>
      <c r="I142" s="36">
        <f t="shared" si="2"/>
        <v>12</v>
      </c>
      <c r="J142" s="2"/>
      <c r="K142" s="60"/>
      <c r="L142" s="1"/>
    </row>
    <row r="143" spans="1:12" ht="15.75">
      <c r="C143" s="66"/>
      <c r="D143" s="14"/>
      <c r="E143" s="14"/>
      <c r="F143" s="41"/>
      <c r="H143" s="14"/>
      <c r="I143" s="14"/>
      <c r="K143" s="60"/>
    </row>
    <row r="144" spans="1:12" s="35" customFormat="1" ht="21">
      <c r="A144" s="202" t="s">
        <v>151</v>
      </c>
      <c r="B144" s="202"/>
      <c r="C144" s="67">
        <f>C142+C129+C109+C89+C65</f>
        <v>1</v>
      </c>
      <c r="D144" s="33"/>
      <c r="E144" s="145">
        <f ca="1">E65+E129+E89+E142</f>
        <v>4000</v>
      </c>
      <c r="F144" s="146">
        <f ca="1">F65+F129+F89+F142</f>
        <v>107</v>
      </c>
      <c r="G144" s="34"/>
      <c r="H144" s="37">
        <f>H65+H129+H89+H142</f>
        <v>73</v>
      </c>
      <c r="I144" s="37">
        <f>I65+I129+I89+I142</f>
        <v>337</v>
      </c>
      <c r="J144" s="34"/>
      <c r="K144" s="46"/>
      <c r="L144" s="34"/>
    </row>
  </sheetData>
  <mergeCells count="6">
    <mergeCell ref="A144:B144"/>
    <mergeCell ref="B3:C3"/>
    <mergeCell ref="B4:C4"/>
    <mergeCell ref="B1:E1"/>
    <mergeCell ref="D2:E2"/>
    <mergeCell ref="B2:C2"/>
  </mergeCells>
  <conditionalFormatting sqref="F3">
    <cfRule type="iconSet" priority="30">
      <iconSet iconSet="3TrafficLights2">
        <cfvo type="percent" val="0"/>
        <cfvo type="percent" val="33"/>
        <cfvo type="percent" val="67"/>
      </iconSet>
    </cfRule>
  </conditionalFormatting>
  <conditionalFormatting sqref="E3">
    <cfRule type="containsText" dxfId="25" priority="27" operator="containsText" text="OK">
      <formula>NOT(ISERROR(SEARCH("OK",E3)))</formula>
    </cfRule>
    <cfRule type="cellIs" dxfId="24" priority="29" operator="equal">
      <formula>"Reject"</formula>
    </cfRule>
  </conditionalFormatting>
  <conditionalFormatting sqref="E4:E5">
    <cfRule type="containsText" dxfId="23" priority="25" operator="containsText" text="OK">
      <formula>NOT(ISERROR(SEARCH("OK",E4)))</formula>
    </cfRule>
    <cfRule type="cellIs" dxfId="22" priority="26" operator="equal">
      <formula>"Reject"</formula>
    </cfRule>
  </conditionalFormatting>
  <conditionalFormatting sqref="E6">
    <cfRule type="containsText" dxfId="21" priority="23" operator="containsText" text="OK">
      <formula>NOT(ISERROR(SEARCH("OK",E6)))</formula>
    </cfRule>
    <cfRule type="cellIs" dxfId="20" priority="24" operator="equal">
      <formula>"Reject"</formula>
    </cfRule>
  </conditionalFormatting>
  <conditionalFormatting sqref="E7">
    <cfRule type="containsText" dxfId="19" priority="19" operator="containsText" text="OK">
      <formula>NOT(ISERROR(SEARCH("OK",E7)))</formula>
    </cfRule>
    <cfRule type="cellIs" dxfId="18" priority="20" operator="equal">
      <formula>"Reject"</formula>
    </cfRule>
  </conditionalFormatting>
  <conditionalFormatting sqref="G88">
    <cfRule type="containsText" dxfId="17" priority="17" operator="containsText" text="OK">
      <formula>NOT(ISERROR(SEARCH("OK",G88)))</formula>
    </cfRule>
    <cfRule type="cellIs" dxfId="16" priority="18" operator="equal">
      <formula>"Reject"</formula>
    </cfRule>
  </conditionalFormatting>
  <conditionalFormatting sqref="G83">
    <cfRule type="containsText" dxfId="15" priority="13" operator="containsText" text="OK">
      <formula>NOT(ISERROR(SEARCH("OK",G83)))</formula>
    </cfRule>
    <cfRule type="cellIs" dxfId="14" priority="14" operator="equal">
      <formula>"Reject"</formula>
    </cfRule>
  </conditionalFormatting>
  <conditionalFormatting sqref="G98 G103 G108">
    <cfRule type="containsText" dxfId="13" priority="9" operator="containsText" text="OK">
      <formula>NOT(ISERROR(SEARCH("OK",G98)))</formula>
    </cfRule>
    <cfRule type="cellIs" dxfId="12" priority="10" operator="equal">
      <formula>"Reject"</formula>
    </cfRule>
  </conditionalFormatting>
  <conditionalFormatting sqref="E9:E10">
    <cfRule type="containsText" dxfId="11" priority="7" operator="containsText" text="OK">
      <formula>NOT(ISERROR(SEARCH("OK",E9)))</formula>
    </cfRule>
    <cfRule type="cellIs" dxfId="10" priority="8" operator="equal">
      <formula>"Reject"</formula>
    </cfRule>
  </conditionalFormatting>
  <conditionalFormatting sqref="G93">
    <cfRule type="containsText" dxfId="9" priority="3" operator="containsText" text="OK">
      <formula>NOT(ISERROR(SEARCH("OK",G93)))</formula>
    </cfRule>
    <cfRule type="cellIs" dxfId="8" priority="4" operator="equal">
      <formula>"Reject"</formula>
    </cfRule>
  </conditionalFormatting>
  <conditionalFormatting sqref="G128">
    <cfRule type="containsText" dxfId="7" priority="1" operator="containsText" text="OK">
      <formula>NOT(ISERROR(SEARCH("OK",G128)))</formula>
    </cfRule>
    <cfRule type="cellIs" dxfId="6" priority="2" operator="equal">
      <formula>"Reject"</formula>
    </cfRule>
  </conditionalFormatting>
  <pageMargins left="0.25" right="0.25" top="0.75" bottom="0.75" header="0.3" footer="0.3"/>
  <pageSetup paperSize="9" scale="78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9"/>
  <sheetViews>
    <sheetView showWhiteSpace="0" workbookViewId="0">
      <selection activeCell="J22" sqref="J22"/>
    </sheetView>
  </sheetViews>
  <sheetFormatPr defaultRowHeight="12.75"/>
  <cols>
    <col min="1" max="1" width="17.5703125" style="154" customWidth="1"/>
    <col min="2" max="2" width="45.28515625" style="154" customWidth="1"/>
    <col min="3" max="3" width="9.7109375" style="164" bestFit="1" customWidth="1"/>
    <col min="4" max="4" width="14.7109375" style="154" bestFit="1" customWidth="1"/>
    <col min="5" max="6" width="9.7109375" style="154" bestFit="1" customWidth="1"/>
    <col min="7" max="7" width="9.140625" style="154" customWidth="1"/>
    <col min="8" max="8" width="7.5703125" style="154" customWidth="1"/>
    <col min="9" max="16384" width="9.140625" style="154"/>
  </cols>
  <sheetData>
    <row r="1" spans="1:6">
      <c r="A1" s="211"/>
      <c r="B1" s="211"/>
      <c r="C1" s="208" t="s">
        <v>171</v>
      </c>
      <c r="D1" s="208" t="s">
        <v>102</v>
      </c>
      <c r="E1" s="208"/>
      <c r="F1" s="208" t="s">
        <v>169</v>
      </c>
    </row>
    <row r="2" spans="1:6">
      <c r="A2" s="211"/>
      <c r="B2" s="211"/>
      <c r="C2" s="208"/>
      <c r="D2" s="155" t="s">
        <v>167</v>
      </c>
      <c r="E2" s="155" t="s">
        <v>168</v>
      </c>
      <c r="F2" s="208"/>
    </row>
    <row r="3" spans="1:6">
      <c r="A3" s="208" t="s">
        <v>160</v>
      </c>
      <c r="B3" s="170" t="s">
        <v>154</v>
      </c>
      <c r="C3" s="156">
        <v>1</v>
      </c>
      <c r="D3" s="157">
        <f>'Scoring variables and weights'!I144</f>
        <v>337</v>
      </c>
      <c r="E3" s="157">
        <f>D3-(($D$3-$E$10)/$C$10)</f>
        <v>304</v>
      </c>
      <c r="F3" s="158">
        <v>0.03</v>
      </c>
    </row>
    <row r="4" spans="1:6">
      <c r="A4" s="208"/>
      <c r="B4" s="170" t="s">
        <v>155</v>
      </c>
      <c r="C4" s="156">
        <v>2</v>
      </c>
      <c r="D4" s="157">
        <f>E3</f>
        <v>304</v>
      </c>
      <c r="E4" s="157">
        <f t="shared" ref="E4:E9" si="0">D4-(($D$3-$E$10)/$C$10)</f>
        <v>271</v>
      </c>
      <c r="F4" s="158">
        <v>3.5000000000000003E-2</v>
      </c>
    </row>
    <row r="5" spans="1:6">
      <c r="A5" s="208"/>
      <c r="B5" s="170" t="s">
        <v>166</v>
      </c>
      <c r="C5" s="156">
        <v>3</v>
      </c>
      <c r="D5" s="157">
        <f t="shared" ref="D5:D10" si="1">E4</f>
        <v>271</v>
      </c>
      <c r="E5" s="157">
        <f t="shared" si="0"/>
        <v>238</v>
      </c>
      <c r="F5" s="158">
        <v>4.4999999999999998E-2</v>
      </c>
    </row>
    <row r="6" spans="1:6">
      <c r="A6" s="208"/>
      <c r="B6" s="170" t="s">
        <v>156</v>
      </c>
      <c r="C6" s="156">
        <v>4</v>
      </c>
      <c r="D6" s="157">
        <f t="shared" si="1"/>
        <v>238</v>
      </c>
      <c r="E6" s="157">
        <f t="shared" si="0"/>
        <v>205</v>
      </c>
      <c r="F6" s="158">
        <v>0.05</v>
      </c>
    </row>
    <row r="7" spans="1:6">
      <c r="A7" s="208"/>
      <c r="B7" s="170" t="s">
        <v>162</v>
      </c>
      <c r="C7" s="156">
        <v>5</v>
      </c>
      <c r="D7" s="157">
        <f t="shared" si="1"/>
        <v>205</v>
      </c>
      <c r="E7" s="157">
        <f t="shared" si="0"/>
        <v>172</v>
      </c>
      <c r="F7" s="158">
        <v>7.0000000000000007E-2</v>
      </c>
    </row>
    <row r="8" spans="1:6">
      <c r="A8" s="159" t="s">
        <v>157</v>
      </c>
      <c r="B8" s="170" t="s">
        <v>161</v>
      </c>
      <c r="C8" s="156">
        <v>6</v>
      </c>
      <c r="D8" s="157">
        <f t="shared" si="1"/>
        <v>172</v>
      </c>
      <c r="E8" s="157">
        <f t="shared" si="0"/>
        <v>139</v>
      </c>
      <c r="F8" s="158">
        <v>0.12</v>
      </c>
    </row>
    <row r="9" spans="1:6">
      <c r="A9" s="208" t="s">
        <v>158</v>
      </c>
      <c r="B9" s="170" t="s">
        <v>163</v>
      </c>
      <c r="C9" s="156">
        <v>7</v>
      </c>
      <c r="D9" s="157">
        <f t="shared" si="1"/>
        <v>139</v>
      </c>
      <c r="E9" s="157">
        <f t="shared" si="0"/>
        <v>106</v>
      </c>
      <c r="F9" s="158">
        <v>0.2</v>
      </c>
    </row>
    <row r="10" spans="1:6">
      <c r="A10" s="208"/>
      <c r="B10" s="170" t="s">
        <v>164</v>
      </c>
      <c r="C10" s="156">
        <v>8</v>
      </c>
      <c r="D10" s="157">
        <f t="shared" si="1"/>
        <v>106</v>
      </c>
      <c r="E10" s="157">
        <f>'Scoring variables and weights'!H144</f>
        <v>73</v>
      </c>
      <c r="F10" s="158">
        <v>0.27</v>
      </c>
    </row>
    <row r="11" spans="1:6">
      <c r="A11" s="208"/>
      <c r="B11" s="170" t="s">
        <v>165</v>
      </c>
      <c r="C11" s="156">
        <v>9</v>
      </c>
      <c r="D11" s="212" t="s">
        <v>129</v>
      </c>
      <c r="E11" s="213"/>
      <c r="F11" s="158">
        <v>0.5</v>
      </c>
    </row>
    <row r="12" spans="1:6">
      <c r="A12" s="159" t="s">
        <v>159</v>
      </c>
      <c r="B12" s="170" t="s">
        <v>153</v>
      </c>
      <c r="C12" s="156">
        <v>10</v>
      </c>
      <c r="D12" s="212" t="s">
        <v>129</v>
      </c>
      <c r="E12" s="213"/>
      <c r="F12" s="158">
        <v>1</v>
      </c>
    </row>
    <row r="14" spans="1:6">
      <c r="A14" s="210" t="s">
        <v>35</v>
      </c>
      <c r="B14" s="210"/>
      <c r="C14" s="160" t="s">
        <v>170</v>
      </c>
      <c r="D14" s="210" t="s">
        <v>102</v>
      </c>
      <c r="E14" s="210"/>
      <c r="F14" s="160" t="s">
        <v>169</v>
      </c>
    </row>
    <row r="15" spans="1:6">
      <c r="A15" s="161" t="str">
        <f>'Client Data'!F56</f>
        <v>xxx</v>
      </c>
      <c r="B15" s="161" t="str">
        <f>'Client Data'!F58</f>
        <v>xxx</v>
      </c>
      <c r="C15" s="161">
        <f ca="1">IF((D15&lt;D3)*(D15&gt;=E3),C3,IF((D15&lt;D4)*(D15&gt;=E4),C4,IF((D14&lt;D5)*(D14&gt;=E5),C5,IF((D15&lt;D6)*(D15&gt;=E6),C6,IF((D15&lt;D7)*(D15&gt;=E7),C7,IF((D15&lt;D8)*(D14&gt;=E8),C8,IF((D15&lt;D9)*(D15&gt;=E9),C9,IF((D15&lt;D10)*(D15&gt;=#REF!),C10,IF((D15&lt;D11)*(D15&gt;=E10),C11,IF((D15&lt;D12),C12))))))))))</f>
        <v>6</v>
      </c>
      <c r="D15" s="209">
        <f ca="1">'Scoring variables and weights'!F144</f>
        <v>107</v>
      </c>
      <c r="E15" s="209"/>
      <c r="F15" s="162">
        <f ca="1">IF(C15=C3,F3,IF(C15=C4,F4,IF(C15=C5,F5,IF(C15=C6,F6,IF(C15=C7,F7,IF(C15=C8,F8,IF(C15=C9,F9,IF(C15=C10,F10,IF(C15=C11,F11,IF(C15=C12,F12))))))))))</f>
        <v>0.12</v>
      </c>
    </row>
    <row r="16" spans="1:6">
      <c r="B16" s="178" t="str">
        <f>'Scoring variables and weights'!A3</f>
        <v>Customer Type:   Legal / Physical</v>
      </c>
      <c r="C16" s="163" t="str">
        <f>'Scoring variables and weights'!E3</f>
        <v>OK</v>
      </c>
    </row>
    <row r="17" spans="2:5">
      <c r="B17" s="178" t="str">
        <f>'Scoring variables and weights'!A4</f>
        <v>Nationality:  Batswana / Foreign</v>
      </c>
      <c r="C17" s="163" t="str">
        <f>'Scoring variables and weights'!E4</f>
        <v>OK</v>
      </c>
    </row>
    <row r="18" spans="2:5">
      <c r="B18" s="178" t="str">
        <f>'Scoring variables and weights'!A6</f>
        <v>Blacklist Flag</v>
      </c>
      <c r="C18" s="163" t="str">
        <f>'Scoring variables and weights'!E6</f>
        <v>OK</v>
      </c>
    </row>
    <row r="19" spans="2:5">
      <c r="B19" s="178" t="str">
        <f>'Scoring variables and weights'!A7</f>
        <v>Automatic Fraud alert</v>
      </c>
      <c r="C19" s="163" t="str">
        <f>'Scoring variables and weights'!E7</f>
        <v>OK</v>
      </c>
    </row>
    <row r="21" spans="2:5">
      <c r="B21" s="170" t="str">
        <f>'Scoring variables and weights'!A9</f>
        <v>Loan to Value Policy</v>
      </c>
      <c r="C21" s="163" t="str">
        <f>'Scoring variables and weights'!E9</f>
        <v>OK</v>
      </c>
    </row>
    <row r="22" spans="2:5">
      <c r="B22" s="170" t="str">
        <f>'Scoring variables and weights'!A10</f>
        <v>Affordability Policy</v>
      </c>
      <c r="C22" s="163" t="str">
        <f>'Scoring variables and weights'!E10</f>
        <v>REJECT</v>
      </c>
    </row>
    <row r="23" spans="2:5">
      <c r="B23" s="170" t="str">
        <f>'Scoring variables and weights'!A83</f>
        <v># of arrears incidence over the last 12 months</v>
      </c>
      <c r="C23" s="163" t="str">
        <f>'Scoring variables and weights'!G83</f>
        <v>REJECT</v>
      </c>
    </row>
    <row r="24" spans="2:5">
      <c r="B24" s="170" t="str">
        <f>'Scoring variables and weights'!A88</f>
        <v>Loan overdue &amp; renegotiated (last 2 years)</v>
      </c>
      <c r="C24" s="163" t="str">
        <f>'Scoring variables and weights'!G88</f>
        <v>REJECT</v>
      </c>
    </row>
    <row r="25" spans="2:5">
      <c r="B25" s="170" t="s">
        <v>331</v>
      </c>
      <c r="C25" s="163" t="str">
        <f>'Scoring variables and weights'!G93</f>
        <v>OK</v>
      </c>
    </row>
    <row r="26" spans="2:5">
      <c r="B26" s="170" t="str">
        <f>'Scoring variables and weights'!A98</f>
        <v>Judgements</v>
      </c>
      <c r="C26" s="163" t="str">
        <f>'Scoring variables and weights'!G98</f>
        <v>OK</v>
      </c>
    </row>
    <row r="27" spans="2:5">
      <c r="B27" s="170" t="str">
        <f>'Scoring variables and weights'!A103</f>
        <v>Defaults</v>
      </c>
      <c r="C27" s="163" t="str">
        <f>'Scoring variables and weights'!G103</f>
        <v>OK</v>
      </c>
    </row>
    <row r="28" spans="2:5">
      <c r="B28" s="170" t="str">
        <f>'Scoring variables and weights'!A108</f>
        <v>Traces</v>
      </c>
      <c r="C28" s="163" t="str">
        <f>'Scoring variables and weights'!G108</f>
        <v>OK</v>
      </c>
    </row>
    <row r="29" spans="2:5">
      <c r="D29" s="165" t="s">
        <v>321</v>
      </c>
      <c r="E29" s="165" t="s">
        <v>322</v>
      </c>
    </row>
    <row r="30" spans="2:5" s="169" customFormat="1">
      <c r="B30" s="166" t="s">
        <v>318</v>
      </c>
      <c r="C30" s="167"/>
      <c r="D30" s="166"/>
      <c r="E30" s="168">
        <f ca="1">F15</f>
        <v>0.12</v>
      </c>
    </row>
    <row r="31" spans="2:5">
      <c r="B31" s="170" t="s">
        <v>314</v>
      </c>
      <c r="C31" s="171"/>
      <c r="D31" s="172">
        <f>'Client Data'!F6</f>
        <v>350000</v>
      </c>
      <c r="E31" s="173">
        <f>D31/$D$31</f>
        <v>1</v>
      </c>
    </row>
    <row r="32" spans="2:5">
      <c r="B32" s="170" t="s">
        <v>315</v>
      </c>
      <c r="C32" s="171">
        <v>3</v>
      </c>
      <c r="D32" s="172">
        <f>'Client Data'!F35*C32</f>
        <v>12027.475772000878</v>
      </c>
      <c r="E32" s="173">
        <f t="shared" ref="E32:E39" si="2">D32/$D$31</f>
        <v>3.4364216491431079E-2</v>
      </c>
    </row>
    <row r="33" spans="2:5">
      <c r="B33" s="170" t="s">
        <v>316</v>
      </c>
      <c r="C33" s="174">
        <v>0.05</v>
      </c>
      <c r="D33" s="172">
        <f>D31*C33</f>
        <v>17500</v>
      </c>
      <c r="E33" s="173">
        <f t="shared" si="2"/>
        <v>0.05</v>
      </c>
    </row>
    <row r="34" spans="2:5" s="169" customFormat="1">
      <c r="B34" s="166" t="s">
        <v>317</v>
      </c>
      <c r="C34" s="167"/>
      <c r="D34" s="176">
        <f>SUM(D31:D33)</f>
        <v>379527.47577200085</v>
      </c>
      <c r="E34" s="175">
        <f t="shared" si="2"/>
        <v>1.0843642164914309</v>
      </c>
    </row>
    <row r="35" spans="2:5">
      <c r="B35" s="170" t="s">
        <v>319</v>
      </c>
      <c r="C35" s="171"/>
      <c r="D35" s="172">
        <f>'Client Data'!F8</f>
        <v>400000</v>
      </c>
      <c r="E35" s="173">
        <f t="shared" si="2"/>
        <v>1.1428571428571428</v>
      </c>
    </row>
    <row r="36" spans="2:5">
      <c r="B36" s="170" t="s">
        <v>320</v>
      </c>
      <c r="C36" s="174">
        <v>0.25</v>
      </c>
      <c r="D36" s="172">
        <f>D35*C36</f>
        <v>100000</v>
      </c>
      <c r="E36" s="173">
        <f t="shared" si="2"/>
        <v>0.2857142857142857</v>
      </c>
    </row>
    <row r="37" spans="2:5" s="169" customFormat="1">
      <c r="B37" s="166" t="s">
        <v>323</v>
      </c>
      <c r="C37" s="167"/>
      <c r="D37" s="176">
        <f>D35-D36</f>
        <v>300000</v>
      </c>
      <c r="E37" s="175">
        <f t="shared" si="2"/>
        <v>0.8571428571428571</v>
      </c>
    </row>
    <row r="38" spans="2:5">
      <c r="C38" s="154"/>
    </row>
    <row r="39" spans="2:5">
      <c r="B39" s="166" t="s">
        <v>324</v>
      </c>
      <c r="C39" s="177"/>
      <c r="D39" s="176">
        <f ca="1">(D34-D37)*E30</f>
        <v>9543.2970926401013</v>
      </c>
      <c r="E39" s="168">
        <f t="shared" ca="1" si="2"/>
        <v>2.726656312182886E-2</v>
      </c>
    </row>
  </sheetData>
  <mergeCells count="11">
    <mergeCell ref="A9:A11"/>
    <mergeCell ref="A3:A7"/>
    <mergeCell ref="D1:E1"/>
    <mergeCell ref="F1:F2"/>
    <mergeCell ref="D15:E15"/>
    <mergeCell ref="D14:E14"/>
    <mergeCell ref="A14:B14"/>
    <mergeCell ref="C1:C2"/>
    <mergeCell ref="A1:B2"/>
    <mergeCell ref="D12:E12"/>
    <mergeCell ref="D11:E11"/>
  </mergeCells>
  <conditionalFormatting sqref="C16:C19 C23:C25">
    <cfRule type="containsText" dxfId="5" priority="5" operator="containsText" text="OK">
      <formula>NOT(ISERROR(SEARCH("OK",C16)))</formula>
    </cfRule>
    <cfRule type="cellIs" dxfId="4" priority="6" operator="equal">
      <formula>"Reject"</formula>
    </cfRule>
  </conditionalFormatting>
  <conditionalFormatting sqref="C21:C22">
    <cfRule type="containsText" dxfId="3" priority="3" operator="containsText" text="OK">
      <formula>NOT(ISERROR(SEARCH("OK",C21)))</formula>
    </cfRule>
    <cfRule type="cellIs" dxfId="2" priority="4" operator="equal">
      <formula>"Reject"</formula>
    </cfRule>
  </conditionalFormatting>
  <conditionalFormatting sqref="C26:C28">
    <cfRule type="containsText" dxfId="1" priority="1" operator="containsText" text="OK">
      <formula>NOT(ISERROR(SEARCH("OK",C26)))</formula>
    </cfRule>
    <cfRule type="cellIs" dxfId="0" priority="2" operator="equal">
      <formula>"Reject"</formula>
    </cfRule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Data</vt:lpstr>
      <vt:lpstr>Scoring variables and weights</vt:lpstr>
      <vt:lpstr>Rating model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</dc:creator>
  <cp:lastModifiedBy>EManager</cp:lastModifiedBy>
  <cp:lastPrinted>2010-06-18T10:56:00Z</cp:lastPrinted>
  <dcterms:created xsi:type="dcterms:W3CDTF">2009-04-24T13:30:44Z</dcterms:created>
  <dcterms:modified xsi:type="dcterms:W3CDTF">2010-10-14T07:27:06Z</dcterms:modified>
</cp:coreProperties>
</file>