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Ex1.xml" ContentType="application/vnd.ms-office.chartex+xml"/>
  <Override PartName="/xl/charts/style19.xml" ContentType="application/vnd.ms-office.chartstyle+xml"/>
  <Override PartName="/xl/charts/colors1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0.xml" ContentType="application/vnd.openxmlformats-officedocument.drawing+xml"/>
  <Override PartName="/xl/tables/table5.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1.xml" ContentType="application/vnd.ms-excel.person+xml"/>
  <Override PartName="/xl/persons/person22.xml" ContentType="application/vnd.ms-excel.person+xml"/>
  <Override PartName="/xl/persons/person26.xml" ContentType="application/vnd.ms-excel.person+xml"/>
  <Override PartName="/xl/persons/person9.xml" ContentType="application/vnd.ms-excel.person+xml"/>
  <Override PartName="/xl/persons/person41.xml" ContentType="application/vnd.ms-excel.person+xml"/>
  <Override PartName="/xl/persons/person6.xml" ContentType="application/vnd.ms-excel.person+xml"/>
  <Override PartName="/xl/persons/person40.xml" ContentType="application/vnd.ms-excel.person+xml"/>
  <Override PartName="/xl/persons/person16.xml" ContentType="application/vnd.ms-excel.person+xml"/>
  <Override PartName="/xl/persons/person2.xml" ContentType="application/vnd.ms-excel.person+xml"/>
  <Override PartName="/xl/persons/person25.xml" ContentType="application/vnd.ms-excel.person+xml"/>
  <Override PartName="/xl/persons/person5.xml" ContentType="application/vnd.ms-excel.person+xml"/>
  <Override PartName="/xl/persons/person34.xml" ContentType="application/vnd.ms-excel.person+xml"/>
  <Override PartName="/xl/persons/person32.xml" ContentType="application/vnd.ms-excel.person+xml"/>
  <Override PartName="/xl/persons/person46.xml" ContentType="application/vnd.ms-excel.person+xml"/>
  <Override PartName="/xl/persons/person36.xml" ContentType="application/vnd.ms-excel.person+xml"/>
  <Override PartName="/xl/persons/person.xml" ContentType="application/vnd.ms-excel.person+xml"/>
  <Override PartName="/xl/persons/person48.xml" ContentType="application/vnd.ms-excel.person+xml"/>
  <Override PartName="/xl/persons/person10.xml" ContentType="application/vnd.ms-excel.person+xml"/>
  <Override PartName="/xl/persons/person35.xml" ContentType="application/vnd.ms-excel.person+xml"/>
  <Override PartName="/xl/persons/person30.xml" ContentType="application/vnd.ms-excel.person+xml"/>
  <Override PartName="/xl/persons/person19.xml" ContentType="application/vnd.ms-excel.person+xml"/>
  <Override PartName="/xl/persons/person13.xml" ContentType="application/vnd.ms-excel.person+xml"/>
  <Override PartName="/xl/persons/person23.xml" ContentType="application/vnd.ms-excel.person+xml"/>
  <Override PartName="/xl/persons/person47.xml" ContentType="application/vnd.ms-excel.person+xml"/>
  <Override PartName="/xl/persons/person8.xml" ContentType="application/vnd.ms-excel.person+xml"/>
  <Override PartName="/xl/persons/person42.xml" ContentType="application/vnd.ms-excel.person+xml"/>
  <Override PartName="/xl/persons/person37.xml" ContentType="application/vnd.ms-excel.person+xml"/>
  <Override PartName="/xl/persons/person27.xml" ContentType="application/vnd.ms-excel.person+xml"/>
  <Override PartName="/xl/persons/person1.xml" ContentType="application/vnd.ms-excel.person+xml"/>
  <Override PartName="/xl/persons/person0.xml" ContentType="application/vnd.ms-excel.person+xml"/>
  <Override PartName="/xl/persons/person17.xml" ContentType="application/vnd.ms-excel.person+xml"/>
  <Override PartName="/xl/persons/person45.xml" ContentType="application/vnd.ms-excel.person+xml"/>
  <Override PartName="/xl/persons/person39.xml" ContentType="application/vnd.ms-excel.person+xml"/>
  <Override PartName="/xl/persons/person33.xml" ContentType="application/vnd.ms-excel.person+xml"/>
  <Override PartName="/xl/persons/person20.xml" ContentType="application/vnd.ms-excel.person+xml"/>
  <Override PartName="/xl/persons/person12.xml" ContentType="application/vnd.ms-excel.person+xml"/>
  <Override PartName="/xl/persons/person3.xml" ContentType="application/vnd.ms-excel.person+xml"/>
  <Override PartName="/xl/persons/person15.xml" ContentType="application/vnd.ms-excel.person+xml"/>
  <Override PartName="/xl/persons/person28.xml" ContentType="application/vnd.ms-excel.person+xml"/>
  <Override PartName="/xl/persons/person44.xml" ContentType="application/vnd.ms-excel.person+xml"/>
  <Override PartName="/xl/persons/person4.xml" ContentType="application/vnd.ms-excel.person+xml"/>
  <Override PartName="/xl/persons/person38.xml" ContentType="application/vnd.ms-excel.person+xml"/>
  <Override PartName="/xl/persons/person14.xml" ContentType="application/vnd.ms-excel.person+xml"/>
  <Override PartName="/xl/persons/person24.xml" ContentType="application/vnd.ms-excel.person+xml"/>
  <Override PartName="/xl/persons/person31.xml" ContentType="application/vnd.ms-excel.person+xml"/>
  <Override PartName="/xl/persons/person18.xml" ContentType="application/vnd.ms-excel.person+xml"/>
  <Override PartName="/xl/persons/person7.xml" ContentType="application/vnd.ms-excel.person+xml"/>
  <Override PartName="/xl/persons/person29.xml" ContentType="application/vnd.ms-excel.person+xml"/>
  <Override PartName="/xl/persons/person21.xml" ContentType="application/vnd.ms-excel.person+xml"/>
  <Override PartName="/xl/persons/person43.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f3728eecd8f8df55/Documents/"/>
    </mc:Choice>
  </mc:AlternateContent>
  <xr:revisionPtr revIDLastSave="0" documentId="14_{826800BB-3F69-4C1D-9ADB-DFA296D8CAD1}" xr6:coauthVersionLast="47" xr6:coauthVersionMax="47" xr10:uidLastSave="{00000000-0000-0000-0000-000000000000}"/>
  <bookViews>
    <workbookView xWindow="-120" yWindow="-120" windowWidth="20730" windowHeight="11040" firstSheet="1" activeTab="3" xr2:uid="{C61A73E6-387C-4C2D-BD3C-9AD14C6D5178}"/>
  </bookViews>
  <sheets>
    <sheet name="Sheet1" sheetId="1" r:id="rId1"/>
    <sheet name="Functions" sheetId="6" r:id="rId2"/>
    <sheet name="short cuts" sheetId="11" r:id="rId3"/>
    <sheet name="Macros" sheetId="14" r:id="rId4"/>
    <sheet name="Data Analyst" sheetId="12" r:id="rId5"/>
    <sheet name="LOOKUPS" sheetId="13" r:id="rId6"/>
    <sheet name="Statistics" sheetId="8" r:id="rId7"/>
    <sheet name="ML" sheetId="7" r:id="rId8"/>
    <sheet name="Housing" sheetId="9" r:id="rId9"/>
    <sheet name="Charts" sheetId="5" r:id="rId10"/>
    <sheet name="Pivot" sheetId="2" r:id="rId11"/>
  </sheets>
  <functionGroups builtInGroupCount="19"/>
  <externalReferences>
    <externalReference r:id="rId12"/>
  </externalReferences>
  <definedNames>
    <definedName name="_xlnm._FilterDatabase" localSheetId="0" hidden="1">Sheet1!$R$11:$R$22</definedName>
    <definedName name="_xlchart.v1.0" hidden="1">Charts!$B$98:$B$100</definedName>
    <definedName name="_xlchart.v1.1" hidden="1">Charts!$C$97</definedName>
    <definedName name="_xlchart.v1.2" hidden="1">Charts!$C$98:$C$100</definedName>
    <definedName name="_xlnm.Extract" localSheetId="0">Sheet1!$X$23</definedName>
    <definedName name="Slicer_Region">#N/A</definedName>
    <definedName name="solver_adj" localSheetId="8" hidden="1">Housing!$B$89:$B$90</definedName>
    <definedName name="solver_cvg" localSheetId="8" hidden="1">0.0001</definedName>
    <definedName name="solver_drv" localSheetId="8" hidden="1">2</definedName>
    <definedName name="solver_eng" localSheetId="8" hidden="1">1</definedName>
    <definedName name="solver_est" localSheetId="8" hidden="1">1</definedName>
    <definedName name="solver_itr" localSheetId="8" hidden="1">2147483647</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2</definedName>
    <definedName name="solver_nod" localSheetId="8" hidden="1">2147483647</definedName>
    <definedName name="solver_num" localSheetId="8" hidden="1">0</definedName>
    <definedName name="solver_nwt" localSheetId="8" hidden="1">1</definedName>
    <definedName name="solver_opt" localSheetId="8" hidden="1">Housing!$H$67</definedName>
    <definedName name="solver_pre" localSheetId="8" hidden="1">0.000001</definedName>
    <definedName name="solver_rbv" localSheetId="8" hidden="1">2</definedName>
    <definedName name="solver_rlx" localSheetId="8" hidden="1">2</definedName>
    <definedName name="solver_rsd" localSheetId="8" hidden="1">0</definedName>
    <definedName name="solver_scl" localSheetId="8" hidden="1">2</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1</definedName>
    <definedName name="solver_val" localSheetId="8" hidden="1">0</definedName>
    <definedName name="solver_ver" localSheetId="8" hidden="1">3</definedName>
  </definedNames>
  <calcPr calcId="191029"/>
  <pivotCaches>
    <pivotCache cacheId="4" r:id="rId13"/>
    <pivotCache cacheId="5"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20" i="14" l="1"/>
  <c r="H33" i="13"/>
  <c r="J33" i="13"/>
  <c r="K33" i="13"/>
  <c r="L33" i="13"/>
  <c r="M33" i="13"/>
  <c r="I33" i="13"/>
  <c r="G33" i="13"/>
  <c r="C40" i="13"/>
  <c r="D40" i="13"/>
  <c r="B40" i="13"/>
  <c r="M13" i="13"/>
  <c r="C28" i="13"/>
  <c r="C29" i="13"/>
  <c r="C30" i="13"/>
  <c r="C27" i="13"/>
  <c r="G45" i="13"/>
  <c r="G46" i="13"/>
  <c r="G47" i="13"/>
  <c r="G48" i="13"/>
  <c r="G49" i="13"/>
  <c r="G50" i="13"/>
  <c r="G51" i="13"/>
  <c r="G52" i="13"/>
  <c r="G53" i="13"/>
  <c r="G54" i="13"/>
  <c r="G55" i="13"/>
  <c r="G44" i="13"/>
  <c r="K19" i="13"/>
  <c r="K20" i="13"/>
  <c r="K21" i="13"/>
  <c r="K18" i="13"/>
  <c r="M12" i="13"/>
  <c r="M11" i="13"/>
  <c r="Q6" i="13"/>
  <c r="R6" i="13"/>
  <c r="S6" i="13"/>
  <c r="Q7" i="13"/>
  <c r="R7" i="13"/>
  <c r="S7" i="13"/>
  <c r="R5" i="13"/>
  <c r="S5" i="13"/>
  <c r="Q5" i="13"/>
  <c r="L8" i="13"/>
  <c r="L7" i="13"/>
  <c r="L6" i="13"/>
  <c r="L5" i="13"/>
  <c r="M5" i="13" s="1"/>
  <c r="N5" i="13" s="1"/>
  <c r="H6" i="13"/>
  <c r="H5" i="13"/>
  <c r="H10" i="13"/>
  <c r="C65" i="1"/>
  <c r="C66" i="1"/>
  <c r="C67" i="1"/>
  <c r="C68" i="1"/>
  <c r="C69" i="1"/>
  <c r="C70" i="1"/>
  <c r="C71" i="1"/>
  <c r="C64" i="1"/>
  <c r="M5" i="8"/>
  <c r="M4" i="8"/>
  <c r="J6" i="8"/>
  <c r="K6" i="8"/>
  <c r="L6" i="8"/>
  <c r="I6" i="8"/>
  <c r="C8" i="8" s="1"/>
  <c r="K93" i="1"/>
  <c r="K92" i="1"/>
  <c r="M90" i="1"/>
  <c r="O85" i="1"/>
  <c r="P85" i="1"/>
  <c r="O77" i="1"/>
  <c r="M87" i="1"/>
  <c r="M86" i="1"/>
  <c r="O79" i="1"/>
  <c r="O78" i="1"/>
  <c r="O82" i="1"/>
  <c r="M76" i="7"/>
  <c r="M75" i="7"/>
  <c r="M74" i="7"/>
  <c r="L71" i="7"/>
  <c r="M71" i="7"/>
  <c r="K71" i="7"/>
  <c r="AG7" i="7"/>
  <c r="AH7" i="7" s="1"/>
  <c r="AC7" i="7"/>
  <c r="AD7" i="7" s="1"/>
  <c r="X9" i="7"/>
  <c r="X10" i="7" s="1"/>
  <c r="X11" i="7" s="1"/>
  <c r="X12" i="7" s="1"/>
  <c r="X13" i="7" s="1"/>
  <c r="O19" i="7"/>
  <c r="O20" i="7"/>
  <c r="O21" i="7"/>
  <c r="O22" i="7"/>
  <c r="O23" i="7"/>
  <c r="O18" i="7"/>
  <c r="E21" i="7"/>
  <c r="E20" i="7"/>
  <c r="D21" i="7"/>
  <c r="P19" i="7" s="1"/>
  <c r="D20" i="7"/>
  <c r="C21" i="7"/>
  <c r="C20" i="7"/>
  <c r="H19" i="7"/>
  <c r="H20" i="7"/>
  <c r="H21" i="7"/>
  <c r="H22" i="7"/>
  <c r="H23" i="7"/>
  <c r="H18" i="7"/>
  <c r="H11" i="7"/>
  <c r="E16" i="7"/>
  <c r="E17" i="7"/>
  <c r="D17" i="7"/>
  <c r="D16" i="7"/>
  <c r="J11" i="7"/>
  <c r="J12" i="7"/>
  <c r="J13" i="7"/>
  <c r="J14" i="7"/>
  <c r="J15" i="7"/>
  <c r="J10" i="7"/>
  <c r="I10" i="7"/>
  <c r="I11" i="7"/>
  <c r="I12" i="7"/>
  <c r="I13" i="7"/>
  <c r="I14" i="7"/>
  <c r="I15" i="7"/>
  <c r="H12" i="7"/>
  <c r="H13" i="7"/>
  <c r="H14" i="7"/>
  <c r="H15" i="7"/>
  <c r="H10" i="7"/>
  <c r="L91" i="9"/>
  <c r="L92" i="9"/>
  <c r="L93" i="9"/>
  <c r="L94" i="9"/>
  <c r="L95" i="9"/>
  <c r="L96" i="9"/>
  <c r="L97" i="9"/>
  <c r="L98" i="9"/>
  <c r="L99" i="9"/>
  <c r="L100" i="9"/>
  <c r="L101" i="9"/>
  <c r="L102" i="9"/>
  <c r="L103" i="9"/>
  <c r="L104" i="9"/>
  <c r="L105" i="9"/>
  <c r="L106" i="9"/>
  <c r="L107" i="9"/>
  <c r="L108" i="9"/>
  <c r="L109" i="9"/>
  <c r="L110" i="9"/>
  <c r="N110" i="9" s="1"/>
  <c r="L90" i="9"/>
  <c r="K90" i="9"/>
  <c r="K91" i="9"/>
  <c r="K92" i="9"/>
  <c r="K93" i="9"/>
  <c r="K94" i="9"/>
  <c r="K95" i="9"/>
  <c r="K96" i="9"/>
  <c r="K97" i="9"/>
  <c r="K98" i="9"/>
  <c r="K99" i="9"/>
  <c r="K100" i="9"/>
  <c r="K101" i="9"/>
  <c r="K102" i="9"/>
  <c r="K103" i="9"/>
  <c r="K104" i="9"/>
  <c r="K105" i="9"/>
  <c r="K106" i="9"/>
  <c r="K107" i="9"/>
  <c r="K108" i="9"/>
  <c r="K109" i="9"/>
  <c r="K110" i="9"/>
  <c r="M110" i="9" s="1"/>
  <c r="E43" i="14" a="1"/>
  <c r="Y8" i="7" a="1"/>
  <c r="E43" i="14" l="1"/>
  <c r="M104" i="9"/>
  <c r="M6" i="8"/>
  <c r="F11" i="8" s="1"/>
  <c r="M105" i="9"/>
  <c r="M97" i="9"/>
  <c r="M73" i="7"/>
  <c r="M96" i="9"/>
  <c r="L78" i="7"/>
  <c r="M94" i="9"/>
  <c r="P21" i="7"/>
  <c r="I22" i="7"/>
  <c r="J21" i="7"/>
  <c r="P22" i="7"/>
  <c r="M103" i="9"/>
  <c r="M95" i="9"/>
  <c r="N108" i="9"/>
  <c r="M109" i="9"/>
  <c r="M101" i="9"/>
  <c r="M93" i="9"/>
  <c r="N107" i="9"/>
  <c r="N99" i="9"/>
  <c r="N91" i="9"/>
  <c r="M102" i="9"/>
  <c r="M108" i="9"/>
  <c r="M100" i="9"/>
  <c r="M92" i="9"/>
  <c r="N106" i="9"/>
  <c r="N98" i="9"/>
  <c r="M107" i="9"/>
  <c r="M99" i="9"/>
  <c r="N92" i="9"/>
  <c r="M106" i="9"/>
  <c r="M98" i="9"/>
  <c r="Q21" i="7"/>
  <c r="P18" i="7"/>
  <c r="Y8" i="7"/>
  <c r="Y9" i="7"/>
  <c r="Y12" i="7"/>
  <c r="Y10" i="7"/>
  <c r="Y11" i="7"/>
  <c r="Y13" i="7"/>
  <c r="P20" i="7"/>
  <c r="Q20" i="7"/>
  <c r="N102" i="9"/>
  <c r="Q22" i="7"/>
  <c r="P23" i="7"/>
  <c r="Q19" i="7"/>
  <c r="R19" i="7" s="1"/>
  <c r="N100" i="9"/>
  <c r="M91" i="9"/>
  <c r="N105" i="9"/>
  <c r="N97" i="9"/>
  <c r="M90" i="9"/>
  <c r="N104" i="9"/>
  <c r="N96" i="9"/>
  <c r="Q18" i="7"/>
  <c r="N90" i="9"/>
  <c r="N103" i="9"/>
  <c r="N95" i="9"/>
  <c r="Q23" i="7"/>
  <c r="N94" i="9"/>
  <c r="N109" i="9"/>
  <c r="N101" i="9"/>
  <c r="N93" i="9"/>
  <c r="J20" i="7"/>
  <c r="J19" i="7"/>
  <c r="J18" i="7"/>
  <c r="K13" i="7"/>
  <c r="I21" i="7"/>
  <c r="K12" i="7"/>
  <c r="I18" i="7"/>
  <c r="J23" i="7"/>
  <c r="I19" i="7"/>
  <c r="I23" i="7"/>
  <c r="J22" i="7"/>
  <c r="I20" i="7"/>
  <c r="K11" i="7"/>
  <c r="K15" i="7"/>
  <c r="K10" i="7"/>
  <c r="K14" i="7"/>
  <c r="O110" i="9"/>
  <c r="C67" i="9"/>
  <c r="D67" i="9" s="1"/>
  <c r="E67" i="9" s="1"/>
  <c r="C68" i="9"/>
  <c r="D68" i="9" s="1"/>
  <c r="E68" i="9" s="1"/>
  <c r="C69" i="9"/>
  <c r="D69" i="9" s="1"/>
  <c r="E69" i="9" s="1"/>
  <c r="C70" i="9"/>
  <c r="D70" i="9" s="1"/>
  <c r="E70" i="9" s="1"/>
  <c r="C71" i="9"/>
  <c r="D71" i="9" s="1"/>
  <c r="E71" i="9" s="1"/>
  <c r="C72" i="9"/>
  <c r="D72" i="9" s="1"/>
  <c r="E72" i="9" s="1"/>
  <c r="C73" i="9"/>
  <c r="D73" i="9" s="1"/>
  <c r="E73" i="9" s="1"/>
  <c r="C74" i="9"/>
  <c r="D74" i="9" s="1"/>
  <c r="E74" i="9" s="1"/>
  <c r="C75" i="9"/>
  <c r="D75" i="9" s="1"/>
  <c r="E75" i="9" s="1"/>
  <c r="C76" i="9"/>
  <c r="D76" i="9" s="1"/>
  <c r="E76" i="9" s="1"/>
  <c r="C77" i="9"/>
  <c r="D77" i="9" s="1"/>
  <c r="E77" i="9" s="1"/>
  <c r="C78" i="9"/>
  <c r="D78" i="9" s="1"/>
  <c r="E78" i="9" s="1"/>
  <c r="C79" i="9"/>
  <c r="D79" i="9" s="1"/>
  <c r="E79" i="9" s="1"/>
  <c r="C80" i="9"/>
  <c r="D80" i="9" s="1"/>
  <c r="E80" i="9" s="1"/>
  <c r="C81" i="9"/>
  <c r="D81" i="9" s="1"/>
  <c r="E81" i="9" s="1"/>
  <c r="C82" i="9"/>
  <c r="D82" i="9" s="1"/>
  <c r="E82" i="9" s="1"/>
  <c r="C83" i="9"/>
  <c r="D83" i="9" s="1"/>
  <c r="E83" i="9" s="1"/>
  <c r="C84" i="9"/>
  <c r="D84" i="9" s="1"/>
  <c r="E84" i="9" s="1"/>
  <c r="C85" i="9"/>
  <c r="D85" i="9" s="1"/>
  <c r="E85" i="9" s="1"/>
  <c r="C66" i="9"/>
  <c r="D66" i="9" s="1"/>
  <c r="E66" i="9" s="1"/>
  <c r="AB19" i="7"/>
  <c r="R21" i="7" l="1"/>
  <c r="H9" i="8"/>
  <c r="F9" i="8"/>
  <c r="C11" i="8" s="1"/>
  <c r="F12" i="8"/>
  <c r="Q73" i="7"/>
  <c r="J9" i="8"/>
  <c r="L9" i="8"/>
  <c r="O104" i="9"/>
  <c r="O96" i="9"/>
  <c r="O108" i="9"/>
  <c r="O109" i="9"/>
  <c r="O97" i="9"/>
  <c r="O100" i="9"/>
  <c r="O102" i="9"/>
  <c r="O94" i="9"/>
  <c r="O101" i="9"/>
  <c r="O98" i="9"/>
  <c r="O103" i="9"/>
  <c r="O105" i="9"/>
  <c r="O93" i="9"/>
  <c r="O95" i="9"/>
  <c r="O107" i="9"/>
  <c r="O91" i="9"/>
  <c r="O99" i="9"/>
  <c r="K22" i="7"/>
  <c r="K21" i="7"/>
  <c r="R22" i="7"/>
  <c r="K18" i="7"/>
  <c r="K20" i="7"/>
  <c r="R23" i="7"/>
  <c r="R20" i="7"/>
  <c r="O90" i="9"/>
  <c r="O92" i="9"/>
  <c r="R18" i="7"/>
  <c r="O106" i="9"/>
  <c r="AD8" i="7"/>
  <c r="AC9" i="7"/>
  <c r="AD9" i="7"/>
  <c r="AC8" i="7"/>
  <c r="AB9" i="7"/>
  <c r="AB8" i="7"/>
  <c r="K23" i="7"/>
  <c r="K19" i="7"/>
  <c r="H67" i="9"/>
  <c r="O111" i="9" l="1"/>
  <c r="AG8" i="7" a="1"/>
  <c r="AG8" i="7" s="1"/>
  <c r="AG9" i="7" a="1"/>
  <c r="AG9" i="7" s="1"/>
  <c r="AG13" i="7" a="1"/>
  <c r="AG13" i="7" s="1"/>
  <c r="AG12" i="7" a="1"/>
  <c r="AG12" i="7" s="1"/>
  <c r="AG10" i="7" a="1"/>
  <c r="AG10" i="7" s="1"/>
  <c r="AG11" i="7" a="1"/>
  <c r="AG11" i="7" s="1"/>
  <c r="AF8" i="7" a="1"/>
  <c r="AF8" i="7" s="1"/>
  <c r="AF12" i="7" a="1"/>
  <c r="AF12" i="7" s="1"/>
  <c r="AF11" i="7" a="1"/>
  <c r="AF11" i="7" s="1"/>
  <c r="AF10" i="7" a="1"/>
  <c r="AF10" i="7" s="1"/>
  <c r="AF9" i="7" a="1"/>
  <c r="AF9" i="7" s="1"/>
  <c r="AF13" i="7" a="1"/>
  <c r="AF13" i="7" s="1"/>
  <c r="AH8" i="7" a="1"/>
  <c r="AH8" i="7" s="1"/>
  <c r="AH10" i="7" a="1"/>
  <c r="AH10" i="7" s="1"/>
  <c r="AH9" i="7" a="1"/>
  <c r="AH9" i="7" s="1"/>
  <c r="AH13" i="7" a="1"/>
  <c r="AH13" i="7" s="1"/>
  <c r="AH12" i="7" a="1"/>
  <c r="AH12" i="7" s="1"/>
  <c r="AH11" i="7" a="1"/>
  <c r="AH11" i="7" s="1"/>
  <c r="K25" i="9"/>
  <c r="J25" i="9"/>
  <c r="I36" i="9"/>
  <c r="I37" i="9"/>
  <c r="I38" i="9"/>
  <c r="I39" i="9"/>
  <c r="I40" i="9"/>
  <c r="I41" i="9"/>
  <c r="I42" i="9"/>
  <c r="I43" i="9"/>
  <c r="I44" i="9"/>
  <c r="I45" i="9"/>
  <c r="I46" i="9"/>
  <c r="I47" i="9"/>
  <c r="I48" i="9"/>
  <c r="I49" i="9"/>
  <c r="I50" i="9"/>
  <c r="I51" i="9"/>
  <c r="I52" i="9"/>
  <c r="I35" i="9"/>
  <c r="F29" i="9"/>
  <c r="E29" i="9"/>
  <c r="F28" i="9"/>
  <c r="E28" i="9"/>
  <c r="J80" i="7" a="1"/>
  <c r="J80" i="7" s="1"/>
  <c r="I80" i="7" a="1"/>
  <c r="I80" i="7" s="1"/>
  <c r="E39" i="7" a="1"/>
  <c r="E39" i="7" s="1"/>
  <c r="F39" i="7" s="1"/>
  <c r="C66" i="7" a="1"/>
  <c r="C66" i="7" s="1"/>
  <c r="C70" i="7" a="1"/>
  <c r="C70" i="7" s="1"/>
  <c r="K103" i="8"/>
  <c r="L105" i="8"/>
  <c r="L103" i="8"/>
  <c r="K107" i="8" s="1"/>
  <c r="O107" i="8"/>
  <c r="U109" i="8"/>
  <c r="V107" i="8" s="1"/>
  <c r="W107" i="8" s="1"/>
  <c r="P107" i="8"/>
  <c r="Q104" i="8"/>
  <c r="P104" i="8"/>
  <c r="O104" i="8"/>
  <c r="K53" i="8"/>
  <c r="L53" i="8"/>
  <c r="L52" i="8"/>
  <c r="K52" i="8"/>
  <c r="L51" i="8"/>
  <c r="K51" i="8"/>
  <c r="I37" i="8"/>
  <c r="I38" i="8"/>
  <c r="I39" i="8"/>
  <c r="I40" i="8"/>
  <c r="I41" i="8"/>
  <c r="I42" i="8"/>
  <c r="I43" i="8"/>
  <c r="I44" i="8"/>
  <c r="I45" i="8"/>
  <c r="I36" i="8"/>
  <c r="F29" i="8"/>
  <c r="G26" i="8"/>
  <c r="H22" i="8"/>
  <c r="H21" i="8"/>
  <c r="C101" i="5"/>
  <c r="H136" i="6" a="1"/>
  <c r="H136" i="6" s="1"/>
  <c r="E84" i="6"/>
  <c r="E85" i="6"/>
  <c r="F77" i="6" a="1"/>
  <c r="G77" i="6" s="1"/>
  <c r="B72" i="6"/>
  <c r="B74" i="6"/>
  <c r="B71" i="6"/>
  <c r="B70" i="6"/>
  <c r="B64" i="6"/>
  <c r="B67" i="6" s="1"/>
  <c r="T23" i="1"/>
  <c r="Z57" i="1"/>
  <c r="AB58" i="1"/>
  <c r="AB59" i="1"/>
  <c r="AB70" i="1"/>
  <c r="AB72" i="1"/>
  <c r="AB73" i="1"/>
  <c r="AB74" i="1"/>
  <c r="AB75" i="1"/>
  <c r="AB76" i="1"/>
  <c r="AB77" i="1"/>
  <c r="AB78" i="1"/>
  <c r="AB79" i="1"/>
  <c r="AB80" i="1"/>
  <c r="AB81" i="1"/>
  <c r="AB82" i="1"/>
  <c r="AB83" i="1"/>
  <c r="AB84" i="1"/>
  <c r="AB85" i="1"/>
  <c r="AB86" i="1"/>
  <c r="AB87" i="1"/>
  <c r="AB57" i="1"/>
  <c r="AA58" i="1"/>
  <c r="AA59" i="1"/>
  <c r="AA70" i="1"/>
  <c r="AA72" i="1"/>
  <c r="AA73" i="1"/>
  <c r="AA74" i="1"/>
  <c r="AA75" i="1"/>
  <c r="AA76" i="1"/>
  <c r="AA77" i="1"/>
  <c r="AA78" i="1"/>
  <c r="AA79" i="1"/>
  <c r="AA80" i="1"/>
  <c r="AA81" i="1"/>
  <c r="AA82" i="1"/>
  <c r="AA83" i="1"/>
  <c r="AA84" i="1"/>
  <c r="AA85" i="1"/>
  <c r="AA86" i="1"/>
  <c r="AA87" i="1"/>
  <c r="AA57" i="1"/>
  <c r="Z87" i="1"/>
  <c r="Z74" i="1"/>
  <c r="Z75" i="1"/>
  <c r="Z76" i="1"/>
  <c r="Z77" i="1"/>
  <c r="Z78" i="1"/>
  <c r="Z79" i="1"/>
  <c r="Z80" i="1"/>
  <c r="Z81" i="1"/>
  <c r="Z82" i="1"/>
  <c r="Z83" i="1"/>
  <c r="Z84" i="1"/>
  <c r="Z85" i="1"/>
  <c r="Z86" i="1"/>
  <c r="Z59" i="1"/>
  <c r="Z70" i="1"/>
  <c r="Z72" i="1"/>
  <c r="Z73" i="1"/>
  <c r="Z58" i="1"/>
  <c r="W51" i="1"/>
  <c r="W50" i="1"/>
  <c r="AC43" i="1"/>
  <c r="Z47" i="1"/>
  <c r="Z43" i="1"/>
  <c r="W49" i="1"/>
  <c r="W47" i="1"/>
  <c r="W48" i="1" s="1"/>
  <c r="W46" i="1"/>
  <c r="W44" i="1"/>
  <c r="W45" i="1" s="1"/>
  <c r="S23" i="1"/>
  <c r="U23" i="1"/>
  <c r="X19" i="1"/>
  <c r="X18" i="1"/>
  <c r="J30" i="6"/>
  <c r="K30" i="6" s="1"/>
  <c r="J36" i="6"/>
  <c r="K36" i="6" s="1"/>
  <c r="J35" i="6"/>
  <c r="K35" i="6" s="1"/>
  <c r="J34" i="6"/>
  <c r="K34" i="6" s="1"/>
  <c r="J33" i="6"/>
  <c r="K33" i="6" s="1"/>
  <c r="J32" i="6"/>
  <c r="K32" i="6" s="1"/>
  <c r="J31" i="6"/>
  <c r="K31" i="6" s="1"/>
  <c r="K25" i="6"/>
  <c r="K26" i="6" s="1"/>
  <c r="L22" i="6"/>
  <c r="K22" i="6"/>
  <c r="J18" i="6"/>
  <c r="K15" i="6"/>
  <c r="K11" i="6"/>
  <c r="K8" i="6"/>
  <c r="M7" i="6"/>
  <c r="J4" i="6"/>
  <c r="P13" i="1"/>
  <c r="O13" i="1"/>
  <c r="B39" i="1"/>
  <c r="B38" i="1"/>
  <c r="B37" i="1"/>
  <c r="B36" i="1"/>
  <c r="AB30" i="1"/>
  <c r="AB29" i="1"/>
  <c r="V32" i="1"/>
  <c r="S32" i="1"/>
  <c r="S31" i="1"/>
  <c r="S29" i="1"/>
  <c r="P31" i="1"/>
  <c r="P30" i="1"/>
  <c r="P29" i="1"/>
  <c r="J29" i="1"/>
  <c r="K29" i="1" s="1"/>
  <c r="F33" i="1"/>
  <c r="F32" i="1"/>
  <c r="F31" i="1"/>
  <c r="F30" i="1"/>
  <c r="F29" i="1"/>
  <c r="A33" i="1"/>
  <c r="A32" i="1"/>
  <c r="A31" i="1"/>
  <c r="A30" i="1"/>
  <c r="A29" i="1"/>
  <c r="O56" i="1"/>
  <c r="G51" i="1"/>
  <c r="S52" i="1"/>
  <c r="R52" i="1"/>
  <c r="P56" i="1" s="1"/>
  <c r="Q52" i="1"/>
  <c r="P52" i="1"/>
  <c r="O52" i="1"/>
  <c r="N52" i="1"/>
  <c r="M52" i="1"/>
  <c r="L52" i="1"/>
  <c r="G53" i="1"/>
  <c r="G52" i="1"/>
  <c r="G54" i="1"/>
  <c r="G55" i="1"/>
  <c r="G49" i="1"/>
  <c r="G50" i="1"/>
  <c r="G48" i="1"/>
  <c r="C75" i="1" s="1"/>
  <c r="B75" i="1"/>
  <c r="C77" i="1"/>
  <c r="C78" i="1" s="1"/>
  <c r="A58" i="1"/>
  <c r="A60" i="1"/>
  <c r="A59" i="1"/>
  <c r="K7" i="1"/>
  <c r="K8" i="1"/>
  <c r="K9" i="1"/>
  <c r="K10" i="1"/>
  <c r="K11" i="1"/>
  <c r="K12" i="1"/>
  <c r="K13" i="1"/>
  <c r="K14" i="1"/>
  <c r="K15" i="1"/>
  <c r="K16" i="1"/>
  <c r="K17" i="1"/>
  <c r="K18" i="1"/>
  <c r="K19" i="1"/>
  <c r="K20" i="1"/>
  <c r="K21" i="1"/>
  <c r="K22" i="1"/>
  <c r="K23" i="1"/>
  <c r="K24" i="1"/>
  <c r="K6" i="1"/>
  <c r="AI9" i="7" l="1"/>
  <c r="AI8" i="7"/>
  <c r="AI12" i="7"/>
  <c r="AI13" i="7"/>
  <c r="AI10" i="7"/>
  <c r="AI11" i="7"/>
  <c r="H26" i="9"/>
  <c r="G25" i="9"/>
  <c r="K27" i="9"/>
  <c r="K26" i="9"/>
  <c r="J27" i="9"/>
  <c r="G26" i="9"/>
  <c r="J26" i="9"/>
  <c r="G27" i="9"/>
  <c r="H25" i="9"/>
  <c r="H27" i="9"/>
  <c r="I82" i="7"/>
  <c r="I84" i="7"/>
  <c r="I83" i="7"/>
  <c r="I81" i="7"/>
  <c r="J84" i="7"/>
  <c r="J83" i="7"/>
  <c r="J82" i="7"/>
  <c r="J81" i="7"/>
  <c r="D39" i="8"/>
  <c r="K108" i="8"/>
  <c r="K109" i="8" s="1"/>
  <c r="K110" i="8" s="1"/>
  <c r="K111" i="8" s="1"/>
  <c r="K112" i="8" s="1"/>
  <c r="K113" i="8" s="1"/>
  <c r="D87" i="8"/>
  <c r="D71" i="8"/>
  <c r="D55" i="8"/>
  <c r="D23" i="8"/>
  <c r="D86" i="8"/>
  <c r="D70" i="8"/>
  <c r="D54" i="8"/>
  <c r="D38" i="8"/>
  <c r="D85" i="8"/>
  <c r="D69" i="8"/>
  <c r="D53" i="8"/>
  <c r="D37" i="8"/>
  <c r="D84" i="8"/>
  <c r="D68" i="8"/>
  <c r="D52" i="8"/>
  <c r="D36" i="8"/>
  <c r="D95" i="8"/>
  <c r="D79" i="8"/>
  <c r="D63" i="8"/>
  <c r="D47" i="8"/>
  <c r="D31" i="8"/>
  <c r="D94" i="8"/>
  <c r="D78" i="8"/>
  <c r="D62" i="8"/>
  <c r="D46" i="8"/>
  <c r="D30" i="8"/>
  <c r="D93" i="8"/>
  <c r="D77" i="8"/>
  <c r="D61" i="8"/>
  <c r="D45" i="8"/>
  <c r="D29" i="8"/>
  <c r="D92" i="8"/>
  <c r="D76" i="8"/>
  <c r="D60" i="8"/>
  <c r="D44" i="8"/>
  <c r="D28" i="8"/>
  <c r="D91" i="8"/>
  <c r="D83" i="8"/>
  <c r="D75" i="8"/>
  <c r="D67" i="8"/>
  <c r="D59" i="8"/>
  <c r="D51" i="8"/>
  <c r="D43" i="8"/>
  <c r="D35" i="8"/>
  <c r="D27" i="8"/>
  <c r="D90" i="8"/>
  <c r="D74" i="8"/>
  <c r="D58" i="8"/>
  <c r="D34" i="8"/>
  <c r="D89" i="8"/>
  <c r="D65" i="8"/>
  <c r="D49" i="8"/>
  <c r="D41" i="8"/>
  <c r="D25" i="8"/>
  <c r="D82" i="8"/>
  <c r="D66" i="8"/>
  <c r="D50" i="8"/>
  <c r="D42" i="8"/>
  <c r="D26" i="8"/>
  <c r="D81" i="8"/>
  <c r="D73" i="8"/>
  <c r="D57" i="8"/>
  <c r="D33" i="8"/>
  <c r="D96" i="8"/>
  <c r="D88" i="8"/>
  <c r="D80" i="8"/>
  <c r="D72" i="8"/>
  <c r="D64" i="8"/>
  <c r="D56" i="8"/>
  <c r="D48" i="8"/>
  <c r="D40" i="8"/>
  <c r="D32" i="8"/>
  <c r="D24" i="8"/>
  <c r="D21" i="8"/>
  <c r="D22" i="8"/>
  <c r="D20" i="8"/>
  <c r="D17" i="8"/>
  <c r="L55" i="8"/>
  <c r="M42" i="8"/>
  <c r="D18" i="8"/>
  <c r="L42" i="8"/>
  <c r="L36" i="8"/>
  <c r="D19" i="8"/>
  <c r="L37" i="8"/>
  <c r="L40" i="8"/>
  <c r="E88" i="6"/>
  <c r="B65" i="6"/>
  <c r="B68" i="6"/>
  <c r="B66" i="6"/>
  <c r="I79" i="6"/>
  <c r="J78" i="6"/>
  <c r="I78" i="6"/>
  <c r="F77" i="6"/>
  <c r="H78" i="6"/>
  <c r="J79" i="6"/>
  <c r="G78" i="6"/>
  <c r="F78" i="6"/>
  <c r="J77" i="6"/>
  <c r="H79" i="6"/>
  <c r="G79" i="6"/>
  <c r="I77" i="6"/>
  <c r="F79" i="6"/>
  <c r="H77" i="6"/>
  <c r="M22" i="6"/>
  <c r="G36" i="1"/>
  <c r="M29" i="6"/>
  <c r="P32" i="1"/>
  <c r="V31" i="1"/>
  <c r="S30" i="1"/>
  <c r="AB21" i="7" l="1"/>
  <c r="L107" i="8" a="1"/>
  <c r="L56" i="8"/>
  <c r="M63" i="8"/>
  <c r="N63" i="8"/>
  <c r="H23" i="8"/>
  <c r="B73" i="6"/>
  <c r="B69" i="6"/>
  <c r="L107" i="8" l="1"/>
  <c r="L111" i="8"/>
  <c r="L112" i="8"/>
  <c r="L113" i="8"/>
  <c r="L108" i="8"/>
  <c r="L109" i="8"/>
  <c r="L110" i="8"/>
  <c r="E74" i="7" l="1"/>
  <c r="D74" i="7"/>
  <c r="C74" i="7"/>
  <c r="E73" i="7"/>
  <c r="D73" i="7"/>
  <c r="C73" i="7"/>
  <c r="E72" i="7"/>
  <c r="D72" i="7"/>
  <c r="C72" i="7"/>
  <c r="E71" i="7"/>
  <c r="D71" i="7"/>
  <c r="C71" i="7"/>
  <c r="E70" i="7"/>
  <c r="D70" i="7"/>
  <c r="E66" i="7"/>
  <c r="D66" i="7"/>
  <c r="D49" i="7" s="1"/>
  <c r="E58" i="7"/>
  <c r="E57" i="7"/>
  <c r="F57" i="7" s="1"/>
  <c r="E56" i="7"/>
  <c r="E55" i="7"/>
  <c r="E54" i="7"/>
  <c r="F54" i="7" s="1"/>
  <c r="E53" i="7"/>
  <c r="E52" i="7"/>
  <c r="E51" i="7"/>
  <c r="E50" i="7"/>
  <c r="E49" i="7"/>
  <c r="E48" i="7"/>
  <c r="E47" i="7"/>
  <c r="E46" i="7"/>
  <c r="E45" i="7"/>
  <c r="E44" i="7"/>
  <c r="E43" i="7"/>
  <c r="E42" i="7"/>
  <c r="E41" i="7"/>
  <c r="E40" i="7"/>
  <c r="J136" i="6"/>
  <c r="I136" i="6"/>
  <c r="F53" i="7" l="1"/>
  <c r="F52" i="7" s="1"/>
  <c r="F51" i="7" s="1"/>
  <c r="F50" i="7"/>
  <c r="F49" i="7"/>
  <c r="F48" i="7" s="1"/>
  <c r="F56" i="7" s="1"/>
  <c r="F47" i="7" s="1"/>
  <c r="D44" i="7"/>
  <c r="D45" i="7"/>
  <c r="D46" i="7"/>
  <c r="D43" i="7"/>
  <c r="D41" i="7"/>
  <c r="D50" i="7"/>
  <c r="D55" i="7" s="1"/>
  <c r="D54" i="7" s="1"/>
  <c r="D48" i="7"/>
  <c r="D57" i="7"/>
  <c r="D51" i="7"/>
  <c r="D39" i="7"/>
  <c r="D40" i="7" s="1"/>
  <c r="D53" i="7" s="1"/>
  <c r="F55" i="7" s="1"/>
  <c r="F46" i="7" s="1"/>
  <c r="F45" i="7" s="1"/>
  <c r="F44" i="7" s="1"/>
  <c r="F43" i="7" s="1"/>
  <c r="F42" i="7" s="1"/>
  <c r="F41" i="7" s="1"/>
  <c r="F40" i="7" s="1"/>
  <c r="D47" i="7"/>
  <c r="D56" i="7"/>
  <c r="D58" i="7"/>
  <c r="D52" i="7" s="1"/>
  <c r="F58" i="7" s="1"/>
  <c r="D42" i="7"/>
  <c r="F59"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J2" authorId="0" shapeId="0" xr:uid="{EDB6C522-D462-4158-8947-1F249F7FE23D}">
      <text>
        <r>
          <rPr>
            <b/>
            <sz val="9"/>
            <color indexed="81"/>
            <rFont val="Tahoma"/>
            <family val="2"/>
          </rPr>
          <t>Link:</t>
        </r>
        <r>
          <rPr>
            <sz val="9"/>
            <color indexed="81"/>
            <rFont val="Tahoma"/>
            <family val="2"/>
          </rPr>
          <t xml:space="preserve">
https://media.licdn.com/dms/document/media/D4D1FAQF9F_YYKpmfog/feedshare-document-pdf-analyzed/0/1701867272887?e=1702512000&amp;v=beta&amp;t=oQRCzXamAYXNrbIXRhDXvC0vq4zAESoyhecfpLOHLBk</t>
        </r>
      </text>
    </comment>
    <comment ref="A3" authorId="0" shapeId="0" xr:uid="{45924D14-B68D-4B72-BD7D-49FD9EECE752}">
      <text>
        <r>
          <rPr>
            <b/>
            <sz val="9"/>
            <color indexed="81"/>
            <rFont val="Tahoma"/>
            <family val="2"/>
          </rPr>
          <t>Link:</t>
        </r>
        <r>
          <rPr>
            <sz val="9"/>
            <color indexed="81"/>
            <rFont val="Tahoma"/>
            <family val="2"/>
          </rPr>
          <t xml:space="preserve">
https://www.youtube.com/watch?v=lw6sPHH7twk&amp;list=PL_CkpxkuPiT9jf_2_VfqGvo7RSABeMqcM</t>
        </r>
      </text>
    </comment>
    <comment ref="D3" authorId="0" shapeId="0" xr:uid="{57D74088-932D-4645-979E-23050716D2B1}">
      <text>
        <r>
          <rPr>
            <b/>
            <sz val="9"/>
            <color indexed="81"/>
            <rFont val="Tahoma"/>
            <family val="2"/>
          </rPr>
          <t>Link:</t>
        </r>
        <r>
          <rPr>
            <sz val="9"/>
            <color indexed="81"/>
            <rFont val="Tahoma"/>
            <family val="2"/>
          </rPr>
          <t xml:space="preserve">
https://www.youtube.com/watch?v=xxpTg-pBXjQ&amp;list=PLrRPvpgDmw0m3oqpp1XcPuaxyM4Bpi0dN</t>
        </r>
      </text>
    </comment>
    <comment ref="Y37" authorId="0" shapeId="0" xr:uid="{464C123A-4F44-4C01-98F4-2031F1E00AA9}">
      <text>
        <r>
          <rPr>
            <b/>
            <sz val="9"/>
            <color indexed="81"/>
            <rFont val="Tahoma"/>
            <family val="2"/>
          </rPr>
          <t>For extra info:</t>
        </r>
        <r>
          <rPr>
            <sz val="9"/>
            <color indexed="81"/>
            <rFont val="Tahoma"/>
            <family val="2"/>
          </rPr>
          <t xml:space="preserve">
if you want to enter more values like this copy and paste validation.</t>
        </r>
      </text>
    </comment>
    <comment ref="Y40" authorId="0" shapeId="0" xr:uid="{CF9F628D-35C5-4911-86FE-ED0EB864E819}">
      <text>
        <r>
          <rPr>
            <b/>
            <sz val="9"/>
            <color indexed="81"/>
            <rFont val="Tahoma"/>
            <family val="2"/>
          </rPr>
          <t>Ref:</t>
        </r>
        <r>
          <rPr>
            <sz val="9"/>
            <color indexed="81"/>
            <rFont val="Tahoma"/>
            <family val="2"/>
          </rPr>
          <t xml:space="preserve">
https://www.youtube.com/watch?v=bDXQy60BcT4&amp;list=PLmHVyfmcRKyx1KSoobwukzf1Nf-Y97Rw0&amp;index=8</t>
        </r>
      </text>
    </comment>
    <comment ref="AD76" authorId="0" shapeId="0" xr:uid="{AD1B0C42-C9D0-4146-94C1-BDCA4AD4D2D6}">
      <text>
        <r>
          <rPr>
            <b/>
            <sz val="9"/>
            <color indexed="81"/>
            <rFont val="Tahoma"/>
            <family val="2"/>
          </rPr>
          <t>txt:</t>
        </r>
        <r>
          <rPr>
            <sz val="9"/>
            <color indexed="81"/>
            <rFont val="Tahoma"/>
            <family val="2"/>
          </rPr>
          <t xml:space="preserve">
Durga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B73" authorId="0" shapeId="0" xr:uid="{1EC94A50-0798-47A5-A1A2-969D6942DB63}">
      <text>
        <r>
          <rPr>
            <sz val="9"/>
            <color indexed="81"/>
            <rFont val="Tahoma"/>
            <family val="2"/>
          </rPr>
          <t xml:space="preserve">Replace 4 characters starting from  the 2nd position in cell A1 with "uck"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A4" authorId="0" shapeId="0" xr:uid="{4E6FDEEE-002E-4492-9738-17FB9040D92D}">
      <text>
        <r>
          <rPr>
            <b/>
            <sz val="9"/>
            <color indexed="81"/>
            <rFont val="Tahoma"/>
            <family val="2"/>
          </rPr>
          <t>HP:</t>
        </r>
        <r>
          <rPr>
            <sz val="9"/>
            <color indexed="81"/>
            <rFont val="Tahoma"/>
            <family val="2"/>
          </rPr>
          <t xml:space="preserve">
https://files.codebasics.io/uploads/resources/data-analyst-3-months-roadmap/da_2023_roadmap.pdf?Expires=1700805203&amp;Signature=QZ4crutoFF-v~4HUWNTxSIL9pK3fQDjC3kQs3lLhVuXS84FvLaaHZex6Zu3sXY6F6DgRUcNTC01aiude0wLt6H2P~6CGUgbwtHKTpNxsvU7lQD2PxIRKUkdUYHEa4e-zgb3zZDShZBhxk5Ef~4JIUe5ywz5ETbIOHQh1KE6vSnZSlrbjzBIG3SGNh-KyjEwkJLnfNKmWnPFsWfY-V~kJAV7nJrMl2~~rCGOUaVO0K2~RX477fDxgdnoJ-25lHF4-o7ayfOCmVi3JsTCUO7a1r4rHSWCfGpw~1y7YNOsB-EyCiVzsvikB~F7h90XrpzDyYThD9JxWpSGrS3dM9cYRgQ__&amp;Key-Pair-Id=K2RNEYYX7N2F8M
</t>
        </r>
      </text>
    </comment>
    <comment ref="A5" authorId="0" shapeId="0" xr:uid="{67A9C63E-3EE0-4F4D-B3DC-CBE0FB31066F}">
      <text>
        <r>
          <rPr>
            <b/>
            <sz val="9"/>
            <color indexed="81"/>
            <rFont val="Tahoma"/>
            <family val="2"/>
          </rPr>
          <t>Link:</t>
        </r>
        <r>
          <rPr>
            <sz val="9"/>
            <color indexed="81"/>
            <rFont val="Tahoma"/>
            <family val="2"/>
          </rPr>
          <t xml:space="preserve">
https://files.codebasics.io/uploads/resources/data-science-roadmap-2023/ds_roadmap.pdf?Expires=1700805475&amp;Signature=UyClo3aGMVWRHlRNs1S0wp0d2h--WFzg-I6zmpAW6uXgSymj~nkZOpoj3VKkNtuYB3QAQNSZkZ9nedrdJWVn8UZm7CvVtvo6bkXVbmqpw-vSNKDa5dKKulVSqyv0KMXMUIGCzIkCoXA-gOdfJg9w7wf7P-NHwcO2SBa8U62qshCllnWTj5kyTEHt1Tg8DVxEk6wEf5n-w-BLMUGJd32V7TlBEPtna-wkRFqgF3QShAMsTzmdcihEtX0zD4zbyliGkYMfF5Dh8LV7m8l7myQx9bz4fZnwBejoISrSHwYqX1bhvPggszufnLspT5scQ83OGiOcakF9h5M3pdWMhkOv6A__&amp;Key-Pair-Id=K2RNEYYX7N2F8M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810C7E-77A7-4CDB-A919-C53B07F1D261}" keepAlive="1" name="Query - Housing Data" description="Connection to the 'Housing Data' query in the workbook." type="5" refreshedVersion="8" background="1" saveData="1">
    <dbPr connection="Provider=Microsoft.Mashup.OleDb.1;Data Source=$Workbook$;Location=&quot;Housing Data&quot;;Extended Properties=&quot;&quot;" command="SELECT * FROM [Housing Data]"/>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<sst xmlns="http://schemas.openxmlformats.org/spreadsheetml/2006/main" count="2716" uniqueCount="1131">
  <si>
    <t>L1</t>
  </si>
  <si>
    <t>L2</t>
  </si>
  <si>
    <t>L3</t>
  </si>
  <si>
    <t>L4</t>
  </si>
  <si>
    <t>L5</t>
  </si>
  <si>
    <t>L6</t>
  </si>
  <si>
    <t>L7</t>
  </si>
  <si>
    <t xml:space="preserve">        Name</t>
  </si>
  <si>
    <t>Attack</t>
  </si>
  <si>
    <t>Defense</t>
  </si>
  <si>
    <t xml:space="preserve">        Caterpie</t>
  </si>
  <si>
    <t xml:space="preserve">        Metapod</t>
  </si>
  <si>
    <t xml:space="preserve">        Butterfree</t>
  </si>
  <si>
    <t xml:space="preserve">        Weedle</t>
  </si>
  <si>
    <t xml:space="preserve">        Kakuna</t>
  </si>
  <si>
    <t xml:space="preserve">        Beedrill</t>
  </si>
  <si>
    <t xml:space="preserve">        Pidgey</t>
  </si>
  <si>
    <t xml:space="preserve">        Pidgeotto</t>
  </si>
  <si>
    <t xml:space="preserve">        Pidgeot</t>
  </si>
  <si>
    <t xml:space="preserve">        Rattata</t>
  </si>
  <si>
    <t xml:space="preserve">        Raticate</t>
  </si>
  <si>
    <t xml:space="preserve">        Spearow</t>
  </si>
  <si>
    <t xml:space="preserve">        Fearow</t>
  </si>
  <si>
    <t xml:space="preserve">        Ekans</t>
  </si>
  <si>
    <t xml:space="preserve">        Arbok</t>
  </si>
  <si>
    <t xml:space="preserve">        Pikachu</t>
  </si>
  <si>
    <t xml:space="preserve">        Raichu</t>
  </si>
  <si>
    <t xml:space="preserve">        Sandshrew</t>
  </si>
  <si>
    <t xml:space="preserve">        Sandslash</t>
  </si>
  <si>
    <t xml:space="preserve">    </t>
  </si>
  <si>
    <t>Tot</t>
  </si>
  <si>
    <t>Copy Cell</t>
  </si>
  <si>
    <t>1. Drag and Drop       2. Copy and Paste</t>
  </si>
  <si>
    <t xml:space="preserve">1. Drag and Drop </t>
  </si>
  <si>
    <t>hover on sides of a cell we get 4 arrows symbol</t>
  </si>
  <si>
    <t>2. Copy and Paste</t>
  </si>
  <si>
    <t>here we get original and copy</t>
  </si>
  <si>
    <t xml:space="preserve">right click on cells and select copy and paste </t>
  </si>
  <si>
    <t>VLOOKUP</t>
  </si>
  <si>
    <t>It allows searches across columns</t>
  </si>
  <si>
    <r>
      <t>=VLOOKUP(</t>
    </r>
    <r>
      <rPr>
        <b/>
        <sz val="11"/>
        <color rgb="FF000000"/>
        <rFont val="Consolas"/>
        <family val="3"/>
      </rPr>
      <t>lookup_value</t>
    </r>
    <r>
      <rPr>
        <sz val="11"/>
        <color rgb="FF000000"/>
        <rFont val="Consolas"/>
        <family val="3"/>
      </rPr>
      <t>, </t>
    </r>
    <r>
      <rPr>
        <b/>
        <sz val="11"/>
        <color rgb="FF000000"/>
        <rFont val="Consolas"/>
        <family val="3"/>
      </rPr>
      <t>table_array</t>
    </r>
    <r>
      <rPr>
        <sz val="11"/>
        <color rgb="FF000000"/>
        <rFont val="Consolas"/>
        <family val="3"/>
      </rPr>
      <t>, </t>
    </r>
    <r>
      <rPr>
        <b/>
        <sz val="11"/>
        <color rgb="FF000000"/>
        <rFont val="Consolas"/>
        <family val="3"/>
      </rPr>
      <t>col_index_num</t>
    </r>
    <r>
      <rPr>
        <sz val="11"/>
        <color rgb="FF000000"/>
        <rFont val="Consolas"/>
        <family val="3"/>
      </rPr>
      <t>, [</t>
    </r>
    <r>
      <rPr>
        <b/>
        <sz val="11"/>
        <color rgb="FF000000"/>
        <rFont val="Consolas"/>
        <family val="3"/>
      </rPr>
      <t>range_lookup</t>
    </r>
    <r>
      <rPr>
        <sz val="11"/>
        <color rgb="FF000000"/>
        <rFont val="Consolas"/>
        <family val="3"/>
      </rPr>
      <t>])</t>
    </r>
  </si>
  <si>
    <t>Name</t>
  </si>
  <si>
    <t>Math</t>
  </si>
  <si>
    <t>Physics</t>
  </si>
  <si>
    <t>Chemistry</t>
  </si>
  <si>
    <t>Telugu</t>
  </si>
  <si>
    <t>Subject</t>
  </si>
  <si>
    <t>Matt</t>
  </si>
  <si>
    <t>Bob</t>
  </si>
  <si>
    <t>Tom</t>
  </si>
  <si>
    <t>Brad</t>
  </si>
  <si>
    <t>Jenny</t>
  </si>
  <si>
    <t>Maria</t>
  </si>
  <si>
    <t>Jill</t>
  </si>
  <si>
    <t>Josh</t>
  </si>
  <si>
    <t>how much Brad scored in Math</t>
  </si>
  <si>
    <t>Maria’s marks in Chemistry</t>
  </si>
  <si>
    <t>Type VLOOKUP, select the cell(name), select range of table,select no.of column from left side, type True (1) or False (0) (1)</t>
  </si>
  <si>
    <t>Jill's score in Telugu</t>
  </si>
  <si>
    <t>Search Name</t>
  </si>
  <si>
    <t>Marks in Physics</t>
  </si>
  <si>
    <r>
      <t>returns the </t>
    </r>
    <r>
      <rPr>
        <sz val="10"/>
        <color rgb="FFDC143C"/>
        <rFont val="Consolas"/>
        <family val="3"/>
      </rPr>
      <t>#N/A</t>
    </r>
    <r>
      <rPr>
        <sz val="10"/>
        <color rgb="FF000000"/>
        <rFont val="Verdana"/>
        <family val="2"/>
      </rPr>
      <t>, when  C43 cell is empty</t>
    </r>
  </si>
  <si>
    <t>Bulbasaur</t>
  </si>
  <si>
    <t>Ivysaur</t>
  </si>
  <si>
    <t>Venusaur</t>
  </si>
  <si>
    <t>Charmander</t>
  </si>
  <si>
    <t>Charmeleon</t>
  </si>
  <si>
    <t>Charizard</t>
  </si>
  <si>
    <t>Squirtle</t>
  </si>
  <si>
    <t>Wartortle</t>
  </si>
  <si>
    <t>Blastoise</t>
  </si>
  <si>
    <t>Caterpie</t>
  </si>
  <si>
    <t>Metapod</t>
  </si>
  <si>
    <t>Butterfree</t>
  </si>
  <si>
    <t>Kakuna</t>
  </si>
  <si>
    <t>Beedrill</t>
  </si>
  <si>
    <t>Pidgey</t>
  </si>
  <si>
    <t>Pidgeotto</t>
  </si>
  <si>
    <t>Rattata</t>
  </si>
  <si>
    <t>Raticate</t>
  </si>
  <si>
    <t>Sort Cells</t>
  </si>
  <si>
    <t xml:space="preserve"> Sort &amp; Filter menu () in the ribbon(Sort&amp;Filter)</t>
  </si>
  <si>
    <t>Creating charts</t>
  </si>
  <si>
    <t xml:space="preserve">    Name</t>
  </si>
  <si>
    <t>HP</t>
  </si>
  <si>
    <t>Sp. Atk</t>
  </si>
  <si>
    <t>Sp. Def</t>
  </si>
  <si>
    <t>Speed</t>
  </si>
  <si>
    <t xml:space="preserve">    Bulbasaur</t>
  </si>
  <si>
    <t xml:space="preserve">    Charmander</t>
  </si>
  <si>
    <t xml:space="preserve">    Squirtle</t>
  </si>
  <si>
    <t xml:space="preserve">  </t>
  </si>
  <si>
    <r>
      <t>From the </t>
    </r>
    <r>
      <rPr>
        <b/>
        <sz val="14"/>
        <color rgb="FF4E4E4E"/>
        <rFont val="Source Sans Pro"/>
        <family val="2"/>
      </rPr>
      <t>Insert</t>
    </r>
    <r>
      <rPr>
        <sz val="14"/>
        <color rgb="FF4E4E4E"/>
        <rFont val="Source Sans Pro"/>
        <family val="2"/>
      </rPr>
      <t> tab, click the desired </t>
    </r>
    <r>
      <rPr>
        <b/>
        <sz val="14"/>
        <color rgb="FF4E4E4E"/>
        <rFont val="Source Sans Pro"/>
        <family val="2"/>
      </rPr>
      <t>Chart</t>
    </r>
    <r>
      <rPr>
        <sz val="14"/>
        <color rgb="FF4E4E4E"/>
        <rFont val="Source Sans Pro"/>
        <family val="2"/>
      </rPr>
      <t> command. </t>
    </r>
  </si>
  <si>
    <t>https://www.youtube.com/watch?v=0tdlR1rBwkM&amp;list=PLmHVyfmcRKyx1KSoobwukzf1Nf-Y97Rw0</t>
  </si>
  <si>
    <t>id</t>
  </si>
  <si>
    <t>Get id and total marks of student</t>
  </si>
  <si>
    <t>name</t>
  </si>
  <si>
    <t>total</t>
  </si>
  <si>
    <t>Total</t>
  </si>
  <si>
    <t>HLOOKUP</t>
  </si>
  <si>
    <t>=HLOOKUP(value,array,index_num,False/0 for exact match)</t>
  </si>
  <si>
    <t xml:space="preserve">go to Data select data validation and then select list, and in source enter the array range </t>
  </si>
  <si>
    <t>Pivot</t>
  </si>
  <si>
    <t>Year</t>
  </si>
  <si>
    <t>Category</t>
  </si>
  <si>
    <t>Product</t>
  </si>
  <si>
    <t>Sales</t>
  </si>
  <si>
    <t>Rating</t>
  </si>
  <si>
    <t>Company</t>
  </si>
  <si>
    <t>Company Name</t>
  </si>
  <si>
    <t>Region</t>
  </si>
  <si>
    <t>Sales Document</t>
  </si>
  <si>
    <t>Document Date</t>
  </si>
  <si>
    <t>Customer Code</t>
  </si>
  <si>
    <t>Customer Name</t>
  </si>
  <si>
    <t>Product Code</t>
  </si>
  <si>
    <t>Product Description</t>
  </si>
  <si>
    <t>Quantity</t>
  </si>
  <si>
    <t>Sales USD</t>
  </si>
  <si>
    <t>1010US</t>
  </si>
  <si>
    <t>Urban Right</t>
  </si>
  <si>
    <t>America</t>
  </si>
  <si>
    <t>Dellicia</t>
  </si>
  <si>
    <t>Women type T simple white</t>
  </si>
  <si>
    <t>Women type T simple black</t>
  </si>
  <si>
    <t>Erma</t>
  </si>
  <si>
    <t>Women crop top black</t>
  </si>
  <si>
    <t>Women basics</t>
  </si>
  <si>
    <t>1020US</t>
  </si>
  <si>
    <t>Meta Creations</t>
  </si>
  <si>
    <t>Men type T simple white</t>
  </si>
  <si>
    <t>Men type T simple black</t>
  </si>
  <si>
    <t>Men basics</t>
  </si>
  <si>
    <t>Laptop bag black</t>
  </si>
  <si>
    <t>Men dress shirt black</t>
  </si>
  <si>
    <t>Men dress shirt grey</t>
  </si>
  <si>
    <t>Men shorts grey</t>
  </si>
  <si>
    <t>Men shorts black</t>
  </si>
  <si>
    <t>Unisex tank top white</t>
  </si>
  <si>
    <t>1040DE</t>
  </si>
  <si>
    <t>Lucas Basics</t>
  </si>
  <si>
    <t>Europe</t>
  </si>
  <si>
    <t>Liebher</t>
  </si>
  <si>
    <t>Laptop bag red</t>
  </si>
  <si>
    <t>Aida GmbH</t>
  </si>
  <si>
    <t>Smartphone case diamond</t>
  </si>
  <si>
    <t>Smartphone case simple</t>
  </si>
  <si>
    <t>table must be</t>
  </si>
  <si>
    <t>1. Each column has headers</t>
  </si>
  <si>
    <t>2. no empty data</t>
  </si>
  <si>
    <t>3. no total/subtotal data</t>
  </si>
  <si>
    <t>Grand Total</t>
  </si>
  <si>
    <t>Sum of Sales USD</t>
  </si>
  <si>
    <t>Lucas Basics Total</t>
  </si>
  <si>
    <t>Row Labels</t>
  </si>
  <si>
    <t>Average of Sales USD</t>
  </si>
  <si>
    <t>to give comma right click on the column select number format</t>
  </si>
  <si>
    <t>To give tabular format go to Design and then select report layout on top left</t>
  </si>
  <si>
    <t>Sum of Average of Sales USD</t>
  </si>
  <si>
    <t>(blank)</t>
  </si>
  <si>
    <t>To add a slicer go to desired field and right click select slicer</t>
  </si>
  <si>
    <t>sales_data</t>
  </si>
  <si>
    <t>https://www.youtube.com/watch?v=UsdedFoTA68</t>
  </si>
  <si>
    <t>https://www.youtube.com/watch?v=C9beIaL-cBA&amp;list=PLmHVyfmcRKyw08u-MZm4ROnB3J0gRlsop</t>
  </si>
  <si>
    <t>Excel Formulas</t>
  </si>
  <si>
    <t>Show the date and time</t>
  </si>
  <si>
    <t>Date and Time</t>
  </si>
  <si>
    <t>current date</t>
  </si>
  <si>
    <t>Today's date</t>
  </si>
  <si>
    <t>Today's month</t>
  </si>
  <si>
    <t>add 10 days to current day</t>
  </si>
  <si>
    <t>counting and round</t>
  </si>
  <si>
    <t>sum</t>
  </si>
  <si>
    <t>avergae</t>
  </si>
  <si>
    <t>round</t>
  </si>
  <si>
    <t>int</t>
  </si>
  <si>
    <t>sumif</t>
  </si>
  <si>
    <t>Conversion</t>
  </si>
  <si>
    <t>Maths formula</t>
  </si>
  <si>
    <t>add</t>
  </si>
  <si>
    <t>sub</t>
  </si>
  <si>
    <t>product</t>
  </si>
  <si>
    <t>product by</t>
  </si>
  <si>
    <t>11x8x10x3</t>
  </si>
  <si>
    <t>mod</t>
  </si>
  <si>
    <t>odd</t>
  </si>
  <si>
    <t>median</t>
  </si>
  <si>
    <t>sqrt</t>
  </si>
  <si>
    <t>power</t>
  </si>
  <si>
    <t>rand</t>
  </si>
  <si>
    <t>rand bet</t>
  </si>
  <si>
    <t>3rd largest</t>
  </si>
  <si>
    <t>3rd small</t>
  </si>
  <si>
    <t>even</t>
  </si>
  <si>
    <t>gives next even and odd number</t>
  </si>
  <si>
    <t>Text formulas</t>
  </si>
  <si>
    <t>left</t>
  </si>
  <si>
    <t>right</t>
  </si>
  <si>
    <t>mid(text,start,no.of chars to get)</t>
  </si>
  <si>
    <t>match</t>
  </si>
  <si>
    <t>count total students</t>
  </si>
  <si>
    <t>using mar</t>
  </si>
  <si>
    <t>using names</t>
  </si>
  <si>
    <t>find average of all students who scored &gt;75 in maths</t>
  </si>
  <si>
    <t>Month</t>
  </si>
  <si>
    <t>App</t>
  </si>
  <si>
    <t>Downloads</t>
  </si>
  <si>
    <t>Uninstalls</t>
  </si>
  <si>
    <t>5 star ratings</t>
  </si>
  <si>
    <t>1 star ratings</t>
  </si>
  <si>
    <t>Total ratings</t>
  </si>
  <si>
    <t>Crushed by Candies</t>
  </si>
  <si>
    <t>Chocolate Crossing</t>
  </si>
  <si>
    <t>Angry Bites</t>
  </si>
  <si>
    <t>Where is my Coco?</t>
  </si>
  <si>
    <t>Sugar Rush</t>
  </si>
  <si>
    <t>Subway Wafers</t>
  </si>
  <si>
    <t>Temple Bun</t>
  </si>
  <si>
    <t>1.Total Downloads for sugar Rush</t>
  </si>
  <si>
    <t>2. Total downloads for App start with specific letter</t>
  </si>
  <si>
    <t>letter</t>
  </si>
  <si>
    <t>C</t>
  </si>
  <si>
    <t>3. Total Uninstalls in December</t>
  </si>
  <si>
    <t>4. Downloads in oct-dec</t>
  </si>
  <si>
    <t>5. How many apps are downloaded more than 8000 times</t>
  </si>
  <si>
    <t>6. 5 star rating % for Sugar Rush</t>
  </si>
  <si>
    <t>Tot 5 start</t>
  </si>
  <si>
    <t>Tot rating</t>
  </si>
  <si>
    <t>5 star %</t>
  </si>
  <si>
    <t>7. Average uninstalls for an app</t>
  </si>
  <si>
    <t>avg</t>
  </si>
  <si>
    <t>8. Month has the highest  uninstall app</t>
  </si>
  <si>
    <t>tot uninstall</t>
  </si>
  <si>
    <t>Filter</t>
  </si>
  <si>
    <t>Units</t>
  </si>
  <si>
    <t>East</t>
  </si>
  <si>
    <t>West</t>
  </si>
  <si>
    <t>North</t>
  </si>
  <si>
    <t>South</t>
  </si>
  <si>
    <t>Fred</t>
  </si>
  <si>
    <t>Amy</t>
  </si>
  <si>
    <t>Sal</t>
  </si>
  <si>
    <t>Fritz</t>
  </si>
  <si>
    <t>Sravan</t>
  </si>
  <si>
    <t>Xi</t>
  </si>
  <si>
    <t>Hector</t>
  </si>
  <si>
    <t>Grape</t>
  </si>
  <si>
    <t>Mango</t>
  </si>
  <si>
    <t>Banana</t>
  </si>
  <si>
    <t>Apple</t>
  </si>
  <si>
    <t>Random</t>
  </si>
  <si>
    <t>to avoid genrate new numbers every time copy and click paste values</t>
  </si>
  <si>
    <t>https://youtu.be/ZmQn5Jlj6jQ</t>
  </si>
  <si>
    <t>1. ctrl+shift+l</t>
  </si>
  <si>
    <t>2. Home -&gt; Sort&amp;Filter -&gt; Filter</t>
  </si>
  <si>
    <t>Total units</t>
  </si>
  <si>
    <t>tot units for Banana</t>
  </si>
  <si>
    <t>click Table design and click Table Row</t>
  </si>
  <si>
    <t>go to Data and then select Advanced and select table and in criteria $Z$16:$Z$17</t>
  </si>
  <si>
    <t>Filter with AND</t>
  </si>
  <si>
    <t>Sales per</t>
  </si>
  <si>
    <t>&lt;&gt;Amy</t>
  </si>
  <si>
    <t>Filter with OR</t>
  </si>
  <si>
    <t>region</t>
  </si>
  <si>
    <t>A*</t>
  </si>
  <si>
    <t>sales per</t>
  </si>
  <si>
    <t>T*</t>
  </si>
  <si>
    <t>Get all mangoes in the North region where sales man is not Amy</t>
  </si>
  <si>
    <t>units</t>
  </si>
  <si>
    <t>&lt;6000</t>
  </si>
  <si>
    <t>&gt;4000</t>
  </si>
  <si>
    <t>&gt;3000</t>
  </si>
  <si>
    <t>&lt;5000</t>
  </si>
  <si>
    <t>east</t>
  </si>
  <si>
    <t>&lt;7000</t>
  </si>
  <si>
    <t>banana</t>
  </si>
  <si>
    <t>copy unique products and region</t>
  </si>
  <si>
    <t>Go to Advanced and select columns product and region with header and click unique only</t>
  </si>
  <si>
    <t>Division</t>
  </si>
  <si>
    <t>Apps</t>
  </si>
  <si>
    <t>Revenue</t>
  </si>
  <si>
    <t>Utility</t>
  </si>
  <si>
    <t>North America</t>
  </si>
  <si>
    <t>Accord</t>
  </si>
  <si>
    <t>Asia</t>
  </si>
  <si>
    <t>Misty Wash</t>
  </si>
  <si>
    <t>Productivity</t>
  </si>
  <si>
    <t>WenCaL</t>
  </si>
  <si>
    <t>Sleops</t>
  </si>
  <si>
    <t>Blend</t>
  </si>
  <si>
    <t>Twenty20</t>
  </si>
  <si>
    <t>Australia</t>
  </si>
  <si>
    <t>South America</t>
  </si>
  <si>
    <t>Game</t>
  </si>
  <si>
    <t>Hackrr</t>
  </si>
  <si>
    <t>Fightrr</t>
  </si>
  <si>
    <t>Kryptis</t>
  </si>
  <si>
    <t>Perino</t>
  </si>
  <si>
    <t>Sorting</t>
  </si>
  <si>
    <t>t</t>
  </si>
  <si>
    <t>r</t>
  </si>
  <si>
    <t>a</t>
  </si>
  <si>
    <t>select a few rows and click ctrl+shift+downarrow to ensure not affect other values near our table</t>
  </si>
  <si>
    <t>if I want my own sorting techniques click custom sort</t>
  </si>
  <si>
    <t>for multi sorting click on add level</t>
  </si>
  <si>
    <t>sort by color</t>
  </si>
  <si>
    <t>similarly we can also use cell icon to give symbols to cells</t>
  </si>
  <si>
    <t>ID#</t>
  </si>
  <si>
    <t>Grass</t>
  </si>
  <si>
    <t>Fire</t>
  </si>
  <si>
    <t>Water</t>
  </si>
  <si>
    <t>Bug</t>
  </si>
  <si>
    <t>Weedle</t>
  </si>
  <si>
    <t>Normal</t>
  </si>
  <si>
    <t>Pidgeot</t>
  </si>
  <si>
    <t xml:space="preserve">Type </t>
  </si>
  <si>
    <t xml:space="preserve">unsorting is not possible so we can give an index before sort, after sort just sort again small to large to get original </t>
  </si>
  <si>
    <t>use fill series</t>
  </si>
  <si>
    <t>Data Validation</t>
  </si>
  <si>
    <t>apple</t>
  </si>
  <si>
    <t>mango</t>
  </si>
  <si>
    <t>grapes</t>
  </si>
  <si>
    <t>if any new data is entered, put the new data above using the shift</t>
  </si>
  <si>
    <t>but if the changes are often, use table only</t>
  </si>
  <si>
    <t>fruits</t>
  </si>
  <si>
    <t>indirect function :-&gt; https://www.youtube.com/watch?v=GUClkvJ7Gag&amp;t=0s</t>
  </si>
  <si>
    <t>Male</t>
  </si>
  <si>
    <t>Durga</t>
  </si>
  <si>
    <t>custom data validation</t>
  </si>
  <si>
    <t>1 letter, 4 numbers</t>
  </si>
  <si>
    <t>company code</t>
  </si>
  <si>
    <t>project code</t>
  </si>
  <si>
    <t>2 letters 4 numbers</t>
  </si>
  <si>
    <t>True/False</t>
  </si>
  <si>
    <t>is &gt;5</t>
  </si>
  <si>
    <t>is=5</t>
  </si>
  <si>
    <t>C5001</t>
  </si>
  <si>
    <t>last 4 characters</t>
  </si>
  <si>
    <t>type of cell</t>
  </si>
  <si>
    <t>is first char letter</t>
  </si>
  <si>
    <t>c2001</t>
  </si>
  <si>
    <t>2 letters fixed, 4 numbers</t>
  </si>
  <si>
    <t>CS5001</t>
  </si>
  <si>
    <t>tt6767</t>
  </si>
  <si>
    <t>is first two letters are numbers</t>
  </si>
  <si>
    <t>is first 2 letters are chars</t>
  </si>
  <si>
    <t>Find &amp; Replace</t>
  </si>
  <si>
    <t xml:space="preserve">    Mankey</t>
  </si>
  <si>
    <t xml:space="preserve">  Fighting</t>
  </si>
  <si>
    <t xml:space="preserve">      Poliwrath</t>
  </si>
  <si>
    <t xml:space="preserve">    Victreebel</t>
  </si>
  <si>
    <t xml:space="preserve">  Grass</t>
  </si>
  <si>
    <t xml:space="preserve">      Tentacool</t>
  </si>
  <si>
    <t xml:space="preserve"> Water</t>
  </si>
  <si>
    <t xml:space="preserve">    Magneton</t>
  </si>
  <si>
    <t xml:space="preserve">    Electric</t>
  </si>
  <si>
    <t xml:space="preserve">    Dewgong</t>
  </si>
  <si>
    <t xml:space="preserve">      Cloyster</t>
  </si>
  <si>
    <t xml:space="preserve">  Water</t>
  </si>
  <si>
    <t xml:space="preserve">     Onix</t>
  </si>
  <si>
    <t>Rock</t>
  </si>
  <si>
    <t xml:space="preserve">     Dragonair</t>
  </si>
  <si>
    <t>Dragon</t>
  </si>
  <si>
    <t xml:space="preserve">      Pidgeotto</t>
  </si>
  <si>
    <t xml:space="preserve"> Normal</t>
  </si>
  <si>
    <t xml:space="preserve">    Rattata</t>
  </si>
  <si>
    <t xml:space="preserve">  Normal</t>
  </si>
  <si>
    <t xml:space="preserve">    Beedrill</t>
  </si>
  <si>
    <t xml:space="preserve">    Doduo</t>
  </si>
  <si>
    <t xml:space="preserve">   Normal</t>
  </si>
  <si>
    <t xml:space="preserve">    Kingler</t>
  </si>
  <si>
    <t xml:space="preserve">    Nidoqueen</t>
  </si>
  <si>
    <t xml:space="preserve">  Poison</t>
  </si>
  <si>
    <t xml:space="preserve">    Hitmonchan</t>
  </si>
  <si>
    <t>Fighting</t>
  </si>
  <si>
    <t xml:space="preserve">      Charmeleon</t>
  </si>
  <si>
    <t xml:space="preserve">    Arbok</t>
  </si>
  <si>
    <t>Poison</t>
  </si>
  <si>
    <t xml:space="preserve">    Gastly</t>
  </si>
  <si>
    <t xml:space="preserve">             Ghost</t>
  </si>
  <si>
    <t xml:space="preserve">     Magikarp</t>
  </si>
  <si>
    <t>Raw data</t>
  </si>
  <si>
    <t>Trimmed data</t>
  </si>
  <si>
    <t>we can also check in comments by selecting Look in as comment</t>
  </si>
  <si>
    <t>if we want to check in formulas also select Formulas in Look in</t>
  </si>
  <si>
    <t>if we want to highlight our text just ctrl and select</t>
  </si>
  <si>
    <t>Replace all Guvas with Cherry and highlight those values</t>
  </si>
  <si>
    <t>Sapota</t>
  </si>
  <si>
    <t>Berry</t>
  </si>
  <si>
    <t>Pine</t>
  </si>
  <si>
    <t>Cherry</t>
  </si>
  <si>
    <t>Prasad</t>
  </si>
  <si>
    <t>Attaluri</t>
  </si>
  <si>
    <t>replace format</t>
  </si>
  <si>
    <t>click on format cell and select any one cell in that format</t>
  </si>
  <si>
    <t>Swap columns</t>
  </si>
  <si>
    <t>Raju</t>
  </si>
  <si>
    <t>pass/fail</t>
  </si>
  <si>
    <t>p</t>
  </si>
  <si>
    <t>f</t>
  </si>
  <si>
    <t>select the column and if we put the cursor at the side we get a symbol like 4 arrows and press shift and move</t>
  </si>
  <si>
    <t xml:space="preserve">
</t>
  </si>
  <si>
    <t>Text functions</t>
  </si>
  <si>
    <t>concat</t>
  </si>
  <si>
    <t>mid</t>
  </si>
  <si>
    <t>len</t>
  </si>
  <si>
    <t>find</t>
  </si>
  <si>
    <t>search</t>
  </si>
  <si>
    <t>substitue</t>
  </si>
  <si>
    <t>proper</t>
  </si>
  <si>
    <t>trim</t>
  </si>
  <si>
    <t>durga</t>
  </si>
  <si>
    <t>replace</t>
  </si>
  <si>
    <t>text join</t>
  </si>
  <si>
    <t>Data Analyst</t>
  </si>
  <si>
    <t>Transpose</t>
  </si>
  <si>
    <t>Country</t>
  </si>
  <si>
    <t>Age</t>
  </si>
  <si>
    <t>A</t>
  </si>
  <si>
    <t>B</t>
  </si>
  <si>
    <t>D</t>
  </si>
  <si>
    <t>A1</t>
  </si>
  <si>
    <t>B1</t>
  </si>
  <si>
    <t>C1</t>
  </si>
  <si>
    <t>D1</t>
  </si>
  <si>
    <t>using paste special</t>
  </si>
  <si>
    <t>using transpose()</t>
  </si>
  <si>
    <t>First select some blank cells(same as original but in opposite and type: =TRANSPOSE() then CTRL+SHIFT+ENTER</t>
  </si>
  <si>
    <t>now the updated data also updated in transpose</t>
  </si>
  <si>
    <t>Bar Charts</t>
  </si>
  <si>
    <t xml:space="preserve">    Type</t>
  </si>
  <si>
    <t>Count Gen1</t>
  </si>
  <si>
    <t>Count Gen 2</t>
  </si>
  <si>
    <t xml:space="preserve">    Grass</t>
  </si>
  <si>
    <t xml:space="preserve">    Fire</t>
  </si>
  <si>
    <t xml:space="preserve">    Water</t>
  </si>
  <si>
    <t xml:space="preserve">    Bug</t>
  </si>
  <si>
    <t>Mobiles</t>
  </si>
  <si>
    <t>Laptops</t>
  </si>
  <si>
    <t>Speakers</t>
  </si>
  <si>
    <t>PCs</t>
  </si>
  <si>
    <t>Line Chart</t>
  </si>
  <si>
    <t>Doughnut Chart</t>
  </si>
  <si>
    <t>Bubble Chart</t>
  </si>
  <si>
    <t>Simple Linear Regression</t>
  </si>
  <si>
    <t>Ice-cream sales</t>
  </si>
  <si>
    <t>Temperature</t>
  </si>
  <si>
    <t>slope(b0)</t>
  </si>
  <si>
    <t>intercept(b1)</t>
  </si>
  <si>
    <t>sales</t>
  </si>
  <si>
    <t>x</t>
  </si>
  <si>
    <t>Hours</t>
  </si>
  <si>
    <t>Score</t>
  </si>
  <si>
    <t>Multiple R</t>
  </si>
  <si>
    <t>Standard Error</t>
  </si>
  <si>
    <t>SUMMARY OUTPUT</t>
  </si>
  <si>
    <t>Regression Statistics</t>
  </si>
  <si>
    <t>R Square</t>
  </si>
  <si>
    <t>Adjusted R Square</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</si>
  <si>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</si>
  <si>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</si>
  <si>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</si>
  <si>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</si>
  <si>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</si>
  <si>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</si>
  <si>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</si>
  <si>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</si>
  <si>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</si>
  <si>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</si>
  <si>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</si>
  <si>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</si>
  <si>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</si>
  <si>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</si>
  <si>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</si>
  <si>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</si>
  <si>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</si>
  <si>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To get the summary output  go to Data analysis in Data and click regression and after giving inputs select label icon</t>
  </si>
  <si>
    <t>Multiple Regression</t>
  </si>
  <si>
    <t>Temperature (F)</t>
  </si>
  <si>
    <t>Ice-cream Price ($)</t>
  </si>
  <si>
    <t>Number of Tourists (thousands)</t>
  </si>
  <si>
    <t>Ice Cream Sales ($,thousands)</t>
  </si>
  <si>
    <t>coeffiecien</t>
  </si>
  <si>
    <t>no.of tourists</t>
  </si>
  <si>
    <t>temperature</t>
  </si>
  <si>
    <t>intercept</t>
  </si>
  <si>
    <t xml:space="preserve">charts for categorical </t>
  </si>
  <si>
    <t>Car</t>
  </si>
  <si>
    <t>Frequ</t>
  </si>
  <si>
    <t>Audi</t>
  </si>
  <si>
    <t>BMW</t>
  </si>
  <si>
    <t>Mercedes</t>
  </si>
  <si>
    <t>K-Means Clustering</t>
  </si>
  <si>
    <t>city</t>
  </si>
  <si>
    <t>Latitude</t>
  </si>
  <si>
    <t>Longitude</t>
  </si>
  <si>
    <t>Primary language</t>
  </si>
  <si>
    <t>New York</t>
  </si>
  <si>
    <t>Toronto</t>
  </si>
  <si>
    <t>Paris</t>
  </si>
  <si>
    <t>London</t>
  </si>
  <si>
    <t>Sydney</t>
  </si>
  <si>
    <t>English</t>
  </si>
  <si>
    <t>German</t>
  </si>
  <si>
    <t>French</t>
  </si>
  <si>
    <t>Frankfurt</t>
  </si>
  <si>
    <t>C2</t>
  </si>
  <si>
    <t>C3</t>
  </si>
  <si>
    <t>Clusters</t>
  </si>
  <si>
    <t>Salaries</t>
  </si>
  <si>
    <t>Sample Means</t>
  </si>
  <si>
    <t>Dataset</t>
  </si>
  <si>
    <t>mean</t>
  </si>
  <si>
    <t>s.d</t>
  </si>
  <si>
    <t xml:space="preserve">Assume the 3rd col data is an approximately normally distributed we should standardize, the lowest value in the standardized sample is </t>
  </si>
  <si>
    <t>lowest val</t>
  </si>
  <si>
    <t>stnd data(mean=0 and sd=1)</t>
  </si>
  <si>
    <t>Col1 represents a list of the sample means extracted from a population, the s.d of the sampling distribution is</t>
  </si>
  <si>
    <t xml:space="preserve">col2 represents the salaries of data scientists, calculate the mean salary of the sample </t>
  </si>
  <si>
    <t>here the sample mean is the estimator and 122,150 is the estimate</t>
  </si>
  <si>
    <t>paired t-test</t>
  </si>
  <si>
    <t>Patient</t>
  </si>
  <si>
    <t>Before</t>
  </si>
  <si>
    <t>After</t>
  </si>
  <si>
    <t>d</t>
  </si>
  <si>
    <t>95% t-stat</t>
  </si>
  <si>
    <t>d_bar</t>
  </si>
  <si>
    <t>s</t>
  </si>
  <si>
    <t>c.i</t>
  </si>
  <si>
    <t>population variance is known but assumed to be equal</t>
  </si>
  <si>
    <t>NY apples</t>
  </si>
  <si>
    <t>LA apples</t>
  </si>
  <si>
    <t>LA</t>
  </si>
  <si>
    <t>NY</t>
  </si>
  <si>
    <t>n</t>
  </si>
  <si>
    <t>pooled variance</t>
  </si>
  <si>
    <t>pooled std</t>
  </si>
  <si>
    <t>since population variance is unknown and small samples we use t-test</t>
  </si>
  <si>
    <t>10+8-2=16</t>
  </si>
  <si>
    <t>1-alpha</t>
  </si>
  <si>
    <t>0.5/2</t>
  </si>
  <si>
    <t>ci</t>
  </si>
  <si>
    <t>limits</t>
  </si>
  <si>
    <t>population variance is known but assumed to be different</t>
  </si>
  <si>
    <t>y</t>
  </si>
  <si>
    <t>pop s.d</t>
  </si>
  <si>
    <t>Type of property</t>
  </si>
  <si>
    <t>Year of rent</t>
  </si>
  <si>
    <t>Area (ft.)</t>
  </si>
  <si>
    <t>Rental Price</t>
  </si>
  <si>
    <t>State</t>
  </si>
  <si>
    <t>Apartment</t>
  </si>
  <si>
    <t>USA</t>
  </si>
  <si>
    <t>California</t>
  </si>
  <si>
    <t>Virginia</t>
  </si>
  <si>
    <t>House</t>
  </si>
  <si>
    <t>Arizona</t>
  </si>
  <si>
    <t>Oregon</t>
  </si>
  <si>
    <t>Nevada</t>
  </si>
  <si>
    <t>Colorado</t>
  </si>
  <si>
    <t>Utah</t>
  </si>
  <si>
    <t>Kansas</t>
  </si>
  <si>
    <t>Wyoming</t>
  </si>
  <si>
    <t>bins</t>
  </si>
  <si>
    <t>Rent</t>
  </si>
  <si>
    <t>freq</t>
  </si>
  <si>
    <t>mode</t>
  </si>
  <si>
    <t>Area</t>
  </si>
  <si>
    <t>var</t>
  </si>
  <si>
    <t>skew</t>
  </si>
  <si>
    <t>Freq</t>
  </si>
  <si>
    <t>Rel freq</t>
  </si>
  <si>
    <t>cm freq</t>
  </si>
  <si>
    <t>rel fre</t>
  </si>
  <si>
    <t>val/tot</t>
  </si>
  <si>
    <t>cm fre</t>
  </si>
  <si>
    <t>pre+curr rf</t>
  </si>
  <si>
    <t>range</t>
  </si>
  <si>
    <t>LINEST function calculates the statistics for a line by using the "Least squares" method</t>
  </si>
  <si>
    <t>coeff</t>
  </si>
  <si>
    <t>temp</t>
  </si>
  <si>
    <t>if LINEST is false or omit it returns only the coefficients and the intercept.</t>
  </si>
  <si>
    <t>stats=False</t>
  </si>
  <si>
    <t>stats=True</t>
  </si>
  <si>
    <t>predict sales</t>
  </si>
  <si>
    <t>predict sales with TREND</t>
  </si>
  <si>
    <t>sse</t>
  </si>
  <si>
    <t>OLS Assumptions:</t>
  </si>
  <si>
    <t>2. No Endogeneity</t>
  </si>
  <si>
    <t>3. Normality and Homoscedasticity</t>
  </si>
  <si>
    <t>4. No autocorrelation</t>
  </si>
  <si>
    <t>5. No multicollinarity</t>
  </si>
  <si>
    <t xml:space="preserve">  :   error is not correlated itself</t>
  </si>
  <si>
    <t>If a regression assumption is violated: it will yield an incorrect result</t>
  </si>
  <si>
    <t>1. Linearity:</t>
  </si>
  <si>
    <t>If we plot the points dependent and independent(one at a time) we get a straight line(linear). Here each independent variable is multiplied by coefficients and summed up to predict the dependent variable. If there is no linear relationship we can transform using exponential and log transform.</t>
  </si>
  <si>
    <t>: an explanatory variable(xi) is not correlated with the error term.</t>
  </si>
  <si>
    <t>: error follows normal distribution with 0 mean and a constant variance</t>
  </si>
  <si>
    <t>If the error not follows normal distribution then we can use CLT and if x is not equal to 0 it is not a best fit line and if there is heteroscedasticity(different variance) we can remove outliers or do a log transformation(either on xi or y) or try to reduce bias by looking omitted variables.</t>
  </si>
  <si>
    <t>It is not likely to be observed in cross-sectional data(one moment of time) and is very common in time series. To detect autocorrelation plot all residuals and if there is no pattern we are safe. If we find any we have to use other regression techniques that deal with time series data like AR, MA, ARMA and ARIMA models.</t>
  </si>
  <si>
    <t xml:space="preserve">  :   no two variables have a high correlation(≠ 1)</t>
  </si>
  <si>
    <t>easy to spot and easy to fix. To fix this we can drop one variable or transform both variables into one(average)</t>
  </si>
  <si>
    <t>isRain</t>
  </si>
  <si>
    <t>Temp(F)</t>
  </si>
  <si>
    <t>Trend(2 indep)</t>
  </si>
  <si>
    <t>Forecast</t>
  </si>
  <si>
    <t>Trend(I inde)</t>
  </si>
  <si>
    <t xml:space="preserve">we can change those new xi values </t>
  </si>
  <si>
    <t>1. For transforming the data go to Data tab and click Get data, select data from files, and then click either Transform the data for data cleaning or load the data.</t>
  </si>
  <si>
    <t xml:space="preserve">2. After that go to the Query tab and then Edit, transform the data type and check for null/error values </t>
  </si>
  <si>
    <t xml:space="preserve">if we have any error while transforming power query shows some striped bar </t>
  </si>
  <si>
    <t xml:space="preserve">To handle that </t>
  </si>
  <si>
    <t>removing missing values  &lt;5% is ok</t>
  </si>
  <si>
    <t>Install Real Stat add-in for VIF(Variance inflation factor) measure</t>
  </si>
  <si>
    <t>VIF(dataset, selected column(indepe ar))</t>
  </si>
  <si>
    <t>if VIF =1 Not correlated</t>
  </si>
  <si>
    <t>1&lt;VIF&lt;5 moderately correlated</t>
  </si>
  <si>
    <t>5&lt;VIF Highly correlated</t>
  </si>
  <si>
    <t>http://statisticalhorizons.com/multicollinearity</t>
  </si>
  <si>
    <t>Feature Scaling:</t>
  </si>
  <si>
    <t>1. Standardize</t>
  </si>
  <si>
    <t>Day</t>
  </si>
  <si>
    <t>Euro Dollar exchange rate</t>
  </si>
  <si>
    <t>Daily trading volume</t>
  </si>
  <si>
    <t>standard Euro</t>
  </si>
  <si>
    <t>stan Daily</t>
  </si>
  <si>
    <t>Training and test split</t>
  </si>
  <si>
    <t>KM Driven</t>
  </si>
  <si>
    <t>Color</t>
  </si>
  <si>
    <t>Transimission</t>
  </si>
  <si>
    <t>Owner</t>
  </si>
  <si>
    <t>Price (USD)</t>
  </si>
  <si>
    <t>BMW X5</t>
  </si>
  <si>
    <t>White</t>
  </si>
  <si>
    <t>Automatic</t>
  </si>
  <si>
    <t>1st owner</t>
  </si>
  <si>
    <t>$15400</t>
  </si>
  <si>
    <t>Audi A3</t>
  </si>
  <si>
    <t>Red</t>
  </si>
  <si>
    <t>Manual</t>
  </si>
  <si>
    <t>2nd owner</t>
  </si>
  <si>
    <t>$24321</t>
  </si>
  <si>
    <t>Mercedes S-Class</t>
  </si>
  <si>
    <t>Black</t>
  </si>
  <si>
    <t>3rd owner</t>
  </si>
  <si>
    <t>$102342</t>
  </si>
  <si>
    <t>$55272</t>
  </si>
  <si>
    <t>BMW X3</t>
  </si>
  <si>
    <t>$42000</t>
  </si>
  <si>
    <t>Lexus RX350</t>
  </si>
  <si>
    <t>$51292</t>
  </si>
  <si>
    <t>Blue</t>
  </si>
  <si>
    <t>$37605</t>
  </si>
  <si>
    <t xml:space="preserve">Blue </t>
  </si>
  <si>
    <t>$45000</t>
  </si>
  <si>
    <t>BMW 3 Series</t>
  </si>
  <si>
    <t>$13241</t>
  </si>
  <si>
    <t>$49344</t>
  </si>
  <si>
    <t>Tesla Model 3</t>
  </si>
  <si>
    <t>Yellow</t>
  </si>
  <si>
    <t>$52432</t>
  </si>
  <si>
    <t>Volvo XC90</t>
  </si>
  <si>
    <t>$17452</t>
  </si>
  <si>
    <t>Audi Q7</t>
  </si>
  <si>
    <t>$23250</t>
  </si>
  <si>
    <t>Cadillac XT5</t>
  </si>
  <si>
    <t>$32420</t>
  </si>
  <si>
    <t>Jaguar XF</t>
  </si>
  <si>
    <t>$18454</t>
  </si>
  <si>
    <t>$41000</t>
  </si>
  <si>
    <t>BMW 428i</t>
  </si>
  <si>
    <t>$35240</t>
  </si>
  <si>
    <t>4th owner</t>
  </si>
  <si>
    <t>$22520</t>
  </si>
  <si>
    <t>train-test</t>
  </si>
  <si>
    <t>standardize with formula</t>
  </si>
  <si>
    <t>Logistic Regression</t>
  </si>
  <si>
    <t>A special case of linear regression is where the predicted outcomes are categorical.  If there are more than two outcomes we use Multinomial.</t>
  </si>
  <si>
    <t>Study hours</t>
  </si>
  <si>
    <t>logit</t>
  </si>
  <si>
    <t>b0</t>
  </si>
  <si>
    <t>b1</t>
  </si>
  <si>
    <t>since we don't know the coefficient we set them to default values(0.001 both)</t>
  </si>
  <si>
    <t>so  the two models are equivalent, we can say the linear regressio is the basis of logistic</t>
  </si>
  <si>
    <t>prob</t>
  </si>
  <si>
    <t>log likelihood</t>
  </si>
  <si>
    <t>calculate the logistic probabilties(ex/1+ex) using logit</t>
  </si>
  <si>
    <t>sum of log likelihood</t>
  </si>
  <si>
    <t>Now for updating the b0 and b1 we use solver add--in</t>
  </si>
  <si>
    <t>click on Solver and in that 'set objective' is sum of log-likelihood, select max and place bo and b1 values in change variables, make sure the solbing method is GRG non linear</t>
  </si>
  <si>
    <t>excel 2019 Data analysis Add-ins: https://www.youtube.com/watch?v=M6miEypg6Mo</t>
  </si>
  <si>
    <t>ROC:</t>
  </si>
  <si>
    <t>pass</t>
  </si>
  <si>
    <t>fail</t>
  </si>
  <si>
    <t>Observed</t>
  </si>
  <si>
    <t>Cumulative</t>
  </si>
  <si>
    <t>FPR</t>
  </si>
  <si>
    <t>TPR</t>
  </si>
  <si>
    <t>AUC</t>
  </si>
  <si>
    <t>Cluster Analysis:</t>
  </si>
  <si>
    <t>A multivariate statistical technique that groups observations according to their shared features or variables.</t>
  </si>
  <si>
    <t xml:space="preserve">If we have cities like New york, Toronto, Paris, London, Frankfurt, and Sydney. </t>
  </si>
  <si>
    <t xml:space="preserve">After performing cluster analysis  we have 3 groups </t>
  </si>
  <si>
    <t>Paris, London, and Frankfurt are Europe</t>
  </si>
  <si>
    <t>Sydney is a city in Australia continent</t>
  </si>
  <si>
    <t>If we want 2 clusters:</t>
  </si>
  <si>
    <t>New York, Toronto,  London, and Sydney has official language English</t>
  </si>
  <si>
    <t>Paris and Frankfurt has other language</t>
  </si>
  <si>
    <t>The final goal is Maximizing the similarity between observations within the same cluster and exaggerating the dissimilarity between separate clusters.</t>
  </si>
  <si>
    <t>K-Means:</t>
  </si>
  <si>
    <t>1. Choose no.of clusters</t>
  </si>
  <si>
    <t>2. Specify the cluster seedds</t>
  </si>
  <si>
    <t>3. Assign each point to a centroid</t>
  </si>
  <si>
    <t>4. Adjust the centroids</t>
  </si>
  <si>
    <t>5. Recalculate the centroids</t>
  </si>
  <si>
    <t>Euclidian distance</t>
  </si>
  <si>
    <t>D2</t>
  </si>
  <si>
    <t>D3</t>
  </si>
  <si>
    <t>sumxmy2 returns the sum of squares of the difference in 2 arrays</t>
  </si>
  <si>
    <t>2 has the min distance</t>
  </si>
  <si>
    <t>Adjust the centroids by estimating mean of each cluster and make new selection</t>
  </si>
  <si>
    <t>Since in 1st cluster there is only one city so no need to find mean</t>
  </si>
  <si>
    <t>iter 1</t>
  </si>
  <si>
    <t>iter 2</t>
  </si>
  <si>
    <t>iter 1 centroid</t>
  </si>
  <si>
    <t>iter 2 centroid</t>
  </si>
  <si>
    <t>iter 3</t>
  </si>
  <si>
    <t>iter 3 centroid</t>
  </si>
  <si>
    <t>since the clusters are same for 2,3 iterations these are the final clusers</t>
  </si>
  <si>
    <t>press ctrl+m for k-means in excel</t>
  </si>
  <si>
    <t>select multivariate and then kmeans</t>
  </si>
  <si>
    <t>Cluster</t>
  </si>
  <si>
    <t>Centroid</t>
  </si>
  <si>
    <t># of clusters</t>
  </si>
  <si>
    <t>Minkowski p</t>
  </si>
  <si>
    <t># of runs</t>
  </si>
  <si>
    <t>X 1</t>
  </si>
  <si>
    <t>X 2</t>
  </si>
  <si>
    <t>Dist^p</t>
  </si>
  <si>
    <t># of iter</t>
  </si>
  <si>
    <t>Converge</t>
  </si>
  <si>
    <t>Error</t>
  </si>
  <si>
    <t>p=2 for euclidian distance</t>
  </si>
  <si>
    <t>Excel found a solution to the k-means cluster</t>
  </si>
  <si>
    <t>sum of squares it finds all the squared distance between all the data points within clusters(wcss) from the centroid, the lower the sum of squares better the decision(correctly place the data)</t>
  </si>
  <si>
    <t>fn+f4 to lock the value</t>
  </si>
  <si>
    <t>Types of  clustering:</t>
  </si>
  <si>
    <t>1. Flat</t>
  </si>
  <si>
    <t>2. Hierarchical</t>
  </si>
  <si>
    <t>k-means is a falt method there is no hierarchy, here we simply choose the no.of clusters</t>
  </si>
  <si>
    <t>Hierarchical builds different levels of clusters, here we cluster the clusters.</t>
  </si>
  <si>
    <t>1) Divisive(top-down)</t>
  </si>
  <si>
    <t xml:space="preserve">Hierarchical is again of 2 types </t>
  </si>
  <si>
    <t xml:space="preserve"> 2) Agglomerative(Bottom-up)</t>
  </si>
  <si>
    <t>In Divisive to find the best split we must explore all possibilities at each step a very tedious job. For this we can use k-means with elbow method be helpful</t>
  </si>
  <si>
    <t>In Agglomerative, at the first stage, we have a total of n clusters using a similarity measure like Euclidean distance we group the closest clusters together then we reach n-1 clusters we repeat this until we get a 1 cluster.</t>
  </si>
  <si>
    <t>We call the graph a dendrogram</t>
  </si>
  <si>
    <t>Decision Tree</t>
  </si>
  <si>
    <t>sunny</t>
  </si>
  <si>
    <t>overcast</t>
  </si>
  <si>
    <t>rainy</t>
  </si>
  <si>
    <t>tot</t>
  </si>
  <si>
    <t>yes</t>
  </si>
  <si>
    <t>no</t>
  </si>
  <si>
    <t>Entropy</t>
  </si>
  <si>
    <t>step 1:</t>
  </si>
  <si>
    <t>step 2:</t>
  </si>
  <si>
    <t>Entropy(outlook=sunny)</t>
  </si>
  <si>
    <t>outlook</t>
  </si>
  <si>
    <t>Entropy(outlook=overcast)</t>
  </si>
  <si>
    <t>Entropy(outlook=rainy)</t>
  </si>
  <si>
    <t>weighted avg</t>
  </si>
  <si>
    <t>step 3:</t>
  </si>
  <si>
    <t>I.G</t>
  </si>
  <si>
    <t>Index match</t>
  </si>
  <si>
    <t>is the combination of two functions in excel: INDEX and MATCH</t>
  </si>
  <si>
    <t>=INDEX() returns the value of a cell in a table based on the column and row number</t>
  </si>
  <si>
    <t>=MATCH() returns the position of a cell in a row or column.</t>
  </si>
  <si>
    <t>Height</t>
  </si>
  <si>
    <t>Weight</t>
  </si>
  <si>
    <t>Sally</t>
  </si>
  <si>
    <t>Kevin</t>
  </si>
  <si>
    <t>Amanda</t>
  </si>
  <si>
    <t>Carl</t>
  </si>
  <si>
    <t>Ned</t>
  </si>
  <si>
    <t>index</t>
  </si>
  <si>
    <t>indexmatch</t>
  </si>
  <si>
    <t>4th row 2nd value</t>
  </si>
  <si>
    <t>4th row in Name</t>
  </si>
  <si>
    <t>2nd col in 1st row</t>
  </si>
  <si>
    <t>Get name of the 4th student</t>
  </si>
  <si>
    <t>Position of Carl in vertical array</t>
  </si>
  <si>
    <t>Iferror</t>
  </si>
  <si>
    <t>Text join</t>
  </si>
  <si>
    <t>shift+spacebar to select entire row</t>
  </si>
  <si>
    <t>select the entire row and click ctr+ to insert a new row above and ctrl- to delete a row</t>
  </si>
  <si>
    <r>
      <t>VBA:</t>
    </r>
    <r>
      <rPr>
        <sz val="11"/>
        <color theme="1"/>
        <rFont val="Calibri"/>
        <family val="2"/>
        <scheme val="minor"/>
      </rPr>
      <t xml:space="preserve"> Visual Basic for Applications</t>
    </r>
  </si>
  <si>
    <t>https://www.youtube.com/watch?v=UjiIjjzaJyk</t>
  </si>
  <si>
    <t>Roadmap to Data analysis</t>
  </si>
  <si>
    <t>Roadmap to Data science</t>
  </si>
  <si>
    <t>conditional probability</t>
  </si>
  <si>
    <t>P(A|B) = P(A∩B) / P(B)</t>
  </si>
  <si>
    <t>Baseball</t>
  </si>
  <si>
    <t>Basketaball</t>
  </si>
  <si>
    <t>Football</t>
  </si>
  <si>
    <t>Soccer</t>
  </si>
  <si>
    <t>Female</t>
  </si>
  <si>
    <t xml:space="preserve">P(male|baseball) = P(male∩baseball) / P(baseball) </t>
  </si>
  <si>
    <t>= (34/300) / (68/300) = 0.5</t>
  </si>
  <si>
    <t>P(male|baseball)</t>
  </si>
  <si>
    <t>P(female|baseball)</t>
  </si>
  <si>
    <t>Bayesian Statistics</t>
  </si>
  <si>
    <t>P(male)</t>
  </si>
  <si>
    <t>p(female)</t>
  </si>
  <si>
    <t>P(baseball)</t>
  </si>
  <si>
    <t>P(basketball)</t>
  </si>
  <si>
    <t>P(football)</t>
  </si>
  <si>
    <t>P(soccer)</t>
  </si>
  <si>
    <t>1. Text functions</t>
  </si>
  <si>
    <t>ETL in Excel and Power BI</t>
  </si>
  <si>
    <t>Go to power query and lick transform that is Extract and Transform after applying some changes we have to Load the data.</t>
  </si>
  <si>
    <t>We have mainly 3 functions mostly we do, we get those in Transform tab</t>
  </si>
  <si>
    <t>To merge columns(n columns to 1) click on the Merge columns function and give separator and name the merged column.</t>
  </si>
  <si>
    <t>https://www.exceldemy.com/separate-first-middle-last-name-with-excel-formula/</t>
  </si>
  <si>
    <t>If any changes in the source data(original) the same changes in the target data also(in transformed data) just refresh to see.</t>
  </si>
  <si>
    <t>1.1 Merge</t>
  </si>
  <si>
    <t>1.2 Split and Trim</t>
  </si>
  <si>
    <t>Attaluri Durga Prasad</t>
  </si>
  <si>
    <t>"=&gt;"</t>
  </si>
  <si>
    <t>To split data in one column to 2 or more columns and trim some unwanted space</t>
  </si>
  <si>
    <t>First we have to close the  main file when we want to perform ETL</t>
  </si>
  <si>
    <t>1.3 Case(Lower, Upper and Proper)</t>
  </si>
  <si>
    <t>We can see these operations in Formatt which we have seen in Trim</t>
  </si>
  <si>
    <t>1.4 Add suffix and prefix</t>
  </si>
  <si>
    <t xml:space="preserve">to </t>
  </si>
  <si>
    <t>or</t>
  </si>
  <si>
    <t>24 years</t>
  </si>
  <si>
    <t>age is 24</t>
  </si>
  <si>
    <t xml:space="preserve">We can see this function in Format </t>
  </si>
  <si>
    <t>1.5 Left, Right and Mid</t>
  </si>
  <si>
    <t>Go to the Extract function</t>
  </si>
  <si>
    <t>to extract n terms in either left or right or middle</t>
  </si>
  <si>
    <t>To avoid this go to Add Column tab we get the same 3 functions(Text, number and date) we can extract now.</t>
  </si>
  <si>
    <t xml:space="preserve">After performing this we get only the extracted column(it performs only in the existed column). </t>
  </si>
  <si>
    <t>For extracting middle characters select Range</t>
  </si>
  <si>
    <t>1.6 Extract Text with Delimiters</t>
  </si>
  <si>
    <t xml:space="preserve">We can see this function in Extract itself same as 1.5 </t>
  </si>
  <si>
    <t>2. Date Functions</t>
  </si>
  <si>
    <t>2.1 Year, Quarter, Month &amp; Day</t>
  </si>
  <si>
    <t>We can perform these operations when we have Date and Time data only</t>
  </si>
  <si>
    <t>Practice data : https://drive.google.com/drive/folders/1m-aT0FI4IJcaa-G5KaInF_Ro9ZL4NXe0</t>
  </si>
  <si>
    <t>2.2 Difference between dates</t>
  </si>
  <si>
    <t>Here we can perform Earlier and latest dates also</t>
  </si>
  <si>
    <t>2.3 Get Month and Day Name</t>
  </si>
  <si>
    <t>Monday or June</t>
  </si>
  <si>
    <t>2.4 Extract Date and Time</t>
  </si>
  <si>
    <t>To extract date from Date Time data go to Date and click 'Date only'</t>
  </si>
  <si>
    <t>2.5 Calculate age from dob</t>
  </si>
  <si>
    <t>Go to Date and click Age we get data in no.of days and now the data type is Duration go to the Duration option  click Total years and change the data type to Whole number.</t>
  </si>
  <si>
    <t>3. Number</t>
  </si>
  <si>
    <t xml:space="preserve">If we want some arithmetic operations </t>
  </si>
  <si>
    <t xml:space="preserve">Assume we have 3 columns a,b,c and if we want to perform like a*b*(1-c) for a*b*c  right click on query steps and write </t>
  </si>
  <si>
    <t>For performing subtract options first select big number column</t>
  </si>
  <si>
    <t>If we want 10% of data go to Percent</t>
  </si>
  <si>
    <t>If my column is 18% of data to know  the 100% of data go to Percent of and enter value 18.</t>
  </si>
  <si>
    <t>We can round the data also(round up, round down, and round with decimal places).</t>
  </si>
  <si>
    <t>To find whether the number is even or odd go to the Information option</t>
  </si>
  <si>
    <t>4. Appending multiple files and tables</t>
  </si>
  <si>
    <t>If we want to get multiple files click on Get Data select the More option in that select folder and paste the URL of that folder</t>
  </si>
  <si>
    <t>4.1 Append multiple Excel tables/sheets from a single file</t>
  </si>
  <si>
    <t>After load and transforming the data go to Home tab and select Append Queries if we want a new query select the 2nd option select how many queries we want to append and double-click on each file to select click ok.</t>
  </si>
  <si>
    <t>4.2 Append Excel tables with different no.of columns</t>
  </si>
  <si>
    <t>Get data from Excel click all the tables rather than sheets and transform select append queries and we get all the columns, we can see whatever the column names are and how they are arranged we get all those, and wherever we don't have the data we get null values. If we want that data in the Power BI view right right-click on those columns and deselect the 'Enable Load' option and click continue.</t>
  </si>
  <si>
    <t>click on combine and transform and make operations. In this way, we can append multiple CSV files from a folder.</t>
  </si>
  <si>
    <t>4.3 Append multiple excel files from a folder</t>
  </si>
  <si>
    <t>Select the folder and paste the url of that</t>
  </si>
  <si>
    <t>Here only the 1st two columns are important to us.</t>
  </si>
  <si>
    <t xml:space="preserve">1st column tells the size of the file and it stores the entire data in compressed form and 2nd tells the </t>
  </si>
  <si>
    <t>Go to the Custom column and write a single function "=Excel.Workbook[Content]"(content is available column that is 1st column)</t>
  </si>
  <si>
    <t xml:space="preserve">Now we get a new column and click on head selectt all the options </t>
  </si>
  <si>
    <t>4.4 Append multiple sources</t>
  </si>
  <si>
    <t>If we want to append one Excel and one CSV file first load those files and to transform go to the Home tab and select Transform.</t>
  </si>
  <si>
    <t xml:space="preserve">Click append queries </t>
  </si>
  <si>
    <t>5. Merge files and Tables in Power BI without vlookup formula</t>
  </si>
  <si>
    <t>5.1 Merge tables/sheets</t>
  </si>
  <si>
    <t>New york, Totnto are cities in North America</t>
  </si>
  <si>
    <t>E</t>
  </si>
  <si>
    <t>G</t>
  </si>
  <si>
    <t>H</t>
  </si>
  <si>
    <t>category</t>
  </si>
  <si>
    <t>option1</t>
  </si>
  <si>
    <t>option2</t>
  </si>
  <si>
    <t>option3</t>
  </si>
  <si>
    <t>Scores</t>
  </si>
  <si>
    <t>Desc</t>
  </si>
  <si>
    <t>2-5</t>
  </si>
  <si>
    <t>6-8</t>
  </si>
  <si>
    <t>9-50</t>
  </si>
  <si>
    <t>51-100</t>
  </si>
  <si>
    <t>101-200</t>
  </si>
  <si>
    <t>negligence</t>
  </si>
  <si>
    <t>low risk</t>
  </si>
  <si>
    <t>relatively low</t>
  </si>
  <si>
    <t>risky</t>
  </si>
  <si>
    <t>serious risk</t>
  </si>
  <si>
    <t>significant risk</t>
  </si>
  <si>
    <t>lower</t>
  </si>
  <si>
    <t>upper</t>
  </si>
  <si>
    <t>To get data from one column to two or more columns first select the column go to the Data tab and select the Text to columns option. Select delimited click next select the delimeter click finish.</t>
  </si>
  <si>
    <t xml:space="preserve">When we want to merge two tables with the help of some unique columns use merge query in </t>
  </si>
  <si>
    <t>and select those unique columns to merge.</t>
  </si>
  <si>
    <t>5.2 Merge Data from Multiple Excel Files or Workbooks</t>
  </si>
  <si>
    <t xml:space="preserve">First load files click Transform and then merge queries as new </t>
  </si>
  <si>
    <t xml:space="preserve">5.3 Merge Data Having Multiple Criteria or Multiple Columns </t>
  </si>
  <si>
    <t xml:space="preserve">If I have unique values with 2 columns and want to merge two files based on that </t>
  </si>
  <si>
    <t>Make sure how we selected the first table in the same order only we have to select the 2nd</t>
  </si>
  <si>
    <t xml:space="preserve">In power bi we have an option called merge queries in that if we want to append to existed query use merge queries , merge queries as new creates new query </t>
  </si>
  <si>
    <t>Order id</t>
  </si>
  <si>
    <t>C_name</t>
  </si>
  <si>
    <t>CA-2018</t>
  </si>
  <si>
    <t>US-2016</t>
  </si>
  <si>
    <t>CA-2016</t>
  </si>
  <si>
    <t>IN-2018</t>
  </si>
  <si>
    <t>IN-2017</t>
  </si>
  <si>
    <t>EU-2017</t>
  </si>
  <si>
    <t>Durga Prasad</t>
  </si>
  <si>
    <t>Sri Vastav</t>
  </si>
  <si>
    <t>Naga sai</t>
  </si>
  <si>
    <t>Sesh</t>
  </si>
  <si>
    <t>Raja shekar</t>
  </si>
  <si>
    <t>John Abraham</t>
  </si>
  <si>
    <t>c_fname</t>
  </si>
  <si>
    <t>sefSesh</t>
  </si>
  <si>
    <t>Sri</t>
  </si>
  <si>
    <t>Naga</t>
  </si>
  <si>
    <t>Raja</t>
  </si>
  <si>
    <t>John</t>
  </si>
  <si>
    <t>Here first I entered Durga in 3rd column and went to the next row just used flashfill option in the Home tab under the sum function</t>
  </si>
  <si>
    <t>It works like flash fill and if-else in excel</t>
  </si>
  <si>
    <t>6. column from examples and conditional column</t>
  </si>
  <si>
    <t>6.1 column from examples function</t>
  </si>
  <si>
    <t>Here in the right column, I entered one character from 2nd column, 1 character from 3rd col and 5 characters from 1st column</t>
  </si>
  <si>
    <t>If we want to merge text from one column go to the Add column tab and click column from examples</t>
  </si>
  <si>
    <t>we can aslo merge multiple text</t>
  </si>
  <si>
    <t>We can also use it for Date type, to split date or month or year from date type</t>
  </si>
  <si>
    <t>Here I first enter December automatically all other rows enter the month</t>
  </si>
  <si>
    <t>If we want to perform other actions just double click there to get all functions</t>
  </si>
  <si>
    <t>We can also try this for alpha numeric data also</t>
  </si>
  <si>
    <t>6.2 condition columns</t>
  </si>
  <si>
    <t>To perform this we go to Conditional column option(top left) in the Add column tab</t>
  </si>
  <si>
    <t xml:space="preserve">We can also compare two columns whether the values(names etc) are same or not </t>
  </si>
  <si>
    <t>Here we selected 2nd column to compare, we can also return column values</t>
  </si>
  <si>
    <t>We can also perform this operation on Dates. For eg. If a person is below this date old student or new student etc.</t>
  </si>
  <si>
    <t xml:space="preserve"> M Language in Power BI </t>
  </si>
  <si>
    <t>1. ISIN Date Functions</t>
  </si>
  <si>
    <t>To perform this go to Custom Column option in Add Column tab</t>
  </si>
  <si>
    <t xml:space="preserve">All the Date functions start with Date </t>
  </si>
  <si>
    <t>for current enter c, for next enter n we get suggestions</t>
  </si>
  <si>
    <t>ID</t>
  </si>
  <si>
    <t>First</t>
  </si>
  <si>
    <t>Last</t>
  </si>
  <si>
    <t>Email</t>
  </si>
  <si>
    <t>Janet</t>
  </si>
  <si>
    <t>Farley</t>
  </si>
  <si>
    <t>janet.farley@acme.com</t>
  </si>
  <si>
    <t>Steven</t>
  </si>
  <si>
    <t>Batista</t>
  </si>
  <si>
    <t>steven.batista@acme.com</t>
  </si>
  <si>
    <t>Evelyn</t>
  </si>
  <si>
    <t>Monet</t>
  </si>
  <si>
    <t>evelyn.monet@acme.com</t>
  </si>
  <si>
    <t>Marilyn</t>
  </si>
  <si>
    <t>Bradley</t>
  </si>
  <si>
    <t>marilyn.bradley@acme.com</t>
  </si>
  <si>
    <t>Jonathan</t>
  </si>
  <si>
    <t>Adder</t>
  </si>
  <si>
    <t>jonathan.adder@acme.com</t>
  </si>
  <si>
    <t>Adrian</t>
  </si>
  <si>
    <t>Birt</t>
  </si>
  <si>
    <t>adrian.birt@acme.com</t>
  </si>
  <si>
    <t>Julie</t>
  </si>
  <si>
    <t>Irons</t>
  </si>
  <si>
    <t>julie.irons@acme.com</t>
  </si>
  <si>
    <t>Erica</t>
  </si>
  <si>
    <t>Tan</t>
  </si>
  <si>
    <t>erica.tan@acme.com</t>
  </si>
  <si>
    <t>Harold</t>
  </si>
  <si>
    <t>Clayton</t>
  </si>
  <si>
    <t>harold.clayton@acme.com</t>
  </si>
  <si>
    <t>email</t>
  </si>
  <si>
    <t>from different sheet</t>
  </si>
  <si>
    <t>height</t>
  </si>
  <si>
    <t>from same sheet</t>
  </si>
  <si>
    <t>copy vlookup</t>
  </si>
  <si>
    <t>coping vlookup vertically is easy but not horizontally</t>
  </si>
  <si>
    <t>Here I locked my lookup value(I used 1$ so that I can copy the value horizontally also), array, and 1st column</t>
  </si>
  <si>
    <t>find smallest and largest values</t>
  </si>
  <si>
    <t>points</t>
  </si>
  <si>
    <t>Team</t>
  </si>
  <si>
    <t>Player</t>
  </si>
  <si>
    <t>Leb</t>
  </si>
  <si>
    <t>Dam</t>
  </si>
  <si>
    <t>Paul</t>
  </si>
  <si>
    <t>Kawhi</t>
  </si>
  <si>
    <t>Kyrie</t>
  </si>
  <si>
    <t>Antony</t>
  </si>
  <si>
    <t>Joel</t>
  </si>
  <si>
    <t>James</t>
  </si>
  <si>
    <t>min points</t>
  </si>
  <si>
    <t>team has max points</t>
  </si>
  <si>
    <t>average points</t>
  </si>
  <si>
    <t>calculate grades</t>
  </si>
  <si>
    <t>Grade</t>
  </si>
  <si>
    <t>Edward</t>
  </si>
  <si>
    <t>William</t>
  </si>
  <si>
    <t>Hannah</t>
  </si>
  <si>
    <t>Joanna</t>
  </si>
  <si>
    <t>score</t>
  </si>
  <si>
    <t>key</t>
  </si>
  <si>
    <t>M17:N21</t>
  </si>
  <si>
    <t>https://exceljet.net/functions/vlookup-function</t>
  </si>
  <si>
    <t>p_id</t>
  </si>
  <si>
    <t>tot sales</t>
  </si>
  <si>
    <t>discount</t>
  </si>
  <si>
    <t>no discount</t>
  </si>
  <si>
    <t>for practice https://excel-practice-online.com/functions/xlookup/</t>
  </si>
  <si>
    <t>City</t>
  </si>
  <si>
    <t>Favorite Color</t>
  </si>
  <si>
    <t>Dina</t>
  </si>
  <si>
    <t>Jake</t>
  </si>
  <si>
    <t>Green</t>
  </si>
  <si>
    <t>Tel Aviv</t>
  </si>
  <si>
    <t>Melbourne</t>
  </si>
  <si>
    <t>Sam</t>
  </si>
  <si>
    <t>Syndey</t>
  </si>
  <si>
    <t>Ralph</t>
  </si>
  <si>
    <t>Beijing</t>
  </si>
  <si>
    <t>Dallas</t>
  </si>
  <si>
    <t>Dina's favourite color</t>
  </si>
  <si>
    <t>XLOOKUP(C38,A29:A35,C29:C35,,,-1)</t>
  </si>
  <si>
    <t>XLOOKUP(C38,A29:A35,C29:C35,"NOT FOUND",,-1)</t>
  </si>
  <si>
    <t>XLOOKUP(C38,A29:A35,C29:C35,,0,-1)</t>
  </si>
  <si>
    <t>exact match</t>
  </si>
  <si>
    <t>not found</t>
  </si>
  <si>
    <t>1 exact match or next larger item</t>
  </si>
  <si>
    <t>-1 exact match or next smaller item</t>
  </si>
  <si>
    <t>2 wildcard character match</t>
  </si>
  <si>
    <t>syntax</t>
  </si>
  <si>
    <t>=XLOOKUP(lookup_value, lookup_array, return_array, [if_not_found], [match_mode], [search_mode]) </t>
  </si>
  <si>
    <t>for match_mode</t>
  </si>
  <si>
    <t>0- exact match</t>
  </si>
  <si>
    <t>search first-to-last</t>
  </si>
  <si>
    <t>search last-to-first</t>
  </si>
  <si>
    <t>binary search(sorted asc order)</t>
  </si>
  <si>
    <t>binary search(sorted desc order)</t>
  </si>
  <si>
    <t>for search mode</t>
  </si>
  <si>
    <t>Level</t>
  </si>
  <si>
    <t>service</t>
  </si>
  <si>
    <t>quality</t>
  </si>
  <si>
    <t>value</t>
  </si>
  <si>
    <t>cleanliness</t>
  </si>
  <si>
    <t>Excellent</t>
  </si>
  <si>
    <t>Good</t>
  </si>
  <si>
    <t>Average</t>
  </si>
  <si>
    <t>Poor</t>
  </si>
  <si>
    <t>Kiwi</t>
  </si>
  <si>
    <t>tot week</t>
  </si>
  <si>
    <t>apples sold</t>
  </si>
  <si>
    <t>day 1</t>
  </si>
  <si>
    <t>day 2</t>
  </si>
  <si>
    <t>day 3</t>
  </si>
  <si>
    <t>day 4</t>
  </si>
  <si>
    <t>day 5</t>
  </si>
  <si>
    <t>day 6</t>
  </si>
  <si>
    <t>day 7</t>
  </si>
  <si>
    <t>XLOOKUP</t>
  </si>
  <si>
    <t>Excel book</t>
  </si>
  <si>
    <t>How to use excel for data analysis</t>
  </si>
  <si>
    <t>Excel stat</t>
  </si>
  <si>
    <t>Download ms office 2021 https://www.youtube.com/watch?v=FGSvz49t-ys</t>
  </si>
  <si>
    <t>alt+f11 for macros</t>
  </si>
  <si>
    <t>alt+f8 to view macros</t>
  </si>
  <si>
    <t>To name macros</t>
  </si>
  <si>
    <t>max 255 characters, no spaces, the first character must be alphabet and it should be capitalized.</t>
  </si>
  <si>
    <t>To write macros function</t>
  </si>
  <si>
    <t>output</t>
  </si>
  <si>
    <t>To lock our macros go to Tools select VBA project Properties then go to Protection enable Lock protect and give the password.</t>
  </si>
  <si>
    <t>https://www.youtube.com/watch?v=5B8XeJf-v0o</t>
  </si>
  <si>
    <t>Ref</t>
  </si>
  <si>
    <t>We can give button option to enable macros changes, for that go to Developer and go to the Insert click the button, place the button in the desired cells, and select the macros function</t>
  </si>
  <si>
    <t>Student</t>
  </si>
  <si>
    <t>Marks</t>
  </si>
  <si>
    <t>Off set</t>
  </si>
  <si>
    <t>move down four cells and take the right two columns from the selected cell</t>
  </si>
  <si>
    <t>Let's say our selected cell is N20, so it goes to p24</t>
  </si>
  <si>
    <t>we can also specifies single move that is either row or column</t>
  </si>
  <si>
    <t xml:space="preserve">Marks of a 2nd student next to </t>
  </si>
  <si>
    <t>R24</t>
  </si>
  <si>
    <t>Range(ActiveCell.Offset(1, 1), ActiveCell.Offset(-3, 3))</t>
  </si>
  <si>
    <t xml:space="preserve">Range is </t>
  </si>
  <si>
    <t>R31</t>
  </si>
  <si>
    <t>one cell down and one cell right from then 3 cells up and 3 cells right from selected</t>
  </si>
  <si>
    <t>Variables</t>
  </si>
  <si>
    <t>String functions</t>
  </si>
  <si>
    <t>check two strings are same or not</t>
  </si>
  <si>
    <t>http://www.java2s.com/Code/VBA-Excel-Access-Word/String-Functions/CatalogString-Functions.htm</t>
  </si>
  <si>
    <t>Hide Columns or Rows</t>
  </si>
  <si>
    <t>1. select the column or row right click and select hide/unhide</t>
  </si>
  <si>
    <t>2. select the columns or rows go to the Home tab click the Format option go to Hide&amp;Unhide option</t>
  </si>
  <si>
    <t>3. ctrl+9 to hide rows, ctrl+0 for columns, to unhide Ctrl + Shift + 9 for rows, Ctrl + Shift + 0 for columns</t>
  </si>
  <si>
    <t>a + b</t>
  </si>
  <si>
    <t>a - b</t>
  </si>
  <si>
    <t>a * b</t>
  </si>
  <si>
    <t>a / b</t>
  </si>
  <si>
    <t>input no. are</t>
  </si>
  <si>
    <t>Conditions</t>
  </si>
  <si>
    <t>lower case</t>
  </si>
  <si>
    <t>capital case</t>
  </si>
  <si>
    <t>DURGA</t>
  </si>
  <si>
    <t xml:space="preserve">   Durga</t>
  </si>
  <si>
    <t xml:space="preserve">     Durga</t>
  </si>
  <si>
    <t>Durgaa</t>
  </si>
  <si>
    <t>https://www.excelcampus.com/category/vba/</t>
  </si>
  <si>
    <t>ppt ref</t>
  </si>
  <si>
    <t>https://info.think-cell.com/rs/287-QVC-366/images/EB-PPTBP23-EN-PowerPoint-Best-Practices.pdf</t>
  </si>
  <si>
    <t>https://www.youtube.com/@ExcelCampus/playlists</t>
  </si>
  <si>
    <t>InStr</t>
  </si>
  <si>
    <t>InStrRev</t>
  </si>
  <si>
    <t>InStrReverse</t>
  </si>
  <si>
    <t>search for one string</t>
  </si>
  <si>
    <t>agruD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</si>
</sst>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409]mmmm\-yy;@"/>
    <numFmt numFmtId="165" formatCode="0.000"/>
    <numFmt numFmtId="166" formatCode="_(&quot;$&quot;* #,##0.00_);_(&quot;$&quot;* \(#,##0.00\);_(&quot;$&quot;* &quot;-&quot;??_);_(@_)"/>
    <numFmt numFmtId="167" formatCode="_(&quot;$&quot;* #,##0_);_(&quot;$&quot;* \(#,##0\);_(&quot;$&quot;* &quot;-&quot;??_);_(@_)"/>
    <numFmt numFmtId="168" formatCode="0.0000"/>
    <numFmt numFmtId="169" formatCode="0.0"/>
  </numFmts>
  <fonts count="57">
    <font>
      <sz val="11"/>
      <color theme="1"/>
      <name val="Calibri"/>
      <family val="2"/>
      <scheme val="minor"/>
    </font>
    <font>
      <b/>
      <sz val="11"/>
      <color theme="1"/>
      <name val="Calibri"/>
      <family val="2"/>
      <scheme val="minor"/>
    </font>
    <font>
      <sz val="8"/>
      <name val="Calibri"/>
      <family val="2"/>
      <scheme val="minor"/>
    </font>
    <font>
      <sz val="11"/>
      <color rgb="FF000000"/>
      <name val="Verdana"/>
      <family val="2"/>
    </font>
    <font>
      <sz val="11"/>
      <color rgb="FF000000"/>
      <name val="Consolas"/>
      <family val="3"/>
    </font>
    <font>
      <b/>
      <sz val="11"/>
      <color rgb="FF000000"/>
      <name val="Consolas"/>
      <family val="3"/>
    </font>
    <font>
      <sz val="15"/>
      <color rgb="FF0000FF"/>
      <name val="Inherit"/>
    </font>
    <font>
      <sz val="11"/>
      <color theme="8" tint="-0.499984740745262"/>
      <name val="Calibri"/>
      <family val="2"/>
      <scheme val="minor"/>
    </font>
    <font>
      <sz val="12"/>
      <color rgb="FF0C0C0C"/>
      <name val="Arial"/>
      <family val="2"/>
    </font>
    <font>
      <sz val="10"/>
      <color rgb="FF000000"/>
      <name val="Verdana"/>
      <family val="2"/>
    </font>
    <font>
      <sz val="10"/>
      <color rgb="FFDC143C"/>
      <name val="Consolas"/>
      <family val="3"/>
    </font>
    <font>
      <sz val="11"/>
      <color theme="1"/>
      <name val="Arial Black"/>
      <family val="2"/>
    </font>
    <font>
      <sz val="14"/>
      <color rgb="FF4E4E4E"/>
      <name val="Source Sans Pro"/>
      <family val="2"/>
    </font>
    <font>
      <b/>
      <sz val="14"/>
      <color rgb="FF4E4E4E"/>
      <name val="Source Sans Pro"/>
      <family val="2"/>
    </font>
    <font>
      <u/>
      <sz val="11"/>
      <color theme="10"/>
      <name val="Calibri"/>
      <family val="2"/>
      <scheme val="minor"/>
    </font>
    <font>
      <sz val="11"/>
      <color theme="1"/>
      <name val="Calibri"/>
      <family val="2"/>
      <scheme val="minor"/>
    </font>
    <font>
      <sz val="11"/>
      <color theme="0"/>
      <name val="Calibri"/>
      <family val="2"/>
      <scheme val="minor"/>
    </font>
    <font>
      <u/>
      <sz val="11"/>
      <color theme="10"/>
      <name val="Schriftart für Textkörper"/>
      <family val="2"/>
    </font>
    <font>
      <sz val="11"/>
      <color theme="1" tint="4.9989318521683403E-2"/>
      <name val="Calibri"/>
      <family val="2"/>
      <scheme val="minor"/>
    </font>
    <font>
      <sz val="11"/>
      <color rgb="FF002060"/>
      <name val="Arial Black"/>
      <family val="2"/>
    </font>
    <font>
      <b/>
      <sz val="11"/>
      <color theme="1" tint="4.9989318521683403E-2"/>
      <name val="Calibri"/>
      <family val="2"/>
      <scheme val="minor"/>
    </font>
    <font>
      <sz val="11"/>
      <color theme="8" tint="-0.249977111117893"/>
      <name val="Arial Black"/>
      <family val="2"/>
    </font>
    <font>
      <sz val="9"/>
      <color indexed="81"/>
      <name val="Tahoma"/>
      <family val="2"/>
    </font>
    <font>
      <b/>
      <sz val="9"/>
      <color indexed="81"/>
      <name val="Tahoma"/>
      <family val="2"/>
    </font>
    <font>
      <sz val="11"/>
      <color theme="4"/>
      <name val="Arial"/>
      <family val="2"/>
    </font>
    <font>
      <sz val="12"/>
      <color rgb="FF1B2124"/>
      <name val="Arial"/>
      <family val="2"/>
    </font>
    <font>
      <sz val="12"/>
      <color rgb="FF333333"/>
      <name val="Segoe UI"/>
      <family val="2"/>
    </font>
    <font>
      <sz val="12"/>
      <color rgb="FF1E1E1E"/>
      <name val="Segoe UI"/>
      <family val="2"/>
    </font>
    <font>
      <sz val="11"/>
      <color theme="1"/>
      <name val="Arial Rounded MT Bold"/>
      <family val="2"/>
    </font>
    <font>
      <i/>
      <sz val="11"/>
      <color theme="1"/>
      <name val="Calibri"/>
      <family val="2"/>
      <scheme val="minor"/>
    </font>
    <font>
      <sz val="9"/>
      <color theme="1"/>
      <name val="Arial"/>
      <family val="2"/>
    </font>
    <font>
      <b/>
      <sz val="9"/>
      <color theme="1"/>
      <name val="Arial"/>
      <family val="2"/>
    </font>
    <font>
      <b/>
      <sz val="9"/>
      <color rgb="FF002060"/>
      <name val="Arial"/>
      <family val="2"/>
    </font>
    <font>
      <sz val="9"/>
      <color rgb="FF000000"/>
      <name val="Arial"/>
      <family val="2"/>
    </font>
    <font>
      <sz val="11"/>
      <color rgb="FF000000"/>
      <name val="Calibri"/>
      <family val="2"/>
    </font>
    <font>
      <sz val="11"/>
      <color rgb="FF000000"/>
      <name val="Calibri"/>
      <family val="2"/>
    </font>
    <font>
      <sz val="12"/>
      <color rgb="FF000C1F"/>
      <name val="Arial"/>
      <family val="2"/>
    </font>
    <font>
      <b/>
      <sz val="11"/>
      <color rgb="FF000000"/>
      <name val="Calibri"/>
      <family val="2"/>
      <scheme val="minor"/>
    </font>
    <font>
      <sz val="11"/>
      <color rgb="FF000000"/>
      <name val="Calibri"/>
      <family val="2"/>
      <scheme val="minor"/>
    </font>
    <font>
      <sz val="11"/>
      <color theme="4"/>
      <name val="Calibri"/>
      <family val="2"/>
      <scheme val="minor"/>
    </font>
    <font>
      <sz val="11"/>
      <color rgb="FFC00000"/>
      <name val="Calibri"/>
      <family val="2"/>
      <scheme val="minor"/>
    </font>
    <font>
      <sz val="11"/>
      <color theme="4" tint="-0.249977111117893"/>
      <name val="Calibri"/>
      <family val="2"/>
      <scheme val="minor"/>
    </font>
    <font>
      <sz val="12"/>
      <color rgb="FF57595D"/>
      <name val="Segoe UI"/>
      <family val="2"/>
    </font>
    <font>
      <sz val="17"/>
      <color rgb="FF000000"/>
      <name val="Helvetica"/>
    </font>
    <font>
      <sz val="14"/>
      <color rgb="FF000000"/>
      <name val="Arial Narrow"/>
      <family val="2"/>
    </font>
    <font>
      <sz val="12"/>
      <color rgb="FF000000"/>
      <name val="Times New Roman"/>
      <family val="1"/>
    </font>
    <font>
      <sz val="11"/>
      <color theme="1" tint="0.499984740745262"/>
      <name val="Calibri"/>
      <family val="2"/>
      <scheme val="minor"/>
    </font>
    <font>
      <sz val="12"/>
      <name val="Times New Roman"/>
      <family val="1"/>
    </font>
    <font>
      <sz val="12"/>
      <name val="Calibri"/>
      <family val="2"/>
      <scheme val="minor"/>
    </font>
    <font>
      <b/>
      <sz val="11"/>
      <color rgb="FF000000"/>
      <name val="Arial"/>
      <family val="2"/>
      <charset val="177"/>
    </font>
    <font>
      <sz val="11"/>
      <color rgb="FF000000"/>
      <name val="Arial"/>
      <family val="2"/>
      <charset val="177"/>
    </font>
    <font>
      <sz val="11"/>
      <color rgb="FF444444"/>
      <name val="Calibri"/>
      <family val="2"/>
      <charset val="1"/>
      <scheme val="minor"/>
    </font>
    <font>
      <b/>
      <sz val="10"/>
      <color rgb="FF1E1E1E"/>
      <name val="Times New Roman"/>
      <family val="1"/>
    </font>
    <font>
      <sz val="12"/>
      <color theme="1"/>
      <name val="Arial Black"/>
      <family val="2"/>
    </font>
    <font>
      <sz val="11"/>
      <name val="Calibri"/>
      <family val="2"/>
      <scheme val="minor"/>
    </font>
    <font>
      <b/>
      <sz val="11"/>
      <color rgb="FF002060"/>
      <name val="Calibri"/>
      <family val="2"/>
      <scheme val="minor"/>
    </font>
    <font>
      <b/>
      <i/>
      <sz val="15"/>
      <color theme="1"/>
      <name val="Verdena"/>
    </font>
  </fonts>
  <fills count="30">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4"/>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3" tint="0.39997558519241921"/>
        <bgColor indexed="64"/>
      </patternFill>
    </fill>
    <fill>
      <patternFill patternType="solid">
        <fgColor rgb="FF002060"/>
        <bgColor indexed="64"/>
      </patternFill>
    </fill>
    <fill>
      <patternFill patternType="gray125">
        <bgColor theme="7"/>
      </patternFill>
    </fill>
    <fill>
      <patternFill patternType="solid">
        <fgColor theme="7" tint="-0.249977111117893"/>
        <bgColor indexed="64"/>
      </patternFill>
    </fill>
    <fill>
      <patternFill patternType="solid">
        <fgColor theme="0"/>
        <bgColor rgb="FF9CC2E5"/>
      </patternFill>
    </fill>
    <fill>
      <patternFill patternType="solid">
        <fgColor rgb="FFFFFFFF"/>
        <bgColor rgb="FFFFFFFF"/>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rgb="FFD9E1F2"/>
        <bgColor rgb="FF000000"/>
      </patternFill>
    </fill>
    <fill>
      <patternFill patternType="solid">
        <fgColor rgb="FF00FF00"/>
        <bgColor indexed="64"/>
      </patternFill>
    </fill>
  </fills>
  <borders count="30">
    <border>
      <left/>
      <right/>
      <top/>
      <bottom/>
      <diagonal/>
    </border>
    <border>
      <left/>
      <right/>
      <top/>
      <bottom style="medium">
        <color rgb="FF2981B9"/>
      </bottom>
      <diagonal/>
    </border>
    <border>
      <left/>
      <right/>
      <top/>
      <bottom style="thin">
        <color indexed="64"/>
      </bottom>
      <diagonal/>
    </border>
    <border>
      <left/>
      <right/>
      <top style="thin">
        <color indexed="64"/>
      </top>
      <bottom/>
      <diagonal/>
    </border>
    <border>
      <left/>
      <right/>
      <top/>
      <bottom style="medium">
        <color indexed="64"/>
      </bottom>
      <diagonal/>
    </border>
    <border>
      <left/>
      <right/>
      <top style="medium">
        <color indexed="64"/>
      </top>
      <bottom style="thin">
        <color indexed="64"/>
      </bottom>
      <diagonal/>
    </border>
    <border>
      <left/>
      <right/>
      <top/>
      <bottom style="thin">
        <color theme="8" tint="-0.499984740745262"/>
      </bottom>
      <diagonal/>
    </border>
    <border>
      <left/>
      <right/>
      <top/>
      <bottom style="medium">
        <color rgb="FF00206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bottom/>
      <diagonal/>
    </border>
    <border>
      <left/>
      <right style="thin">
        <color indexed="8"/>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1">
    <xf numFmtId="0" fontId="0" fillId="0" borderId="0"/>
    <xf numFmtId="0" fontId="14" fillId="0" borderId="0" applyNumberFormat="0" applyFill="0" applyBorder="0" applyAlignment="0" applyProtection="0"/>
    <xf numFmtId="0" fontId="1" fillId="0" borderId="1" applyNumberFormat="0" applyFill="0" applyAlignment="0" applyProtection="0"/>
    <xf numFmtId="0" fontId="15" fillId="0" borderId="0"/>
    <xf numFmtId="0" fontId="14" fillId="0" borderId="0" applyNumberFormat="0" applyFill="0" applyBorder="0" applyAlignment="0" applyProtection="0"/>
    <xf numFmtId="0" fontId="17" fillId="0" borderId="0" applyNumberForma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34" fillId="0" borderId="0"/>
    <xf numFmtId="166" fontId="35" fillId="0" borderId="0" applyFont="0" applyFill="0" applyBorder="0" applyAlignment="0" applyProtection="0"/>
    <xf numFmtId="166" fontId="15" fillId="0" borderId="0" applyFont="0" applyFill="0" applyBorder="0" applyAlignment="0" applyProtection="0"/>
  </cellStyleXfs>
  <cellXfs count="165">
    <xf numFmtId="0" fontId="0" fillId="0" borderId="0" xfId="0"/>
    <xf numFmtId="14" fontId="0" fillId="0" borderId="0" xfId="0" applyNumberFormat="1"/>
    <xf numFmtId="0" fontId="0" fillId="2" borderId="0" xfId="0" applyFill="1"/>
    <xf numFmtId="14" fontId="0" fillId="2" borderId="0" xfId="0" applyNumberFormat="1" applyFill="1"/>
    <xf numFmtId="0" fontId="0" fillId="3" borderId="0" xfId="0" applyFill="1"/>
    <xf numFmtId="0" fontId="0" fillId="0" borderId="0" xfId="0" applyAlignment="1">
      <alignment vertical="top"/>
    </xf>
    <xf numFmtId="0" fontId="6" fillId="0" borderId="0" xfId="0" applyFont="1" applyAlignment="1">
      <alignment horizontal="left" vertical="center" indent="2"/>
    </xf>
    <xf numFmtId="0" fontId="0" fillId="6" borderId="0" xfId="0" applyFill="1"/>
    <xf numFmtId="0" fontId="1" fillId="6" borderId="0" xfId="0" applyFont="1" applyFill="1"/>
    <xf numFmtId="0" fontId="7" fillId="3" borderId="0" xfId="0" applyFont="1" applyFill="1"/>
    <xf numFmtId="0" fontId="0" fillId="9" borderId="0" xfId="0" applyFill="1"/>
    <xf numFmtId="0" fontId="0" fillId="10" borderId="0" xfId="0" applyFill="1"/>
    <xf numFmtId="0" fontId="11" fillId="6" borderId="0" xfId="0" applyFont="1" applyFill="1"/>
    <xf numFmtId="0" fontId="0" fillId="0" borderId="0" xfId="0" applyAlignment="1">
      <alignment horizontal="center"/>
    </xf>
    <xf numFmtId="0" fontId="0" fillId="11" borderId="0" xfId="0" applyFill="1"/>
    <xf numFmtId="0" fontId="14" fillId="0" borderId="0" xfId="1"/>
    <xf numFmtId="0" fontId="1" fillId="0" borderId="1" xfId="2"/>
    <xf numFmtId="0" fontId="1" fillId="0" borderId="1" xfId="2" applyAlignment="1">
      <alignment wrapText="1"/>
    </xf>
    <xf numFmtId="0" fontId="0" fillId="0" borderId="0" xfId="0" pivotButton="1"/>
    <xf numFmtId="0" fontId="0" fillId="0" borderId="0" xfId="0" applyAlignment="1">
      <alignment horizontal="left"/>
    </xf>
    <xf numFmtId="4" fontId="0" fillId="0" borderId="0" xfId="0" applyNumberFormat="1"/>
    <xf numFmtId="0" fontId="11" fillId="14" borderId="0" xfId="0" applyFont="1" applyFill="1"/>
    <xf numFmtId="22" fontId="0" fillId="0" borderId="0" xfId="0" applyNumberFormat="1"/>
    <xf numFmtId="2" fontId="0" fillId="0" borderId="0" xfId="0" applyNumberFormat="1"/>
    <xf numFmtId="164" fontId="0" fillId="0" borderId="0" xfId="0" applyNumberFormat="1" applyAlignment="1">
      <alignment horizontal="left"/>
    </xf>
    <xf numFmtId="0" fontId="0" fillId="0" borderId="0" xfId="0" applyAlignment="1">
      <alignment horizontal="right"/>
    </xf>
    <xf numFmtId="164" fontId="18" fillId="0" borderId="0" xfId="0" applyNumberFormat="1" applyFont="1" applyAlignment="1">
      <alignment horizontal="left"/>
    </xf>
    <xf numFmtId="0" fontId="18" fillId="0" borderId="0" xfId="0" applyFont="1"/>
    <xf numFmtId="0" fontId="18" fillId="0" borderId="0" xfId="0" applyFont="1" applyAlignment="1">
      <alignment horizontal="right"/>
    </xf>
    <xf numFmtId="16" fontId="0" fillId="0" borderId="0" xfId="0" applyNumberFormat="1"/>
    <xf numFmtId="17" fontId="0" fillId="0" borderId="0" xfId="0" applyNumberFormat="1"/>
    <xf numFmtId="9" fontId="0" fillId="0" borderId="0" xfId="6" applyFont="1"/>
    <xf numFmtId="164" fontId="0" fillId="0" borderId="0" xfId="0" applyNumberFormat="1"/>
    <xf numFmtId="0" fontId="19" fillId="11" borderId="0" xfId="0" applyFont="1" applyFill="1"/>
    <xf numFmtId="0" fontId="21" fillId="2" borderId="0" xfId="0" applyFont="1" applyFill="1"/>
    <xf numFmtId="3" fontId="0" fillId="0" borderId="0" xfId="0" applyNumberFormat="1"/>
    <xf numFmtId="0" fontId="20" fillId="16" borderId="0" xfId="0" applyFont="1" applyFill="1" applyAlignment="1">
      <alignment horizontal="center"/>
    </xf>
    <xf numFmtId="0" fontId="0" fillId="0" borderId="3" xfId="0" applyBorder="1"/>
    <xf numFmtId="0" fontId="0" fillId="18" borderId="0" xfId="0" applyFill="1"/>
    <xf numFmtId="0" fontId="0" fillId="19" borderId="0" xfId="0" applyFill="1"/>
    <xf numFmtId="0" fontId="0" fillId="13" borderId="0" xfId="0" applyFill="1"/>
    <xf numFmtId="0" fontId="24" fillId="21" borderId="0" xfId="0" applyFont="1" applyFill="1"/>
    <xf numFmtId="0" fontId="25" fillId="0" borderId="0" xfId="0" applyFont="1"/>
    <xf numFmtId="0" fontId="0" fillId="0" borderId="0" xfId="0" applyAlignment="1">
      <alignment wrapText="1"/>
    </xf>
    <xf numFmtId="0" fontId="21" fillId="11" borderId="0" xfId="0" applyFont="1" applyFill="1"/>
    <xf numFmtId="0" fontId="0" fillId="7" borderId="0" xfId="0" applyFill="1"/>
    <xf numFmtId="0" fontId="26" fillId="0" borderId="0" xfId="0" applyFont="1"/>
    <xf numFmtId="0" fontId="27" fillId="0" borderId="0" xfId="0" applyFont="1"/>
    <xf numFmtId="0" fontId="0" fillId="22" borderId="0" xfId="0" applyFill="1"/>
    <xf numFmtId="0" fontId="1" fillId="0" borderId="0" xfId="0" applyFont="1"/>
    <xf numFmtId="0" fontId="0" fillId="0" borderId="4" xfId="0" applyBorder="1"/>
    <xf numFmtId="0" fontId="29" fillId="0" borderId="5" xfId="0" applyFont="1" applyBorder="1" applyAlignment="1">
      <alignment horizontal="center"/>
    </xf>
    <xf numFmtId="0" fontId="29" fillId="0" borderId="5" xfId="0" applyFont="1" applyBorder="1" applyAlignment="1">
      <alignment horizontal="centerContinuous"/>
    </xf>
    <xf numFmtId="0" fontId="30" fillId="7" borderId="0" xfId="0" applyFont="1" applyFill="1" applyAlignment="1">
      <alignment horizontal="center" vertical="center"/>
    </xf>
    <xf numFmtId="0" fontId="31" fillId="7" borderId="6" xfId="0" applyFont="1" applyFill="1" applyBorder="1" applyAlignment="1">
      <alignment horizontal="center" vertical="center"/>
    </xf>
    <xf numFmtId="0" fontId="32" fillId="23" borderId="7" xfId="0" applyFont="1" applyFill="1" applyBorder="1" applyAlignment="1">
      <alignment horizontal="center" vertical="center"/>
    </xf>
    <xf numFmtId="2" fontId="33" fillId="0" borderId="0" xfId="0" applyNumberFormat="1" applyFont="1" applyAlignment="1">
      <alignment horizontal="center" vertical="center"/>
    </xf>
    <xf numFmtId="165" fontId="0" fillId="0" borderId="0" xfId="0" applyNumberFormat="1"/>
    <xf numFmtId="9" fontId="0" fillId="0" borderId="0" xfId="0" applyNumberFormat="1"/>
    <xf numFmtId="167" fontId="0" fillId="0" borderId="0" xfId="0" applyNumberFormat="1"/>
    <xf numFmtId="0" fontId="33" fillId="24" borderId="0" xfId="8" applyFont="1" applyFill="1" applyAlignment="1">
      <alignment horizontal="center" vertical="center"/>
    </xf>
    <xf numFmtId="1" fontId="33" fillId="24" borderId="0" xfId="8" applyNumberFormat="1" applyFont="1" applyFill="1" applyAlignment="1">
      <alignment horizontal="center" vertical="center"/>
    </xf>
    <xf numFmtId="0" fontId="32" fillId="23" borderId="7" xfId="8" applyFont="1" applyFill="1" applyBorder="1" applyAlignment="1">
      <alignment horizontal="center" vertical="center"/>
    </xf>
    <xf numFmtId="167" fontId="33" fillId="0" borderId="0" xfId="9" applyNumberFormat="1" applyFont="1" applyAlignment="1">
      <alignment horizontal="center" vertical="center"/>
    </xf>
    <xf numFmtId="0" fontId="33" fillId="0" borderId="0" xfId="8" applyFont="1" applyAlignment="1">
      <alignment horizontal="center" vertical="center"/>
    </xf>
    <xf numFmtId="0" fontId="36" fillId="0" borderId="0" xfId="0" applyFont="1"/>
    <xf numFmtId="0" fontId="37" fillId="0" borderId="0" xfId="0" applyFont="1"/>
    <xf numFmtId="0" fontId="38" fillId="0" borderId="0" xfId="0" applyFont="1"/>
    <xf numFmtId="168" fontId="0" fillId="0" borderId="0" xfId="0" applyNumberFormat="1"/>
    <xf numFmtId="2" fontId="0" fillId="0" borderId="0" xfId="0" applyNumberFormat="1" applyAlignment="1">
      <alignment horizontal="center"/>
    </xf>
    <xf numFmtId="2" fontId="0" fillId="0" borderId="8" xfId="0" applyNumberFormat="1" applyBorder="1"/>
    <xf numFmtId="2" fontId="0" fillId="0" borderId="0" xfId="0" applyNumberFormat="1" applyAlignment="1">
      <alignment horizontal="right"/>
    </xf>
    <xf numFmtId="2" fontId="0" fillId="0" borderId="9" xfId="0" applyNumberFormat="1" applyBorder="1"/>
    <xf numFmtId="2" fontId="0" fillId="0" borderId="10" xfId="0" applyNumberFormat="1" applyBorder="1"/>
    <xf numFmtId="2" fontId="0" fillId="0" borderId="11" xfId="0" applyNumberFormat="1" applyBorder="1"/>
    <xf numFmtId="2" fontId="0" fillId="0" borderId="12" xfId="0" applyNumberFormat="1" applyBorder="1"/>
    <xf numFmtId="2" fontId="0" fillId="0" borderId="13" xfId="0" applyNumberFormat="1" applyBorder="1"/>
    <xf numFmtId="2" fontId="0" fillId="0" borderId="14" xfId="0" applyNumberFormat="1" applyBorder="1"/>
    <xf numFmtId="2" fontId="0" fillId="0" borderId="15" xfId="0" applyNumberFormat="1" applyBorder="1"/>
    <xf numFmtId="2" fontId="0" fillId="0" borderId="16" xfId="0" applyNumberFormat="1" applyBorder="1"/>
    <xf numFmtId="2" fontId="0" fillId="0" borderId="17" xfId="0" applyNumberFormat="1" applyBorder="1"/>
    <xf numFmtId="2" fontId="0" fillId="0" borderId="18" xfId="0" applyNumberFormat="1" applyBorder="1"/>
    <xf numFmtId="2" fontId="0" fillId="0" borderId="19" xfId="0" applyNumberFormat="1" applyBorder="1"/>
    <xf numFmtId="2" fontId="39" fillId="0" borderId="0" xfId="0" applyNumberFormat="1" applyFont="1"/>
    <xf numFmtId="2" fontId="40" fillId="0" borderId="0" xfId="0" applyNumberFormat="1" applyFont="1"/>
    <xf numFmtId="2" fontId="41" fillId="0" borderId="0" xfId="0" applyNumberFormat="1" applyFont="1"/>
    <xf numFmtId="169" fontId="0" fillId="0" borderId="0" xfId="0" applyNumberFormat="1"/>
    <xf numFmtId="0" fontId="19" fillId="2" borderId="0" xfId="0" applyFont="1" applyFill="1"/>
    <xf numFmtId="0" fontId="42" fillId="0" borderId="0" xfId="0" applyFont="1"/>
    <xf numFmtId="0" fontId="0" fillId="4" borderId="0" xfId="0" applyFill="1" applyAlignment="1">
      <alignment horizontal="center"/>
    </xf>
    <xf numFmtId="0" fontId="0" fillId="7" borderId="0" xfId="0" applyFill="1" applyAlignment="1">
      <alignment horizontal="center"/>
    </xf>
    <xf numFmtId="0" fontId="43" fillId="0" borderId="0" xfId="0" applyFont="1"/>
    <xf numFmtId="0" fontId="44" fillId="0" borderId="0" xfId="0" applyFont="1"/>
    <xf numFmtId="0" fontId="0" fillId="16" borderId="0" xfId="0" applyFill="1"/>
    <xf numFmtId="0" fontId="0" fillId="15" borderId="0" xfId="0" applyFill="1"/>
    <xf numFmtId="0" fontId="0" fillId="25" borderId="0" xfId="0" applyFill="1"/>
    <xf numFmtId="0" fontId="45" fillId="0" borderId="0" xfId="0" applyFont="1"/>
    <xf numFmtId="0" fontId="0" fillId="0" borderId="0" xfId="0" quotePrefix="1" applyAlignment="1">
      <alignment horizontal="center"/>
    </xf>
    <xf numFmtId="0" fontId="8" fillId="0" borderId="0" xfId="0" applyFont="1" applyAlignment="1">
      <alignment horizontal="center"/>
    </xf>
    <xf numFmtId="0" fontId="0" fillId="26" borderId="0" xfId="0" applyFill="1"/>
    <xf numFmtId="0" fontId="46" fillId="7" borderId="0" xfId="0" applyFont="1" applyFill="1" applyAlignment="1">
      <alignment horizontal="center"/>
    </xf>
    <xf numFmtId="0" fontId="0" fillId="0" borderId="0" xfId="0" applyAlignment="1">
      <alignment horizontal="center" vertical="center"/>
    </xf>
    <xf numFmtId="0" fontId="47" fillId="0" borderId="0" xfId="0" applyFont="1" applyAlignment="1">
      <alignment horizontal="left" vertical="center" indent="2"/>
    </xf>
    <xf numFmtId="0" fontId="47" fillId="22" borderId="0" xfId="0" applyFont="1" applyFill="1" applyAlignment="1">
      <alignment horizontal="left" vertical="center" indent="2"/>
    </xf>
    <xf numFmtId="0" fontId="0" fillId="22" borderId="0" xfId="0" applyFill="1" applyAlignment="1">
      <alignment horizontal="center"/>
    </xf>
    <xf numFmtId="49" fontId="0" fillId="0" borderId="0" xfId="0" applyNumberFormat="1" applyAlignment="1">
      <alignment horizontal="center" vertical="center"/>
    </xf>
    <xf numFmtId="0" fontId="0" fillId="9" borderId="0" xfId="0" applyFill="1" applyAlignment="1">
      <alignment horizontal="center"/>
    </xf>
    <xf numFmtId="0" fontId="0" fillId="27" borderId="0" xfId="0" applyFill="1"/>
    <xf numFmtId="0" fontId="48" fillId="27" borderId="20" xfId="0" applyFont="1" applyFill="1" applyBorder="1" applyAlignment="1">
      <alignment horizontal="center"/>
    </xf>
    <xf numFmtId="0" fontId="48" fillId="27" borderId="20" xfId="0" applyFont="1" applyFill="1" applyBorder="1"/>
    <xf numFmtId="0" fontId="0" fillId="0" borderId="20" xfId="0" applyBorder="1" applyAlignment="1">
      <alignment horizontal="center"/>
    </xf>
    <xf numFmtId="0" fontId="0" fillId="0" borderId="20" xfId="0" applyBorder="1"/>
    <xf numFmtId="0" fontId="49" fillId="28" borderId="21" xfId="0" applyFont="1" applyFill="1" applyBorder="1"/>
    <xf numFmtId="0" fontId="49" fillId="28" borderId="22" xfId="0" applyFont="1" applyFill="1" applyBorder="1"/>
    <xf numFmtId="0" fontId="49" fillId="28" borderId="23" xfId="0" applyFont="1" applyFill="1" applyBorder="1"/>
    <xf numFmtId="0" fontId="50" fillId="0" borderId="24" xfId="0" applyFont="1" applyBorder="1"/>
    <xf numFmtId="0" fontId="50" fillId="0" borderId="25" xfId="0" applyFont="1" applyBorder="1"/>
    <xf numFmtId="0" fontId="50" fillId="0" borderId="26" xfId="0" applyFont="1" applyBorder="1"/>
    <xf numFmtId="0" fontId="50" fillId="0" borderId="27" xfId="0" applyFont="1" applyBorder="1"/>
    <xf numFmtId="0" fontId="50" fillId="0" borderId="28" xfId="0" applyFont="1" applyBorder="1"/>
    <xf numFmtId="0" fontId="50" fillId="0" borderId="29" xfId="0" applyFont="1" applyBorder="1"/>
    <xf numFmtId="0" fontId="50" fillId="0" borderId="0" xfId="0" applyFont="1"/>
    <xf numFmtId="0" fontId="51" fillId="0" borderId="0" xfId="0" applyFont="1"/>
    <xf numFmtId="0" fontId="50" fillId="0" borderId="0" xfId="0" quotePrefix="1" applyFont="1"/>
    <xf numFmtId="0" fontId="52" fillId="0" borderId="0" xfId="0" applyFont="1"/>
    <xf numFmtId="0" fontId="54" fillId="0" borderId="0" xfId="1" applyFont="1"/>
    <xf numFmtId="0" fontId="39" fillId="0" borderId="0" xfId="0" applyFont="1" applyAlignment="1">
      <alignment horizontal="center" vertical="center"/>
    </xf>
    <xf numFmtId="0" fontId="55" fillId="0" borderId="0" xfId="0" applyFont="1" applyAlignment="1">
      <alignment horizontal="center" vertical="center"/>
    </xf>
    <xf numFmtId="0" fontId="0" fillId="29" borderId="0" xfId="0" applyFill="1" applyAlignment="1">
      <alignment horizontal="center"/>
    </xf>
    <xf numFmtId="0" fontId="56" fillId="0" borderId="0" xfId="0" applyFont="1"/>
    <xf numFmtId="0" fontId="0" fillId="0" borderId="0" xfId="0" applyAlignment="1">
      <alignment horizontal="center"/>
    </xf>
    <xf numFmtId="0" fontId="0" fillId="17" borderId="0" xfId="0" applyFill="1" applyAlignment="1">
      <alignment horizontal="center"/>
    </xf>
    <xf numFmtId="0" fontId="0" fillId="0" borderId="3" xfId="0" applyBorder="1" applyAlignment="1">
      <alignment horizontal="center"/>
    </xf>
    <xf numFmtId="0" fontId="21" fillId="11" borderId="0" xfId="0" applyFont="1" applyFill="1" applyAlignment="1">
      <alignment horizontal="center"/>
    </xf>
    <xf numFmtId="0" fontId="16" fillId="20" borderId="0" xfId="0" applyFont="1" applyFill="1" applyAlignment="1">
      <alignment horizontal="center"/>
    </xf>
    <xf numFmtId="0" fontId="0" fillId="6" borderId="0" xfId="0" applyFill="1" applyAlignment="1">
      <alignment horizontal="center"/>
    </xf>
    <xf numFmtId="0" fontId="0" fillId="16" borderId="0" xfId="0" applyFill="1" applyAlignment="1">
      <alignment horizontal="center"/>
    </xf>
    <xf numFmtId="0" fontId="11" fillId="12" borderId="0" xfId="0" applyFont="1" applyFill="1" applyAlignment="1">
      <alignment horizontal="center" wrapText="1"/>
    </xf>
    <xf numFmtId="0" fontId="1" fillId="0" borderId="0" xfId="0" quotePrefix="1" applyFont="1" applyAlignment="1">
      <alignment horizontal="center"/>
    </xf>
    <xf numFmtId="0" fontId="0" fillId="11" borderId="2" xfId="0" applyFill="1" applyBorder="1" applyAlignment="1">
      <alignment horizontal="center"/>
    </xf>
    <xf numFmtId="0" fontId="12" fillId="0" borderId="0" xfId="0" applyFont="1" applyAlignment="1">
      <alignment horizontal="center"/>
    </xf>
    <xf numFmtId="0" fontId="11" fillId="5" borderId="0" xfId="0" applyFont="1" applyFill="1" applyAlignment="1">
      <alignment horizontal="center"/>
    </xf>
    <xf numFmtId="0" fontId="0" fillId="0" borderId="0" xfId="0" applyAlignment="1">
      <alignment horizontal="center" vertical="top"/>
    </xf>
    <xf numFmtId="0" fontId="0" fillId="4" borderId="0" xfId="0" applyFill="1" applyAlignment="1">
      <alignment horizontal="center"/>
    </xf>
    <xf numFmtId="0" fontId="3" fillId="0" borderId="0" xfId="0" applyFont="1" applyAlignment="1">
      <alignment horizontal="center"/>
    </xf>
    <xf numFmtId="0" fontId="4" fillId="0" borderId="0" xfId="0" applyFont="1" applyAlignment="1">
      <alignment horizontal="center"/>
    </xf>
    <xf numFmtId="0" fontId="8" fillId="0" borderId="0" xfId="0" applyFont="1" applyAlignment="1">
      <alignment horizontal="center"/>
    </xf>
    <xf numFmtId="0" fontId="0" fillId="11" borderId="0" xfId="0" applyFill="1" applyAlignment="1">
      <alignment horizontal="center"/>
    </xf>
    <xf numFmtId="0" fontId="21" fillId="2" borderId="0" xfId="0" applyFont="1" applyFill="1" applyAlignment="1">
      <alignment horizontal="center"/>
    </xf>
    <xf numFmtId="0" fontId="16" fillId="15" borderId="0" xfId="0" applyFont="1"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0" fontId="1" fillId="2" borderId="0" xfId="0" applyFont="1" applyFill="1" applyAlignment="1">
      <alignment horizontal="center"/>
    </xf>
    <xf numFmtId="0" fontId="46" fillId="2" borderId="0" xfId="0" applyFont="1" applyFill="1" applyAlignment="1">
      <alignment horizontal="center"/>
    </xf>
    <xf numFmtId="0" fontId="11" fillId="11" borderId="0" xfId="0" applyFont="1" applyFill="1" applyAlignment="1">
      <alignment horizontal="center"/>
    </xf>
    <xf numFmtId="0" fontId="53" fillId="11" borderId="0" xfId="0" applyFont="1" applyFill="1" applyAlignment="1">
      <alignment horizontal="center"/>
    </xf>
    <xf numFmtId="2" fontId="0" fillId="13" borderId="0" xfId="0" applyNumberFormat="1" applyFill="1" applyAlignment="1">
      <alignment horizontal="center"/>
    </xf>
    <xf numFmtId="2" fontId="0" fillId="0" borderId="0" xfId="0" applyNumberFormat="1" applyAlignment="1">
      <alignment horizontal="center"/>
    </xf>
    <xf numFmtId="2" fontId="21" fillId="11" borderId="0" xfId="0" applyNumberFormat="1" applyFont="1" applyFill="1" applyAlignment="1">
      <alignment horizontal="center"/>
    </xf>
    <xf numFmtId="0" fontId="28" fillId="9" borderId="0" xfId="0" applyFont="1" applyFill="1" applyAlignment="1">
      <alignment horizontal="center"/>
    </xf>
    <xf numFmtId="0" fontId="0" fillId="11" borderId="0" xfId="0" applyFill="1" applyAlignment="1">
      <alignment horizontal="center" vertical="center"/>
    </xf>
    <xf numFmtId="0" fontId="0" fillId="13" borderId="0" xfId="0" applyFill="1" applyAlignment="1">
      <alignment horizontal="left" vertical="top"/>
    </xf>
  </cellXfs>
  <cellStyles count="11">
    <cellStyle name="Currency 2" xfId="9" xr:uid="{91070304-0799-4602-85A4-73C307ED4411}"/>
    <cellStyle name="Currency 3" xfId="10" xr:uid="{9B1E4FF1-95F2-46F5-94BC-2FB26BA56C8D}"/>
    <cellStyle name="Heading 1 2" xfId="2" xr:uid="{F81FDADB-5676-42D7-96BE-671734F206C8}"/>
    <cellStyle name="Hyperlink" xfId="1" builtinId="8"/>
    <cellStyle name="Hyperlink 2" xfId="4" xr:uid="{36E9DA1C-35AB-4441-9608-CC90841231D0}"/>
    <cellStyle name="Hyperlink 3" xfId="5" xr:uid="{09E7D4D0-DC84-405E-8B05-DC7F676FAB41}"/>
    <cellStyle name="Normal" xfId="0" builtinId="0"/>
    <cellStyle name="Normal 2" xfId="3" xr:uid="{705C4416-8F4F-4FA7-9C40-176FA59EC802}"/>
    <cellStyle name="Normal 3" xfId="8" xr:uid="{9AE85E3F-37E0-44BB-8C61-73DCBEB28549}"/>
    <cellStyle name="Percent" xfId="6" builtinId="5"/>
    <cellStyle name="Percent 2" xfId="7" xr:uid="{F63D443A-3406-445E-99E9-CC2E3F6559B5}"/>
  </cellStyles>
  <dxfs count="24">
    <dxf>
      <numFmt numFmtId="19" formatCode="dd/mm/yyyy"/>
    </dxf>
    <dxf>
      <border outline="0">
        <bottom style="medium">
          <color rgb="FF2981B9"/>
        </bottom>
      </border>
    </dxf>
    <dxf>
      <alignment horizontal="general" vertical="bottom" textRotation="0" wrapText="1" indent="0" justifyLastLine="0" shrinkToFit="0" readingOrder="0"/>
    </dxf>
    <dxf>
      <font>
        <b/>
        <color rgb="FF002060"/>
        <family val="2"/>
      </font>
      <alignment horizontal="center" vertical="center" textRotation="0" wrapText="0" indent="0" justifyLastLine="0" shrinkToFit="0" readingOrder="0"/>
    </dxf>
    <dxf>
      <font>
        <b/>
        <color rgb="FF002060"/>
        <family val="2"/>
      </font>
      <alignment horizontal="center" vertical="center" textRotation="0" wrapText="0" indent="0" justifyLastLine="0" shrinkToFit="0" readingOrder="0"/>
    </dxf>
    <dxf>
      <font>
        <b/>
        <color rgb="FF002060"/>
        <family val="2"/>
      </font>
      <alignment horizontal="center" vertical="center" textRotation="0" wrapText="0" indent="0" justifyLastLine="0" shrinkToFit="0" readingOrder="0"/>
    </dxf>
    <dxf>
      <font>
        <b val="0"/>
        <i val="0"/>
        <strike val="0"/>
        <condense val="0"/>
        <extend val="0"/>
        <outline val="0"/>
        <shadow val="0"/>
        <u val="none"/>
        <vertAlign val="baseline"/>
        <sz val="11"/>
        <color theme="4"/>
        <name val="Calibri"/>
        <family val="2"/>
        <scheme val="minor"/>
      </font>
      <alignment horizontal="center" vertical="center"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164" formatCode="[$-409]mmmm\-yy;@"/>
      <alignment horizontal="lef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alignment horizontal="right" vertical="bottom" textRotation="0" wrapText="0" indent="0" justifyLastLine="0" shrinkToFit="0" readingOrder="0"/>
    </dxf>
    <dxf>
      <numFmt numFmtId="3" formatCode="#,##0"/>
    </dxf>
    <dxf>
      <border outline="0">
        <top style="thin">
          <color theme="1"/>
        </top>
      </border>
    </dxf>
    <dxf>
      <font>
        <b/>
        <i val="0"/>
        <strike val="0"/>
        <condense val="0"/>
        <extend val="0"/>
        <outline val="0"/>
        <shadow val="0"/>
        <u val="none"/>
        <vertAlign val="baseline"/>
        <sz val="11"/>
        <color theme="1" tint="4.9989318521683403E-2"/>
        <name val="Calibri"/>
        <family val="2"/>
        <scheme val="minor"/>
      </font>
      <fill>
        <patternFill patternType="solid">
          <fgColor indexed="64"/>
          <bgColor theme="4" tint="0.59999389629810485"/>
        </patternFill>
      </fill>
      <alignment horizontal="center" vertical="bottom" textRotation="0" wrapText="0" indent="0" justifyLastLine="0" shrinkToFit="0" readingOrder="0"/>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patternType="solid">
          <fgColor theme="0" tint="-0.14999847407452621"/>
          <bgColor theme="0" tint="-4.9989318521683403E-2"/>
        </patternFill>
      </fill>
    </dxf>
    <dxf>
      <fill>
        <patternFill patternType="solid">
          <fgColor indexed="64"/>
          <bgColor theme="4" tint="0.7999816888943144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color theme="1"/>
      </font>
      <border>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s>
  <tableStyles count="1" defaultTableStyle="TableStyleMedium2" defaultPivotStyle="PivotStyleLight16">
    <tableStyle name="Simple" pivot="0" count="3" xr9:uid="{AF63411B-8263-4744-A383-CC8255AB608B}">
      <tableStyleElement type="wholeTable" dxfId="23"/>
      <tableStyleElement type="headerRow" dxfId="22"/>
      <tableStyleElement type="firstRowStripe" dxfId="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10/relationships/person" Target="persons/person11.xml"/><Relationship Id="rId21" Type="http://schemas.openxmlformats.org/officeDocument/2006/relationships/calcChain" Target="calcChain.xml"/><Relationship Id="rId42" Type="http://schemas.microsoft.com/office/2017/10/relationships/person" Target="persons/person22.xml"/><Relationship Id="rId47" Type="http://schemas.microsoft.com/office/2017/10/relationships/person" Target="persons/person26.xml"/><Relationship Id="rId63" Type="http://schemas.microsoft.com/office/2017/10/relationships/person" Target="persons/person9.xml"/><Relationship Id="rId68" Type="http://schemas.microsoft.com/office/2017/10/relationships/person" Target="persons/person41.xml"/><Relationship Id="rId2" Type="http://schemas.openxmlformats.org/officeDocument/2006/relationships/worksheet" Target="worksheets/sheet2.xml"/><Relationship Id="rId16" Type="http://schemas.openxmlformats.org/officeDocument/2006/relationships/theme" Target="theme/theme1.xml"/><Relationship Id="rId29" Type="http://schemas.microsoft.com/office/2017/10/relationships/person" Target="persons/person6.xml"/><Relationship Id="rId11" Type="http://schemas.openxmlformats.org/officeDocument/2006/relationships/worksheet" Target="worksheets/sheet11.xml"/><Relationship Id="rId40" Type="http://schemas.microsoft.com/office/2017/10/relationships/person" Target="persons/person40.xml"/><Relationship Id="rId32" Type="http://schemas.microsoft.com/office/2017/10/relationships/person" Target="persons/person16.xml"/><Relationship Id="rId37" Type="http://schemas.microsoft.com/office/2017/10/relationships/person" Target="persons/person2.xml"/><Relationship Id="rId45" Type="http://schemas.microsoft.com/office/2017/10/relationships/person" Target="persons/person25.xml"/><Relationship Id="rId53" Type="http://schemas.microsoft.com/office/2017/10/relationships/person" Target="persons/person5.xml"/><Relationship Id="rId58" Type="http://schemas.microsoft.com/office/2017/10/relationships/person" Target="persons/person34.xml"/><Relationship Id="rId66" Type="http://schemas.microsoft.com/office/2017/10/relationships/person" Target="persons/person32.xml"/><Relationship Id="rId74" Type="http://schemas.microsoft.com/office/2017/10/relationships/person" Target="persons/person46.xml"/><Relationship Id="rId5" Type="http://schemas.openxmlformats.org/officeDocument/2006/relationships/worksheet" Target="worksheets/sheet5.xml"/><Relationship Id="rId61" Type="http://schemas.microsoft.com/office/2017/10/relationships/person" Target="persons/person36.xml"/><Relationship Id="rId19" Type="http://schemas.openxmlformats.org/officeDocument/2006/relationships/sharedStrings" Target="sharedStrings.xml"/><Relationship Id="rId14" Type="http://schemas.openxmlformats.org/officeDocument/2006/relationships/pivotCacheDefinition" Target="pivotCache/pivotCacheDefinition2.xml"/><Relationship Id="rId22" Type="http://schemas.openxmlformats.org/officeDocument/2006/relationships/customXml" Target="../customXml/item1.xml"/><Relationship Id="rId27" Type="http://schemas.microsoft.com/office/2017/10/relationships/person" Target="persons/person.xml"/><Relationship Id="rId69" Type="http://schemas.microsoft.com/office/2017/10/relationships/person" Target="persons/person48.xml"/><Relationship Id="rId64" Type="http://schemas.microsoft.com/office/2017/10/relationships/person" Target="persons/person10.xml"/><Relationship Id="rId56" Type="http://schemas.microsoft.com/office/2017/10/relationships/person" Target="persons/person35.xml"/><Relationship Id="rId48" Type="http://schemas.microsoft.com/office/2017/10/relationships/person" Target="persons/person30.xml"/><Relationship Id="rId35" Type="http://schemas.microsoft.com/office/2017/10/relationships/person" Target="persons/person19.xml"/><Relationship Id="rId30" Type="http://schemas.microsoft.com/office/2017/10/relationships/person" Target="persons/person13.xml"/><Relationship Id="rId43" Type="http://schemas.microsoft.com/office/2017/10/relationships/person" Target="persons/person23.xml"/><Relationship Id="rId8" Type="http://schemas.openxmlformats.org/officeDocument/2006/relationships/worksheet" Target="worksheets/sheet8.xml"/><Relationship Id="rId72" Type="http://schemas.microsoft.com/office/2017/10/relationships/person" Target="persons/person47.xml"/><Relationship Id="rId51" Type="http://schemas.microsoft.com/office/2017/10/relationships/person" Target="persons/person8.xml"/><Relationship Id="rId3" Type="http://schemas.openxmlformats.org/officeDocument/2006/relationships/worksheet" Target="worksheets/sheet3.xml"/><Relationship Id="rId12" Type="http://schemas.openxmlformats.org/officeDocument/2006/relationships/externalLink" Target="externalLinks/externalLink1.xml"/><Relationship Id="rId17" Type="http://schemas.openxmlformats.org/officeDocument/2006/relationships/connections" Target="connections.xml"/><Relationship Id="rId67" Type="http://schemas.microsoft.com/office/2017/10/relationships/person" Target="persons/person42.xml"/><Relationship Id="rId59" Type="http://schemas.microsoft.com/office/2017/10/relationships/person" Target="persons/person37.xml"/><Relationship Id="rId46" Type="http://schemas.microsoft.com/office/2017/10/relationships/person" Target="persons/person27.xml"/><Relationship Id="rId25" Type="http://schemas.microsoft.com/office/2017/10/relationships/person" Target="persons/person1.xml"/><Relationship Id="rId33" Type="http://schemas.microsoft.com/office/2017/10/relationships/person" Target="persons/person0.xml"/><Relationship Id="rId38" Type="http://schemas.microsoft.com/office/2017/10/relationships/person" Target="persons/person17.xml"/><Relationship Id="rId20" Type="http://schemas.openxmlformats.org/officeDocument/2006/relationships/sheetMetadata" Target="metadata.xml"/><Relationship Id="rId70" Type="http://schemas.microsoft.com/office/2017/10/relationships/person" Target="persons/person45.xml"/><Relationship Id="rId62" Type="http://schemas.microsoft.com/office/2017/10/relationships/person" Target="persons/person39.xml"/><Relationship Id="rId54" Type="http://schemas.microsoft.com/office/2017/10/relationships/person" Target="persons/person33.xml"/><Relationship Id="rId41" Type="http://schemas.microsoft.com/office/2017/10/relationships/person" Target="persons/person20.xml"/><Relationship Id="rId1" Type="http://schemas.openxmlformats.org/officeDocument/2006/relationships/worksheet" Target="worksheets/sheet1.xml"/><Relationship Id="rId6" Type="http://schemas.openxmlformats.org/officeDocument/2006/relationships/worksheet" Target="worksheets/sheet6.xml"/><Relationship Id="rId15" Type="http://schemas.microsoft.com/office/2007/relationships/slicerCache" Target="slicerCaches/slicerCache1.xml"/><Relationship Id="rId23" Type="http://schemas.microsoft.com/office/2006/relationships/vbaProject" Target="vbaProject.bin"/><Relationship Id="rId57" Type="http://schemas.microsoft.com/office/2017/10/relationships/person" Target="persons/person12.xml"/><Relationship Id="rId28" Type="http://schemas.microsoft.com/office/2017/10/relationships/person" Target="persons/person3.xml"/><Relationship Id="rId36" Type="http://schemas.microsoft.com/office/2017/10/relationships/person" Target="persons/person15.xml"/><Relationship Id="rId49" Type="http://schemas.microsoft.com/office/2017/10/relationships/person" Target="persons/person28.xml"/><Relationship Id="rId10" Type="http://schemas.openxmlformats.org/officeDocument/2006/relationships/worksheet" Target="worksheets/sheet10.xml"/><Relationship Id="rId73" Type="http://schemas.microsoft.com/office/2017/10/relationships/person" Target="persons/person44.xml"/><Relationship Id="rId65" Type="http://schemas.microsoft.com/office/2017/10/relationships/person" Target="persons/person4.xml"/><Relationship Id="rId60" Type="http://schemas.microsoft.com/office/2017/10/relationships/person" Target="persons/person38.xml"/><Relationship Id="rId31" Type="http://schemas.microsoft.com/office/2017/10/relationships/person" Target="persons/person14.xml"/><Relationship Id="rId44" Type="http://schemas.microsoft.com/office/2017/10/relationships/person" Target="persons/person24.xml"/><Relationship Id="rId52" Type="http://schemas.microsoft.com/office/2017/10/relationships/person" Target="persons/person3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1.xml"/><Relationship Id="rId18" Type="http://schemas.openxmlformats.org/officeDocument/2006/relationships/styles" Target="styles.xml"/><Relationship Id="rId39" Type="http://schemas.microsoft.com/office/2017/10/relationships/person" Target="persons/person18.xml"/><Relationship Id="rId34" Type="http://schemas.microsoft.com/office/2017/10/relationships/person" Target="persons/person7.xml"/><Relationship Id="rId50" Type="http://schemas.microsoft.com/office/2017/10/relationships/person" Target="persons/person29.xml"/><Relationship Id="rId55" Type="http://schemas.microsoft.com/office/2017/10/relationships/person" Target="persons/person21.xml"/><Relationship Id="rId7" Type="http://schemas.openxmlformats.org/officeDocument/2006/relationships/worksheet" Target="worksheets/sheet7.xml"/><Relationship Id="rId71" Type="http://schemas.microsoft.com/office/2017/10/relationships/person" Target="persons/person4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1504855643044625"/>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Sheet1!$A$89</c:f>
              <c:strCache>
                <c:ptCount val="1"/>
                <c:pt idx="0">
                  <c:v>    Bulbasaur</c:v>
                </c:pt>
              </c:strCache>
            </c:strRef>
          </c:tx>
          <c:spPr>
            <a:solidFill>
              <a:schemeClr val="accent1"/>
            </a:solidFill>
            <a:ln>
              <a:noFill/>
            </a:ln>
            <a:effectLst/>
          </c:spPr>
          <c:invertIfNegative val="0"/>
          <c:cat>
            <c:strRef>
              <c:f>Sheet1!$B$88:$H$88</c:f>
              <c:strCache>
                <c:ptCount val="7"/>
                <c:pt idx="0">
                  <c:v>HP</c:v>
                </c:pt>
                <c:pt idx="1">
                  <c:v>Attack</c:v>
                </c:pt>
                <c:pt idx="2">
                  <c:v>Defense</c:v>
                </c:pt>
                <c:pt idx="3">
                  <c:v>Sp. Atk</c:v>
                </c:pt>
                <c:pt idx="4">
                  <c:v>Sp. Def</c:v>
                </c:pt>
                <c:pt idx="6">
                  <c:v>Speed</c:v>
                </c:pt>
              </c:strCache>
            </c:strRef>
          </c:cat>
          <c:val>
            <c:numRef>
              <c:f>Sheet1!$B$89:$H$89</c:f>
              <c:numCache>
                <c:formatCode>General</c:formatCode>
                <c:ptCount val="7"/>
                <c:pt idx="0">
                  <c:v>45</c:v>
                </c:pt>
                <c:pt idx="1">
                  <c:v>49</c:v>
                </c:pt>
                <c:pt idx="2">
                  <c:v>49</c:v>
                </c:pt>
                <c:pt idx="3">
                  <c:v>65</c:v>
                </c:pt>
                <c:pt idx="4">
                  <c:v>65</c:v>
                </c:pt>
                <c:pt idx="6">
                  <c:v>45</c:v>
                </c:pt>
              </c:numCache>
            </c:numRef>
          </c:val>
          <c:extLst>
            <c:ext xmlns:c16="http://schemas.microsoft.com/office/drawing/2014/chart" uri="{C3380CC4-5D6E-409C-BE32-E72D297353CC}">
              <c16:uniqueId val="{00000000-CBE0-4C97-8E17-831A5503301F}"/>
            </c:ext>
          </c:extLst>
        </c:ser>
        <c:ser>
          <c:idx val="1"/>
          <c:order val="1"/>
          <c:tx>
            <c:strRef>
              <c:f>Sheet1!$A$90</c:f>
              <c:strCache>
                <c:ptCount val="1"/>
                <c:pt idx="0">
                  <c:v>    Charmander</c:v>
                </c:pt>
              </c:strCache>
            </c:strRef>
          </c:tx>
          <c:spPr>
            <a:solidFill>
              <a:schemeClr val="accent2"/>
            </a:solidFill>
            <a:ln>
              <a:noFill/>
            </a:ln>
            <a:effectLst/>
          </c:spPr>
          <c:invertIfNegative val="0"/>
          <c:cat>
            <c:strRef>
              <c:f>Sheet1!$B$88:$H$88</c:f>
              <c:strCache>
                <c:ptCount val="7"/>
                <c:pt idx="0">
                  <c:v>HP</c:v>
                </c:pt>
                <c:pt idx="1">
                  <c:v>Attack</c:v>
                </c:pt>
                <c:pt idx="2">
                  <c:v>Defense</c:v>
                </c:pt>
                <c:pt idx="3">
                  <c:v>Sp. Atk</c:v>
                </c:pt>
                <c:pt idx="4">
                  <c:v>Sp. Def</c:v>
                </c:pt>
                <c:pt idx="6">
                  <c:v>Speed</c:v>
                </c:pt>
              </c:strCache>
            </c:strRef>
          </c:cat>
          <c:val>
            <c:numRef>
              <c:f>Sheet1!$B$90:$H$90</c:f>
              <c:numCache>
                <c:formatCode>General</c:formatCode>
                <c:ptCount val="7"/>
                <c:pt idx="0">
                  <c:v>39</c:v>
                </c:pt>
                <c:pt idx="1">
                  <c:v>52</c:v>
                </c:pt>
                <c:pt idx="2">
                  <c:v>43</c:v>
                </c:pt>
                <c:pt idx="3">
                  <c:v>60</c:v>
                </c:pt>
                <c:pt idx="4">
                  <c:v>50</c:v>
                </c:pt>
                <c:pt idx="6">
                  <c:v>65</c:v>
                </c:pt>
              </c:numCache>
            </c:numRef>
          </c:val>
          <c:extLst>
            <c:ext xmlns:c16="http://schemas.microsoft.com/office/drawing/2014/chart" uri="{C3380CC4-5D6E-409C-BE32-E72D297353CC}">
              <c16:uniqueId val="{00000001-CBE0-4C97-8E17-831A5503301F}"/>
            </c:ext>
          </c:extLst>
        </c:ser>
        <c:ser>
          <c:idx val="2"/>
          <c:order val="2"/>
          <c:tx>
            <c:strRef>
              <c:f>Sheet1!$A$91</c:f>
              <c:strCache>
                <c:ptCount val="1"/>
                <c:pt idx="0">
                  <c:v>    Squirtle</c:v>
                </c:pt>
              </c:strCache>
            </c:strRef>
          </c:tx>
          <c:spPr>
            <a:solidFill>
              <a:schemeClr val="accent3"/>
            </a:solidFill>
            <a:ln>
              <a:noFill/>
            </a:ln>
            <a:effectLst/>
          </c:spPr>
          <c:invertIfNegative val="0"/>
          <c:cat>
            <c:strRef>
              <c:f>Sheet1!$B$88:$H$88</c:f>
              <c:strCache>
                <c:ptCount val="7"/>
                <c:pt idx="0">
                  <c:v>HP</c:v>
                </c:pt>
                <c:pt idx="1">
                  <c:v>Attack</c:v>
                </c:pt>
                <c:pt idx="2">
                  <c:v>Defense</c:v>
                </c:pt>
                <c:pt idx="3">
                  <c:v>Sp. Atk</c:v>
                </c:pt>
                <c:pt idx="4">
                  <c:v>Sp. Def</c:v>
                </c:pt>
                <c:pt idx="6">
                  <c:v>Speed</c:v>
                </c:pt>
              </c:strCache>
            </c:strRef>
          </c:cat>
          <c:val>
            <c:numRef>
              <c:f>Sheet1!$B$91:$H$91</c:f>
              <c:numCache>
                <c:formatCode>General</c:formatCode>
                <c:ptCount val="7"/>
                <c:pt idx="0">
                  <c:v>44</c:v>
                </c:pt>
                <c:pt idx="1">
                  <c:v>48</c:v>
                </c:pt>
                <c:pt idx="2">
                  <c:v>65</c:v>
                </c:pt>
                <c:pt idx="3">
                  <c:v>50</c:v>
                </c:pt>
                <c:pt idx="4">
                  <c:v>64</c:v>
                </c:pt>
                <c:pt idx="6">
                  <c:v>43</c:v>
                </c:pt>
              </c:numCache>
            </c:numRef>
          </c:val>
          <c:extLst>
            <c:ext xmlns:c16="http://schemas.microsoft.com/office/drawing/2014/chart" uri="{C3380CC4-5D6E-409C-BE32-E72D297353CC}">
              <c16:uniqueId val="{00000002-CBE0-4C97-8E17-831A5503301F}"/>
            </c:ext>
          </c:extLst>
        </c:ser>
        <c:dLbls>
          <c:showLegendKey val="0"/>
          <c:showVal val="0"/>
          <c:showCatName val="0"/>
          <c:showSerName val="0"/>
          <c:showPercent val="0"/>
          <c:showBubbleSize val="0"/>
        </c:dLbls>
        <c:gapWidth val="219"/>
        <c:overlap val="-27"/>
        <c:axId val="1661573136"/>
        <c:axId val="1358428304"/>
      </c:barChart>
      <c:catAx>
        <c:axId val="166157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8428304"/>
        <c:crosses val="autoZero"/>
        <c:auto val="1"/>
        <c:lblAlgn val="ctr"/>
        <c:lblOffset val="100"/>
        <c:noMultiLvlLbl val="0"/>
      </c:catAx>
      <c:valAx>
        <c:axId val="135842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57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Sheet1!$A$89</c:f>
              <c:strCache>
                <c:ptCount val="1"/>
                <c:pt idx="0">
                  <c:v>    Bulbasaur</c:v>
                </c:pt>
              </c:strCache>
            </c:strRef>
          </c:tx>
          <c:explosion val="8"/>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75-4BA4-9BB4-F766A49D3C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75-4BA4-9BB4-F766A49D3C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75-4BA4-9BB4-F766A49D3C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75-4BA4-9BB4-F766A49D3CE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75-4BA4-9BB4-F766A49D3C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275-4BA4-9BB4-F766A49D3CE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C5-46E2-B19E-DC68746D27B5}"/>
              </c:ext>
            </c:extLst>
          </c:dPt>
          <c:cat>
            <c:strRef>
              <c:f>Sheet1!$B$88:$H$88</c:f>
              <c:strCache>
                <c:ptCount val="7"/>
                <c:pt idx="0">
                  <c:v>HP</c:v>
                </c:pt>
                <c:pt idx="1">
                  <c:v>Attack</c:v>
                </c:pt>
                <c:pt idx="2">
                  <c:v>Defense</c:v>
                </c:pt>
                <c:pt idx="3">
                  <c:v>Sp. Atk</c:v>
                </c:pt>
                <c:pt idx="4">
                  <c:v>Sp. Def</c:v>
                </c:pt>
                <c:pt idx="6">
                  <c:v>Speed</c:v>
                </c:pt>
              </c:strCache>
            </c:strRef>
          </c:cat>
          <c:val>
            <c:numRef>
              <c:f>Sheet1!$B$89:$H$89</c:f>
              <c:numCache>
                <c:formatCode>General</c:formatCode>
                <c:ptCount val="7"/>
                <c:pt idx="0">
                  <c:v>45</c:v>
                </c:pt>
                <c:pt idx="1">
                  <c:v>49</c:v>
                </c:pt>
                <c:pt idx="2">
                  <c:v>49</c:v>
                </c:pt>
                <c:pt idx="3">
                  <c:v>65</c:v>
                </c:pt>
                <c:pt idx="4">
                  <c:v>65</c:v>
                </c:pt>
                <c:pt idx="6">
                  <c:v>45</c:v>
                </c:pt>
              </c:numCache>
            </c:numRef>
          </c:val>
          <c:extLst>
            <c:ext xmlns:c16="http://schemas.microsoft.com/office/drawing/2014/chart" uri="{C3380CC4-5D6E-409C-BE32-E72D297353CC}">
              <c16:uniqueId val="{00000000-16F6-40EF-BC03-C019230075E4}"/>
            </c:ext>
          </c:extLst>
        </c:ser>
        <c:ser>
          <c:idx val="1"/>
          <c:order val="1"/>
          <c:tx>
            <c:strRef>
              <c:f>Sheet1!$A$90</c:f>
              <c:strCache>
                <c:ptCount val="1"/>
                <c:pt idx="0">
                  <c:v>    Charmander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1275-4BA4-9BB4-F766A49D3C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1275-4BA4-9BB4-F766A49D3C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1-1275-4BA4-9BB4-F766A49D3C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3-1275-4BA4-9BB4-F766A49D3CE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5-1275-4BA4-9BB4-F766A49D3C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7-1275-4BA4-9BB4-F766A49D3CE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B-0CC5-46E2-B19E-DC68746D27B5}"/>
              </c:ext>
            </c:extLst>
          </c:dPt>
          <c:cat>
            <c:strRef>
              <c:f>Sheet1!$B$88:$H$88</c:f>
              <c:strCache>
                <c:ptCount val="7"/>
                <c:pt idx="0">
                  <c:v>HP</c:v>
                </c:pt>
                <c:pt idx="1">
                  <c:v>Attack</c:v>
                </c:pt>
                <c:pt idx="2">
                  <c:v>Defense</c:v>
                </c:pt>
                <c:pt idx="3">
                  <c:v>Sp. Atk</c:v>
                </c:pt>
                <c:pt idx="4">
                  <c:v>Sp. Def</c:v>
                </c:pt>
                <c:pt idx="6">
                  <c:v>Speed</c:v>
                </c:pt>
              </c:strCache>
            </c:strRef>
          </c:cat>
          <c:val>
            <c:numRef>
              <c:f>Sheet1!$B$90:$H$90</c:f>
              <c:numCache>
                <c:formatCode>General</c:formatCode>
                <c:ptCount val="7"/>
                <c:pt idx="0">
                  <c:v>39</c:v>
                </c:pt>
                <c:pt idx="1">
                  <c:v>52</c:v>
                </c:pt>
                <c:pt idx="2">
                  <c:v>43</c:v>
                </c:pt>
                <c:pt idx="3">
                  <c:v>60</c:v>
                </c:pt>
                <c:pt idx="4">
                  <c:v>50</c:v>
                </c:pt>
                <c:pt idx="6">
                  <c:v>65</c:v>
                </c:pt>
              </c:numCache>
            </c:numRef>
          </c:val>
          <c:extLst>
            <c:ext xmlns:c16="http://schemas.microsoft.com/office/drawing/2014/chart" uri="{C3380CC4-5D6E-409C-BE32-E72D297353CC}">
              <c16:uniqueId val="{00000001-16F6-40EF-BC03-C019230075E4}"/>
            </c:ext>
          </c:extLst>
        </c:ser>
        <c:ser>
          <c:idx val="2"/>
          <c:order val="2"/>
          <c:tx>
            <c:strRef>
              <c:f>Sheet1!$A$91</c:f>
              <c:strCache>
                <c:ptCount val="1"/>
                <c:pt idx="0">
                  <c:v>    Squirtle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9-1275-4BA4-9BB4-F766A49D3C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1275-4BA4-9BB4-F766A49D3C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D-1275-4BA4-9BB4-F766A49D3C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F-1275-4BA4-9BB4-F766A49D3CE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1-1275-4BA4-9BB4-F766A49D3C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3-1275-4BA4-9BB4-F766A49D3CE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9-0CC5-46E2-B19E-DC68746D27B5}"/>
              </c:ext>
            </c:extLst>
          </c:dPt>
          <c:cat>
            <c:strRef>
              <c:f>Sheet1!$B$88:$H$88</c:f>
              <c:strCache>
                <c:ptCount val="7"/>
                <c:pt idx="0">
                  <c:v>HP</c:v>
                </c:pt>
                <c:pt idx="1">
                  <c:v>Attack</c:v>
                </c:pt>
                <c:pt idx="2">
                  <c:v>Defense</c:v>
                </c:pt>
                <c:pt idx="3">
                  <c:v>Sp. Atk</c:v>
                </c:pt>
                <c:pt idx="4">
                  <c:v>Sp. Def</c:v>
                </c:pt>
                <c:pt idx="6">
                  <c:v>Speed</c:v>
                </c:pt>
              </c:strCache>
            </c:strRef>
          </c:cat>
          <c:val>
            <c:numRef>
              <c:f>Sheet1!$B$91:$H$91</c:f>
              <c:numCache>
                <c:formatCode>General</c:formatCode>
                <c:ptCount val="7"/>
                <c:pt idx="0">
                  <c:v>44</c:v>
                </c:pt>
                <c:pt idx="1">
                  <c:v>48</c:v>
                </c:pt>
                <c:pt idx="2">
                  <c:v>65</c:v>
                </c:pt>
                <c:pt idx="3">
                  <c:v>50</c:v>
                </c:pt>
                <c:pt idx="4">
                  <c:v>64</c:v>
                </c:pt>
                <c:pt idx="6">
                  <c:v>43</c:v>
                </c:pt>
              </c:numCache>
            </c:numRef>
          </c:val>
          <c:extLst>
            <c:ext xmlns:c16="http://schemas.microsoft.com/office/drawing/2014/chart" uri="{C3380CC4-5D6E-409C-BE32-E72D297353CC}">
              <c16:uniqueId val="{00000002-16F6-40EF-BC03-C019230075E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32674356072463"/>
          <c:y val="0.1819500700626541"/>
          <c:w val="0.80685368457383189"/>
          <c:h val="0.67777321221199438"/>
        </c:manualLayout>
      </c:layout>
      <c:scatterChart>
        <c:scatterStyle val="lineMarker"/>
        <c:varyColors val="0"/>
        <c:ser>
          <c:idx val="0"/>
          <c:order val="0"/>
          <c:tx>
            <c:strRef>
              <c:f>Functions!$B$83</c:f>
              <c:strCache>
                <c:ptCount val="1"/>
                <c:pt idx="0">
                  <c:v>Ice-cream sales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1"/>
                </a:solidFill>
                <a:prstDash val="sysDot"/>
              </a:ln>
              <a:effectLst/>
            </c:spPr>
            <c:trendlineType val="linear"/>
            <c:dispRSqr val="0"/>
            <c:dispEq val="0"/>
          </c:trendline>
          <c:xVal>
            <c:numRef>
              <c:f>Functions!$A$84:$A$103</c:f>
              <c:numCache>
                <c:formatCode>General</c:formatCode>
                <c:ptCount val="20"/>
                <c:pt idx="0">
                  <c:v>80.599999999999994</c:v>
                </c:pt>
                <c:pt idx="1">
                  <c:v>75.2</c:v>
                </c:pt>
                <c:pt idx="2">
                  <c:v>86</c:v>
                </c:pt>
                <c:pt idx="3">
                  <c:v>75.2</c:v>
                </c:pt>
                <c:pt idx="4">
                  <c:v>60.8</c:v>
                </c:pt>
                <c:pt idx="5">
                  <c:v>68</c:v>
                </c:pt>
                <c:pt idx="6">
                  <c:v>71.599999999999994</c:v>
                </c:pt>
                <c:pt idx="7">
                  <c:v>66.2</c:v>
                </c:pt>
                <c:pt idx="8">
                  <c:v>60.8</c:v>
                </c:pt>
                <c:pt idx="9">
                  <c:v>78.8</c:v>
                </c:pt>
                <c:pt idx="10">
                  <c:v>78.8</c:v>
                </c:pt>
                <c:pt idx="11">
                  <c:v>62.6</c:v>
                </c:pt>
                <c:pt idx="12">
                  <c:v>75.2</c:v>
                </c:pt>
                <c:pt idx="13">
                  <c:v>75.2</c:v>
                </c:pt>
                <c:pt idx="14">
                  <c:v>69.8</c:v>
                </c:pt>
                <c:pt idx="15">
                  <c:v>64.400000000000006</c:v>
                </c:pt>
                <c:pt idx="16">
                  <c:v>71.599999999999994</c:v>
                </c:pt>
                <c:pt idx="17">
                  <c:v>86</c:v>
                </c:pt>
                <c:pt idx="18">
                  <c:v>78.8</c:v>
                </c:pt>
                <c:pt idx="19">
                  <c:v>77</c:v>
                </c:pt>
              </c:numCache>
            </c:numRef>
          </c:xVal>
          <c:yVal>
            <c:numRef>
              <c:f>Functions!$B$84:$B$103</c:f>
              <c:numCache>
                <c:formatCode>General</c:formatCode>
                <c:ptCount val="20"/>
                <c:pt idx="0">
                  <c:v>90</c:v>
                </c:pt>
                <c:pt idx="1">
                  <c:v>85</c:v>
                </c:pt>
                <c:pt idx="2">
                  <c:v>107</c:v>
                </c:pt>
                <c:pt idx="3">
                  <c:v>71</c:v>
                </c:pt>
                <c:pt idx="4">
                  <c:v>65</c:v>
                </c:pt>
                <c:pt idx="5">
                  <c:v>69</c:v>
                </c:pt>
                <c:pt idx="6">
                  <c:v>67</c:v>
                </c:pt>
                <c:pt idx="7">
                  <c:v>70</c:v>
                </c:pt>
                <c:pt idx="8">
                  <c:v>65</c:v>
                </c:pt>
                <c:pt idx="9">
                  <c:v>81</c:v>
                </c:pt>
                <c:pt idx="10">
                  <c:v>73</c:v>
                </c:pt>
                <c:pt idx="11">
                  <c:v>64</c:v>
                </c:pt>
                <c:pt idx="12">
                  <c:v>89</c:v>
                </c:pt>
                <c:pt idx="13">
                  <c:v>79</c:v>
                </c:pt>
                <c:pt idx="14">
                  <c:v>66</c:v>
                </c:pt>
                <c:pt idx="15">
                  <c:v>53</c:v>
                </c:pt>
                <c:pt idx="16">
                  <c:v>75</c:v>
                </c:pt>
                <c:pt idx="17">
                  <c:v>99</c:v>
                </c:pt>
                <c:pt idx="18">
                  <c:v>81</c:v>
                </c:pt>
                <c:pt idx="19">
                  <c:v>88</c:v>
                </c:pt>
              </c:numCache>
            </c:numRef>
          </c:yVal>
          <c:smooth val="0"/>
          <c:extLst>
            <c:ext xmlns:c16="http://schemas.microsoft.com/office/drawing/2014/chart" uri="{C3380CC4-5D6E-409C-BE32-E72D297353CC}">
              <c16:uniqueId val="{00000000-7014-4ACD-B19C-62C6DD6C890B}"/>
            </c:ext>
          </c:extLst>
        </c:ser>
        <c:dLbls>
          <c:showLegendKey val="0"/>
          <c:showVal val="0"/>
          <c:showCatName val="0"/>
          <c:showSerName val="0"/>
          <c:showPercent val="0"/>
          <c:showBubbleSize val="0"/>
        </c:dLbls>
        <c:axId val="922181856"/>
        <c:axId val="1279479168"/>
      </c:scatterChart>
      <c:valAx>
        <c:axId val="922181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479168"/>
        <c:crosses val="autoZero"/>
        <c:crossBetween val="midCat"/>
      </c:valAx>
      <c:valAx>
        <c:axId val="127947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181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Functions!$I$89</c:f>
              <c:strCache>
                <c:ptCount val="1"/>
                <c:pt idx="0">
                  <c:v>Score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Functions!$H$90:$H$101</c:f>
              <c:numCache>
                <c:formatCode>General</c:formatCode>
                <c:ptCount val="12"/>
                <c:pt idx="0">
                  <c:v>0.5</c:v>
                </c:pt>
                <c:pt idx="1">
                  <c:v>0.5</c:v>
                </c:pt>
                <c:pt idx="2">
                  <c:v>1</c:v>
                </c:pt>
                <c:pt idx="3">
                  <c:v>1</c:v>
                </c:pt>
                <c:pt idx="4">
                  <c:v>1</c:v>
                </c:pt>
                <c:pt idx="5">
                  <c:v>1.5</c:v>
                </c:pt>
                <c:pt idx="6">
                  <c:v>2</c:v>
                </c:pt>
                <c:pt idx="7">
                  <c:v>2.5</c:v>
                </c:pt>
                <c:pt idx="8">
                  <c:v>2.5</c:v>
                </c:pt>
                <c:pt idx="9">
                  <c:v>3</c:v>
                </c:pt>
                <c:pt idx="10">
                  <c:v>3</c:v>
                </c:pt>
                <c:pt idx="11">
                  <c:v>4</c:v>
                </c:pt>
              </c:numCache>
            </c:numRef>
          </c:xVal>
          <c:yVal>
            <c:numRef>
              <c:f>Functions!$I$90:$I$101</c:f>
              <c:numCache>
                <c:formatCode>General</c:formatCode>
                <c:ptCount val="12"/>
                <c:pt idx="0">
                  <c:v>76</c:v>
                </c:pt>
                <c:pt idx="1">
                  <c:v>78</c:v>
                </c:pt>
                <c:pt idx="2">
                  <c:v>74</c:v>
                </c:pt>
                <c:pt idx="3">
                  <c:v>80</c:v>
                </c:pt>
                <c:pt idx="4">
                  <c:v>84</c:v>
                </c:pt>
                <c:pt idx="5">
                  <c:v>79</c:v>
                </c:pt>
                <c:pt idx="6">
                  <c:v>86</c:v>
                </c:pt>
                <c:pt idx="7">
                  <c:v>90</c:v>
                </c:pt>
                <c:pt idx="8">
                  <c:v>92</c:v>
                </c:pt>
                <c:pt idx="9">
                  <c:v>84</c:v>
                </c:pt>
                <c:pt idx="10">
                  <c:v>83</c:v>
                </c:pt>
                <c:pt idx="11">
                  <c:v>97</c:v>
                </c:pt>
              </c:numCache>
            </c:numRef>
          </c:yVal>
          <c:smooth val="0"/>
          <c:extLst>
            <c:ext xmlns:c16="http://schemas.microsoft.com/office/drawing/2014/chart" uri="{C3380CC4-5D6E-409C-BE32-E72D297353CC}">
              <c16:uniqueId val="{00000000-F083-4B29-97C4-871EFD0EAF78}"/>
            </c:ext>
          </c:extLst>
        </c:ser>
        <c:dLbls>
          <c:showLegendKey val="0"/>
          <c:showVal val="0"/>
          <c:showCatName val="0"/>
          <c:showSerName val="0"/>
          <c:showPercent val="0"/>
          <c:showBubbleSize val="0"/>
        </c:dLbls>
        <c:axId val="1308138176"/>
        <c:axId val="1293532304"/>
      </c:scatterChart>
      <c:valAx>
        <c:axId val="1308138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532304"/>
        <c:crosses val="autoZero"/>
        <c:crossBetween val="midCat"/>
      </c:valAx>
      <c:valAx>
        <c:axId val="129353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1381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dLbls>
            <c:dLbl>
              <c:idx val="0"/>
              <c:layout>
                <c:manualLayout>
                  <c:x val="-0.1375277777777778"/>
                  <c:y val="-8.796296296296300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64B-4768-9E44-11DF7254F8B4}"/>
                </c:ext>
              </c:extLst>
            </c:dLbl>
            <c:dLbl>
              <c:idx val="1"/>
              <c:layout>
                <c:manualLayout>
                  <c:x val="-0.11530555555555558"/>
                  <c:y val="-1.38888888888888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64B-4768-9E44-11DF7254F8B4}"/>
                </c:ext>
              </c:extLst>
            </c:dLbl>
            <c:dLbl>
              <c:idx val="2"/>
              <c:layout>
                <c:manualLayout>
                  <c:x val="-0.14030555555555554"/>
                  <c:y val="4.6296296296296294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64B-4768-9E44-11DF7254F8B4}"/>
                </c:ext>
              </c:extLst>
            </c:dLbl>
            <c:dLbl>
              <c:idx val="3"/>
              <c:layout>
                <c:manualLayout>
                  <c:x val="-3.3194444444444443E-2"/>
                  <c:y val="-9.72222222222221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64B-4768-9E44-11DF7254F8B4}"/>
                </c:ext>
              </c:extLst>
            </c:dLbl>
            <c:dLbl>
              <c:idx val="4"/>
              <c:layout>
                <c:manualLayout>
                  <c:x val="1.0277777777777778E-3"/>
                  <c:y val="1.38888888888888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64B-4768-9E44-11DF7254F8B4}"/>
                </c:ext>
              </c:extLst>
            </c:dLbl>
            <c:dLbl>
              <c:idx val="5"/>
              <c:layout>
                <c:manualLayout>
                  <c:x val="-8.6585192475940612E-2"/>
                  <c:y val="7.638870662000583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0662489063867016"/>
                      <c:h val="9.7152960046660811E-2"/>
                    </c:manualLayout>
                  </c15:layout>
                </c:ext>
                <c:ext xmlns:c16="http://schemas.microsoft.com/office/drawing/2014/chart" uri="{C3380CC4-5D6E-409C-BE32-E72D297353CC}">
                  <c16:uniqueId val="{00000008-464B-4768-9E44-11DF7254F8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ML!$C$4:$C$9</c:f>
              <c:numCache>
                <c:formatCode>0.00</c:formatCode>
                <c:ptCount val="6"/>
                <c:pt idx="0">
                  <c:v>-73.91</c:v>
                </c:pt>
                <c:pt idx="1">
                  <c:v>-79.39</c:v>
                </c:pt>
                <c:pt idx="2">
                  <c:v>2.35</c:v>
                </c:pt>
                <c:pt idx="3">
                  <c:v>-0.06</c:v>
                </c:pt>
                <c:pt idx="4">
                  <c:v>8.6795000000000009</c:v>
                </c:pt>
                <c:pt idx="5">
                  <c:v>151.20529999999999</c:v>
                </c:pt>
              </c:numCache>
            </c:numRef>
          </c:xVal>
          <c:yVal>
            <c:numRef>
              <c:f>ML!$B$4:$B$9</c:f>
              <c:numCache>
                <c:formatCode>0.00</c:formatCode>
                <c:ptCount val="6"/>
                <c:pt idx="0">
                  <c:v>40.74</c:v>
                </c:pt>
                <c:pt idx="1">
                  <c:v>43.73</c:v>
                </c:pt>
                <c:pt idx="2">
                  <c:v>48.85</c:v>
                </c:pt>
                <c:pt idx="3">
                  <c:v>51.3</c:v>
                </c:pt>
                <c:pt idx="4">
                  <c:v>50.110900000000001</c:v>
                </c:pt>
                <c:pt idx="5">
                  <c:v>-33.872799999999998</c:v>
                </c:pt>
              </c:numCache>
            </c:numRef>
          </c:yVal>
          <c:smooth val="0"/>
          <c:extLst>
            <c:ext xmlns:c16="http://schemas.microsoft.com/office/drawing/2014/chart" uri="{C3380CC4-5D6E-409C-BE32-E72D297353CC}">
              <c16:uniqueId val="{00000002-464B-4768-9E44-11DF7254F8B4}"/>
            </c:ext>
          </c:extLst>
        </c:ser>
        <c:dLbls>
          <c:showLegendKey val="0"/>
          <c:showVal val="0"/>
          <c:showCatName val="0"/>
          <c:showSerName val="0"/>
          <c:showPercent val="0"/>
          <c:showBubbleSize val="0"/>
        </c:dLbls>
        <c:axId val="1268449696"/>
        <c:axId val="1257894672"/>
      </c:scatterChart>
      <c:valAx>
        <c:axId val="1268449696"/>
        <c:scaling>
          <c:orientation val="minMax"/>
          <c:max val="180"/>
          <c:min val="-18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894672"/>
        <c:crosses val="autoZero"/>
        <c:crossBetween val="midCat"/>
      </c:valAx>
      <c:valAx>
        <c:axId val="1257894672"/>
        <c:scaling>
          <c:orientation val="minMax"/>
          <c:max val="90"/>
          <c:min val="-9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4496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Housing!$B$65</c:f>
              <c:strCache>
                <c:ptCount val="1"/>
                <c:pt idx="0">
                  <c:v>pass/fail</c:v>
                </c:pt>
              </c:strCache>
            </c:strRef>
          </c:tx>
          <c:spPr>
            <a:ln w="19050" cap="rnd">
              <a:noFill/>
              <a:round/>
            </a:ln>
            <a:effectLst/>
          </c:spPr>
          <c:marker>
            <c:symbol val="circle"/>
            <c:size val="5"/>
            <c:spPr>
              <a:solidFill>
                <a:schemeClr val="accent1"/>
              </a:solidFill>
              <a:ln w="9525">
                <a:solidFill>
                  <a:schemeClr val="accent1"/>
                </a:solidFill>
              </a:ln>
              <a:effectLst/>
            </c:spPr>
          </c:marker>
          <c:xVal>
            <c:numRef>
              <c:f>Housing!$A$66:$A$85</c:f>
              <c:numCache>
                <c:formatCode>General</c:formatCode>
                <c:ptCount val="20"/>
                <c:pt idx="0">
                  <c:v>0.5</c:v>
                </c:pt>
                <c:pt idx="1">
                  <c:v>0.75</c:v>
                </c:pt>
                <c:pt idx="2">
                  <c:v>1</c:v>
                </c:pt>
                <c:pt idx="3">
                  <c:v>1.25</c:v>
                </c:pt>
                <c:pt idx="4">
                  <c:v>1.5</c:v>
                </c:pt>
                <c:pt idx="5">
                  <c:v>1.75</c:v>
                </c:pt>
                <c:pt idx="6">
                  <c:v>1.75</c:v>
                </c:pt>
                <c:pt idx="7">
                  <c:v>2</c:v>
                </c:pt>
                <c:pt idx="8">
                  <c:v>2.25</c:v>
                </c:pt>
                <c:pt idx="9">
                  <c:v>2.5</c:v>
                </c:pt>
                <c:pt idx="10">
                  <c:v>2.75</c:v>
                </c:pt>
                <c:pt idx="11">
                  <c:v>3</c:v>
                </c:pt>
                <c:pt idx="12">
                  <c:v>3.25</c:v>
                </c:pt>
                <c:pt idx="13">
                  <c:v>3.5</c:v>
                </c:pt>
                <c:pt idx="14">
                  <c:v>4</c:v>
                </c:pt>
                <c:pt idx="15">
                  <c:v>4.25</c:v>
                </c:pt>
                <c:pt idx="16">
                  <c:v>4.5</c:v>
                </c:pt>
                <c:pt idx="17">
                  <c:v>4.75</c:v>
                </c:pt>
                <c:pt idx="18">
                  <c:v>5</c:v>
                </c:pt>
                <c:pt idx="19">
                  <c:v>5.5</c:v>
                </c:pt>
              </c:numCache>
            </c:numRef>
          </c:xVal>
          <c:yVal>
            <c:numRef>
              <c:f>Housing!$B$66:$B$85</c:f>
              <c:numCache>
                <c:formatCode>General</c:formatCode>
                <c:ptCount val="20"/>
                <c:pt idx="0">
                  <c:v>0</c:v>
                </c:pt>
                <c:pt idx="1">
                  <c:v>0</c:v>
                </c:pt>
                <c:pt idx="2">
                  <c:v>0</c:v>
                </c:pt>
                <c:pt idx="3">
                  <c:v>0</c:v>
                </c:pt>
                <c:pt idx="4">
                  <c:v>0</c:v>
                </c:pt>
                <c:pt idx="5">
                  <c:v>0</c:v>
                </c:pt>
                <c:pt idx="6">
                  <c:v>1</c:v>
                </c:pt>
                <c:pt idx="7">
                  <c:v>0</c:v>
                </c:pt>
                <c:pt idx="8">
                  <c:v>1</c:v>
                </c:pt>
                <c:pt idx="9">
                  <c:v>0</c:v>
                </c:pt>
                <c:pt idx="10">
                  <c:v>1</c:v>
                </c:pt>
                <c:pt idx="11">
                  <c:v>0</c:v>
                </c:pt>
                <c:pt idx="12">
                  <c:v>1</c:v>
                </c:pt>
                <c:pt idx="13">
                  <c:v>0</c:v>
                </c:pt>
                <c:pt idx="14">
                  <c:v>1</c:v>
                </c:pt>
                <c:pt idx="15">
                  <c:v>1</c:v>
                </c:pt>
                <c:pt idx="16">
                  <c:v>1</c:v>
                </c:pt>
                <c:pt idx="17">
                  <c:v>1</c:v>
                </c:pt>
                <c:pt idx="18">
                  <c:v>1</c:v>
                </c:pt>
                <c:pt idx="19">
                  <c:v>1</c:v>
                </c:pt>
              </c:numCache>
            </c:numRef>
          </c:yVal>
          <c:smooth val="0"/>
          <c:extLst>
            <c:ext xmlns:c16="http://schemas.microsoft.com/office/drawing/2014/chart" uri="{C3380CC4-5D6E-409C-BE32-E72D297353CC}">
              <c16:uniqueId val="{00000000-8743-4212-9A1A-ED8791776D42}"/>
            </c:ext>
          </c:extLst>
        </c:ser>
        <c:dLbls>
          <c:showLegendKey val="0"/>
          <c:showVal val="0"/>
          <c:showCatName val="0"/>
          <c:showSerName val="0"/>
          <c:showPercent val="0"/>
          <c:showBubbleSize val="0"/>
        </c:dLbls>
        <c:axId val="1995117840"/>
        <c:axId val="131684783"/>
      </c:scatterChart>
      <c:valAx>
        <c:axId val="19951178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84783"/>
        <c:crosses val="autoZero"/>
        <c:crossBetween val="midCat"/>
      </c:valAx>
      <c:valAx>
        <c:axId val="131684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17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Study hours Line Fit  Plot</a:t>
            </a:r>
          </a:p>
        </c:rich>
      </c:tx>
      <c:overlay val="0"/>
    </c:title>
    <c:autoTitleDeleted val="0"/>
    <c:plotArea>
      <c:layout/>
      <c:scatterChart>
        <c:scatterStyle val="lineMarker"/>
        <c:varyColors val="0"/>
        <c:ser>
          <c:idx val="0"/>
          <c:order val="0"/>
          <c:tx>
            <c:v>pass/fail</c:v>
          </c:tx>
          <c:spPr>
            <a:ln w="19050">
              <a:noFill/>
            </a:ln>
          </c:spPr>
          <c:trendline>
            <c:trendlineType val="linear"/>
            <c:dispRSqr val="0"/>
            <c:dispEq val="0"/>
          </c:trendline>
          <c:xVal>
            <c:numRef>
              <c:f>Housing!$A$66:$A$85</c:f>
              <c:numCache>
                <c:formatCode>General</c:formatCode>
                <c:ptCount val="20"/>
                <c:pt idx="0">
                  <c:v>0.5</c:v>
                </c:pt>
                <c:pt idx="1">
                  <c:v>0.75</c:v>
                </c:pt>
                <c:pt idx="2">
                  <c:v>1</c:v>
                </c:pt>
                <c:pt idx="3">
                  <c:v>1.25</c:v>
                </c:pt>
                <c:pt idx="4">
                  <c:v>1.5</c:v>
                </c:pt>
                <c:pt idx="5">
                  <c:v>1.75</c:v>
                </c:pt>
                <c:pt idx="6">
                  <c:v>1.75</c:v>
                </c:pt>
                <c:pt idx="7">
                  <c:v>2</c:v>
                </c:pt>
                <c:pt idx="8">
                  <c:v>2.25</c:v>
                </c:pt>
                <c:pt idx="9">
                  <c:v>2.5</c:v>
                </c:pt>
                <c:pt idx="10">
                  <c:v>2.75</c:v>
                </c:pt>
                <c:pt idx="11">
                  <c:v>3</c:v>
                </c:pt>
                <c:pt idx="12">
                  <c:v>3.25</c:v>
                </c:pt>
                <c:pt idx="13">
                  <c:v>3.5</c:v>
                </c:pt>
                <c:pt idx="14">
                  <c:v>4</c:v>
                </c:pt>
                <c:pt idx="15">
                  <c:v>4.25</c:v>
                </c:pt>
                <c:pt idx="16">
                  <c:v>4.5</c:v>
                </c:pt>
                <c:pt idx="17">
                  <c:v>4.75</c:v>
                </c:pt>
                <c:pt idx="18">
                  <c:v>5</c:v>
                </c:pt>
                <c:pt idx="19">
                  <c:v>5.5</c:v>
                </c:pt>
              </c:numCache>
            </c:numRef>
          </c:xVal>
          <c:yVal>
            <c:numRef>
              <c:f>Housing!$B$66:$B$85</c:f>
              <c:numCache>
                <c:formatCode>General</c:formatCode>
                <c:ptCount val="20"/>
                <c:pt idx="0">
                  <c:v>0</c:v>
                </c:pt>
                <c:pt idx="1">
                  <c:v>0</c:v>
                </c:pt>
                <c:pt idx="2">
                  <c:v>0</c:v>
                </c:pt>
                <c:pt idx="3">
                  <c:v>0</c:v>
                </c:pt>
                <c:pt idx="4">
                  <c:v>0</c:v>
                </c:pt>
                <c:pt idx="5">
                  <c:v>0</c:v>
                </c:pt>
                <c:pt idx="6">
                  <c:v>1</c:v>
                </c:pt>
                <c:pt idx="7">
                  <c:v>0</c:v>
                </c:pt>
                <c:pt idx="8">
                  <c:v>1</c:v>
                </c:pt>
                <c:pt idx="9">
                  <c:v>0</c:v>
                </c:pt>
                <c:pt idx="10">
                  <c:v>1</c:v>
                </c:pt>
                <c:pt idx="11">
                  <c:v>0</c:v>
                </c:pt>
                <c:pt idx="12">
                  <c:v>1</c:v>
                </c:pt>
                <c:pt idx="13">
                  <c:v>0</c:v>
                </c:pt>
                <c:pt idx="14">
                  <c:v>1</c:v>
                </c:pt>
                <c:pt idx="15">
                  <c:v>1</c:v>
                </c:pt>
                <c:pt idx="16">
                  <c:v>1</c:v>
                </c:pt>
                <c:pt idx="17">
                  <c:v>1</c:v>
                </c:pt>
                <c:pt idx="18">
                  <c:v>1</c:v>
                </c:pt>
                <c:pt idx="19">
                  <c:v>1</c:v>
                </c:pt>
              </c:numCache>
            </c:numRef>
          </c:yVal>
          <c:smooth val="0"/>
          <c:extLst>
            <c:ext xmlns:c16="http://schemas.microsoft.com/office/drawing/2014/chart" uri="{C3380CC4-5D6E-409C-BE32-E72D297353CC}">
              <c16:uniqueId val="{00000000-E683-4E27-B109-E9068BC7B12C}"/>
            </c:ext>
          </c:extLst>
        </c:ser>
        <c:ser>
          <c:idx val="1"/>
          <c:order val="1"/>
          <c:tx>
            <c:v>Predicted pass/fail</c:v>
          </c:tx>
          <c:spPr>
            <a:ln w="19050">
              <a:noFill/>
            </a:ln>
          </c:spPr>
          <c:xVal>
            <c:numRef>
              <c:f>Housing!$A$66:$A$85</c:f>
              <c:numCache>
                <c:formatCode>General</c:formatCode>
                <c:ptCount val="20"/>
                <c:pt idx="0">
                  <c:v>0.5</c:v>
                </c:pt>
                <c:pt idx="1">
                  <c:v>0.75</c:v>
                </c:pt>
                <c:pt idx="2">
                  <c:v>1</c:v>
                </c:pt>
                <c:pt idx="3">
                  <c:v>1.25</c:v>
                </c:pt>
                <c:pt idx="4">
                  <c:v>1.5</c:v>
                </c:pt>
                <c:pt idx="5">
                  <c:v>1.75</c:v>
                </c:pt>
                <c:pt idx="6">
                  <c:v>1.75</c:v>
                </c:pt>
                <c:pt idx="7">
                  <c:v>2</c:v>
                </c:pt>
                <c:pt idx="8">
                  <c:v>2.25</c:v>
                </c:pt>
                <c:pt idx="9">
                  <c:v>2.5</c:v>
                </c:pt>
                <c:pt idx="10">
                  <c:v>2.75</c:v>
                </c:pt>
                <c:pt idx="11">
                  <c:v>3</c:v>
                </c:pt>
                <c:pt idx="12">
                  <c:v>3.25</c:v>
                </c:pt>
                <c:pt idx="13">
                  <c:v>3.5</c:v>
                </c:pt>
                <c:pt idx="14">
                  <c:v>4</c:v>
                </c:pt>
                <c:pt idx="15">
                  <c:v>4.25</c:v>
                </c:pt>
                <c:pt idx="16">
                  <c:v>4.5</c:v>
                </c:pt>
                <c:pt idx="17">
                  <c:v>4.75</c:v>
                </c:pt>
                <c:pt idx="18">
                  <c:v>5</c:v>
                </c:pt>
                <c:pt idx="19">
                  <c:v>5.5</c:v>
                </c:pt>
              </c:numCache>
            </c:numRef>
          </c:xVal>
          <c:yVal>
            <c:numRef>
              <c:f>#REF!</c:f>
              <c:numCache>
                <c:formatCode>General</c:formatCode>
                <c:ptCount val="1"/>
                <c:pt idx="0">
                  <c:v>1</c:v>
                </c:pt>
              </c:numCache>
            </c:numRef>
          </c:yVal>
          <c:smooth val="0"/>
          <c:extLst>
            <c:ext xmlns:c16="http://schemas.microsoft.com/office/drawing/2014/chart" uri="{C3380CC4-5D6E-409C-BE32-E72D297353CC}">
              <c16:uniqueId val="{00000001-E683-4E27-B109-E9068BC7B12C}"/>
            </c:ext>
          </c:extLst>
        </c:ser>
        <c:dLbls>
          <c:showLegendKey val="0"/>
          <c:showVal val="0"/>
          <c:showCatName val="0"/>
          <c:showSerName val="0"/>
          <c:showPercent val="0"/>
          <c:showBubbleSize val="0"/>
        </c:dLbls>
        <c:axId val="1522263616"/>
        <c:axId val="131713055"/>
      </c:scatterChart>
      <c:valAx>
        <c:axId val="1522263616"/>
        <c:scaling>
          <c:orientation val="minMax"/>
        </c:scaling>
        <c:delete val="0"/>
        <c:axPos val="b"/>
        <c:title>
          <c:tx>
            <c:rich>
              <a:bodyPr/>
              <a:lstStyle/>
              <a:p>
                <a:pPr>
                  <a:defRPr/>
                </a:pPr>
                <a:r>
                  <a:rPr lang="en-IN"/>
                  <a:t>Study hours</a:t>
                </a:r>
              </a:p>
            </c:rich>
          </c:tx>
          <c:overlay val="0"/>
        </c:title>
        <c:numFmt formatCode="General" sourceLinked="1"/>
        <c:majorTickMark val="out"/>
        <c:minorTickMark val="none"/>
        <c:tickLblPos val="nextTo"/>
        <c:crossAx val="131713055"/>
        <c:crosses val="autoZero"/>
        <c:crossBetween val="midCat"/>
      </c:valAx>
      <c:valAx>
        <c:axId val="131713055"/>
        <c:scaling>
          <c:orientation val="minMax"/>
        </c:scaling>
        <c:delete val="0"/>
        <c:axPos val="l"/>
        <c:title>
          <c:tx>
            <c:rich>
              <a:bodyPr/>
              <a:lstStyle/>
              <a:p>
                <a:pPr>
                  <a:defRPr/>
                </a:pPr>
                <a:r>
                  <a:rPr lang="en-IN"/>
                  <a:t>pass/fail</a:t>
                </a:r>
              </a:p>
            </c:rich>
          </c:tx>
          <c:overlay val="0"/>
        </c:title>
        <c:numFmt formatCode="General" sourceLinked="1"/>
        <c:majorTickMark val="out"/>
        <c:minorTickMark val="none"/>
        <c:tickLblPos val="nextTo"/>
        <c:txPr>
          <a:bodyPr rot="0"/>
          <a:lstStyle/>
          <a:p>
            <a:pPr>
              <a:defRPr/>
            </a:pPr>
            <a:endParaRPr lang="en-US"/>
          </a:p>
        </c:txPr>
        <c:crossAx val="152226361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Housing!$M$90:$M$110</c:f>
              <c:numCache>
                <c:formatCode>General</c:formatCode>
                <c:ptCount val="21"/>
                <c:pt idx="0">
                  <c:v>1</c:v>
                </c:pt>
                <c:pt idx="1">
                  <c:v>1</c:v>
                </c:pt>
                <c:pt idx="2">
                  <c:v>1</c:v>
                </c:pt>
                <c:pt idx="3">
                  <c:v>1</c:v>
                </c:pt>
                <c:pt idx="4">
                  <c:v>1</c:v>
                </c:pt>
                <c:pt idx="5">
                  <c:v>1</c:v>
                </c:pt>
                <c:pt idx="6">
                  <c:v>1</c:v>
                </c:pt>
                <c:pt idx="7">
                  <c:v>0.9</c:v>
                </c:pt>
                <c:pt idx="8">
                  <c:v>0.9</c:v>
                </c:pt>
                <c:pt idx="9">
                  <c:v>0.8</c:v>
                </c:pt>
                <c:pt idx="10">
                  <c:v>0.8</c:v>
                </c:pt>
                <c:pt idx="11">
                  <c:v>0.7</c:v>
                </c:pt>
                <c:pt idx="12">
                  <c:v>0.7</c:v>
                </c:pt>
                <c:pt idx="13">
                  <c:v>0.6</c:v>
                </c:pt>
                <c:pt idx="14">
                  <c:v>0.6</c:v>
                </c:pt>
                <c:pt idx="15">
                  <c:v>0.5</c:v>
                </c:pt>
                <c:pt idx="16">
                  <c:v>0.4</c:v>
                </c:pt>
                <c:pt idx="17">
                  <c:v>0.30000000000000004</c:v>
                </c:pt>
                <c:pt idx="18">
                  <c:v>0.19999999999999996</c:v>
                </c:pt>
                <c:pt idx="19">
                  <c:v>9.9999999999999978E-2</c:v>
                </c:pt>
                <c:pt idx="20">
                  <c:v>0</c:v>
                </c:pt>
              </c:numCache>
            </c:numRef>
          </c:xVal>
          <c:yVal>
            <c:numRef>
              <c:f>Housing!$N$90:$N$110</c:f>
              <c:numCache>
                <c:formatCode>General</c:formatCode>
                <c:ptCount val="21"/>
                <c:pt idx="0">
                  <c:v>1</c:v>
                </c:pt>
                <c:pt idx="1">
                  <c:v>0.9</c:v>
                </c:pt>
                <c:pt idx="2">
                  <c:v>0.8</c:v>
                </c:pt>
                <c:pt idx="3">
                  <c:v>0.7</c:v>
                </c:pt>
                <c:pt idx="4">
                  <c:v>0.6</c:v>
                </c:pt>
                <c:pt idx="5">
                  <c:v>0.5</c:v>
                </c:pt>
                <c:pt idx="6">
                  <c:v>0.4</c:v>
                </c:pt>
                <c:pt idx="7">
                  <c:v>0.4</c:v>
                </c:pt>
                <c:pt idx="8">
                  <c:v>0.30000000000000004</c:v>
                </c:pt>
                <c:pt idx="9">
                  <c:v>0.30000000000000004</c:v>
                </c:pt>
                <c:pt idx="10">
                  <c:v>0.19999999999999996</c:v>
                </c:pt>
                <c:pt idx="11">
                  <c:v>0.19999999999999996</c:v>
                </c:pt>
                <c:pt idx="12">
                  <c:v>9.9999999999999978E-2</c:v>
                </c:pt>
                <c:pt idx="13">
                  <c:v>9.9999999999999978E-2</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3F71-4F02-990C-CDEDFBB83379}"/>
            </c:ext>
          </c:extLst>
        </c:ser>
        <c:dLbls>
          <c:showLegendKey val="0"/>
          <c:showVal val="0"/>
          <c:showCatName val="0"/>
          <c:showSerName val="0"/>
          <c:showPercent val="0"/>
          <c:showBubbleSize val="0"/>
        </c:dLbls>
        <c:axId val="364948800"/>
        <c:axId val="124942672"/>
      </c:scatterChart>
      <c:valAx>
        <c:axId val="364948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42672"/>
        <c:crosses val="autoZero"/>
        <c:crossBetween val="midCat"/>
      </c:valAx>
      <c:valAx>
        <c:axId val="124942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9488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Bar Chart</a:t>
            </a:r>
          </a:p>
        </c:rich>
      </c:tx>
      <c:layout>
        <c:manualLayout>
          <c:xMode val="edge"/>
          <c:yMode val="edge"/>
          <c:x val="0.15745766692439023"/>
          <c:y val="3.14813648293963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2692038495188102E-2"/>
          <c:y val="0.17634259259259263"/>
          <c:w val="0.3750857392825897"/>
          <c:h val="0.61498432487605714"/>
        </c:manualLayout>
      </c:layout>
      <c:barChart>
        <c:barDir val="col"/>
        <c:grouping val="clustered"/>
        <c:varyColors val="0"/>
        <c:ser>
          <c:idx val="0"/>
          <c:order val="0"/>
          <c:tx>
            <c:strRef>
              <c:f>Charts!$C$32</c:f>
              <c:strCache>
                <c:ptCount val="1"/>
                <c:pt idx="0">
                  <c:v>Count Gen1</c:v>
                </c:pt>
              </c:strCache>
            </c:strRef>
          </c:tx>
          <c:spPr>
            <a:solidFill>
              <a:schemeClr val="accent1"/>
            </a:solidFill>
            <a:ln>
              <a:noFill/>
            </a:ln>
            <a:effectLst/>
          </c:spPr>
          <c:invertIfNegative val="0"/>
          <c:cat>
            <c:strRef>
              <c:f>Charts!$B$33:$B$36</c:f>
              <c:strCache>
                <c:ptCount val="4"/>
                <c:pt idx="0">
                  <c:v>    Grass</c:v>
                </c:pt>
                <c:pt idx="1">
                  <c:v>    Fire</c:v>
                </c:pt>
                <c:pt idx="2">
                  <c:v>    Water</c:v>
                </c:pt>
                <c:pt idx="3">
                  <c:v>    Bug</c:v>
                </c:pt>
              </c:strCache>
            </c:strRef>
          </c:cat>
          <c:val>
            <c:numRef>
              <c:f>Charts!$C$33:$C$36</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5A48-4B18-93DD-32EF2F82C7CF}"/>
            </c:ext>
          </c:extLst>
        </c:ser>
        <c:ser>
          <c:idx val="1"/>
          <c:order val="1"/>
          <c:tx>
            <c:strRef>
              <c:f>Charts!$D$32</c:f>
              <c:strCache>
                <c:ptCount val="1"/>
                <c:pt idx="0">
                  <c:v>Count Gen 2</c:v>
                </c:pt>
              </c:strCache>
            </c:strRef>
          </c:tx>
          <c:spPr>
            <a:solidFill>
              <a:schemeClr val="accent2"/>
            </a:solidFill>
            <a:ln>
              <a:noFill/>
            </a:ln>
            <a:effectLst/>
          </c:spPr>
          <c:invertIfNegative val="0"/>
          <c:cat>
            <c:strRef>
              <c:f>Charts!$B$33:$B$36</c:f>
              <c:strCache>
                <c:ptCount val="4"/>
                <c:pt idx="0">
                  <c:v>    Grass</c:v>
                </c:pt>
                <c:pt idx="1">
                  <c:v>    Fire</c:v>
                </c:pt>
                <c:pt idx="2">
                  <c:v>    Water</c:v>
                </c:pt>
                <c:pt idx="3">
                  <c:v>    Bug</c:v>
                </c:pt>
              </c:strCache>
            </c:strRef>
          </c:cat>
          <c:val>
            <c:numRef>
              <c:f>Charts!$D$33:$D$36</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5A48-4B18-93DD-32EF2F82C7CF}"/>
            </c:ext>
          </c:extLst>
        </c:ser>
        <c:dLbls>
          <c:showLegendKey val="0"/>
          <c:showVal val="0"/>
          <c:showCatName val="0"/>
          <c:showSerName val="0"/>
          <c:showPercent val="0"/>
          <c:showBubbleSize val="0"/>
        </c:dLbls>
        <c:gapWidth val="219"/>
        <c:overlap val="-27"/>
        <c:axId val="1354910176"/>
        <c:axId val="1350321408"/>
      </c:barChart>
      <c:catAx>
        <c:axId val="135491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0321408"/>
        <c:crosses val="autoZero"/>
        <c:auto val="1"/>
        <c:lblAlgn val="ctr"/>
        <c:lblOffset val="100"/>
        <c:noMultiLvlLbl val="0"/>
      </c:catAx>
      <c:valAx>
        <c:axId val="1350321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4910176"/>
        <c:crosses val="autoZero"/>
        <c:crossBetween val="between"/>
      </c:valAx>
      <c:spPr>
        <a:noFill/>
        <a:ln>
          <a:noFill/>
        </a:ln>
        <a:effectLst/>
      </c:spPr>
    </c:plotArea>
    <c:legend>
      <c:legendPos val="b"/>
      <c:layout>
        <c:manualLayout>
          <c:xMode val="edge"/>
          <c:yMode val="edge"/>
          <c:x val="8.8080489938757639E-2"/>
          <c:y val="0.89872630504520268"/>
          <c:w val="0.62516789415213769"/>
          <c:h val="0.101274015748031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488431176441899"/>
          <c:y val="0.20567119155354452"/>
          <c:w val="0.75264209013478223"/>
          <c:h val="0.49826011567558581"/>
        </c:manualLayout>
      </c:layout>
      <c:barChart>
        <c:barDir val="bar"/>
        <c:grouping val="clustered"/>
        <c:varyColors val="0"/>
        <c:ser>
          <c:idx val="0"/>
          <c:order val="0"/>
          <c:tx>
            <c:strRef>
              <c:f>Charts!$C$32</c:f>
              <c:strCache>
                <c:ptCount val="1"/>
                <c:pt idx="0">
                  <c:v>Count Gen1</c:v>
                </c:pt>
              </c:strCache>
            </c:strRef>
          </c:tx>
          <c:spPr>
            <a:solidFill>
              <a:schemeClr val="accent1"/>
            </a:solidFill>
            <a:ln>
              <a:noFill/>
            </a:ln>
            <a:effectLst/>
          </c:spPr>
          <c:invertIfNegative val="0"/>
          <c:cat>
            <c:strRef>
              <c:f>Charts!$B$33:$B$36</c:f>
              <c:strCache>
                <c:ptCount val="4"/>
                <c:pt idx="0">
                  <c:v>    Grass</c:v>
                </c:pt>
                <c:pt idx="1">
                  <c:v>    Fire</c:v>
                </c:pt>
                <c:pt idx="2">
                  <c:v>    Water</c:v>
                </c:pt>
                <c:pt idx="3">
                  <c:v>    Bug</c:v>
                </c:pt>
              </c:strCache>
            </c:strRef>
          </c:cat>
          <c:val>
            <c:numRef>
              <c:f>Charts!$C$33:$C$36</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0713-4F1C-A5EA-6878B440A9B1}"/>
            </c:ext>
          </c:extLst>
        </c:ser>
        <c:ser>
          <c:idx val="1"/>
          <c:order val="1"/>
          <c:tx>
            <c:strRef>
              <c:f>Charts!$D$32</c:f>
              <c:strCache>
                <c:ptCount val="1"/>
                <c:pt idx="0">
                  <c:v>Count Gen 2</c:v>
                </c:pt>
              </c:strCache>
            </c:strRef>
          </c:tx>
          <c:spPr>
            <a:solidFill>
              <a:schemeClr val="accent2"/>
            </a:solidFill>
            <a:ln>
              <a:noFill/>
            </a:ln>
            <a:effectLst/>
          </c:spPr>
          <c:invertIfNegative val="0"/>
          <c:cat>
            <c:strRef>
              <c:f>Charts!$B$33:$B$36</c:f>
              <c:strCache>
                <c:ptCount val="4"/>
                <c:pt idx="0">
                  <c:v>    Grass</c:v>
                </c:pt>
                <c:pt idx="1">
                  <c:v>    Fire</c:v>
                </c:pt>
                <c:pt idx="2">
                  <c:v>    Water</c:v>
                </c:pt>
                <c:pt idx="3">
                  <c:v>    Bug</c:v>
                </c:pt>
              </c:strCache>
            </c:strRef>
          </c:cat>
          <c:val>
            <c:numRef>
              <c:f>Charts!$D$33:$D$36</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0713-4F1C-A5EA-6878B440A9B1}"/>
            </c:ext>
          </c:extLst>
        </c:ser>
        <c:dLbls>
          <c:showLegendKey val="0"/>
          <c:showVal val="0"/>
          <c:showCatName val="0"/>
          <c:showSerName val="0"/>
          <c:showPercent val="0"/>
          <c:showBubbleSize val="0"/>
        </c:dLbls>
        <c:gapWidth val="182"/>
        <c:axId val="1495840064"/>
        <c:axId val="1498344560"/>
      </c:barChart>
      <c:catAx>
        <c:axId val="1495840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344560"/>
        <c:crosses val="autoZero"/>
        <c:auto val="1"/>
        <c:lblAlgn val="ctr"/>
        <c:lblOffset val="100"/>
        <c:noMultiLvlLbl val="0"/>
      </c:catAx>
      <c:valAx>
        <c:axId val="1498344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840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Stacked</a:t>
            </a:r>
            <a:r>
              <a:rPr lang="en-IN" baseline="0"/>
              <a:t> Bar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295215938916727"/>
          <c:y val="0.24974358974358979"/>
          <c:w val="0.76704784061083275"/>
          <c:h val="0.47865651408958504"/>
        </c:manualLayout>
      </c:layout>
      <c:barChart>
        <c:barDir val="bar"/>
        <c:grouping val="stacked"/>
        <c:varyColors val="0"/>
        <c:ser>
          <c:idx val="0"/>
          <c:order val="0"/>
          <c:tx>
            <c:strRef>
              <c:f>Charts!$C$32</c:f>
              <c:strCache>
                <c:ptCount val="1"/>
                <c:pt idx="0">
                  <c:v>Count Gen1</c:v>
                </c:pt>
              </c:strCache>
            </c:strRef>
          </c:tx>
          <c:spPr>
            <a:solidFill>
              <a:schemeClr val="accent1"/>
            </a:solidFill>
            <a:ln>
              <a:noFill/>
            </a:ln>
            <a:effectLst/>
          </c:spPr>
          <c:invertIfNegative val="0"/>
          <c:cat>
            <c:strRef>
              <c:f>Charts!$B$33:$B$36</c:f>
              <c:strCache>
                <c:ptCount val="4"/>
                <c:pt idx="0">
                  <c:v>    Grass</c:v>
                </c:pt>
                <c:pt idx="1">
                  <c:v>    Fire</c:v>
                </c:pt>
                <c:pt idx="2">
                  <c:v>    Water</c:v>
                </c:pt>
                <c:pt idx="3">
                  <c:v>    Bug</c:v>
                </c:pt>
              </c:strCache>
            </c:strRef>
          </c:cat>
          <c:val>
            <c:numRef>
              <c:f>Charts!$C$33:$C$36</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9F3D-499B-A678-8A457D8423A0}"/>
            </c:ext>
          </c:extLst>
        </c:ser>
        <c:ser>
          <c:idx val="1"/>
          <c:order val="1"/>
          <c:tx>
            <c:strRef>
              <c:f>Charts!$D$32</c:f>
              <c:strCache>
                <c:ptCount val="1"/>
                <c:pt idx="0">
                  <c:v>Count Gen 2</c:v>
                </c:pt>
              </c:strCache>
            </c:strRef>
          </c:tx>
          <c:spPr>
            <a:solidFill>
              <a:schemeClr val="accent2"/>
            </a:solidFill>
            <a:ln>
              <a:noFill/>
            </a:ln>
            <a:effectLst/>
          </c:spPr>
          <c:invertIfNegative val="0"/>
          <c:cat>
            <c:strRef>
              <c:f>Charts!$B$33:$B$36</c:f>
              <c:strCache>
                <c:ptCount val="4"/>
                <c:pt idx="0">
                  <c:v>    Grass</c:v>
                </c:pt>
                <c:pt idx="1">
                  <c:v>    Fire</c:v>
                </c:pt>
                <c:pt idx="2">
                  <c:v>    Water</c:v>
                </c:pt>
                <c:pt idx="3">
                  <c:v>    Bug</c:v>
                </c:pt>
              </c:strCache>
            </c:strRef>
          </c:cat>
          <c:val>
            <c:numRef>
              <c:f>Charts!$D$33:$D$36</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9F3D-499B-A678-8A457D8423A0}"/>
            </c:ext>
          </c:extLst>
        </c:ser>
        <c:dLbls>
          <c:showLegendKey val="0"/>
          <c:showVal val="0"/>
          <c:showCatName val="0"/>
          <c:showSerName val="0"/>
          <c:showPercent val="0"/>
          <c:showBubbleSize val="0"/>
        </c:dLbls>
        <c:gapWidth val="150"/>
        <c:overlap val="100"/>
        <c:axId val="1352696448"/>
        <c:axId val="1498336128"/>
      </c:barChart>
      <c:catAx>
        <c:axId val="1352696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336128"/>
        <c:crosses val="autoZero"/>
        <c:auto val="1"/>
        <c:lblAlgn val="ctr"/>
        <c:lblOffset val="100"/>
        <c:noMultiLvlLbl val="0"/>
      </c:catAx>
      <c:valAx>
        <c:axId val="1498336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69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Charts!$B$43</c:f>
              <c:strCache>
                <c:ptCount val="1"/>
                <c:pt idx="0">
                  <c:v>Mobiles</c:v>
                </c:pt>
              </c:strCache>
            </c:strRef>
          </c:tx>
          <c:spPr>
            <a:ln w="28575" cap="rnd">
              <a:solidFill>
                <a:schemeClr val="accent1"/>
              </a:solidFill>
              <a:round/>
            </a:ln>
            <a:effectLst/>
          </c:spPr>
          <c:marker>
            <c:symbol val="none"/>
          </c:marker>
          <c:cat>
            <c:numRef>
              <c:f>Charts!$C$42:$F$42</c:f>
              <c:numCache>
                <c:formatCode>General</c:formatCode>
                <c:ptCount val="4"/>
                <c:pt idx="0">
                  <c:v>2019</c:v>
                </c:pt>
                <c:pt idx="1">
                  <c:v>2020</c:v>
                </c:pt>
                <c:pt idx="2">
                  <c:v>2021</c:v>
                </c:pt>
                <c:pt idx="3">
                  <c:v>2022</c:v>
                </c:pt>
              </c:numCache>
            </c:numRef>
          </c:cat>
          <c:val>
            <c:numRef>
              <c:f>Charts!$C$43:$F$43</c:f>
              <c:numCache>
                <c:formatCode>General</c:formatCode>
                <c:ptCount val="4"/>
                <c:pt idx="0">
                  <c:v>22</c:v>
                </c:pt>
                <c:pt idx="1">
                  <c:v>16</c:v>
                </c:pt>
                <c:pt idx="2">
                  <c:v>12</c:v>
                </c:pt>
                <c:pt idx="3">
                  <c:v>15</c:v>
                </c:pt>
              </c:numCache>
            </c:numRef>
          </c:val>
          <c:smooth val="0"/>
          <c:extLst>
            <c:ext xmlns:c16="http://schemas.microsoft.com/office/drawing/2014/chart" uri="{C3380CC4-5D6E-409C-BE32-E72D297353CC}">
              <c16:uniqueId val="{00000000-03A4-4C93-B36B-0A8CF68EAC00}"/>
            </c:ext>
          </c:extLst>
        </c:ser>
        <c:ser>
          <c:idx val="1"/>
          <c:order val="1"/>
          <c:tx>
            <c:strRef>
              <c:f>Charts!$B$44</c:f>
              <c:strCache>
                <c:ptCount val="1"/>
                <c:pt idx="0">
                  <c:v>Laptops</c:v>
                </c:pt>
              </c:strCache>
            </c:strRef>
          </c:tx>
          <c:spPr>
            <a:ln w="28575" cap="rnd">
              <a:solidFill>
                <a:schemeClr val="accent2"/>
              </a:solidFill>
              <a:round/>
            </a:ln>
            <a:effectLst/>
          </c:spPr>
          <c:marker>
            <c:symbol val="none"/>
          </c:marker>
          <c:cat>
            <c:numRef>
              <c:f>Charts!$C$42:$F$42</c:f>
              <c:numCache>
                <c:formatCode>General</c:formatCode>
                <c:ptCount val="4"/>
                <c:pt idx="0">
                  <c:v>2019</c:v>
                </c:pt>
                <c:pt idx="1">
                  <c:v>2020</c:v>
                </c:pt>
                <c:pt idx="2">
                  <c:v>2021</c:v>
                </c:pt>
                <c:pt idx="3">
                  <c:v>2022</c:v>
                </c:pt>
              </c:numCache>
            </c:numRef>
          </c:cat>
          <c:val>
            <c:numRef>
              <c:f>Charts!$C$44:$F$44</c:f>
              <c:numCache>
                <c:formatCode>General</c:formatCode>
                <c:ptCount val="4"/>
                <c:pt idx="0">
                  <c:v>35</c:v>
                </c:pt>
                <c:pt idx="1">
                  <c:v>42</c:v>
                </c:pt>
                <c:pt idx="2">
                  <c:v>36</c:v>
                </c:pt>
                <c:pt idx="3">
                  <c:v>50</c:v>
                </c:pt>
              </c:numCache>
            </c:numRef>
          </c:val>
          <c:smooth val="0"/>
          <c:extLst>
            <c:ext xmlns:c16="http://schemas.microsoft.com/office/drawing/2014/chart" uri="{C3380CC4-5D6E-409C-BE32-E72D297353CC}">
              <c16:uniqueId val="{00000001-03A4-4C93-B36B-0A8CF68EAC00}"/>
            </c:ext>
          </c:extLst>
        </c:ser>
        <c:ser>
          <c:idx val="2"/>
          <c:order val="2"/>
          <c:tx>
            <c:strRef>
              <c:f>Charts!$B$45</c:f>
              <c:strCache>
                <c:ptCount val="1"/>
                <c:pt idx="0">
                  <c:v>Speakers</c:v>
                </c:pt>
              </c:strCache>
            </c:strRef>
          </c:tx>
          <c:spPr>
            <a:ln w="28575" cap="rnd">
              <a:solidFill>
                <a:schemeClr val="accent3"/>
              </a:solidFill>
              <a:round/>
            </a:ln>
            <a:effectLst/>
          </c:spPr>
          <c:marker>
            <c:symbol val="none"/>
          </c:marker>
          <c:cat>
            <c:numRef>
              <c:f>Charts!$C$42:$F$42</c:f>
              <c:numCache>
                <c:formatCode>General</c:formatCode>
                <c:ptCount val="4"/>
                <c:pt idx="0">
                  <c:v>2019</c:v>
                </c:pt>
                <c:pt idx="1">
                  <c:v>2020</c:v>
                </c:pt>
                <c:pt idx="2">
                  <c:v>2021</c:v>
                </c:pt>
                <c:pt idx="3">
                  <c:v>2022</c:v>
                </c:pt>
              </c:numCache>
            </c:numRef>
          </c:cat>
          <c:val>
            <c:numRef>
              <c:f>Charts!$C$45:$F$45</c:f>
              <c:numCache>
                <c:formatCode>General</c:formatCode>
                <c:ptCount val="4"/>
                <c:pt idx="0">
                  <c:v>15</c:v>
                </c:pt>
                <c:pt idx="1">
                  <c:v>15</c:v>
                </c:pt>
                <c:pt idx="2">
                  <c:v>25</c:v>
                </c:pt>
                <c:pt idx="3">
                  <c:v>28</c:v>
                </c:pt>
              </c:numCache>
            </c:numRef>
          </c:val>
          <c:smooth val="0"/>
          <c:extLst>
            <c:ext xmlns:c16="http://schemas.microsoft.com/office/drawing/2014/chart" uri="{C3380CC4-5D6E-409C-BE32-E72D297353CC}">
              <c16:uniqueId val="{00000002-03A4-4C93-B36B-0A8CF68EAC00}"/>
            </c:ext>
          </c:extLst>
        </c:ser>
        <c:ser>
          <c:idx val="3"/>
          <c:order val="3"/>
          <c:tx>
            <c:strRef>
              <c:f>Charts!$B$46</c:f>
              <c:strCache>
                <c:ptCount val="1"/>
                <c:pt idx="0">
                  <c:v>PCs</c:v>
                </c:pt>
              </c:strCache>
            </c:strRef>
          </c:tx>
          <c:spPr>
            <a:ln w="28575" cap="rnd">
              <a:solidFill>
                <a:schemeClr val="accent4"/>
              </a:solidFill>
              <a:round/>
            </a:ln>
            <a:effectLst/>
          </c:spPr>
          <c:marker>
            <c:symbol val="none"/>
          </c:marker>
          <c:cat>
            <c:numRef>
              <c:f>Charts!$C$42:$F$42</c:f>
              <c:numCache>
                <c:formatCode>General</c:formatCode>
                <c:ptCount val="4"/>
                <c:pt idx="0">
                  <c:v>2019</c:v>
                </c:pt>
                <c:pt idx="1">
                  <c:v>2020</c:v>
                </c:pt>
                <c:pt idx="2">
                  <c:v>2021</c:v>
                </c:pt>
                <c:pt idx="3">
                  <c:v>2022</c:v>
                </c:pt>
              </c:numCache>
            </c:numRef>
          </c:cat>
          <c:val>
            <c:numRef>
              <c:f>Charts!$C$46:$F$46</c:f>
              <c:numCache>
                <c:formatCode>General</c:formatCode>
                <c:ptCount val="4"/>
                <c:pt idx="0">
                  <c:v>80</c:v>
                </c:pt>
                <c:pt idx="1">
                  <c:v>14</c:v>
                </c:pt>
                <c:pt idx="2">
                  <c:v>85</c:v>
                </c:pt>
                <c:pt idx="3">
                  <c:v>15</c:v>
                </c:pt>
              </c:numCache>
            </c:numRef>
          </c:val>
          <c:smooth val="0"/>
          <c:extLst>
            <c:ext xmlns:c16="http://schemas.microsoft.com/office/drawing/2014/chart" uri="{C3380CC4-5D6E-409C-BE32-E72D297353CC}">
              <c16:uniqueId val="{00000003-03A4-4C93-B36B-0A8CF68EAC00}"/>
            </c:ext>
          </c:extLst>
        </c:ser>
        <c:dLbls>
          <c:showLegendKey val="0"/>
          <c:showVal val="0"/>
          <c:showCatName val="0"/>
          <c:showSerName val="0"/>
          <c:showPercent val="0"/>
          <c:showBubbleSize val="0"/>
        </c:dLbls>
        <c:smooth val="0"/>
        <c:axId val="1356913600"/>
        <c:axId val="1348964624"/>
      </c:lineChart>
      <c:catAx>
        <c:axId val="135691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964624"/>
        <c:crosses val="autoZero"/>
        <c:auto val="1"/>
        <c:lblAlgn val="ctr"/>
        <c:lblOffset val="100"/>
        <c:noMultiLvlLbl val="0"/>
      </c:catAx>
      <c:valAx>
        <c:axId val="1348964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913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Stacked line with marker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Charts!$B$43</c:f>
              <c:strCache>
                <c:ptCount val="1"/>
                <c:pt idx="0">
                  <c:v>Mobiles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Charts!$C$42:$F$42</c:f>
              <c:numCache>
                <c:formatCode>General</c:formatCode>
                <c:ptCount val="4"/>
                <c:pt idx="0">
                  <c:v>2019</c:v>
                </c:pt>
                <c:pt idx="1">
                  <c:v>2020</c:v>
                </c:pt>
                <c:pt idx="2">
                  <c:v>2021</c:v>
                </c:pt>
                <c:pt idx="3">
                  <c:v>2022</c:v>
                </c:pt>
              </c:numCache>
            </c:numRef>
          </c:cat>
          <c:val>
            <c:numRef>
              <c:f>Charts!$C$43:$F$43</c:f>
              <c:numCache>
                <c:formatCode>General</c:formatCode>
                <c:ptCount val="4"/>
                <c:pt idx="0">
                  <c:v>22</c:v>
                </c:pt>
                <c:pt idx="1">
                  <c:v>16</c:v>
                </c:pt>
                <c:pt idx="2">
                  <c:v>12</c:v>
                </c:pt>
                <c:pt idx="3">
                  <c:v>15</c:v>
                </c:pt>
              </c:numCache>
            </c:numRef>
          </c:val>
          <c:smooth val="0"/>
          <c:extLst>
            <c:ext xmlns:c16="http://schemas.microsoft.com/office/drawing/2014/chart" uri="{C3380CC4-5D6E-409C-BE32-E72D297353CC}">
              <c16:uniqueId val="{00000000-1C60-49E1-952B-E2418D8824DF}"/>
            </c:ext>
          </c:extLst>
        </c:ser>
        <c:ser>
          <c:idx val="1"/>
          <c:order val="1"/>
          <c:tx>
            <c:strRef>
              <c:f>Charts!$B$44</c:f>
              <c:strCache>
                <c:ptCount val="1"/>
                <c:pt idx="0">
                  <c:v>Laptops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Charts!$C$42:$F$42</c:f>
              <c:numCache>
                <c:formatCode>General</c:formatCode>
                <c:ptCount val="4"/>
                <c:pt idx="0">
                  <c:v>2019</c:v>
                </c:pt>
                <c:pt idx="1">
                  <c:v>2020</c:v>
                </c:pt>
                <c:pt idx="2">
                  <c:v>2021</c:v>
                </c:pt>
                <c:pt idx="3">
                  <c:v>2022</c:v>
                </c:pt>
              </c:numCache>
            </c:numRef>
          </c:cat>
          <c:val>
            <c:numRef>
              <c:f>Charts!$C$44:$F$44</c:f>
              <c:numCache>
                <c:formatCode>General</c:formatCode>
                <c:ptCount val="4"/>
                <c:pt idx="0">
                  <c:v>35</c:v>
                </c:pt>
                <c:pt idx="1">
                  <c:v>42</c:v>
                </c:pt>
                <c:pt idx="2">
                  <c:v>36</c:v>
                </c:pt>
                <c:pt idx="3">
                  <c:v>50</c:v>
                </c:pt>
              </c:numCache>
            </c:numRef>
          </c:val>
          <c:smooth val="0"/>
          <c:extLst>
            <c:ext xmlns:c16="http://schemas.microsoft.com/office/drawing/2014/chart" uri="{C3380CC4-5D6E-409C-BE32-E72D297353CC}">
              <c16:uniqueId val="{00000001-1C60-49E1-952B-E2418D8824DF}"/>
            </c:ext>
          </c:extLst>
        </c:ser>
        <c:ser>
          <c:idx val="2"/>
          <c:order val="2"/>
          <c:tx>
            <c:strRef>
              <c:f>Charts!$B$45</c:f>
              <c:strCache>
                <c:ptCount val="1"/>
                <c:pt idx="0">
                  <c:v>Speakers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Charts!$C$42:$F$42</c:f>
              <c:numCache>
                <c:formatCode>General</c:formatCode>
                <c:ptCount val="4"/>
                <c:pt idx="0">
                  <c:v>2019</c:v>
                </c:pt>
                <c:pt idx="1">
                  <c:v>2020</c:v>
                </c:pt>
                <c:pt idx="2">
                  <c:v>2021</c:v>
                </c:pt>
                <c:pt idx="3">
                  <c:v>2022</c:v>
                </c:pt>
              </c:numCache>
            </c:numRef>
          </c:cat>
          <c:val>
            <c:numRef>
              <c:f>Charts!$C$45:$F$45</c:f>
              <c:numCache>
                <c:formatCode>General</c:formatCode>
                <c:ptCount val="4"/>
                <c:pt idx="0">
                  <c:v>15</c:v>
                </c:pt>
                <c:pt idx="1">
                  <c:v>15</c:v>
                </c:pt>
                <c:pt idx="2">
                  <c:v>25</c:v>
                </c:pt>
                <c:pt idx="3">
                  <c:v>28</c:v>
                </c:pt>
              </c:numCache>
            </c:numRef>
          </c:val>
          <c:smooth val="0"/>
          <c:extLst>
            <c:ext xmlns:c16="http://schemas.microsoft.com/office/drawing/2014/chart" uri="{C3380CC4-5D6E-409C-BE32-E72D297353CC}">
              <c16:uniqueId val="{00000002-1C60-49E1-952B-E2418D8824DF}"/>
            </c:ext>
          </c:extLst>
        </c:ser>
        <c:ser>
          <c:idx val="3"/>
          <c:order val="3"/>
          <c:tx>
            <c:strRef>
              <c:f>Charts!$B$46</c:f>
              <c:strCache>
                <c:ptCount val="1"/>
                <c:pt idx="0">
                  <c:v>PCs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Charts!$C$42:$F$42</c:f>
              <c:numCache>
                <c:formatCode>General</c:formatCode>
                <c:ptCount val="4"/>
                <c:pt idx="0">
                  <c:v>2019</c:v>
                </c:pt>
                <c:pt idx="1">
                  <c:v>2020</c:v>
                </c:pt>
                <c:pt idx="2">
                  <c:v>2021</c:v>
                </c:pt>
                <c:pt idx="3">
                  <c:v>2022</c:v>
                </c:pt>
              </c:numCache>
            </c:numRef>
          </c:cat>
          <c:val>
            <c:numRef>
              <c:f>Charts!$C$46:$F$46</c:f>
              <c:numCache>
                <c:formatCode>General</c:formatCode>
                <c:ptCount val="4"/>
                <c:pt idx="0">
                  <c:v>80</c:v>
                </c:pt>
                <c:pt idx="1">
                  <c:v>14</c:v>
                </c:pt>
                <c:pt idx="2">
                  <c:v>85</c:v>
                </c:pt>
                <c:pt idx="3">
                  <c:v>15</c:v>
                </c:pt>
              </c:numCache>
            </c:numRef>
          </c:val>
          <c:smooth val="0"/>
          <c:extLst>
            <c:ext xmlns:c16="http://schemas.microsoft.com/office/drawing/2014/chart" uri="{C3380CC4-5D6E-409C-BE32-E72D297353CC}">
              <c16:uniqueId val="{00000003-1C60-49E1-952B-E2418D8824DF}"/>
            </c:ext>
          </c:extLst>
        </c:ser>
        <c:dLbls>
          <c:showLegendKey val="0"/>
          <c:showVal val="0"/>
          <c:showCatName val="0"/>
          <c:showSerName val="0"/>
          <c:showPercent val="0"/>
          <c:showBubbleSize val="0"/>
        </c:dLbls>
        <c:marker val="1"/>
        <c:smooth val="0"/>
        <c:axId val="1506577344"/>
        <c:axId val="1507367488"/>
      </c:lineChart>
      <c:catAx>
        <c:axId val="150657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367488"/>
        <c:crosses val="autoZero"/>
        <c:auto val="1"/>
        <c:lblAlgn val="ctr"/>
        <c:lblOffset val="100"/>
        <c:noMultiLvlLbl val="0"/>
      </c:catAx>
      <c:valAx>
        <c:axId val="1507367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57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3D Area</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15"/>
      <c:rotY val="2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Charts!$B$43</c:f>
              <c:strCache>
                <c:ptCount val="1"/>
                <c:pt idx="0">
                  <c:v>Mobiles</c:v>
                </c:pt>
              </c:strCache>
            </c:strRef>
          </c:tx>
          <c:spPr>
            <a:solidFill>
              <a:schemeClr val="accent1">
                <a:alpha val="85000"/>
              </a:schemeClr>
            </a:solidFill>
            <a:ln>
              <a:noFill/>
            </a:ln>
            <a:effectLst>
              <a:innerShdw dist="12700" dir="16200000">
                <a:schemeClr val="lt1"/>
              </a:innerShdw>
            </a:effectLst>
            <a:sp3d/>
          </c:spPr>
          <c:cat>
            <c:numRef>
              <c:f>Charts!$C$42:$F$42</c:f>
              <c:numCache>
                <c:formatCode>General</c:formatCode>
                <c:ptCount val="4"/>
                <c:pt idx="0">
                  <c:v>2019</c:v>
                </c:pt>
                <c:pt idx="1">
                  <c:v>2020</c:v>
                </c:pt>
                <c:pt idx="2">
                  <c:v>2021</c:v>
                </c:pt>
                <c:pt idx="3">
                  <c:v>2022</c:v>
                </c:pt>
              </c:numCache>
            </c:numRef>
          </c:cat>
          <c:val>
            <c:numRef>
              <c:f>Charts!$C$43:$F$43</c:f>
              <c:numCache>
                <c:formatCode>General</c:formatCode>
                <c:ptCount val="4"/>
                <c:pt idx="0">
                  <c:v>22</c:v>
                </c:pt>
                <c:pt idx="1">
                  <c:v>16</c:v>
                </c:pt>
                <c:pt idx="2">
                  <c:v>12</c:v>
                </c:pt>
                <c:pt idx="3">
                  <c:v>15</c:v>
                </c:pt>
              </c:numCache>
            </c:numRef>
          </c:val>
          <c:extLst>
            <c:ext xmlns:c16="http://schemas.microsoft.com/office/drawing/2014/chart" uri="{C3380CC4-5D6E-409C-BE32-E72D297353CC}">
              <c16:uniqueId val="{00000000-228B-4064-8364-85670E025704}"/>
            </c:ext>
          </c:extLst>
        </c:ser>
        <c:ser>
          <c:idx val="1"/>
          <c:order val="1"/>
          <c:tx>
            <c:strRef>
              <c:f>Charts!$B$44</c:f>
              <c:strCache>
                <c:ptCount val="1"/>
                <c:pt idx="0">
                  <c:v>Laptops</c:v>
                </c:pt>
              </c:strCache>
            </c:strRef>
          </c:tx>
          <c:spPr>
            <a:solidFill>
              <a:schemeClr val="accent2">
                <a:alpha val="85000"/>
              </a:schemeClr>
            </a:solidFill>
            <a:ln>
              <a:noFill/>
            </a:ln>
            <a:effectLst>
              <a:innerShdw dist="12700" dir="16200000">
                <a:schemeClr val="lt1"/>
              </a:innerShdw>
            </a:effectLst>
            <a:sp3d/>
          </c:spPr>
          <c:cat>
            <c:numRef>
              <c:f>Charts!$C$42:$F$42</c:f>
              <c:numCache>
                <c:formatCode>General</c:formatCode>
                <c:ptCount val="4"/>
                <c:pt idx="0">
                  <c:v>2019</c:v>
                </c:pt>
                <c:pt idx="1">
                  <c:v>2020</c:v>
                </c:pt>
                <c:pt idx="2">
                  <c:v>2021</c:v>
                </c:pt>
                <c:pt idx="3">
                  <c:v>2022</c:v>
                </c:pt>
              </c:numCache>
            </c:numRef>
          </c:cat>
          <c:val>
            <c:numRef>
              <c:f>Charts!$C$44:$F$44</c:f>
              <c:numCache>
                <c:formatCode>General</c:formatCode>
                <c:ptCount val="4"/>
                <c:pt idx="0">
                  <c:v>35</c:v>
                </c:pt>
                <c:pt idx="1">
                  <c:v>42</c:v>
                </c:pt>
                <c:pt idx="2">
                  <c:v>36</c:v>
                </c:pt>
                <c:pt idx="3">
                  <c:v>50</c:v>
                </c:pt>
              </c:numCache>
            </c:numRef>
          </c:val>
          <c:extLst>
            <c:ext xmlns:c16="http://schemas.microsoft.com/office/drawing/2014/chart" uri="{C3380CC4-5D6E-409C-BE32-E72D297353CC}">
              <c16:uniqueId val="{00000001-228B-4064-8364-85670E025704}"/>
            </c:ext>
          </c:extLst>
        </c:ser>
        <c:ser>
          <c:idx val="2"/>
          <c:order val="2"/>
          <c:tx>
            <c:strRef>
              <c:f>Charts!$B$45</c:f>
              <c:strCache>
                <c:ptCount val="1"/>
                <c:pt idx="0">
                  <c:v>Speakers</c:v>
                </c:pt>
              </c:strCache>
            </c:strRef>
          </c:tx>
          <c:spPr>
            <a:solidFill>
              <a:schemeClr val="accent3">
                <a:alpha val="85000"/>
              </a:schemeClr>
            </a:solidFill>
            <a:ln>
              <a:noFill/>
            </a:ln>
            <a:effectLst>
              <a:innerShdw dist="12700" dir="16200000">
                <a:schemeClr val="lt1"/>
              </a:innerShdw>
            </a:effectLst>
            <a:sp3d/>
          </c:spPr>
          <c:cat>
            <c:numRef>
              <c:f>Charts!$C$42:$F$42</c:f>
              <c:numCache>
                <c:formatCode>General</c:formatCode>
                <c:ptCount val="4"/>
                <c:pt idx="0">
                  <c:v>2019</c:v>
                </c:pt>
                <c:pt idx="1">
                  <c:v>2020</c:v>
                </c:pt>
                <c:pt idx="2">
                  <c:v>2021</c:v>
                </c:pt>
                <c:pt idx="3">
                  <c:v>2022</c:v>
                </c:pt>
              </c:numCache>
            </c:numRef>
          </c:cat>
          <c:val>
            <c:numRef>
              <c:f>Charts!$C$45:$F$45</c:f>
              <c:numCache>
                <c:formatCode>General</c:formatCode>
                <c:ptCount val="4"/>
                <c:pt idx="0">
                  <c:v>15</c:v>
                </c:pt>
                <c:pt idx="1">
                  <c:v>15</c:v>
                </c:pt>
                <c:pt idx="2">
                  <c:v>25</c:v>
                </c:pt>
                <c:pt idx="3">
                  <c:v>28</c:v>
                </c:pt>
              </c:numCache>
            </c:numRef>
          </c:val>
          <c:extLst>
            <c:ext xmlns:c16="http://schemas.microsoft.com/office/drawing/2014/chart" uri="{C3380CC4-5D6E-409C-BE32-E72D297353CC}">
              <c16:uniqueId val="{00000002-228B-4064-8364-85670E025704}"/>
            </c:ext>
          </c:extLst>
        </c:ser>
        <c:ser>
          <c:idx val="3"/>
          <c:order val="3"/>
          <c:tx>
            <c:strRef>
              <c:f>Charts!$B$46</c:f>
              <c:strCache>
                <c:ptCount val="1"/>
                <c:pt idx="0">
                  <c:v>PCs</c:v>
                </c:pt>
              </c:strCache>
            </c:strRef>
          </c:tx>
          <c:spPr>
            <a:solidFill>
              <a:schemeClr val="accent4">
                <a:alpha val="85000"/>
              </a:schemeClr>
            </a:solidFill>
            <a:ln>
              <a:noFill/>
            </a:ln>
            <a:effectLst>
              <a:innerShdw dist="12700" dir="16200000">
                <a:schemeClr val="lt1"/>
              </a:innerShdw>
            </a:effectLst>
            <a:sp3d/>
          </c:spPr>
          <c:cat>
            <c:numRef>
              <c:f>Charts!$C$42:$F$42</c:f>
              <c:numCache>
                <c:formatCode>General</c:formatCode>
                <c:ptCount val="4"/>
                <c:pt idx="0">
                  <c:v>2019</c:v>
                </c:pt>
                <c:pt idx="1">
                  <c:v>2020</c:v>
                </c:pt>
                <c:pt idx="2">
                  <c:v>2021</c:v>
                </c:pt>
                <c:pt idx="3">
                  <c:v>2022</c:v>
                </c:pt>
              </c:numCache>
            </c:numRef>
          </c:cat>
          <c:val>
            <c:numRef>
              <c:f>Charts!$C$46:$F$46</c:f>
              <c:numCache>
                <c:formatCode>General</c:formatCode>
                <c:ptCount val="4"/>
                <c:pt idx="0">
                  <c:v>80</c:v>
                </c:pt>
                <c:pt idx="1">
                  <c:v>14</c:v>
                </c:pt>
                <c:pt idx="2">
                  <c:v>85</c:v>
                </c:pt>
                <c:pt idx="3">
                  <c:v>15</c:v>
                </c:pt>
              </c:numCache>
            </c:numRef>
          </c:val>
          <c:extLst>
            <c:ext xmlns:c16="http://schemas.microsoft.com/office/drawing/2014/chart" uri="{C3380CC4-5D6E-409C-BE32-E72D297353CC}">
              <c16:uniqueId val="{00000003-228B-4064-8364-85670E025704}"/>
            </c:ext>
          </c:extLst>
        </c:ser>
        <c:dLbls>
          <c:showLegendKey val="0"/>
          <c:showVal val="0"/>
          <c:showCatName val="0"/>
          <c:showSerName val="0"/>
          <c:showPercent val="0"/>
          <c:showBubbleSize val="0"/>
        </c:dLbls>
        <c:axId val="1492819328"/>
        <c:axId val="777688432"/>
        <c:axId val="0"/>
      </c:area3DChart>
      <c:catAx>
        <c:axId val="149281932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77688432"/>
        <c:crosses val="autoZero"/>
        <c:auto val="1"/>
        <c:lblAlgn val="ctr"/>
        <c:lblOffset val="100"/>
        <c:noMultiLvlLbl val="0"/>
      </c:catAx>
      <c:valAx>
        <c:axId val="777688432"/>
        <c:scaling>
          <c:orientation val="minMax"/>
        </c:scaling>
        <c:delete val="0"/>
        <c:axPos val="l"/>
        <c:majorGridlines>
          <c:spPr>
            <a:ln w="6350"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492819328"/>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44546A"/>
                </a:solidFill>
                <a:latin typeface="+mn-lt"/>
                <a:ea typeface="+mn-ea"/>
                <a:cs typeface="+mn-cs"/>
              </a:defRPr>
            </a:pPr>
            <a:r>
              <a:rPr lang="en-IN" b="0" i="0">
                <a:effectLst/>
              </a:rPr>
              <a:t>Doughnut</a:t>
            </a:r>
          </a:p>
          <a:p>
            <a:pPr marL="0" marR="0" lvl="0" indent="0" algn="ctr" defTabSz="914400" rtl="0" eaLnBrk="1" fontAlgn="auto" latinLnBrk="0" hangingPunct="1">
              <a:lnSpc>
                <a:spcPct val="100000"/>
              </a:lnSpc>
              <a:spcBef>
                <a:spcPts val="0"/>
              </a:spcBef>
              <a:spcAft>
                <a:spcPts val="0"/>
              </a:spcAft>
              <a:buClrTx/>
              <a:buSzTx/>
              <a:buFontTx/>
              <a:buNone/>
              <a:tabLst/>
              <a:defRPr>
                <a:solidFill>
                  <a:srgbClr val="44546A"/>
                </a:solidFill>
              </a:defRPr>
            </a:pPr>
            <a:endParaRPr lang="en-IN"/>
          </a:p>
          <a:p>
            <a:pPr marL="0" marR="0" lvl="0" indent="0" algn="ctr" defTabSz="914400" rtl="0" eaLnBrk="1" fontAlgn="auto" latinLnBrk="0" hangingPunct="1">
              <a:lnSpc>
                <a:spcPct val="100000"/>
              </a:lnSpc>
              <a:spcBef>
                <a:spcPts val="0"/>
              </a:spcBef>
              <a:spcAft>
                <a:spcPts val="0"/>
              </a:spcAft>
              <a:buClrTx/>
              <a:buSzTx/>
              <a:buFontTx/>
              <a:buNone/>
              <a:tabLst/>
              <a:defRPr>
                <a:solidFill>
                  <a:srgbClr val="44546A"/>
                </a:solidFill>
              </a:defRPr>
            </a:pPr>
            <a:r>
              <a:rPr lang="en-IN"/>
              <a: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44546A"/>
              </a:solidFill>
              <a:latin typeface="+mn-lt"/>
              <a:ea typeface="+mn-ea"/>
              <a:cs typeface="+mn-cs"/>
            </a:defRPr>
          </a:pPr>
          <a:endParaRPr lang="en-US"/>
        </a:p>
      </c:txPr>
    </c:title>
    <c:autoTitleDeleted val="0"/>
    <c:plotArea>
      <c:layout>
        <c:manualLayout>
          <c:layoutTarget val="inner"/>
          <c:xMode val="edge"/>
          <c:yMode val="edge"/>
          <c:x val="0.27078499562554681"/>
          <c:y val="0.17171296296296298"/>
          <c:w val="0.40287467191601051"/>
          <c:h val="0.6714577865266842"/>
        </c:manualLayout>
      </c:layout>
      <c:doughnutChart>
        <c:varyColors val="1"/>
        <c:ser>
          <c:idx val="0"/>
          <c:order val="0"/>
          <c:tx>
            <c:strRef>
              <c:f>Charts!$B$43</c:f>
              <c:strCache>
                <c:ptCount val="1"/>
                <c:pt idx="0">
                  <c:v>Mobiles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DBAF-408D-8B89-3307E75762A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DBAF-408D-8B89-3307E75762A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DBAF-408D-8B89-3307E75762A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DBAF-408D-8B89-3307E75762AF}"/>
              </c:ext>
            </c:extLst>
          </c:dPt>
          <c:cat>
            <c:numRef>
              <c:f>Charts!$C$42:$F$42</c:f>
              <c:numCache>
                <c:formatCode>General</c:formatCode>
                <c:ptCount val="4"/>
                <c:pt idx="0">
                  <c:v>2019</c:v>
                </c:pt>
                <c:pt idx="1">
                  <c:v>2020</c:v>
                </c:pt>
                <c:pt idx="2">
                  <c:v>2021</c:v>
                </c:pt>
                <c:pt idx="3">
                  <c:v>2022</c:v>
                </c:pt>
              </c:numCache>
            </c:numRef>
          </c:cat>
          <c:val>
            <c:numRef>
              <c:f>Charts!$C$43:$F$43</c:f>
              <c:numCache>
                <c:formatCode>General</c:formatCode>
                <c:ptCount val="4"/>
                <c:pt idx="0">
                  <c:v>22</c:v>
                </c:pt>
                <c:pt idx="1">
                  <c:v>16</c:v>
                </c:pt>
                <c:pt idx="2">
                  <c:v>12</c:v>
                </c:pt>
                <c:pt idx="3">
                  <c:v>15</c:v>
                </c:pt>
              </c:numCache>
            </c:numRef>
          </c:val>
          <c:extLst>
            <c:ext xmlns:c16="http://schemas.microsoft.com/office/drawing/2014/chart" uri="{C3380CC4-5D6E-409C-BE32-E72D297353CC}">
              <c16:uniqueId val="{00000000-43CC-499B-8145-096BB724A140}"/>
            </c:ext>
          </c:extLst>
        </c:ser>
        <c:ser>
          <c:idx val="1"/>
          <c:order val="1"/>
          <c:tx>
            <c:strRef>
              <c:f>Charts!$B$44</c:f>
              <c:strCache>
                <c:ptCount val="1"/>
                <c:pt idx="0">
                  <c:v>Laptops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9-DBAF-408D-8B89-3307E75762A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B-DBAF-408D-8B89-3307E75762A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D-DBAF-408D-8B89-3307E75762A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F-DBAF-408D-8B89-3307E75762AF}"/>
              </c:ext>
            </c:extLst>
          </c:dPt>
          <c:cat>
            <c:numRef>
              <c:f>Charts!$C$42:$F$42</c:f>
              <c:numCache>
                <c:formatCode>General</c:formatCode>
                <c:ptCount val="4"/>
                <c:pt idx="0">
                  <c:v>2019</c:v>
                </c:pt>
                <c:pt idx="1">
                  <c:v>2020</c:v>
                </c:pt>
                <c:pt idx="2">
                  <c:v>2021</c:v>
                </c:pt>
                <c:pt idx="3">
                  <c:v>2022</c:v>
                </c:pt>
              </c:numCache>
            </c:numRef>
          </c:cat>
          <c:val>
            <c:numRef>
              <c:f>Charts!$C$44:$F$44</c:f>
              <c:numCache>
                <c:formatCode>General</c:formatCode>
                <c:ptCount val="4"/>
                <c:pt idx="0">
                  <c:v>35</c:v>
                </c:pt>
                <c:pt idx="1">
                  <c:v>42</c:v>
                </c:pt>
                <c:pt idx="2">
                  <c:v>36</c:v>
                </c:pt>
                <c:pt idx="3">
                  <c:v>50</c:v>
                </c:pt>
              </c:numCache>
            </c:numRef>
          </c:val>
          <c:extLst>
            <c:ext xmlns:c16="http://schemas.microsoft.com/office/drawing/2014/chart" uri="{C3380CC4-5D6E-409C-BE32-E72D297353CC}">
              <c16:uniqueId val="{00000001-43CC-499B-8145-096BB724A140}"/>
            </c:ext>
          </c:extLst>
        </c:ser>
        <c:ser>
          <c:idx val="2"/>
          <c:order val="2"/>
          <c:tx>
            <c:strRef>
              <c:f>Charts!$B$45</c:f>
              <c:strCache>
                <c:ptCount val="1"/>
                <c:pt idx="0">
                  <c:v>Speakers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1-DBAF-408D-8B89-3307E75762A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3-DBAF-408D-8B89-3307E75762A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5-DBAF-408D-8B89-3307E75762A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7-DBAF-408D-8B89-3307E75762AF}"/>
              </c:ext>
            </c:extLst>
          </c:dPt>
          <c:cat>
            <c:numRef>
              <c:f>Charts!$C$42:$F$42</c:f>
              <c:numCache>
                <c:formatCode>General</c:formatCode>
                <c:ptCount val="4"/>
                <c:pt idx="0">
                  <c:v>2019</c:v>
                </c:pt>
                <c:pt idx="1">
                  <c:v>2020</c:v>
                </c:pt>
                <c:pt idx="2">
                  <c:v>2021</c:v>
                </c:pt>
                <c:pt idx="3">
                  <c:v>2022</c:v>
                </c:pt>
              </c:numCache>
            </c:numRef>
          </c:cat>
          <c:val>
            <c:numRef>
              <c:f>Charts!$C$45:$F$45</c:f>
              <c:numCache>
                <c:formatCode>General</c:formatCode>
                <c:ptCount val="4"/>
                <c:pt idx="0">
                  <c:v>15</c:v>
                </c:pt>
                <c:pt idx="1">
                  <c:v>15</c:v>
                </c:pt>
                <c:pt idx="2">
                  <c:v>25</c:v>
                </c:pt>
                <c:pt idx="3">
                  <c:v>28</c:v>
                </c:pt>
              </c:numCache>
            </c:numRef>
          </c:val>
          <c:extLst>
            <c:ext xmlns:c16="http://schemas.microsoft.com/office/drawing/2014/chart" uri="{C3380CC4-5D6E-409C-BE32-E72D297353CC}">
              <c16:uniqueId val="{00000002-43CC-499B-8145-096BB724A140}"/>
            </c:ext>
          </c:extLst>
        </c:ser>
        <c:ser>
          <c:idx val="3"/>
          <c:order val="3"/>
          <c:tx>
            <c:strRef>
              <c:f>Charts!$B$46</c:f>
              <c:strCache>
                <c:ptCount val="1"/>
                <c:pt idx="0">
                  <c:v>PCs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9-DBAF-408D-8B89-3307E75762A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B-DBAF-408D-8B89-3307E75762A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D-DBAF-408D-8B89-3307E75762A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F-DBAF-408D-8B89-3307E75762AF}"/>
              </c:ext>
            </c:extLst>
          </c:dPt>
          <c:cat>
            <c:numRef>
              <c:f>Charts!$C$42:$F$42</c:f>
              <c:numCache>
                <c:formatCode>General</c:formatCode>
                <c:ptCount val="4"/>
                <c:pt idx="0">
                  <c:v>2019</c:v>
                </c:pt>
                <c:pt idx="1">
                  <c:v>2020</c:v>
                </c:pt>
                <c:pt idx="2">
                  <c:v>2021</c:v>
                </c:pt>
                <c:pt idx="3">
                  <c:v>2022</c:v>
                </c:pt>
              </c:numCache>
            </c:numRef>
          </c:cat>
          <c:val>
            <c:numRef>
              <c:f>Charts!$C$46:$F$46</c:f>
              <c:numCache>
                <c:formatCode>General</c:formatCode>
                <c:ptCount val="4"/>
                <c:pt idx="0">
                  <c:v>80</c:v>
                </c:pt>
                <c:pt idx="1">
                  <c:v>14</c:v>
                </c:pt>
                <c:pt idx="2">
                  <c:v>85</c:v>
                </c:pt>
                <c:pt idx="3">
                  <c:v>15</c:v>
                </c:pt>
              </c:numCache>
            </c:numRef>
          </c:val>
          <c:extLst>
            <c:ext xmlns:c16="http://schemas.microsoft.com/office/drawing/2014/chart" uri="{C3380CC4-5D6E-409C-BE32-E72D297353CC}">
              <c16:uniqueId val="{00000003-43CC-499B-8145-096BB724A14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Bubble Chart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4287507539818392"/>
          <c:y val="0.2263978790662983"/>
          <c:w val="0.7131787874341794"/>
          <c:h val="0.4833176582093906"/>
        </c:manualLayout>
      </c:layout>
      <c:bubbleChart>
        <c:varyColors val="0"/>
        <c:ser>
          <c:idx val="0"/>
          <c:order val="0"/>
          <c:tx>
            <c:strRef>
              <c:f>Charts!$B$43</c:f>
              <c:strCache>
                <c:ptCount val="1"/>
                <c:pt idx="0">
                  <c:v>Mobiles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xVal>
            <c:numRef>
              <c:f>Charts!$C$42:$F$42</c:f>
              <c:numCache>
                <c:formatCode>General</c:formatCode>
                <c:ptCount val="4"/>
                <c:pt idx="0">
                  <c:v>2019</c:v>
                </c:pt>
                <c:pt idx="1">
                  <c:v>2020</c:v>
                </c:pt>
                <c:pt idx="2">
                  <c:v>2021</c:v>
                </c:pt>
                <c:pt idx="3">
                  <c:v>2022</c:v>
                </c:pt>
              </c:numCache>
            </c:numRef>
          </c:xVal>
          <c:yVal>
            <c:numRef>
              <c:f>Charts!$C$43:$F$43</c:f>
              <c:numCache>
                <c:formatCode>General</c:formatCode>
                <c:ptCount val="4"/>
                <c:pt idx="0">
                  <c:v>22</c:v>
                </c:pt>
                <c:pt idx="1">
                  <c:v>16</c:v>
                </c:pt>
                <c:pt idx="2">
                  <c:v>12</c:v>
                </c:pt>
                <c:pt idx="3">
                  <c:v>15</c:v>
                </c:pt>
              </c:numCache>
            </c:numRef>
          </c:yVal>
          <c:bubbleSize>
            <c:numRef>
              <c:f>Charts!$C$44:$F$44</c:f>
              <c:numCache>
                <c:formatCode>General</c:formatCode>
                <c:ptCount val="4"/>
                <c:pt idx="0">
                  <c:v>35</c:v>
                </c:pt>
                <c:pt idx="1">
                  <c:v>42</c:v>
                </c:pt>
                <c:pt idx="2">
                  <c:v>36</c:v>
                </c:pt>
                <c:pt idx="3">
                  <c:v>50</c:v>
                </c:pt>
              </c:numCache>
            </c:numRef>
          </c:bubbleSize>
          <c:bubble3D val="1"/>
          <c:extLst>
            <c:ext xmlns:c16="http://schemas.microsoft.com/office/drawing/2014/chart" uri="{C3380CC4-5D6E-409C-BE32-E72D297353CC}">
              <c16:uniqueId val="{00000000-2861-4429-B4DD-049229715383}"/>
            </c:ext>
          </c:extLst>
        </c:ser>
        <c:ser>
          <c:idx val="1"/>
          <c:order val="1"/>
          <c:tx>
            <c:strRef>
              <c:f>Charts!$B$45</c:f>
              <c:strCache>
                <c:ptCount val="1"/>
                <c:pt idx="0">
                  <c:v>Speakers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xVal>
            <c:numRef>
              <c:f>Charts!$C$42:$F$42</c:f>
              <c:numCache>
                <c:formatCode>General</c:formatCode>
                <c:ptCount val="4"/>
                <c:pt idx="0">
                  <c:v>2019</c:v>
                </c:pt>
                <c:pt idx="1">
                  <c:v>2020</c:v>
                </c:pt>
                <c:pt idx="2">
                  <c:v>2021</c:v>
                </c:pt>
                <c:pt idx="3">
                  <c:v>2022</c:v>
                </c:pt>
              </c:numCache>
            </c:numRef>
          </c:xVal>
          <c:yVal>
            <c:numRef>
              <c:f>Charts!$C$45:$F$45</c:f>
              <c:numCache>
                <c:formatCode>General</c:formatCode>
                <c:ptCount val="4"/>
                <c:pt idx="0">
                  <c:v>15</c:v>
                </c:pt>
                <c:pt idx="1">
                  <c:v>15</c:v>
                </c:pt>
                <c:pt idx="2">
                  <c:v>25</c:v>
                </c:pt>
                <c:pt idx="3">
                  <c:v>28</c:v>
                </c:pt>
              </c:numCache>
            </c:numRef>
          </c:yVal>
          <c:bubbleSize>
            <c:numRef>
              <c:f>Charts!$C$46:$F$46</c:f>
              <c:numCache>
                <c:formatCode>General</c:formatCode>
                <c:ptCount val="4"/>
                <c:pt idx="0">
                  <c:v>80</c:v>
                </c:pt>
                <c:pt idx="1">
                  <c:v>14</c:v>
                </c:pt>
                <c:pt idx="2">
                  <c:v>85</c:v>
                </c:pt>
                <c:pt idx="3">
                  <c:v>15</c:v>
                </c:pt>
              </c:numCache>
            </c:numRef>
          </c:bubbleSize>
          <c:bubble3D val="1"/>
          <c:extLst>
            <c:ext xmlns:c16="http://schemas.microsoft.com/office/drawing/2014/chart" uri="{C3380CC4-5D6E-409C-BE32-E72D297353CC}">
              <c16:uniqueId val="{00000001-2861-4429-B4DD-049229715383}"/>
            </c:ext>
          </c:extLst>
        </c:ser>
        <c:dLbls>
          <c:showLegendKey val="0"/>
          <c:showVal val="0"/>
          <c:showCatName val="0"/>
          <c:showSerName val="0"/>
          <c:showPercent val="0"/>
          <c:showBubbleSize val="0"/>
        </c:dLbls>
        <c:bubbleScale val="100"/>
        <c:showNegBubbles val="0"/>
        <c:axId val="1352527088"/>
        <c:axId val="1518621376"/>
      </c:bubbleChart>
      <c:valAx>
        <c:axId val="1352527088"/>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18621376"/>
        <c:crosses val="autoZero"/>
        <c:crossBetween val="midCat"/>
      </c:valAx>
      <c:valAx>
        <c:axId val="151862137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52527088"/>
        <c:crosses val="autoZero"/>
        <c:crossBetween val="midCat"/>
      </c:valAx>
      <c:spPr>
        <a:noFill/>
        <a:ln>
          <a:noFill/>
        </a:ln>
        <a:effectLst/>
      </c:spPr>
    </c:plotArea>
    <c:legend>
      <c:legendPos val="b"/>
      <c:layout>
        <c:manualLayout>
          <c:xMode val="edge"/>
          <c:yMode val="edge"/>
          <c:x val="0.2050695538057743"/>
          <c:y val="0.79687445319335082"/>
          <c:w val="0.40724605076539344"/>
          <c:h val="8.538957494467772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Stacked Column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702537182852144"/>
          <c:y val="0.17171296296296296"/>
          <c:w val="0.56241907261592317"/>
          <c:h val="0.47146580635753871"/>
        </c:manualLayout>
      </c:layout>
      <c:barChart>
        <c:barDir val="col"/>
        <c:grouping val="stacked"/>
        <c:varyColors val="0"/>
        <c:ser>
          <c:idx val="0"/>
          <c:order val="0"/>
          <c:tx>
            <c:strRef>
              <c:f>Charts!$C$42</c:f>
              <c:strCache>
                <c:ptCount val="1"/>
                <c:pt idx="0">
                  <c:v>2019</c:v>
                </c:pt>
              </c:strCache>
            </c:strRef>
          </c:tx>
          <c:spPr>
            <a:solidFill>
              <a:schemeClr val="accent1"/>
            </a:solidFill>
            <a:ln>
              <a:noFill/>
            </a:ln>
            <a:effectLst/>
          </c:spPr>
          <c:invertIfNegative val="0"/>
          <c:cat>
            <c:strRef>
              <c:f>Charts!$B$43:$B$46</c:f>
              <c:strCache>
                <c:ptCount val="4"/>
                <c:pt idx="0">
                  <c:v>Mobiles</c:v>
                </c:pt>
                <c:pt idx="1">
                  <c:v>Laptops</c:v>
                </c:pt>
                <c:pt idx="2">
                  <c:v>Speakers</c:v>
                </c:pt>
                <c:pt idx="3">
                  <c:v>PCs</c:v>
                </c:pt>
              </c:strCache>
            </c:strRef>
          </c:cat>
          <c:val>
            <c:numRef>
              <c:f>Charts!$C$43:$C$46</c:f>
              <c:numCache>
                <c:formatCode>General</c:formatCode>
                <c:ptCount val="4"/>
                <c:pt idx="0">
                  <c:v>22</c:v>
                </c:pt>
                <c:pt idx="1">
                  <c:v>35</c:v>
                </c:pt>
                <c:pt idx="2">
                  <c:v>15</c:v>
                </c:pt>
                <c:pt idx="3">
                  <c:v>80</c:v>
                </c:pt>
              </c:numCache>
            </c:numRef>
          </c:val>
          <c:extLst>
            <c:ext xmlns:c16="http://schemas.microsoft.com/office/drawing/2014/chart" uri="{C3380CC4-5D6E-409C-BE32-E72D297353CC}">
              <c16:uniqueId val="{00000000-7755-44BE-A2A8-C3865599A15F}"/>
            </c:ext>
          </c:extLst>
        </c:ser>
        <c:ser>
          <c:idx val="1"/>
          <c:order val="1"/>
          <c:tx>
            <c:strRef>
              <c:f>Charts!$D$42</c:f>
              <c:strCache>
                <c:ptCount val="1"/>
                <c:pt idx="0">
                  <c:v>2020</c:v>
                </c:pt>
              </c:strCache>
            </c:strRef>
          </c:tx>
          <c:spPr>
            <a:solidFill>
              <a:schemeClr val="accent2"/>
            </a:solidFill>
            <a:ln>
              <a:noFill/>
            </a:ln>
            <a:effectLst/>
          </c:spPr>
          <c:invertIfNegative val="0"/>
          <c:cat>
            <c:strRef>
              <c:f>Charts!$B$43:$B$46</c:f>
              <c:strCache>
                <c:ptCount val="4"/>
                <c:pt idx="0">
                  <c:v>Mobiles</c:v>
                </c:pt>
                <c:pt idx="1">
                  <c:v>Laptops</c:v>
                </c:pt>
                <c:pt idx="2">
                  <c:v>Speakers</c:v>
                </c:pt>
                <c:pt idx="3">
                  <c:v>PCs</c:v>
                </c:pt>
              </c:strCache>
            </c:strRef>
          </c:cat>
          <c:val>
            <c:numRef>
              <c:f>Charts!$D$43:$D$46</c:f>
              <c:numCache>
                <c:formatCode>General</c:formatCode>
                <c:ptCount val="4"/>
                <c:pt idx="0">
                  <c:v>16</c:v>
                </c:pt>
                <c:pt idx="1">
                  <c:v>42</c:v>
                </c:pt>
                <c:pt idx="2">
                  <c:v>15</c:v>
                </c:pt>
                <c:pt idx="3">
                  <c:v>14</c:v>
                </c:pt>
              </c:numCache>
            </c:numRef>
          </c:val>
          <c:extLst>
            <c:ext xmlns:c16="http://schemas.microsoft.com/office/drawing/2014/chart" uri="{C3380CC4-5D6E-409C-BE32-E72D297353CC}">
              <c16:uniqueId val="{00000001-7755-44BE-A2A8-C3865599A15F}"/>
            </c:ext>
          </c:extLst>
        </c:ser>
        <c:ser>
          <c:idx val="2"/>
          <c:order val="2"/>
          <c:tx>
            <c:strRef>
              <c:f>Charts!$E$42</c:f>
              <c:strCache>
                <c:ptCount val="1"/>
                <c:pt idx="0">
                  <c:v>2021</c:v>
                </c:pt>
              </c:strCache>
            </c:strRef>
          </c:tx>
          <c:spPr>
            <a:solidFill>
              <a:schemeClr val="accent3"/>
            </a:solidFill>
            <a:ln>
              <a:noFill/>
            </a:ln>
            <a:effectLst/>
          </c:spPr>
          <c:invertIfNegative val="0"/>
          <c:cat>
            <c:strRef>
              <c:f>Charts!$B$43:$B$46</c:f>
              <c:strCache>
                <c:ptCount val="4"/>
                <c:pt idx="0">
                  <c:v>Mobiles</c:v>
                </c:pt>
                <c:pt idx="1">
                  <c:v>Laptops</c:v>
                </c:pt>
                <c:pt idx="2">
                  <c:v>Speakers</c:v>
                </c:pt>
                <c:pt idx="3">
                  <c:v>PCs</c:v>
                </c:pt>
              </c:strCache>
            </c:strRef>
          </c:cat>
          <c:val>
            <c:numRef>
              <c:f>Charts!$E$43:$E$46</c:f>
              <c:numCache>
                <c:formatCode>General</c:formatCode>
                <c:ptCount val="4"/>
                <c:pt idx="0">
                  <c:v>12</c:v>
                </c:pt>
                <c:pt idx="1">
                  <c:v>36</c:v>
                </c:pt>
                <c:pt idx="2">
                  <c:v>25</c:v>
                </c:pt>
                <c:pt idx="3">
                  <c:v>85</c:v>
                </c:pt>
              </c:numCache>
            </c:numRef>
          </c:val>
          <c:extLst>
            <c:ext xmlns:c16="http://schemas.microsoft.com/office/drawing/2014/chart" uri="{C3380CC4-5D6E-409C-BE32-E72D297353CC}">
              <c16:uniqueId val="{00000002-7755-44BE-A2A8-C3865599A15F}"/>
            </c:ext>
          </c:extLst>
        </c:ser>
        <c:ser>
          <c:idx val="3"/>
          <c:order val="3"/>
          <c:tx>
            <c:strRef>
              <c:f>Charts!$F$42</c:f>
              <c:strCache>
                <c:ptCount val="1"/>
                <c:pt idx="0">
                  <c:v>2022</c:v>
                </c:pt>
              </c:strCache>
            </c:strRef>
          </c:tx>
          <c:spPr>
            <a:solidFill>
              <a:schemeClr val="accent4"/>
            </a:solidFill>
            <a:ln>
              <a:noFill/>
            </a:ln>
            <a:effectLst/>
          </c:spPr>
          <c:invertIfNegative val="0"/>
          <c:cat>
            <c:strRef>
              <c:f>Charts!$B$43:$B$46</c:f>
              <c:strCache>
                <c:ptCount val="4"/>
                <c:pt idx="0">
                  <c:v>Mobiles</c:v>
                </c:pt>
                <c:pt idx="1">
                  <c:v>Laptops</c:v>
                </c:pt>
                <c:pt idx="2">
                  <c:v>Speakers</c:v>
                </c:pt>
                <c:pt idx="3">
                  <c:v>PCs</c:v>
                </c:pt>
              </c:strCache>
            </c:strRef>
          </c:cat>
          <c:val>
            <c:numRef>
              <c:f>Charts!$F$43:$F$46</c:f>
              <c:numCache>
                <c:formatCode>General</c:formatCode>
                <c:ptCount val="4"/>
                <c:pt idx="0">
                  <c:v>15</c:v>
                </c:pt>
                <c:pt idx="1">
                  <c:v>50</c:v>
                </c:pt>
                <c:pt idx="2">
                  <c:v>28</c:v>
                </c:pt>
                <c:pt idx="3">
                  <c:v>15</c:v>
                </c:pt>
              </c:numCache>
            </c:numRef>
          </c:val>
          <c:extLst>
            <c:ext xmlns:c16="http://schemas.microsoft.com/office/drawing/2014/chart" uri="{C3380CC4-5D6E-409C-BE32-E72D297353CC}">
              <c16:uniqueId val="{00000003-7755-44BE-A2A8-C3865599A15F}"/>
            </c:ext>
          </c:extLst>
        </c:ser>
        <c:dLbls>
          <c:showLegendKey val="0"/>
          <c:showVal val="0"/>
          <c:showCatName val="0"/>
          <c:showSerName val="0"/>
          <c:showPercent val="0"/>
          <c:showBubbleSize val="0"/>
        </c:dLbls>
        <c:gapWidth val="150"/>
        <c:overlap val="100"/>
        <c:axId val="1504922608"/>
        <c:axId val="1733158864"/>
      </c:barChart>
      <c:catAx>
        <c:axId val="150492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158864"/>
        <c:crosses val="autoZero"/>
        <c:auto val="1"/>
        <c:lblAlgn val="ctr"/>
        <c:lblOffset val="100"/>
        <c:noMultiLvlLbl val="0"/>
      </c:catAx>
      <c:valAx>
        <c:axId val="173315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922608"/>
        <c:crosses val="autoZero"/>
        <c:crossBetween val="between"/>
      </c:valAx>
      <c:spPr>
        <a:noFill/>
        <a:ln>
          <a:noFill/>
        </a:ln>
        <a:effectLst/>
      </c:spPr>
    </c:plotArea>
    <c:legend>
      <c:legendPos val="b"/>
      <c:layout>
        <c:manualLayout>
          <c:xMode val="edge"/>
          <c:yMode val="edge"/>
          <c:x val="0.23193416447944007"/>
          <c:y val="0.75520778652668419"/>
          <c:w val="0.48130952882226619"/>
          <c:h val="0.119048452276798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Charts!$C$97</c:f>
              <c:strCache>
                <c:ptCount val="1"/>
                <c:pt idx="0">
                  <c:v>Frequ</c:v>
                </c:pt>
              </c:strCache>
            </c:strRef>
          </c:tx>
          <c:spPr>
            <a:solidFill>
              <a:schemeClr val="accent1"/>
            </a:solidFill>
            <a:ln>
              <a:noFill/>
            </a:ln>
            <a:effectLst/>
          </c:spPr>
          <c:invertIfNegative val="0"/>
          <c:dLbls>
            <c:spPr>
              <a:no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Charts!$B$98:$B$100</c:f>
              <c:strCache>
                <c:ptCount val="3"/>
                <c:pt idx="0">
                  <c:v>Audi</c:v>
                </c:pt>
                <c:pt idx="1">
                  <c:v>BMW</c:v>
                </c:pt>
                <c:pt idx="2">
                  <c:v>Mercedes</c:v>
                </c:pt>
              </c:strCache>
            </c:strRef>
          </c:cat>
          <c:val>
            <c:numRef>
              <c:f>Charts!$C$98:$C$100</c:f>
              <c:numCache>
                <c:formatCode>General</c:formatCode>
                <c:ptCount val="3"/>
                <c:pt idx="0">
                  <c:v>124</c:v>
                </c:pt>
                <c:pt idx="1">
                  <c:v>96</c:v>
                </c:pt>
                <c:pt idx="2">
                  <c:v>115</c:v>
                </c:pt>
              </c:numCache>
            </c:numRef>
          </c:val>
          <c:extLst>
            <c:ext xmlns:c16="http://schemas.microsoft.com/office/drawing/2014/chart" uri="{C3380CC4-5D6E-409C-BE32-E72D297353CC}">
              <c16:uniqueId val="{00000000-3AE6-4014-81E7-FDD7DB338B3B}"/>
            </c:ext>
          </c:extLst>
        </c:ser>
        <c:dLbls>
          <c:dLblPos val="inBase"/>
          <c:showLegendKey val="0"/>
          <c:showVal val="1"/>
          <c:showCatName val="0"/>
          <c:showSerName val="0"/>
          <c:showPercent val="0"/>
          <c:showBubbleSize val="0"/>
        </c:dLbls>
        <c:gapWidth val="219"/>
        <c:overlap val="-27"/>
        <c:axId val="1832090368"/>
        <c:axId val="2060602704"/>
      </c:barChart>
      <c:catAx>
        <c:axId val="18320903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602704"/>
        <c:crosses val="autoZero"/>
        <c:auto val="1"/>
        <c:lblAlgn val="ctr"/>
        <c:lblOffset val="100"/>
        <c:noMultiLvlLbl val="0"/>
      </c:catAx>
      <c:valAx>
        <c:axId val="2060602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090368"/>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Pie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Charts!$C$97</c:f>
              <c:strCache>
                <c:ptCount val="1"/>
                <c:pt idx="0">
                  <c:v>Frequ</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E0-4BC1-A310-25A5A4D1C4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657-4F60-B99B-823FB2124B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E0-4BC1-A310-25A5A4D1C4BA}"/>
              </c:ext>
            </c:extLst>
          </c:dPt>
          <c:dLbls>
            <c:dLbl>
              <c:idx val="1"/>
              <c:layout>
                <c:manualLayout>
                  <c:x val="-0.26361621463983675"/>
                  <c:y val="-6.97672383975259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416001921328461"/>
                      <c:h val="0.16131192903212679"/>
                    </c:manualLayout>
                  </c15:layout>
                </c:ext>
                <c:ext xmlns:c16="http://schemas.microsoft.com/office/drawing/2014/chart" uri="{C3380CC4-5D6E-409C-BE32-E72D297353CC}">
                  <c16:uniqueId val="{00000001-6657-4F60-B99B-823FB2124B4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Charts!$B$98:$B$100</c:f>
              <c:strCache>
                <c:ptCount val="3"/>
                <c:pt idx="0">
                  <c:v>Audi</c:v>
                </c:pt>
                <c:pt idx="1">
                  <c:v>BMW</c:v>
                </c:pt>
                <c:pt idx="2">
                  <c:v>Mercedes</c:v>
                </c:pt>
              </c:strCache>
            </c:strRef>
          </c:cat>
          <c:val>
            <c:numRef>
              <c:f>Charts!$C$98:$C$100</c:f>
              <c:numCache>
                <c:formatCode>General</c:formatCode>
                <c:ptCount val="3"/>
                <c:pt idx="0">
                  <c:v>124</c:v>
                </c:pt>
                <c:pt idx="1">
                  <c:v>96</c:v>
                </c:pt>
                <c:pt idx="2">
                  <c:v>115</c:v>
                </c:pt>
              </c:numCache>
            </c:numRef>
          </c:val>
          <c:extLst>
            <c:ext xmlns:c16="http://schemas.microsoft.com/office/drawing/2014/chart" uri="{C3380CC4-5D6E-409C-BE32-E72D297353CC}">
              <c16:uniqueId val="{00000000-6657-4F60-B99B-823FB2124B47}"/>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Pareto Chart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Pareto Chart</a:t>
          </a:r>
        </a:p>
      </cx:txPr>
    </cx:title>
    <cx:plotArea>
      <cx:plotAreaRegion>
        <cx:series layoutId="clusteredColumn" uniqueId="{29A37824-A896-4466-876F-43CA07535329}">
          <cx:tx>
            <cx:txData>
              <cx:f>_xlchart.v1.1</cx:f>
              <cx:v>Frequ</cx:v>
            </cx:txData>
          </cx:tx>
          <cx:dataLabels pos="inEnd">
            <cx:visibility seriesName="0" categoryName="0" value="1"/>
            <cx:separator>, </cx:separator>
          </cx:dataLabels>
          <cx:dataId val="0"/>
          <cx:layoutPr>
            <cx:aggregation/>
          </cx:layoutPr>
          <cx:axisId val="1"/>
        </cx:series>
        <cx:series layoutId="paretoLine" ownerIdx="0" uniqueId="{0C8FD67B-620D-4C1A-AF34-FCC725B35FA9}">
          <cx:axisId val="2"/>
        </cx:series>
      </cx:plotAreaRegion>
      <cx:axis id="0">
        <cx:catScaling gapWidth="0.300000012"/>
        <cx:tickLabels/>
      </cx:axis>
      <cx:axis id="1">
        <cx:valScaling/>
        <cx:majorGridlines/>
        <cx:majorTickMarks type="in"/>
        <cx:tickLabels/>
      </cx:axis>
      <cx:axis id="2">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1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w="6350" cap="flat" cmpd="sng" algn="ctr">
        <a:solidFill>
          <a:schemeClr val="dk1">
            <a:lumMod val="15000"/>
            <a:lumOff val="85000"/>
          </a:schemeClr>
        </a:solidFill>
        <a:round/>
      </a:ln>
    </cs:spPr>
  </cs:gridlineMajor>
  <cs:gridlineMinor>
    <cs:lnRef idx="0"/>
    <cs:fillRef idx="0"/>
    <cs:effectRef idx="0"/>
    <cs:fontRef idx="minor">
      <a:schemeClr val="dk1"/>
    </cs:fontRef>
    <cs:spPr>
      <a:ln w="6350"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png"/><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image" Target="../media/image3.png"/><Relationship Id="rId10" Type="http://schemas.openxmlformats.org/officeDocument/2006/relationships/image" Target="../media/image8.png"/><Relationship Id="rId4" Type="http://schemas.openxmlformats.org/officeDocument/2006/relationships/image" Target="../media/image2.png"/><Relationship Id="rId9"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xml"/><Relationship Id="rId1" Type="http://schemas.openxmlformats.org/officeDocument/2006/relationships/image" Target="../media/image9.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18" Type="http://schemas.openxmlformats.org/officeDocument/2006/relationships/image" Target="../media/image29.png"/><Relationship Id="rId3" Type="http://schemas.openxmlformats.org/officeDocument/2006/relationships/image" Target="../media/image14.png"/><Relationship Id="rId21" Type="http://schemas.openxmlformats.org/officeDocument/2006/relationships/image" Target="../media/image32.png"/><Relationship Id="rId7" Type="http://schemas.openxmlformats.org/officeDocument/2006/relationships/image" Target="../media/image18.png"/><Relationship Id="rId12" Type="http://schemas.openxmlformats.org/officeDocument/2006/relationships/image" Target="../media/image23.png"/><Relationship Id="rId17" Type="http://schemas.openxmlformats.org/officeDocument/2006/relationships/image" Target="../media/image28.png"/><Relationship Id="rId2" Type="http://schemas.openxmlformats.org/officeDocument/2006/relationships/image" Target="../media/image13.png"/><Relationship Id="rId16" Type="http://schemas.openxmlformats.org/officeDocument/2006/relationships/image" Target="../media/image27.png"/><Relationship Id="rId20" Type="http://schemas.openxmlformats.org/officeDocument/2006/relationships/image" Target="../media/image31.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5" Type="http://schemas.openxmlformats.org/officeDocument/2006/relationships/image" Target="../media/image16.png"/><Relationship Id="rId15" Type="http://schemas.openxmlformats.org/officeDocument/2006/relationships/image" Target="../media/image26.png"/><Relationship Id="rId10" Type="http://schemas.openxmlformats.org/officeDocument/2006/relationships/image" Target="../media/image21.png"/><Relationship Id="rId19" Type="http://schemas.openxmlformats.org/officeDocument/2006/relationships/image" Target="../media/image30.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s>
</file>

<file path=xl/drawings/_rels/drawing5.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image" Target="../media/image34.png"/><Relationship Id="rId1" Type="http://schemas.openxmlformats.org/officeDocument/2006/relationships/image" Target="../media/image33.png"/></Relationships>
</file>

<file path=xl/drawings/_rels/drawing6.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image" Target="../media/image36.png"/><Relationship Id="rId4" Type="http://schemas.openxmlformats.org/officeDocument/2006/relationships/image" Target="../media/image39.png"/></Relationships>
</file>

<file path=xl/drawings/_rels/drawing7.xml.rels><?xml version="1.0" encoding="UTF-8" standalone="yes"?>
<Relationships xmlns="http://schemas.openxmlformats.org/package/2006/relationships"><Relationship Id="rId3" Type="http://schemas.openxmlformats.org/officeDocument/2006/relationships/image" Target="../media/image41.jpeg"/><Relationship Id="rId2" Type="http://schemas.openxmlformats.org/officeDocument/2006/relationships/image" Target="../media/image40.png"/><Relationship Id="rId1" Type="http://schemas.openxmlformats.org/officeDocument/2006/relationships/chart" Target="../charts/chart5.xml"/><Relationship Id="rId4" Type="http://schemas.openxmlformats.org/officeDocument/2006/relationships/image" Target="../media/image42.png"/></Relationships>
</file>

<file path=xl/drawings/_rels/drawing8.xml.rels><?xml version="1.0" encoding="UTF-8" standalone="yes"?>
<Relationships xmlns="http://schemas.openxmlformats.org/package/2006/relationships"><Relationship Id="rId8" Type="http://schemas.openxmlformats.org/officeDocument/2006/relationships/image" Target="../media/image48.png"/><Relationship Id="rId3" Type="http://schemas.openxmlformats.org/officeDocument/2006/relationships/image" Target="../media/image45.png"/><Relationship Id="rId7" Type="http://schemas.openxmlformats.org/officeDocument/2006/relationships/image" Target="../media/image47.png"/><Relationship Id="rId2" Type="http://schemas.openxmlformats.org/officeDocument/2006/relationships/image" Target="../media/image44.png"/><Relationship Id="rId1" Type="http://schemas.openxmlformats.org/officeDocument/2006/relationships/image" Target="../media/image43.png"/><Relationship Id="rId6" Type="http://schemas.openxmlformats.org/officeDocument/2006/relationships/chart" Target="../charts/chart7.xml"/><Relationship Id="rId5" Type="http://schemas.openxmlformats.org/officeDocument/2006/relationships/chart" Target="../charts/chart6.xml"/><Relationship Id="rId10" Type="http://schemas.openxmlformats.org/officeDocument/2006/relationships/chart" Target="../charts/chart8.xml"/><Relationship Id="rId4" Type="http://schemas.openxmlformats.org/officeDocument/2006/relationships/image" Target="../media/image46.png"/><Relationship Id="rId9" Type="http://schemas.openxmlformats.org/officeDocument/2006/relationships/image" Target="../media/image49.png"/></Relationships>
</file>

<file path=xl/drawings/_rels/drawing9.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image" Target="../media/image52.png"/><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image" Target="../media/image51.png"/><Relationship Id="rId16" Type="http://schemas.microsoft.com/office/2014/relationships/chartEx" Target="../charts/chartEx1.xml"/><Relationship Id="rId1" Type="http://schemas.openxmlformats.org/officeDocument/2006/relationships/image" Target="../media/image50.png"/><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4" Type="http://schemas.openxmlformats.org/officeDocument/2006/relationships/image" Target="../media/image53.png"/><Relationship Id="rId9" Type="http://schemas.openxmlformats.org/officeDocument/2006/relationships/chart" Target="../charts/chart13.xml"/><Relationship Id="rId1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5.png"/><Relationship Id="rId1" Type="http://schemas.openxmlformats.org/officeDocument/2006/relationships/image" Target="../media/image54.png"/></Relationships>
</file>

<file path=xl/drawings/drawing1.xml><?xml version="1.0" encoding="utf-8"?>
<xdr:wsDr xmlns:xdr="http://schemas.openxmlformats.org/drawingml/2006/spreadsheetDrawing" xmlns:a="http://schemas.openxmlformats.org/drawingml/2006/main">
  <xdr:twoCellAnchor>
    <xdr:from>
      <xdr:col>0</xdr:col>
      <xdr:colOff>257175</xdr:colOff>
      <xdr:row>95</xdr:row>
      <xdr:rowOff>166687</xdr:rowOff>
    </xdr:from>
    <xdr:to>
      <xdr:col>7</xdr:col>
      <xdr:colOff>962025</xdr:colOff>
      <xdr:row>110</xdr:row>
      <xdr:rowOff>52387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23812</xdr:colOff>
      <xdr:row>96</xdr:row>
      <xdr:rowOff>14287</xdr:rowOff>
    </xdr:from>
    <xdr:to>
      <xdr:col>12</xdr:col>
      <xdr:colOff>447675</xdr:colOff>
      <xdr:row>108</xdr:row>
      <xdr:rowOff>85725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28</xdr:col>
      <xdr:colOff>28575</xdr:colOff>
      <xdr:row>3</xdr:row>
      <xdr:rowOff>171450</xdr:rowOff>
    </xdr:from>
    <xdr:to>
      <xdr:col>30</xdr:col>
      <xdr:colOff>352640</xdr:colOff>
      <xdr:row>8</xdr:row>
      <xdr:rowOff>38221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8830925" y="361950"/>
          <a:ext cx="1543265" cy="866896"/>
        </a:xfrm>
        <a:prstGeom prst="rect">
          <a:avLst/>
        </a:prstGeom>
      </xdr:spPr>
    </xdr:pic>
    <xdr:clientData/>
  </xdr:twoCellAnchor>
  <xdr:twoCellAnchor editAs="oneCell">
    <xdr:from>
      <xdr:col>39</xdr:col>
      <xdr:colOff>571500</xdr:colOff>
      <xdr:row>8</xdr:row>
      <xdr:rowOff>9525</xdr:rowOff>
    </xdr:from>
    <xdr:to>
      <xdr:col>48</xdr:col>
      <xdr:colOff>515108</xdr:colOff>
      <xdr:row>10</xdr:row>
      <xdr:rowOff>19111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6431875" y="1200150"/>
          <a:ext cx="5430008" cy="438211"/>
        </a:xfrm>
        <a:prstGeom prst="rect">
          <a:avLst/>
        </a:prstGeom>
      </xdr:spPr>
    </xdr:pic>
    <xdr:clientData/>
  </xdr:twoCellAnchor>
  <xdr:twoCellAnchor editAs="oneCell">
    <xdr:from>
      <xdr:col>39</xdr:col>
      <xdr:colOff>600075</xdr:colOff>
      <xdr:row>13</xdr:row>
      <xdr:rowOff>9525</xdr:rowOff>
    </xdr:from>
    <xdr:to>
      <xdr:col>48</xdr:col>
      <xdr:colOff>524630</xdr:colOff>
      <xdr:row>18</xdr:row>
      <xdr:rowOff>28575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stretch>
          <a:fillRect/>
        </a:stretch>
      </xdr:blipFill>
      <xdr:spPr>
        <a:xfrm>
          <a:off x="26174700" y="2200275"/>
          <a:ext cx="5410955" cy="1019175"/>
        </a:xfrm>
        <a:prstGeom prst="rect">
          <a:avLst/>
        </a:prstGeom>
      </xdr:spPr>
    </xdr:pic>
    <xdr:clientData/>
  </xdr:twoCellAnchor>
  <xdr:twoCellAnchor editAs="oneCell">
    <xdr:from>
      <xdr:col>40</xdr:col>
      <xdr:colOff>9525</xdr:colOff>
      <xdr:row>20</xdr:row>
      <xdr:rowOff>152400</xdr:rowOff>
    </xdr:from>
    <xdr:to>
      <xdr:col>48</xdr:col>
      <xdr:colOff>515101</xdr:colOff>
      <xdr:row>23</xdr:row>
      <xdr:rowOff>133427</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a:stretch>
          <a:fillRect/>
        </a:stretch>
      </xdr:blipFill>
      <xdr:spPr>
        <a:xfrm>
          <a:off x="26193750" y="3724275"/>
          <a:ext cx="5382376" cy="552527"/>
        </a:xfrm>
        <a:prstGeom prst="rect">
          <a:avLst/>
        </a:prstGeom>
      </xdr:spPr>
    </xdr:pic>
    <xdr:clientData/>
  </xdr:twoCellAnchor>
  <xdr:twoCellAnchor editAs="oneCell">
    <xdr:from>
      <xdr:col>3</xdr:col>
      <xdr:colOff>104774</xdr:colOff>
      <xdr:row>3</xdr:row>
      <xdr:rowOff>123825</xdr:rowOff>
    </xdr:from>
    <xdr:to>
      <xdr:col>3</xdr:col>
      <xdr:colOff>619125</xdr:colOff>
      <xdr:row>11</xdr:row>
      <xdr:rowOff>124051</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2447924" y="314325"/>
          <a:ext cx="514351" cy="1619476"/>
        </a:xfrm>
        <a:prstGeom prst="rect">
          <a:avLst/>
        </a:prstGeom>
      </xdr:spPr>
    </xdr:pic>
    <xdr:clientData/>
  </xdr:twoCellAnchor>
  <xdr:twoCellAnchor editAs="oneCell">
    <xdr:from>
      <xdr:col>28</xdr:col>
      <xdr:colOff>581025</xdr:colOff>
      <xdr:row>55</xdr:row>
      <xdr:rowOff>171451</xdr:rowOff>
    </xdr:from>
    <xdr:to>
      <xdr:col>35</xdr:col>
      <xdr:colOff>152984</xdr:colOff>
      <xdr:row>62</xdr:row>
      <xdr:rowOff>123826</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a:stretch>
          <a:fillRect/>
        </a:stretch>
      </xdr:blipFill>
      <xdr:spPr>
        <a:xfrm>
          <a:off x="19611975" y="10601326"/>
          <a:ext cx="3839159" cy="1485900"/>
        </a:xfrm>
        <a:prstGeom prst="rect">
          <a:avLst/>
        </a:prstGeom>
      </xdr:spPr>
    </xdr:pic>
    <xdr:clientData/>
  </xdr:twoCellAnchor>
  <xdr:twoCellAnchor editAs="oneCell">
    <xdr:from>
      <xdr:col>31</xdr:col>
      <xdr:colOff>28575</xdr:colOff>
      <xdr:row>79</xdr:row>
      <xdr:rowOff>228600</xdr:rowOff>
    </xdr:from>
    <xdr:to>
      <xdr:col>37</xdr:col>
      <xdr:colOff>229169</xdr:colOff>
      <xdr:row>82</xdr:row>
      <xdr:rowOff>66739</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9"/>
        <a:stretch>
          <a:fillRect/>
        </a:stretch>
      </xdr:blipFill>
      <xdr:spPr>
        <a:xfrm>
          <a:off x="20888325" y="13373100"/>
          <a:ext cx="3943919" cy="457264"/>
        </a:xfrm>
        <a:prstGeom prst="rect">
          <a:avLst/>
        </a:prstGeom>
      </xdr:spPr>
    </xdr:pic>
    <xdr:clientData/>
  </xdr:twoCellAnchor>
  <xdr:twoCellAnchor editAs="oneCell">
    <xdr:from>
      <xdr:col>32</xdr:col>
      <xdr:colOff>57150</xdr:colOff>
      <xdr:row>85</xdr:row>
      <xdr:rowOff>133350</xdr:rowOff>
    </xdr:from>
    <xdr:to>
      <xdr:col>38</xdr:col>
      <xdr:colOff>400620</xdr:colOff>
      <xdr:row>88</xdr:row>
      <xdr:rowOff>38173</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1526500" y="14468475"/>
          <a:ext cx="4086795" cy="5239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161925</xdr:colOff>
      <xdr:row>54</xdr:row>
      <xdr:rowOff>19051</xdr:rowOff>
    </xdr:from>
    <xdr:to>
      <xdr:col>5</xdr:col>
      <xdr:colOff>57150</xdr:colOff>
      <xdr:row>56</xdr:row>
      <xdr:rowOff>57151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438525" y="10315576"/>
          <a:ext cx="695325" cy="419100"/>
        </a:xfrm>
        <a:prstGeom prst="rect">
          <a:avLst/>
        </a:prstGeom>
      </xdr:spPr>
    </xdr:pic>
    <xdr:clientData/>
  </xdr:twoCellAnchor>
  <xdr:twoCellAnchor>
    <xdr:from>
      <xdr:col>2</xdr:col>
      <xdr:colOff>180975</xdr:colOff>
      <xdr:row>89</xdr:row>
      <xdr:rowOff>80962</xdr:rowOff>
    </xdr:from>
    <xdr:to>
      <xdr:col>6</xdr:col>
      <xdr:colOff>342900</xdr:colOff>
      <xdr:row>102</xdr:row>
      <xdr:rowOff>133350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457200</xdr:colOff>
      <xdr:row>90</xdr:row>
      <xdr:rowOff>28575</xdr:rowOff>
    </xdr:from>
    <xdr:to>
      <xdr:col>19</xdr:col>
      <xdr:colOff>57150</xdr:colOff>
      <xdr:row>98</xdr:row>
      <xdr:rowOff>161925</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489" t="13352" b="15239"/>
        <a:stretch/>
      </xdr:blipFill>
      <xdr:spPr bwMode="auto">
        <a:xfrm>
          <a:off x="10934700" y="17478375"/>
          <a:ext cx="3257550" cy="167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619124</xdr:colOff>
      <xdr:row>101</xdr:row>
      <xdr:rowOff>166687</xdr:rowOff>
    </xdr:from>
    <xdr:to>
      <xdr:col>9</xdr:col>
      <xdr:colOff>895349</xdr:colOff>
      <xdr:row>110</xdr:row>
      <xdr:rowOff>66675</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495300</xdr:colOff>
      <xdr:row>3</xdr:row>
      <xdr:rowOff>190499</xdr:rowOff>
    </xdr:from>
    <xdr:to>
      <xdr:col>3</xdr:col>
      <xdr:colOff>57150</xdr:colOff>
      <xdr:row>7</xdr:row>
      <xdr:rowOff>123824</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95300" y="761999"/>
          <a:ext cx="1390650"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Sub subjec_name()</a:t>
          </a:r>
        </a:p>
        <a:p>
          <a:r>
            <a:rPr lang="en-IN" sz="1100"/>
            <a:t>    body</a:t>
          </a:r>
        </a:p>
        <a:p>
          <a:r>
            <a:rPr lang="en-IN" sz="1100"/>
            <a:t>End Sub</a:t>
          </a:r>
        </a:p>
      </xdr:txBody>
    </xdr:sp>
    <xdr:clientData/>
  </xdr:twoCellAnchor>
  <xdr:twoCellAnchor>
    <xdr:from>
      <xdr:col>0</xdr:col>
      <xdr:colOff>66675</xdr:colOff>
      <xdr:row>8</xdr:row>
      <xdr:rowOff>9525</xdr:rowOff>
    </xdr:from>
    <xdr:to>
      <xdr:col>2</xdr:col>
      <xdr:colOff>447675</xdr:colOff>
      <xdr:row>12</xdr:row>
      <xdr:rowOff>9525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6675" y="1533525"/>
          <a:ext cx="1600200"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Sub Sample()</a:t>
          </a:r>
        </a:p>
        <a:p>
          <a:r>
            <a:rPr lang="en-IN" sz="1100"/>
            <a:t> ' Selecting range</a:t>
          </a:r>
        </a:p>
        <a:p>
          <a:r>
            <a:rPr lang="en-IN" sz="1100"/>
            <a:t>  Range("a2:d5") = "Hii"</a:t>
          </a:r>
        </a:p>
        <a:p>
          <a:r>
            <a:rPr lang="en-IN" sz="1100"/>
            <a:t>End Sub</a:t>
          </a:r>
        </a:p>
      </xdr:txBody>
    </xdr:sp>
    <xdr:clientData/>
  </xdr:twoCellAnchor>
  <xdr:twoCellAnchor editAs="oneCell">
    <xdr:from>
      <xdr:col>3</xdr:col>
      <xdr:colOff>596394</xdr:colOff>
      <xdr:row>8</xdr:row>
      <xdr:rowOff>0</xdr:rowOff>
    </xdr:from>
    <xdr:to>
      <xdr:col>6</xdr:col>
      <xdr:colOff>200332</xdr:colOff>
      <xdr:row>12</xdr:row>
      <xdr:rowOff>38100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2425194" y="1524000"/>
          <a:ext cx="1432738" cy="800100"/>
        </a:xfrm>
        <a:prstGeom prst="rect">
          <a:avLst/>
        </a:prstGeom>
      </xdr:spPr>
    </xdr:pic>
    <xdr:clientData/>
  </xdr:twoCellAnchor>
  <xdr:twoCellAnchor>
    <xdr:from>
      <xdr:col>0</xdr:col>
      <xdr:colOff>85725</xdr:colOff>
      <xdr:row>14</xdr:row>
      <xdr:rowOff>171449</xdr:rowOff>
    </xdr:from>
    <xdr:to>
      <xdr:col>4</xdr:col>
      <xdr:colOff>390525</xdr:colOff>
      <xdr:row>26</xdr:row>
      <xdr:rowOff>66675</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85725" y="2838449"/>
          <a:ext cx="2743200" cy="2181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Example to edit the sheets:</a:t>
          </a:r>
        </a:p>
        <a:p>
          <a:r>
            <a:rPr lang="en-IN" sz="1100"/>
            <a:t>Sub Create_sheet()</a:t>
          </a:r>
        </a:p>
        <a:p>
          <a:r>
            <a:rPr lang="en-IN" sz="1100"/>
            <a:t>  Sheets.Add.Name = "Durga"</a:t>
          </a:r>
        </a:p>
        <a:p>
          <a:r>
            <a:rPr lang="en-IN" sz="1100"/>
            <a:t>End Sub</a:t>
          </a:r>
        </a:p>
        <a:p>
          <a:endParaRPr lang="en-IN" sz="1100"/>
        </a:p>
        <a:p>
          <a:r>
            <a:rPr lang="en-IN" sz="1100"/>
            <a:t>Sub Delete()</a:t>
          </a:r>
        </a:p>
        <a:p>
          <a:r>
            <a:rPr lang="en-IN" sz="1100"/>
            <a:t>  Sheets("Durga").Delete</a:t>
          </a:r>
        </a:p>
        <a:p>
          <a:r>
            <a:rPr lang="en-IN" sz="1100"/>
            <a:t>End Sub</a:t>
          </a:r>
        </a:p>
        <a:p>
          <a:endParaRPr lang="en-IN" sz="1100"/>
        </a:p>
        <a:p>
          <a:r>
            <a:rPr lang="en-IN" sz="1100"/>
            <a:t>Sub Rename()</a:t>
          </a:r>
        </a:p>
        <a:p>
          <a:r>
            <a:rPr lang="en-IN" sz="1100"/>
            <a:t> Sheets("Durga").Name = "Sheet3"</a:t>
          </a:r>
        </a:p>
        <a:p>
          <a:r>
            <a:rPr lang="en-IN" sz="1100"/>
            <a:t>End Sub</a:t>
          </a:r>
        </a:p>
      </xdr:txBody>
    </xdr:sp>
    <xdr:clientData/>
  </xdr:twoCellAnchor>
  <mc:AlternateContent xmlns:mc="http://schemas.openxmlformats.org/markup-compatibility/2006">
    <mc:Choice xmlns:a14="http://schemas.microsoft.com/office/drawing/2010/main" Requires="a14">
      <xdr:twoCellAnchor>
        <xdr:from>
          <xdr:col>10</xdr:col>
          <xdr:colOff>0</xdr:colOff>
          <xdr:row>18</xdr:row>
          <xdr:rowOff>9525</xdr:rowOff>
        </xdr:from>
        <xdr:to>
          <xdr:col>12</xdr:col>
          <xdr:colOff>0</xdr:colOff>
          <xdr:row>20</xdr:row>
          <xdr:rowOff>9525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Create a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590550</xdr:colOff>
          <xdr:row>20</xdr:row>
          <xdr:rowOff>9525</xdr:rowOff>
        </xdr:from>
        <xdr:to>
          <xdr:col>18</xdr:col>
          <xdr:colOff>9525</xdr:colOff>
          <xdr:row>21</xdr:row>
          <xdr:rowOff>9525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47625</xdr:colOff>
          <xdr:row>22</xdr:row>
          <xdr:rowOff>38100</xdr:rowOff>
        </xdr:from>
        <xdr:to>
          <xdr:col>17</xdr:col>
          <xdr:colOff>295275</xdr:colOff>
          <xdr:row>23</xdr:row>
          <xdr:rowOff>152400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Range offset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609600</xdr:colOff>
          <xdr:row>24</xdr:row>
          <xdr:rowOff>180975</xdr:rowOff>
        </xdr:from>
        <xdr:to>
          <xdr:col>17</xdr:col>
          <xdr:colOff>9525</xdr:colOff>
          <xdr:row>26</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Resize</a:t>
              </a:r>
            </a:p>
          </xdr:txBody>
        </xdr:sp>
        <xdr:clientData fPrintsWithSheet="0"/>
      </xdr:twoCellAnchor>
    </mc:Choice>
    <mc:Fallback/>
  </mc:AlternateContent>
  <xdr:twoCellAnchor>
    <xdr:from>
      <xdr:col>1</xdr:col>
      <xdr:colOff>9525</xdr:colOff>
      <xdr:row>29</xdr:row>
      <xdr:rowOff>0</xdr:rowOff>
    </xdr:from>
    <xdr:to>
      <xdr:col>5</xdr:col>
      <xdr:colOff>314325</xdr:colOff>
      <xdr:row>38</xdr:row>
      <xdr:rowOff>133350</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619125" y="5524500"/>
          <a:ext cx="2743200" cy="1847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t>
          </a:r>
          <a:r>
            <a:rPr lang="en-IN" sz="1100" baseline="0"/>
            <a:t> Variable declaration</a:t>
          </a:r>
        </a:p>
        <a:p>
          <a:r>
            <a:rPr lang="en-IN" sz="1100"/>
            <a:t>Dim intX, intY, intZ As Integer</a:t>
          </a:r>
        </a:p>
        <a:p>
          <a:endParaRPr lang="en-IN" sz="1100"/>
        </a:p>
        <a:p>
          <a:r>
            <a:rPr lang="en-IN" sz="1100"/>
            <a:t>' intialization</a:t>
          </a:r>
        </a:p>
        <a:p>
          <a:r>
            <a:rPr lang="en-IN" sz="1100"/>
            <a:t>intX=23</a:t>
          </a:r>
        </a:p>
        <a:p>
          <a:r>
            <a:rPr lang="en-IN" sz="1100"/>
            <a:t>intY=50</a:t>
          </a:r>
        </a:p>
        <a:p>
          <a:r>
            <a:rPr lang="en-IN" sz="1100"/>
            <a:t>intZ=30</a:t>
          </a:r>
        </a:p>
        <a:p>
          <a:endParaRPr lang="en-IN" sz="1100"/>
        </a:p>
        <a:p>
          <a:r>
            <a:rPr lang="en-IN" sz="1100"/>
            <a:t>' wrong declaration</a:t>
          </a:r>
        </a:p>
        <a:p>
          <a:r>
            <a:rPr lang="en-IN" sz="1100"/>
            <a:t>Dim intA As Integer=12</a:t>
          </a:r>
        </a:p>
      </xdr:txBody>
    </xdr:sp>
    <xdr:clientData/>
  </xdr:twoCellAnchor>
  <mc:AlternateContent xmlns:mc="http://schemas.openxmlformats.org/markup-compatibility/2006">
    <mc:Choice xmlns:a14="http://schemas.microsoft.com/office/drawing/2010/main" Requires="a14">
      <xdr:twoCellAnchor>
        <xdr:from>
          <xdr:col>11</xdr:col>
          <xdr:colOff>38100</xdr:colOff>
          <xdr:row>28</xdr:row>
          <xdr:rowOff>161925</xdr:rowOff>
        </xdr:from>
        <xdr:to>
          <xdr:col>13</xdr:col>
          <xdr:colOff>0</xdr:colOff>
          <xdr:row>31</xdr:row>
          <xdr:rowOff>19050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two numbers</a:t>
              </a:r>
            </a:p>
          </xdr:txBody>
        </xdr:sp>
        <xdr:clientData fPrintsWithSheet="0"/>
      </xdr:twoCellAnchor>
    </mc:Choice>
    <mc:Fallback/>
  </mc:AlternateContent>
  <xdr:twoCellAnchor>
    <xdr:from>
      <xdr:col>13</xdr:col>
      <xdr:colOff>38100</xdr:colOff>
      <xdr:row>27</xdr:row>
      <xdr:rowOff>0</xdr:rowOff>
    </xdr:from>
    <xdr:to>
      <xdr:col>18</xdr:col>
      <xdr:colOff>38100</xdr:colOff>
      <xdr:row>34</xdr:row>
      <xdr:rowOff>133350</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8210550" y="5143500"/>
          <a:ext cx="3048000" cy="146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Sub addNumbers()</a:t>
          </a:r>
        </a:p>
        <a:p>
          <a:r>
            <a:rPr lang="en-IN" sz="1100"/>
            <a:t>      Dim a As Integer, b As Integer, sum As Integer</a:t>
          </a:r>
        </a:p>
        <a:p>
          <a:r>
            <a:rPr lang="en-IN" sz="1100"/>
            <a:t>   </a:t>
          </a:r>
        </a:p>
        <a:p>
          <a:r>
            <a:rPr lang="en-IN" sz="1100"/>
            <a:t>      a = InputBox("Enter the first number")</a:t>
          </a:r>
        </a:p>
        <a:p>
          <a:r>
            <a:rPr lang="en-IN" sz="1100"/>
            <a:t>      b = InputBox("Enter the second number")</a:t>
          </a:r>
        </a:p>
        <a:p>
          <a:r>
            <a:rPr lang="en-IN" sz="1100" baseline="0"/>
            <a:t>   </a:t>
          </a:r>
          <a:r>
            <a:rPr lang="en-IN" sz="1100"/>
            <a:t>   sum = a + b</a:t>
          </a:r>
        </a:p>
        <a:p>
          <a:r>
            <a:rPr lang="en-IN" sz="1100"/>
            <a:t>      MsgBox (sum)</a:t>
          </a:r>
        </a:p>
        <a:p>
          <a:r>
            <a:rPr lang="en-IN" sz="1100"/>
            <a:t>End Sub</a:t>
          </a:r>
        </a:p>
      </xdr:txBody>
    </xdr:sp>
    <xdr:clientData/>
  </xdr:twoCellAnchor>
  <mc:AlternateContent xmlns:mc="http://schemas.openxmlformats.org/markup-compatibility/2006">
    <mc:Choice xmlns:a14="http://schemas.microsoft.com/office/drawing/2010/main" Requires="a14">
      <xdr:twoCellAnchor>
        <xdr:from>
          <xdr:col>9</xdr:col>
          <xdr:colOff>19050</xdr:colOff>
          <xdr:row>6</xdr:row>
          <xdr:rowOff>9525</xdr:rowOff>
        </xdr:from>
        <xdr:to>
          <xdr:col>10</xdr:col>
          <xdr:colOff>76200</xdr:colOff>
          <xdr:row>7</xdr:row>
          <xdr:rowOff>85725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600075</xdr:colOff>
          <xdr:row>22</xdr:row>
          <xdr:rowOff>0</xdr:rowOff>
        </xdr:from>
        <xdr:to>
          <xdr:col>12</xdr:col>
          <xdr:colOff>9525</xdr:colOff>
          <xdr:row>23</xdr:row>
          <xdr:rowOff>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Copy_paste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24</xdr:row>
          <xdr:rowOff>28575</xdr:rowOff>
        </xdr:from>
        <xdr:to>
          <xdr:col>10</xdr:col>
          <xdr:colOff>590550</xdr:colOff>
          <xdr:row>25</xdr:row>
          <xdr:rowOff>19050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small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30</xdr:row>
          <xdr:rowOff>9525</xdr:rowOff>
        </xdr:from>
        <xdr:to>
          <xdr:col>7</xdr:col>
          <xdr:colOff>9525</xdr:colOff>
          <xdr:row>32</xdr:row>
          <xdr:rowOff>180975</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Eligible for Vote?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34</xdr:row>
          <xdr:rowOff>9525</xdr:rowOff>
        </xdr:from>
        <xdr:to>
          <xdr:col>7</xdr:col>
          <xdr:colOff>9525</xdr:colOff>
          <xdr:row>36</xdr:row>
          <xdr:rowOff>190500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Grade of a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38</xdr:row>
          <xdr:rowOff>28575</xdr:rowOff>
        </xdr:from>
        <xdr:to>
          <xdr:col>7</xdr:col>
          <xdr:colOff>714375</xdr:colOff>
          <xdr:row>40</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Favourite color</a:t>
              </a:r>
            </a:p>
            <a:p>
              <a:pPr algn="ctr" rtl="0">
                <a:defRPr sz="1000"/>
              </a:pPr>
              <a:r>
                <a:rPr lang="en-IN" sz="1100" b="0" i="0" u="none" strike="noStrike" baseline="0">
                  <a:solidFill>
                    <a:srgbClr val="000000"/>
                  </a:solidFill>
                  <a:latin typeface="Calibri"/>
                  <a:ea typeface="Calibri"/>
                  <a:cs typeface="Calibri"/>
                </a:rPr>
                <a:t>personality with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38</xdr:row>
          <xdr:rowOff>9525</xdr:rowOff>
        </xdr:from>
        <xdr:to>
          <xdr:col>10</xdr:col>
          <xdr:colOff>600075</xdr:colOff>
          <xdr:row>40</xdr:row>
          <xdr:rowOff>9525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with usage</a:t>
              </a:r>
            </a:p>
          </xdr:txBody>
        </xdr:sp>
        <xdr:clientData fPrintsWithSheet="0"/>
      </xdr:twoCellAnchor>
    </mc:Choice>
    <mc:Fallback/>
  </mc:AlternateContent>
  <xdr:twoCellAnchor>
    <xdr:from>
      <xdr:col>11</xdr:col>
      <xdr:colOff>85725</xdr:colOff>
      <xdr:row>34</xdr:row>
      <xdr:rowOff>190498</xdr:rowOff>
    </xdr:from>
    <xdr:to>
      <xdr:col>14</xdr:col>
      <xdr:colOff>447675</xdr:colOff>
      <xdr:row>45</xdr:row>
      <xdr:rowOff>38100</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7038975" y="6724648"/>
          <a:ext cx="2190750" cy="20002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Without 'WITH'</a:t>
          </a:r>
        </a:p>
        <a:p>
          <a:r>
            <a:rPr lang="en-IN" sz="1100" b="0"/>
            <a:t>ActiveCell.Font.Bold=True</a:t>
          </a:r>
        </a:p>
        <a:p>
          <a:r>
            <a:rPr lang="en-IN" sz="1100" b="0"/>
            <a:t>ActiveCell.Font.Italic =True</a:t>
          </a:r>
        </a:p>
        <a:p>
          <a:r>
            <a:rPr lang="en-IN" sz="1100" b="0"/>
            <a:t>ActiveCell.Font.Size=15</a:t>
          </a:r>
        </a:p>
        <a:p>
          <a:endParaRPr lang="en-IN" sz="1100" b="0"/>
        </a:p>
        <a:p>
          <a:r>
            <a:rPr lang="en-IN" sz="1100" b="1"/>
            <a:t>With "WITH"</a:t>
          </a:r>
        </a:p>
        <a:p>
          <a:r>
            <a:rPr lang="en-IN" sz="1100" b="0"/>
            <a:t>With ActiveCell.Font</a:t>
          </a:r>
        </a:p>
        <a:p>
          <a:r>
            <a:rPr lang="en-IN" sz="1100" b="0"/>
            <a:t>.Bold = True</a:t>
          </a:r>
        </a:p>
        <a:p>
          <a:r>
            <a:rPr lang="en-IN" sz="1100" b="0"/>
            <a:t>.Size = 15</a:t>
          </a:r>
        </a:p>
        <a:p>
          <a:r>
            <a:rPr lang="en-IN" sz="1100" b="0"/>
            <a:t>.Italic = True</a:t>
          </a:r>
        </a:p>
        <a:p>
          <a:r>
            <a:rPr lang="en-IN" sz="1100" b="0"/>
            <a:t>End With</a:t>
          </a:r>
        </a:p>
      </xdr:txBody>
    </xdr:sp>
    <xdr:clientData/>
  </xdr:twoCellAnchor>
  <mc:AlternateContent xmlns:mc="http://schemas.openxmlformats.org/markup-compatibility/2006">
    <mc:Choice xmlns:a14="http://schemas.microsoft.com/office/drawing/2010/main" Requires="a14">
      <xdr:twoCellAnchor>
        <xdr:from>
          <xdr:col>4</xdr:col>
          <xdr:colOff>600075</xdr:colOff>
          <xdr:row>44</xdr:row>
          <xdr:rowOff>180975</xdr:rowOff>
        </xdr:from>
        <xdr:to>
          <xdr:col>6</xdr:col>
          <xdr:colOff>390525</xdr:colOff>
          <xdr:row>46</xdr:row>
          <xdr:rowOff>190500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string functions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8</xdr:col>
      <xdr:colOff>0</xdr:colOff>
      <xdr:row>20</xdr:row>
      <xdr:rowOff>0</xdr:rowOff>
    </xdr:from>
    <xdr:to>
      <xdr:col>9</xdr:col>
      <xdr:colOff>485928</xdr:colOff>
      <xdr:row>23</xdr:row>
      <xdr:rowOff>19132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4876800" y="3810000"/>
          <a:ext cx="1095528" cy="590632"/>
        </a:xfrm>
        <a:prstGeom prst="rect">
          <a:avLst/>
        </a:prstGeom>
      </xdr:spPr>
    </xdr:pic>
    <xdr:clientData/>
  </xdr:twoCellAnchor>
  <xdr:twoCellAnchor editAs="oneCell">
    <xdr:from>
      <xdr:col>9</xdr:col>
      <xdr:colOff>590550</xdr:colOff>
      <xdr:row>20</xdr:row>
      <xdr:rowOff>0</xdr:rowOff>
    </xdr:from>
    <xdr:to>
      <xdr:col>11</xdr:col>
      <xdr:colOff>485931</xdr:colOff>
      <xdr:row>26</xdr:row>
      <xdr:rowOff>9686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6076950" y="3810000"/>
          <a:ext cx="1114581" cy="1152686"/>
        </a:xfrm>
        <a:prstGeom prst="rect">
          <a:avLst/>
        </a:prstGeom>
      </xdr:spPr>
    </xdr:pic>
    <xdr:clientData/>
  </xdr:twoCellAnchor>
  <xdr:twoCellAnchor editAs="oneCell">
    <xdr:from>
      <xdr:col>5</xdr:col>
      <xdr:colOff>95250</xdr:colOff>
      <xdr:row>27</xdr:row>
      <xdr:rowOff>28575</xdr:rowOff>
    </xdr:from>
    <xdr:to>
      <xdr:col>6</xdr:col>
      <xdr:colOff>285862</xdr:colOff>
      <xdr:row>32</xdr:row>
      <xdr:rowOff>28708</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stretch>
          <a:fillRect/>
        </a:stretch>
      </xdr:blipFill>
      <xdr:spPr>
        <a:xfrm>
          <a:off x="3143250" y="5172075"/>
          <a:ext cx="800212" cy="952633"/>
        </a:xfrm>
        <a:prstGeom prst="rect">
          <a:avLst/>
        </a:prstGeom>
      </xdr:spPr>
    </xdr:pic>
    <xdr:clientData/>
  </xdr:twoCellAnchor>
  <xdr:twoCellAnchor editAs="oneCell">
    <xdr:from>
      <xdr:col>7</xdr:col>
      <xdr:colOff>152400</xdr:colOff>
      <xdr:row>12</xdr:row>
      <xdr:rowOff>171449</xdr:rowOff>
    </xdr:from>
    <xdr:to>
      <xdr:col>11</xdr:col>
      <xdr:colOff>457583</xdr:colOff>
      <xdr:row>16</xdr:row>
      <xdr:rowOff>161924</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a:stretch>
          <a:fillRect/>
        </a:stretch>
      </xdr:blipFill>
      <xdr:spPr>
        <a:xfrm>
          <a:off x="4419600" y="2457449"/>
          <a:ext cx="2743583" cy="752475"/>
        </a:xfrm>
        <a:prstGeom prst="rect">
          <a:avLst/>
        </a:prstGeom>
      </xdr:spPr>
    </xdr:pic>
    <xdr:clientData/>
  </xdr:twoCellAnchor>
  <xdr:twoCellAnchor editAs="oneCell">
    <xdr:from>
      <xdr:col>7</xdr:col>
      <xdr:colOff>133350</xdr:colOff>
      <xdr:row>38</xdr:row>
      <xdr:rowOff>85725</xdr:rowOff>
    </xdr:from>
    <xdr:to>
      <xdr:col>9</xdr:col>
      <xdr:colOff>200204</xdr:colOff>
      <xdr:row>46</xdr:row>
      <xdr:rowOff>85938</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5"/>
        <a:stretch>
          <a:fillRect/>
        </a:stretch>
      </xdr:blipFill>
      <xdr:spPr>
        <a:xfrm>
          <a:off x="4400550" y="7324725"/>
          <a:ext cx="1286054" cy="1524213"/>
        </a:xfrm>
        <a:prstGeom prst="rect">
          <a:avLst/>
        </a:prstGeom>
      </xdr:spPr>
    </xdr:pic>
    <xdr:clientData/>
  </xdr:twoCellAnchor>
  <xdr:twoCellAnchor editAs="oneCell">
    <xdr:from>
      <xdr:col>4</xdr:col>
      <xdr:colOff>533400</xdr:colOff>
      <xdr:row>43</xdr:row>
      <xdr:rowOff>28575</xdr:rowOff>
    </xdr:from>
    <xdr:to>
      <xdr:col>7</xdr:col>
      <xdr:colOff>276444</xdr:colOff>
      <xdr:row>53</xdr:row>
      <xdr:rowOff>66946</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6"/>
        <a:stretch>
          <a:fillRect/>
        </a:stretch>
      </xdr:blipFill>
      <xdr:spPr>
        <a:xfrm>
          <a:off x="2971800" y="8220075"/>
          <a:ext cx="1571844" cy="1943371"/>
        </a:xfrm>
        <a:prstGeom prst="rect">
          <a:avLst/>
        </a:prstGeom>
      </xdr:spPr>
    </xdr:pic>
    <xdr:clientData/>
  </xdr:twoCellAnchor>
  <xdr:twoCellAnchor editAs="oneCell">
    <xdr:from>
      <xdr:col>1</xdr:col>
      <xdr:colOff>552450</xdr:colOff>
      <xdr:row>46</xdr:row>
      <xdr:rowOff>0</xdr:rowOff>
    </xdr:from>
    <xdr:to>
      <xdr:col>4</xdr:col>
      <xdr:colOff>400284</xdr:colOff>
      <xdr:row>56</xdr:row>
      <xdr:rowOff>114582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7"/>
        <a:stretch>
          <a:fillRect/>
        </a:stretch>
      </xdr:blipFill>
      <xdr:spPr>
        <a:xfrm>
          <a:off x="1162050" y="8763000"/>
          <a:ext cx="1676634" cy="2019582"/>
        </a:xfrm>
        <a:prstGeom prst="rect">
          <a:avLst/>
        </a:prstGeom>
      </xdr:spPr>
    </xdr:pic>
    <xdr:clientData/>
  </xdr:twoCellAnchor>
  <xdr:twoCellAnchor editAs="oneCell">
    <xdr:from>
      <xdr:col>13</xdr:col>
      <xdr:colOff>238125</xdr:colOff>
      <xdr:row>48</xdr:row>
      <xdr:rowOff>161925</xdr:rowOff>
    </xdr:from>
    <xdr:to>
      <xdr:col>15</xdr:col>
      <xdr:colOff>19190</xdr:colOff>
      <xdr:row>56</xdr:row>
      <xdr:rowOff>19243</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8"/>
        <a:stretch>
          <a:fillRect/>
        </a:stretch>
      </xdr:blipFill>
      <xdr:spPr>
        <a:xfrm>
          <a:off x="8162925" y="9305925"/>
          <a:ext cx="1000265" cy="1381318"/>
        </a:xfrm>
        <a:prstGeom prst="rect">
          <a:avLst/>
        </a:prstGeom>
      </xdr:spPr>
    </xdr:pic>
    <xdr:clientData/>
  </xdr:twoCellAnchor>
  <xdr:twoCellAnchor editAs="oneCell">
    <xdr:from>
      <xdr:col>8</xdr:col>
      <xdr:colOff>571500</xdr:colOff>
      <xdr:row>53</xdr:row>
      <xdr:rowOff>76200</xdr:rowOff>
    </xdr:from>
    <xdr:to>
      <xdr:col>12</xdr:col>
      <xdr:colOff>200313</xdr:colOff>
      <xdr:row>55</xdr:row>
      <xdr:rowOff>38148</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9"/>
        <a:stretch>
          <a:fillRect/>
        </a:stretch>
      </xdr:blipFill>
      <xdr:spPr>
        <a:xfrm>
          <a:off x="5448300" y="10172700"/>
          <a:ext cx="2067213" cy="342948"/>
        </a:xfrm>
        <a:prstGeom prst="rect">
          <a:avLst/>
        </a:prstGeom>
      </xdr:spPr>
    </xdr:pic>
    <xdr:clientData/>
  </xdr:twoCellAnchor>
  <xdr:twoCellAnchor editAs="oneCell">
    <xdr:from>
      <xdr:col>1</xdr:col>
      <xdr:colOff>114300</xdr:colOff>
      <xdr:row>77</xdr:row>
      <xdr:rowOff>180975</xdr:rowOff>
    </xdr:from>
    <xdr:to>
      <xdr:col>4</xdr:col>
      <xdr:colOff>124082</xdr:colOff>
      <xdr:row>83</xdr:row>
      <xdr:rowOff>66819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0"/>
        <a:stretch>
          <a:fillRect/>
        </a:stretch>
      </xdr:blipFill>
      <xdr:spPr>
        <a:xfrm>
          <a:off x="723900" y="14849475"/>
          <a:ext cx="1838582" cy="1028844"/>
        </a:xfrm>
        <a:prstGeom prst="rect">
          <a:avLst/>
        </a:prstGeom>
      </xdr:spPr>
    </xdr:pic>
    <xdr:clientData/>
  </xdr:twoCellAnchor>
  <xdr:twoCellAnchor editAs="oneCell">
    <xdr:from>
      <xdr:col>4</xdr:col>
      <xdr:colOff>581025</xdr:colOff>
      <xdr:row>77</xdr:row>
      <xdr:rowOff>9525</xdr:rowOff>
    </xdr:from>
    <xdr:to>
      <xdr:col>8</xdr:col>
      <xdr:colOff>190786</xdr:colOff>
      <xdr:row>87</xdr:row>
      <xdr:rowOff>76475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1"/>
        <a:stretch>
          <a:fillRect/>
        </a:stretch>
      </xdr:blipFill>
      <xdr:spPr>
        <a:xfrm>
          <a:off x="3019425" y="14678025"/>
          <a:ext cx="2048161" cy="1971950"/>
        </a:xfrm>
        <a:prstGeom prst="rect">
          <a:avLst/>
        </a:prstGeom>
      </xdr:spPr>
    </xdr:pic>
    <xdr:clientData/>
  </xdr:twoCellAnchor>
  <xdr:twoCellAnchor editAs="oneCell">
    <xdr:from>
      <xdr:col>5</xdr:col>
      <xdr:colOff>19050</xdr:colOff>
      <xdr:row>94</xdr:row>
      <xdr:rowOff>19050</xdr:rowOff>
    </xdr:from>
    <xdr:to>
      <xdr:col>8</xdr:col>
      <xdr:colOff>438464</xdr:colOff>
      <xdr:row>106</xdr:row>
      <xdr:rowOff>57474</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2"/>
        <a:stretch>
          <a:fillRect/>
        </a:stretch>
      </xdr:blipFill>
      <xdr:spPr>
        <a:xfrm>
          <a:off x="3067050" y="17735550"/>
          <a:ext cx="2248214" cy="2324424"/>
        </a:xfrm>
        <a:prstGeom prst="rect">
          <a:avLst/>
        </a:prstGeom>
      </xdr:spPr>
    </xdr:pic>
    <xdr:clientData/>
  </xdr:twoCellAnchor>
  <xdr:twoCellAnchor editAs="oneCell">
    <xdr:from>
      <xdr:col>15</xdr:col>
      <xdr:colOff>76200</xdr:colOff>
      <xdr:row>99</xdr:row>
      <xdr:rowOff>171450</xdr:rowOff>
    </xdr:from>
    <xdr:to>
      <xdr:col>17</xdr:col>
      <xdr:colOff>209739</xdr:colOff>
      <xdr:row>110</xdr:row>
      <xdr:rowOff>47900</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3"/>
        <a:stretch>
          <a:fillRect/>
        </a:stretch>
      </xdr:blipFill>
      <xdr:spPr>
        <a:xfrm>
          <a:off x="9220200" y="19030950"/>
          <a:ext cx="1352739" cy="1971950"/>
        </a:xfrm>
        <a:prstGeom prst="rect">
          <a:avLst/>
        </a:prstGeom>
      </xdr:spPr>
    </xdr:pic>
    <xdr:clientData/>
  </xdr:twoCellAnchor>
  <xdr:twoCellAnchor editAs="oneCell">
    <xdr:from>
      <xdr:col>0</xdr:col>
      <xdr:colOff>0</xdr:colOff>
      <xdr:row>114</xdr:row>
      <xdr:rowOff>19050</xdr:rowOff>
    </xdr:from>
    <xdr:to>
      <xdr:col>6</xdr:col>
      <xdr:colOff>95250</xdr:colOff>
      <xdr:row>120</xdr:row>
      <xdr:rowOff>123999</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4"/>
        <a:stretch>
          <a:fillRect/>
        </a:stretch>
      </xdr:blipFill>
      <xdr:spPr>
        <a:xfrm>
          <a:off x="0" y="21736050"/>
          <a:ext cx="3752850" cy="1247949"/>
        </a:xfrm>
        <a:prstGeom prst="rect">
          <a:avLst/>
        </a:prstGeom>
      </xdr:spPr>
    </xdr:pic>
    <xdr:clientData/>
  </xdr:twoCellAnchor>
  <xdr:twoCellAnchor editAs="oneCell">
    <xdr:from>
      <xdr:col>8</xdr:col>
      <xdr:colOff>219075</xdr:colOff>
      <xdr:row>119</xdr:row>
      <xdr:rowOff>142875</xdr:rowOff>
    </xdr:from>
    <xdr:to>
      <xdr:col>15</xdr:col>
      <xdr:colOff>552450</xdr:colOff>
      <xdr:row>127</xdr:row>
      <xdr:rowOff>181193</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5"/>
        <a:stretch>
          <a:fillRect/>
        </a:stretch>
      </xdr:blipFill>
      <xdr:spPr>
        <a:xfrm>
          <a:off x="5095875" y="22812375"/>
          <a:ext cx="4600575" cy="1562318"/>
        </a:xfrm>
        <a:prstGeom prst="rect">
          <a:avLst/>
        </a:prstGeom>
      </xdr:spPr>
    </xdr:pic>
    <xdr:clientData/>
  </xdr:twoCellAnchor>
  <xdr:twoCellAnchor editAs="oneCell">
    <xdr:from>
      <xdr:col>5</xdr:col>
      <xdr:colOff>581025</xdr:colOff>
      <xdr:row>124</xdr:row>
      <xdr:rowOff>9525</xdr:rowOff>
    </xdr:from>
    <xdr:to>
      <xdr:col>8</xdr:col>
      <xdr:colOff>114490</xdr:colOff>
      <xdr:row>133</xdr:row>
      <xdr:rowOff>238</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6"/>
        <a:stretch>
          <a:fillRect/>
        </a:stretch>
      </xdr:blipFill>
      <xdr:spPr>
        <a:xfrm>
          <a:off x="3629025" y="23631525"/>
          <a:ext cx="1362265" cy="1705213"/>
        </a:xfrm>
        <a:prstGeom prst="rect">
          <a:avLst/>
        </a:prstGeom>
      </xdr:spPr>
    </xdr:pic>
    <xdr:clientData/>
  </xdr:twoCellAnchor>
  <xdr:twoCellAnchor editAs="oneCell">
    <xdr:from>
      <xdr:col>0</xdr:col>
      <xdr:colOff>0</xdr:colOff>
      <xdr:row>128</xdr:row>
      <xdr:rowOff>0</xdr:rowOff>
    </xdr:from>
    <xdr:to>
      <xdr:col>2</xdr:col>
      <xdr:colOff>305013</xdr:colOff>
      <xdr:row>134</xdr:row>
      <xdr:rowOff>114475</xdr:rowOff>
    </xdr:to>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7"/>
        <a:stretch>
          <a:fillRect/>
        </a:stretch>
      </xdr:blipFill>
      <xdr:spPr>
        <a:xfrm>
          <a:off x="0" y="24384000"/>
          <a:ext cx="1524213" cy="1257475"/>
        </a:xfrm>
        <a:prstGeom prst="rect">
          <a:avLst/>
        </a:prstGeom>
      </xdr:spPr>
    </xdr:pic>
    <xdr:clientData/>
  </xdr:twoCellAnchor>
  <xdr:twoCellAnchor editAs="oneCell">
    <xdr:from>
      <xdr:col>2</xdr:col>
      <xdr:colOff>361950</xdr:colOff>
      <xdr:row>128</xdr:row>
      <xdr:rowOff>19050</xdr:rowOff>
    </xdr:from>
    <xdr:to>
      <xdr:col>5</xdr:col>
      <xdr:colOff>66889</xdr:colOff>
      <xdr:row>134</xdr:row>
      <xdr:rowOff>133525</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8"/>
        <a:stretch>
          <a:fillRect/>
        </a:stretch>
      </xdr:blipFill>
      <xdr:spPr>
        <a:xfrm>
          <a:off x="1581150" y="24403050"/>
          <a:ext cx="1533739" cy="1257475"/>
        </a:xfrm>
        <a:prstGeom prst="rect">
          <a:avLst/>
        </a:prstGeom>
      </xdr:spPr>
    </xdr:pic>
    <xdr:clientData/>
  </xdr:twoCellAnchor>
  <xdr:twoCellAnchor editAs="oneCell">
    <xdr:from>
      <xdr:col>8</xdr:col>
      <xdr:colOff>443724</xdr:colOff>
      <xdr:row>136</xdr:row>
      <xdr:rowOff>76200</xdr:rowOff>
    </xdr:from>
    <xdr:to>
      <xdr:col>14</xdr:col>
      <xdr:colOff>515040</xdr:colOff>
      <xdr:row>145</xdr:row>
      <xdr:rowOff>28575</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9"/>
        <a:stretch>
          <a:fillRect/>
        </a:stretch>
      </xdr:blipFill>
      <xdr:spPr>
        <a:xfrm>
          <a:off x="5320524" y="25984200"/>
          <a:ext cx="3728916" cy="1666875"/>
        </a:xfrm>
        <a:prstGeom prst="rect">
          <a:avLst/>
        </a:prstGeom>
      </xdr:spPr>
    </xdr:pic>
    <xdr:clientData/>
  </xdr:twoCellAnchor>
  <xdr:twoCellAnchor editAs="oneCell">
    <xdr:from>
      <xdr:col>0</xdr:col>
      <xdr:colOff>57150</xdr:colOff>
      <xdr:row>140</xdr:row>
      <xdr:rowOff>142875</xdr:rowOff>
    </xdr:from>
    <xdr:to>
      <xdr:col>4</xdr:col>
      <xdr:colOff>524280</xdr:colOff>
      <xdr:row>148</xdr:row>
      <xdr:rowOff>47824</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20"/>
        <a:stretch>
          <a:fillRect/>
        </a:stretch>
      </xdr:blipFill>
      <xdr:spPr>
        <a:xfrm>
          <a:off x="57150" y="26812875"/>
          <a:ext cx="2905530" cy="1428949"/>
        </a:xfrm>
        <a:prstGeom prst="rect">
          <a:avLst/>
        </a:prstGeom>
      </xdr:spPr>
    </xdr:pic>
    <xdr:clientData/>
  </xdr:twoCellAnchor>
  <xdr:twoCellAnchor editAs="oneCell">
    <xdr:from>
      <xdr:col>5</xdr:col>
      <xdr:colOff>285750</xdr:colOff>
      <xdr:row>153</xdr:row>
      <xdr:rowOff>104775</xdr:rowOff>
    </xdr:from>
    <xdr:to>
      <xdr:col>10</xdr:col>
      <xdr:colOff>286175</xdr:colOff>
      <xdr:row>165</xdr:row>
      <xdr:rowOff>133673</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1"/>
        <a:stretch>
          <a:fillRect/>
        </a:stretch>
      </xdr:blipFill>
      <xdr:spPr>
        <a:xfrm>
          <a:off x="3333750" y="29251275"/>
          <a:ext cx="3048425" cy="231489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13</xdr:row>
      <xdr:rowOff>0</xdr:rowOff>
    </xdr:from>
    <xdr:to>
      <xdr:col>2</xdr:col>
      <xdr:colOff>238125</xdr:colOff>
      <xdr:row>21</xdr:row>
      <xdr:rowOff>152400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0" y="2495550"/>
          <a:ext cx="1457325" cy="16764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91440" bIns="91440" rtlCol="0" anchor="t"/>
        <a:lstStyle/>
        <a:p>
          <a:pPr>
            <a:spcAft>
              <a:spcPts val="600"/>
            </a:spcAft>
          </a:pPr>
          <a:r>
            <a:rPr lang="en-US" sz="1100"/>
            <a:t>To use VLOOKUP, provide:</a:t>
          </a:r>
        </a:p>
        <a:p>
          <a:pPr marL="171450" indent="-171450">
            <a:buFont typeface="Arial" panose="020B0604020202020204" pitchFamily="34" charset="0"/>
            <a:buChar char="•"/>
          </a:pPr>
          <a:r>
            <a:rPr lang="en-US" sz="1100"/>
            <a:t>A lookup value</a:t>
          </a:r>
        </a:p>
        <a:p>
          <a:pPr marL="171450" indent="-171450">
            <a:buFont typeface="Arial" panose="020B0604020202020204" pitchFamily="34" charset="0"/>
            <a:buChar char="•"/>
          </a:pPr>
          <a:r>
            <a:rPr lang="en-US" sz="1100"/>
            <a:t>The table range</a:t>
          </a:r>
        </a:p>
        <a:p>
          <a:pPr marL="171450" indent="-171450">
            <a:buFont typeface="Arial" panose="020B0604020202020204" pitchFamily="34" charset="0"/>
            <a:buChar char="•"/>
          </a:pPr>
          <a:r>
            <a:rPr lang="en-US" sz="1100"/>
            <a:t>The</a:t>
          </a:r>
          <a:r>
            <a:rPr lang="en-US" sz="1100" baseline="0"/>
            <a:t> column number</a:t>
          </a:r>
        </a:p>
        <a:p>
          <a:pPr marL="171450" indent="-171450">
            <a:buFont typeface="Arial" panose="020B0604020202020204" pitchFamily="34" charset="0"/>
            <a:buChar char="•"/>
          </a:pPr>
          <a:r>
            <a:rPr lang="en-US" sz="1100" baseline="0"/>
            <a:t>Desired match behavior</a:t>
          </a:r>
          <a:endParaRPr lang="en-US" sz="1100"/>
        </a:p>
      </xdr:txBody>
    </xdr:sp>
    <xdr:clientData/>
  </xdr:twoCellAnchor>
  <xdr:twoCellAnchor editAs="oneCell">
    <xdr:from>
      <xdr:col>14</xdr:col>
      <xdr:colOff>38100</xdr:colOff>
      <xdr:row>14</xdr:row>
      <xdr:rowOff>180975</xdr:rowOff>
    </xdr:from>
    <xdr:to>
      <xdr:col>19</xdr:col>
      <xdr:colOff>429268</xdr:colOff>
      <xdr:row>26</xdr:row>
      <xdr:rowOff>156709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9610725" y="2867025"/>
          <a:ext cx="3439168" cy="2309359"/>
        </a:xfrm>
        <a:prstGeom prst="rect">
          <a:avLst/>
        </a:prstGeom>
      </xdr:spPr>
    </xdr:pic>
    <xdr:clientData/>
  </xdr:twoCellAnchor>
  <xdr:twoCellAnchor editAs="oneCell">
    <xdr:from>
      <xdr:col>0</xdr:col>
      <xdr:colOff>19050</xdr:colOff>
      <xdr:row>61</xdr:row>
      <xdr:rowOff>28575</xdr:rowOff>
    </xdr:from>
    <xdr:to>
      <xdr:col>7</xdr:col>
      <xdr:colOff>229224</xdr:colOff>
      <xdr:row>71</xdr:row>
      <xdr:rowOff>152683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19050" y="8448675"/>
          <a:ext cx="4467849" cy="2029108"/>
        </a:xfrm>
        <a:prstGeom prst="rect">
          <a:avLst/>
        </a:prstGeom>
      </xdr:spPr>
    </xdr:pic>
    <xdr:clientData/>
  </xdr:twoCellAnchor>
  <xdr:twoCellAnchor editAs="oneCell">
    <xdr:from>
      <xdr:col>8</xdr:col>
      <xdr:colOff>9525</xdr:colOff>
      <xdr:row>52</xdr:row>
      <xdr:rowOff>76200</xdr:rowOff>
    </xdr:from>
    <xdr:to>
      <xdr:col>12</xdr:col>
      <xdr:colOff>432164</xdr:colOff>
      <xdr:row>64</xdr:row>
      <xdr:rowOff>123825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515100" y="6781800"/>
          <a:ext cx="2861039" cy="23336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0</xdr:colOff>
      <xdr:row>57</xdr:row>
      <xdr:rowOff>28575</xdr:rowOff>
    </xdr:from>
    <xdr:to>
      <xdr:col>12</xdr:col>
      <xdr:colOff>238413</xdr:colOff>
      <xdr:row>60</xdr:row>
      <xdr:rowOff>76286</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5486400" y="8610600"/>
          <a:ext cx="2067213" cy="619211"/>
        </a:xfrm>
        <a:prstGeom prst="rect">
          <a:avLst/>
        </a:prstGeom>
      </xdr:spPr>
    </xdr:pic>
    <xdr:clientData/>
  </xdr:twoCellAnchor>
  <xdr:twoCellAnchor editAs="oneCell">
    <xdr:from>
      <xdr:col>13</xdr:col>
      <xdr:colOff>0</xdr:colOff>
      <xdr:row>51</xdr:row>
      <xdr:rowOff>0</xdr:rowOff>
    </xdr:from>
    <xdr:to>
      <xdr:col>16</xdr:col>
      <xdr:colOff>381308</xdr:colOff>
      <xdr:row>54</xdr:row>
      <xdr:rowOff>38185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7953375" y="7439025"/>
          <a:ext cx="2210108" cy="609685"/>
        </a:xfrm>
        <a:prstGeom prst="rect">
          <a:avLst/>
        </a:prstGeom>
      </xdr:spPr>
    </xdr:pic>
    <xdr:clientData/>
  </xdr:twoCellAnchor>
  <xdr:twoCellAnchor editAs="oneCell">
    <xdr:from>
      <xdr:col>15</xdr:col>
      <xdr:colOff>47625</xdr:colOff>
      <xdr:row>54</xdr:row>
      <xdr:rowOff>171450</xdr:rowOff>
    </xdr:from>
    <xdr:to>
      <xdr:col>16</xdr:col>
      <xdr:colOff>581185</xdr:colOff>
      <xdr:row>74</xdr:row>
      <xdr:rowOff>171982</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9220200" y="8181975"/>
          <a:ext cx="1143160" cy="3810532"/>
        </a:xfrm>
        <a:prstGeom prst="rect">
          <a:avLst/>
        </a:prstGeom>
      </xdr:spPr>
    </xdr:pic>
    <xdr:clientData/>
  </xdr:twoCellAnchor>
  <xdr:twoCellAnchor editAs="oneCell">
    <xdr:from>
      <xdr:col>35</xdr:col>
      <xdr:colOff>0</xdr:colOff>
      <xdr:row>20</xdr:row>
      <xdr:rowOff>0</xdr:rowOff>
    </xdr:from>
    <xdr:to>
      <xdr:col>39</xdr:col>
      <xdr:colOff>409973</xdr:colOff>
      <xdr:row>28</xdr:row>
      <xdr:rowOff>171687</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a:stretch>
          <a:fillRect/>
        </a:stretch>
      </xdr:blipFill>
      <xdr:spPr>
        <a:xfrm>
          <a:off x="21421725" y="1533525"/>
          <a:ext cx="2848373" cy="169568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23812</xdr:colOff>
      <xdr:row>0</xdr:row>
      <xdr:rowOff>19050</xdr:rowOff>
    </xdr:from>
    <xdr:to>
      <xdr:col>21</xdr:col>
      <xdr:colOff>328612</xdr:colOff>
      <xdr:row>14</xdr:row>
      <xdr:rowOff>95250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323849</xdr:colOff>
      <xdr:row>0</xdr:row>
      <xdr:rowOff>57150</xdr:rowOff>
    </xdr:from>
    <xdr:to>
      <xdr:col>39</xdr:col>
      <xdr:colOff>152876</xdr:colOff>
      <xdr:row>10</xdr:row>
      <xdr:rowOff>103780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21764624" y="57150"/>
          <a:ext cx="2267427" cy="1951630"/>
        </a:xfrm>
        <a:prstGeom prst="rect">
          <a:avLst/>
        </a:prstGeom>
      </xdr:spPr>
    </xdr:pic>
    <xdr:clientData/>
  </xdr:twoCellAnchor>
  <xdr:twoCellAnchor editAs="oneCell">
    <xdr:from>
      <xdr:col>8</xdr:col>
      <xdr:colOff>333374</xdr:colOff>
      <xdr:row>24</xdr:row>
      <xdr:rowOff>28576</xdr:rowOff>
    </xdr:from>
    <xdr:to>
      <xdr:col>16</xdr:col>
      <xdr:colOff>338685</xdr:colOff>
      <xdr:row>33</xdr:row>
      <xdr:rowOff>152400</xdr:rowOff>
    </xdr:to>
    <xdr:pic>
      <xdr:nvPicPr>
        <xdr:cNvPr id="4" name="Picture 3" descr="Agglomerative Vs Divisive Archives – Fly Spaceships With Your Mind">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14949" y="4600576"/>
          <a:ext cx="4882111" cy="1838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0</xdr:colOff>
      <xdr:row>79</xdr:row>
      <xdr:rowOff>0</xdr:rowOff>
    </xdr:from>
    <xdr:to>
      <xdr:col>22</xdr:col>
      <xdr:colOff>591398</xdr:colOff>
      <xdr:row>89</xdr:row>
      <xdr:rowOff>95529</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a:stretch>
          <a:fillRect/>
        </a:stretch>
      </xdr:blipFill>
      <xdr:spPr>
        <a:xfrm>
          <a:off x="8029575" y="15154275"/>
          <a:ext cx="6077798" cy="20005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361950</xdr:colOff>
      <xdr:row>3</xdr:row>
      <xdr:rowOff>171450</xdr:rowOff>
    </xdr:from>
    <xdr:to>
      <xdr:col>8</xdr:col>
      <xdr:colOff>409737</xdr:colOff>
      <xdr:row>7</xdr:row>
      <xdr:rowOff>142977</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4629150" y="361950"/>
          <a:ext cx="1162212" cy="733527"/>
        </a:xfrm>
        <a:prstGeom prst="rect">
          <a:avLst/>
        </a:prstGeom>
      </xdr:spPr>
    </xdr:pic>
    <xdr:clientData/>
  </xdr:twoCellAnchor>
  <xdr:twoCellAnchor editAs="oneCell">
    <xdr:from>
      <xdr:col>1</xdr:col>
      <xdr:colOff>285750</xdr:colOff>
      <xdr:row>5</xdr:row>
      <xdr:rowOff>0</xdr:rowOff>
    </xdr:from>
    <xdr:to>
      <xdr:col>3</xdr:col>
      <xdr:colOff>390728</xdr:colOff>
      <xdr:row>9</xdr:row>
      <xdr:rowOff>152528</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895350" y="571500"/>
          <a:ext cx="1457528" cy="914528"/>
        </a:xfrm>
        <a:prstGeom prst="rect">
          <a:avLst/>
        </a:prstGeom>
      </xdr:spPr>
    </xdr:pic>
    <xdr:clientData/>
  </xdr:twoCellAnchor>
  <xdr:twoCellAnchor editAs="oneCell">
    <xdr:from>
      <xdr:col>0</xdr:col>
      <xdr:colOff>161925</xdr:colOff>
      <xdr:row>24</xdr:row>
      <xdr:rowOff>28575</xdr:rowOff>
    </xdr:from>
    <xdr:to>
      <xdr:col>1</xdr:col>
      <xdr:colOff>514350</xdr:colOff>
      <xdr:row>27</xdr:row>
      <xdr:rowOff>171451</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61925" y="4219575"/>
          <a:ext cx="962025" cy="714376"/>
        </a:xfrm>
        <a:prstGeom prst="rect">
          <a:avLst/>
        </a:prstGeom>
      </xdr:spPr>
    </xdr:pic>
    <xdr:clientData/>
  </xdr:twoCellAnchor>
  <xdr:twoCellAnchor editAs="oneCell">
    <xdr:from>
      <xdr:col>0</xdr:col>
      <xdr:colOff>123825</xdr:colOff>
      <xdr:row>57</xdr:row>
      <xdr:rowOff>38100</xdr:rowOff>
    </xdr:from>
    <xdr:to>
      <xdr:col>2</xdr:col>
      <xdr:colOff>266701</xdr:colOff>
      <xdr:row>61</xdr:row>
      <xdr:rowOff>123825</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123825" y="10515600"/>
          <a:ext cx="1495426" cy="847725"/>
        </a:xfrm>
        <a:prstGeom prst="rect">
          <a:avLst/>
        </a:prstGeom>
      </xdr:spPr>
    </xdr:pic>
    <xdr:clientData/>
  </xdr:twoCellAnchor>
  <xdr:twoCellAnchor>
    <xdr:from>
      <xdr:col>5</xdr:col>
      <xdr:colOff>971549</xdr:colOff>
      <xdr:row>73</xdr:row>
      <xdr:rowOff>28575</xdr:rowOff>
    </xdr:from>
    <xdr:to>
      <xdr:col>10</xdr:col>
      <xdr:colOff>466725</xdr:colOff>
      <xdr:row>80</xdr:row>
      <xdr:rowOff>152400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381000</xdr:colOff>
      <xdr:row>73</xdr:row>
      <xdr:rowOff>57150</xdr:rowOff>
    </xdr:from>
    <xdr:to>
      <xdr:col>17</xdr:col>
      <xdr:colOff>381000</xdr:colOff>
      <xdr:row>83</xdr:row>
      <xdr:rowOff>85725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19050</xdr:colOff>
      <xdr:row>57</xdr:row>
      <xdr:rowOff>28576</xdr:rowOff>
    </xdr:from>
    <xdr:to>
      <xdr:col>6</xdr:col>
      <xdr:colOff>400050</xdr:colOff>
      <xdr:row>62</xdr:row>
      <xdr:rowOff>0</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7"/>
        <a:stretch>
          <a:fillRect/>
        </a:stretch>
      </xdr:blipFill>
      <xdr:spPr>
        <a:xfrm>
          <a:off x="2457450" y="10506076"/>
          <a:ext cx="2409825" cy="923924"/>
        </a:xfrm>
        <a:prstGeom prst="rect">
          <a:avLst/>
        </a:prstGeom>
      </xdr:spPr>
    </xdr:pic>
    <xdr:clientData/>
  </xdr:twoCellAnchor>
  <xdr:twoCellAnchor editAs="oneCell">
    <xdr:from>
      <xdr:col>7</xdr:col>
      <xdr:colOff>142875</xdr:colOff>
      <xdr:row>57</xdr:row>
      <xdr:rowOff>19051</xdr:rowOff>
    </xdr:from>
    <xdr:to>
      <xdr:col>10</xdr:col>
      <xdr:colOff>200025</xdr:colOff>
      <xdr:row>62</xdr:row>
      <xdr:rowOff>19051</xdr:rowOff>
    </xdr:to>
    <xdr:pic>
      <xdr:nvPicPr>
        <xdr:cNvPr id="11" name="Picture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8"/>
        <a:stretch>
          <a:fillRect/>
        </a:stretch>
      </xdr:blipFill>
      <xdr:spPr>
        <a:xfrm>
          <a:off x="5219700" y="10496551"/>
          <a:ext cx="2390775" cy="952500"/>
        </a:xfrm>
        <a:prstGeom prst="rect">
          <a:avLst/>
        </a:prstGeom>
      </xdr:spPr>
    </xdr:pic>
    <xdr:clientData/>
  </xdr:twoCellAnchor>
  <xdr:twoCellAnchor editAs="oneCell">
    <xdr:from>
      <xdr:col>12</xdr:col>
      <xdr:colOff>95251</xdr:colOff>
      <xdr:row>57</xdr:row>
      <xdr:rowOff>38099</xdr:rowOff>
    </xdr:from>
    <xdr:to>
      <xdr:col>15</xdr:col>
      <xdr:colOff>476251</xdr:colOff>
      <xdr:row>64</xdr:row>
      <xdr:rowOff>152400</xdr:rowOff>
    </xdr:to>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9"/>
        <a:stretch>
          <a:fillRect/>
        </a:stretch>
      </xdr:blipFill>
      <xdr:spPr>
        <a:xfrm>
          <a:off x="8315326" y="10515599"/>
          <a:ext cx="2209800" cy="1447801"/>
        </a:xfrm>
        <a:prstGeom prst="rect">
          <a:avLst/>
        </a:prstGeom>
      </xdr:spPr>
    </xdr:pic>
    <xdr:clientData/>
  </xdr:twoCellAnchor>
  <xdr:twoCellAnchor>
    <xdr:from>
      <xdr:col>15</xdr:col>
      <xdr:colOff>214312</xdr:colOff>
      <xdr:row>92</xdr:row>
      <xdr:rowOff>161925</xdr:rowOff>
    </xdr:from>
    <xdr:to>
      <xdr:col>22</xdr:col>
      <xdr:colOff>519112</xdr:colOff>
      <xdr:row>107</xdr:row>
      <xdr:rowOff>47625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609599</xdr:colOff>
      <xdr:row>1</xdr:row>
      <xdr:rowOff>0</xdr:rowOff>
    </xdr:from>
    <xdr:to>
      <xdr:col>16</xdr:col>
      <xdr:colOff>47624</xdr:colOff>
      <xdr:row>26</xdr:row>
      <xdr:rowOff>95928</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7315199" y="190500"/>
          <a:ext cx="2486025" cy="4858428"/>
        </a:xfrm>
        <a:prstGeom prst="rect">
          <a:avLst/>
        </a:prstGeom>
      </xdr:spPr>
    </xdr:pic>
    <xdr:clientData/>
  </xdr:twoCellAnchor>
  <xdr:twoCellAnchor editAs="oneCell">
    <xdr:from>
      <xdr:col>0</xdr:col>
      <xdr:colOff>600074</xdr:colOff>
      <xdr:row>2</xdr:row>
      <xdr:rowOff>0</xdr:rowOff>
    </xdr:from>
    <xdr:to>
      <xdr:col>4</xdr:col>
      <xdr:colOff>476249</xdr:colOff>
      <xdr:row>21</xdr:row>
      <xdr:rowOff>105295</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600074" y="381000"/>
          <a:ext cx="2447925" cy="3724795"/>
        </a:xfrm>
        <a:prstGeom prst="rect">
          <a:avLst/>
        </a:prstGeom>
      </xdr:spPr>
    </xdr:pic>
    <xdr:clientData/>
  </xdr:twoCellAnchor>
  <xdr:twoCellAnchor editAs="oneCell">
    <xdr:from>
      <xdr:col>1</xdr:col>
      <xdr:colOff>19050</xdr:colOff>
      <xdr:row>21</xdr:row>
      <xdr:rowOff>123825</xdr:rowOff>
    </xdr:from>
    <xdr:to>
      <xdr:col>4</xdr:col>
      <xdr:colOff>476250</xdr:colOff>
      <xdr:row>27</xdr:row>
      <xdr:rowOff>76353</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628650" y="4124325"/>
          <a:ext cx="2419350" cy="1095528"/>
        </a:xfrm>
        <a:prstGeom prst="rect">
          <a:avLst/>
        </a:prstGeom>
      </xdr:spPr>
    </xdr:pic>
    <xdr:clientData/>
  </xdr:twoCellAnchor>
  <xdr:twoCellAnchor editAs="oneCell">
    <xdr:from>
      <xdr:col>7</xdr:col>
      <xdr:colOff>0</xdr:colOff>
      <xdr:row>2</xdr:row>
      <xdr:rowOff>0</xdr:rowOff>
    </xdr:from>
    <xdr:to>
      <xdr:col>10</xdr:col>
      <xdr:colOff>19308</xdr:colOff>
      <xdr:row>12</xdr:row>
      <xdr:rowOff>57424</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a:stretch>
          <a:fillRect/>
        </a:stretch>
      </xdr:blipFill>
      <xdr:spPr>
        <a:xfrm>
          <a:off x="4267200" y="381000"/>
          <a:ext cx="1848108" cy="1962424"/>
        </a:xfrm>
        <a:prstGeom prst="rect">
          <a:avLst/>
        </a:prstGeom>
      </xdr:spPr>
    </xdr:pic>
    <xdr:clientData/>
  </xdr:twoCellAnchor>
  <xdr:twoCellAnchor>
    <xdr:from>
      <xdr:col>4</xdr:col>
      <xdr:colOff>176212</xdr:colOff>
      <xdr:row>29</xdr:row>
      <xdr:rowOff>66675</xdr:rowOff>
    </xdr:from>
    <xdr:to>
      <xdr:col>8</xdr:col>
      <xdr:colOff>390525</xdr:colOff>
      <xdr:row>39</xdr:row>
      <xdr:rowOff>66675</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576262</xdr:colOff>
      <xdr:row>29</xdr:row>
      <xdr:rowOff>76200</xdr:rowOff>
    </xdr:from>
    <xdr:to>
      <xdr:col>14</xdr:col>
      <xdr:colOff>76200</xdr:colOff>
      <xdr:row>39</xdr:row>
      <xdr:rowOff>66675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257175</xdr:colOff>
      <xdr:row>29</xdr:row>
      <xdr:rowOff>66675</xdr:rowOff>
    </xdr:from>
    <xdr:to>
      <xdr:col>19</xdr:col>
      <xdr:colOff>561975</xdr:colOff>
      <xdr:row>38</xdr:row>
      <xdr:rowOff>85725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276225</xdr:colOff>
      <xdr:row>48</xdr:row>
      <xdr:rowOff>9525</xdr:rowOff>
    </xdr:from>
    <xdr:to>
      <xdr:col>8</xdr:col>
      <xdr:colOff>142875</xdr:colOff>
      <xdr:row>59</xdr:row>
      <xdr:rowOff>38100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48</xdr:row>
      <xdr:rowOff>19050</xdr:rowOff>
    </xdr:from>
    <xdr:to>
      <xdr:col>16</xdr:col>
      <xdr:colOff>28575</xdr:colOff>
      <xdr:row>59</xdr:row>
      <xdr:rowOff>66675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152400</xdr:colOff>
      <xdr:row>48</xdr:row>
      <xdr:rowOff>47625</xdr:rowOff>
    </xdr:from>
    <xdr:to>
      <xdr:col>22</xdr:col>
      <xdr:colOff>152400</xdr:colOff>
      <xdr:row>59</xdr:row>
      <xdr:rowOff>76200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419099</xdr:colOff>
      <xdr:row>64</xdr:row>
      <xdr:rowOff>19049</xdr:rowOff>
    </xdr:from>
    <xdr:to>
      <xdr:col>9</xdr:col>
      <xdr:colOff>33336</xdr:colOff>
      <xdr:row>74</xdr:row>
      <xdr:rowOff>28574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57150</xdr:colOff>
      <xdr:row>77</xdr:row>
      <xdr:rowOff>42862</xdr:rowOff>
    </xdr:from>
    <xdr:to>
      <xdr:col>7</xdr:col>
      <xdr:colOff>552450</xdr:colOff>
      <xdr:row>90</xdr:row>
      <xdr:rowOff>76200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257175</xdr:colOff>
      <xdr:row>29</xdr:row>
      <xdr:rowOff>9525</xdr:rowOff>
    </xdr:from>
    <xdr:to>
      <xdr:col>26</xdr:col>
      <xdr:colOff>161925</xdr:colOff>
      <xdr:row>38</xdr:row>
      <xdr:rowOff>95250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400050</xdr:colOff>
      <xdr:row>89</xdr:row>
      <xdr:rowOff>104775</xdr:rowOff>
    </xdr:from>
    <xdr:to>
      <xdr:col>9</xdr:col>
      <xdr:colOff>376237</xdr:colOff>
      <xdr:row>103</xdr:row>
      <xdr:rowOff>180975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180975</xdr:colOff>
      <xdr:row>89</xdr:row>
      <xdr:rowOff>152400</xdr:rowOff>
    </xdr:from>
    <xdr:to>
      <xdr:col>15</xdr:col>
      <xdr:colOff>47625</xdr:colOff>
      <xdr:row>102</xdr:row>
      <xdr:rowOff>133350</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609599</xdr:colOff>
      <xdr:row>89</xdr:row>
      <xdr:rowOff>80962</xdr:rowOff>
    </xdr:from>
    <xdr:to>
      <xdr:col>20</xdr:col>
      <xdr:colOff>371474</xdr:colOff>
      <xdr:row>102</xdr:row>
      <xdr:rowOff>0</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9886949" y="17035462"/>
              <a:ext cx="2809875" cy="239553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17</xdr:col>
      <xdr:colOff>95250</xdr:colOff>
      <xdr:row>11</xdr:row>
      <xdr:rowOff>19051</xdr:rowOff>
    </xdr:from>
    <xdr:to>
      <xdr:col>20</xdr:col>
      <xdr:colOff>95250</xdr:colOff>
      <xdr:row>16</xdr:row>
      <xdr:rowOff>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183100" y="2238376"/>
              <a:ext cx="1828800" cy="9334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109</xdr:row>
      <xdr:rowOff>161925</xdr:rowOff>
    </xdr:from>
    <xdr:to>
      <xdr:col>5</xdr:col>
      <xdr:colOff>191170</xdr:colOff>
      <xdr:row>131</xdr:row>
      <xdr:rowOff>95826</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190500" y="21050250"/>
          <a:ext cx="4801270" cy="4124901"/>
        </a:xfrm>
        <a:prstGeom prst="rect">
          <a:avLst/>
        </a:prstGeom>
      </xdr:spPr>
    </xdr:pic>
    <xdr:clientData/>
  </xdr:twoCellAnchor>
  <xdr:twoCellAnchor editAs="oneCell">
    <xdr:from>
      <xdr:col>6</xdr:col>
      <xdr:colOff>9525</xdr:colOff>
      <xdr:row>109</xdr:row>
      <xdr:rowOff>171450</xdr:rowOff>
    </xdr:from>
    <xdr:to>
      <xdr:col>8</xdr:col>
      <xdr:colOff>0</xdr:colOff>
      <xdr:row>124</xdr:row>
      <xdr:rowOff>19428</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5924550" y="21059775"/>
          <a:ext cx="2152650" cy="270547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P\OneDrive\Desktop\XRealStats.xlam" TargetMode="External"/><Relationship Id="rId1" Type="http://schemas.openxmlformats.org/officeDocument/2006/relationships/externalLinkPath" Target="file:///C:\Users\HP\OneDrive\Desktop\XRealStat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Wilcoxon Table"/>
      <sheetName val="Mann Table"/>
      <sheetName val="Runs Table"/>
      <sheetName val="KS Table"/>
      <sheetName val="KS2 Table"/>
      <sheetName val="Lil Table"/>
      <sheetName val="AD Table"/>
      <sheetName val="AD2 Table"/>
      <sheetName val="SW Table"/>
      <sheetName val="Stud. Q Table"/>
      <sheetName val="Stud. Q Table 2"/>
      <sheetName val="Sp Rho Table"/>
      <sheetName val="Ken Tau Table"/>
      <sheetName val="Durbin Table"/>
      <sheetName val="Dunnett Table"/>
      <sheetName val="Dunnett 1"/>
      <sheetName val="Kendall Tc"/>
      <sheetName val="Kendall u"/>
      <sheetName val="Page Table"/>
      <sheetName val="Prime"/>
      <sheetName val="MSSD"/>
      <sheetName val="Dict"/>
      <sheetName val="ADict"/>
    </sheetNames>
    <definedNames>
      <definedName name="CLUST_Converge"/>
      <definedName name="ClustAna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persons/person11.xml><?xml version="1.0" encoding="utf-8"?>
<personList xmlns="http://schemas.microsoft.com/office/spreadsheetml/2018/threadedcomments" xmlns:x="http://schemas.openxmlformats.org/spreadsheetml/2006/main"/>
</file>

<file path=xl/persons/person12.xml><?xml version="1.0" encoding="utf-8"?>
<personList xmlns="http://schemas.microsoft.com/office/spreadsheetml/2018/threadedcomments" xmlns:x="http://schemas.openxmlformats.org/spreadsheetml/2006/main"/>
</file>

<file path=xl/persons/person13.xml><?xml version="1.0" encoding="utf-8"?>
<personList xmlns="http://schemas.microsoft.com/office/spreadsheetml/2018/threadedcomments" xmlns:x="http://schemas.openxmlformats.org/spreadsheetml/2006/main"/>
</file>

<file path=xl/persons/person14.xml><?xml version="1.0" encoding="utf-8"?>
<personList xmlns="http://schemas.microsoft.com/office/spreadsheetml/2018/threadedcomments" xmlns:x="http://schemas.openxmlformats.org/spreadsheetml/2006/main"/>
</file>

<file path=xl/persons/person15.xml><?xml version="1.0" encoding="utf-8"?>
<personList xmlns="http://schemas.microsoft.com/office/spreadsheetml/2018/threadedcomments" xmlns:x="http://schemas.openxmlformats.org/spreadsheetml/2006/main"/>
</file>

<file path=xl/persons/person16.xml><?xml version="1.0" encoding="utf-8"?>
<personList xmlns="http://schemas.microsoft.com/office/spreadsheetml/2018/threadedcomments" xmlns:x="http://schemas.openxmlformats.org/spreadsheetml/2006/main"/>
</file>

<file path=xl/persons/person17.xml><?xml version="1.0" encoding="utf-8"?>
<personList xmlns="http://schemas.microsoft.com/office/spreadsheetml/2018/threadedcomments" xmlns:x="http://schemas.openxmlformats.org/spreadsheetml/2006/main"/>
</file>

<file path=xl/persons/person18.xml><?xml version="1.0" encoding="utf-8"?>
<personList xmlns="http://schemas.microsoft.com/office/spreadsheetml/2018/threadedcomments" xmlns:x="http://schemas.openxmlformats.org/spreadsheetml/2006/main"/>
</file>

<file path=xl/persons/person19.xml><?xml version="1.0" encoding="utf-8"?>
<personList xmlns="http://schemas.microsoft.com/office/spreadsheetml/2018/threadedcomments" xmlns:x="http://schemas.openxmlformats.org/spreadsheetml/2006/main"/>
</file>

<file path=xl/persons/person20.xml><?xml version="1.0" encoding="utf-8"?>
<personList xmlns="http://schemas.microsoft.com/office/spreadsheetml/2018/threadedcomments" xmlns:x="http://schemas.openxmlformats.org/spreadsheetml/2006/main"/>
</file>

<file path=xl/persons/person21.xml><?xml version="1.0" encoding="utf-8"?>
<personList xmlns="http://schemas.microsoft.com/office/spreadsheetml/2018/threadedcomments" xmlns:x="http://schemas.openxmlformats.org/spreadsheetml/2006/main"/>
</file>

<file path=xl/persons/person22.xml><?xml version="1.0" encoding="utf-8"?>
<personList xmlns="http://schemas.microsoft.com/office/spreadsheetml/2018/threadedcomments" xmlns:x="http://schemas.openxmlformats.org/spreadsheetml/2006/main"/>
</file>

<file path=xl/persons/person23.xml><?xml version="1.0" encoding="utf-8"?>
<personList xmlns="http://schemas.microsoft.com/office/spreadsheetml/2018/threadedcomments" xmlns:x="http://schemas.openxmlformats.org/spreadsheetml/2006/main"/>
</file>

<file path=xl/persons/person24.xml><?xml version="1.0" encoding="utf-8"?>
<personList xmlns="http://schemas.microsoft.com/office/spreadsheetml/2018/threadedcomments" xmlns:x="http://schemas.openxmlformats.org/spreadsheetml/2006/main"/>
</file>

<file path=xl/persons/person25.xml><?xml version="1.0" encoding="utf-8"?>
<personList xmlns="http://schemas.microsoft.com/office/spreadsheetml/2018/threadedcomments" xmlns:x="http://schemas.openxmlformats.org/spreadsheetml/2006/main"/>
</file>

<file path=xl/persons/person26.xml><?xml version="1.0" encoding="utf-8"?>
<personList xmlns="http://schemas.microsoft.com/office/spreadsheetml/2018/threadedcomments" xmlns:x="http://schemas.openxmlformats.org/spreadsheetml/2006/main"/>
</file>

<file path=xl/persons/person27.xml><?xml version="1.0" encoding="utf-8"?>
<personList xmlns="http://schemas.microsoft.com/office/spreadsheetml/2018/threadedcomments" xmlns:x="http://schemas.openxmlformats.org/spreadsheetml/2006/main"/>
</file>

<file path=xl/persons/person28.xml><?xml version="1.0" encoding="utf-8"?>
<personList xmlns="http://schemas.microsoft.com/office/spreadsheetml/2018/threadedcomments" xmlns:x="http://schemas.openxmlformats.org/spreadsheetml/2006/main"/>
</file>

<file path=xl/persons/person29.xml><?xml version="1.0" encoding="utf-8"?>
<personList xmlns="http://schemas.microsoft.com/office/spreadsheetml/2018/threadedcomments" xmlns:x="http://schemas.openxmlformats.org/spreadsheetml/2006/main"/>
</file>

<file path=xl/persons/person30.xml><?xml version="1.0" encoding="utf-8"?>
<personList xmlns="http://schemas.microsoft.com/office/spreadsheetml/2018/threadedcomments" xmlns:x="http://schemas.openxmlformats.org/spreadsheetml/2006/main"/>
</file>

<file path=xl/persons/person31.xml><?xml version="1.0" encoding="utf-8"?>
<personList xmlns="http://schemas.microsoft.com/office/spreadsheetml/2018/threadedcomments" xmlns:x="http://schemas.openxmlformats.org/spreadsheetml/2006/main"/>
</file>

<file path=xl/persons/person32.xml><?xml version="1.0" encoding="utf-8"?>
<personList xmlns="http://schemas.microsoft.com/office/spreadsheetml/2018/threadedcomments" xmlns:x="http://schemas.openxmlformats.org/spreadsheetml/2006/main"/>
</file>

<file path=xl/persons/person33.xml><?xml version="1.0" encoding="utf-8"?>
<personList xmlns="http://schemas.microsoft.com/office/spreadsheetml/2018/threadedcomments" xmlns:x="http://schemas.openxmlformats.org/spreadsheetml/2006/main"/>
</file>

<file path=xl/persons/person34.xml><?xml version="1.0" encoding="utf-8"?>
<personList xmlns="http://schemas.microsoft.com/office/spreadsheetml/2018/threadedcomments" xmlns:x="http://schemas.openxmlformats.org/spreadsheetml/2006/main"/>
</file>

<file path=xl/persons/person35.xml><?xml version="1.0" encoding="utf-8"?>
<personList xmlns="http://schemas.microsoft.com/office/spreadsheetml/2018/threadedcomments" xmlns:x="http://schemas.openxmlformats.org/spreadsheetml/2006/main"/>
</file>

<file path=xl/persons/person36.xml><?xml version="1.0" encoding="utf-8"?>
<personList xmlns="http://schemas.microsoft.com/office/spreadsheetml/2018/threadedcomments" xmlns:x="http://schemas.openxmlformats.org/spreadsheetml/2006/main"/>
</file>

<file path=xl/persons/person37.xml><?xml version="1.0" encoding="utf-8"?>
<personList xmlns="http://schemas.microsoft.com/office/spreadsheetml/2018/threadedcomments" xmlns:x="http://schemas.openxmlformats.org/spreadsheetml/2006/main"/>
</file>

<file path=xl/persons/person38.xml><?xml version="1.0" encoding="utf-8"?>
<personList xmlns="http://schemas.microsoft.com/office/spreadsheetml/2018/threadedcomments" xmlns:x="http://schemas.openxmlformats.org/spreadsheetml/2006/main"/>
</file>

<file path=xl/persons/person39.xml><?xml version="1.0" encoding="utf-8"?>
<personList xmlns="http://schemas.microsoft.com/office/spreadsheetml/2018/threadedcomments" xmlns:x="http://schemas.openxmlformats.org/spreadsheetml/2006/main"/>
</file>

<file path=xl/persons/person40.xml><?xml version="1.0" encoding="utf-8"?>
<personList xmlns="http://schemas.microsoft.com/office/spreadsheetml/2018/threadedcomments" xmlns:x="http://schemas.openxmlformats.org/spreadsheetml/2006/main"/>
</file>

<file path=xl/persons/person41.xml><?xml version="1.0" encoding="utf-8"?>
<personList xmlns="http://schemas.microsoft.com/office/spreadsheetml/2018/threadedcomments" xmlns:x="http://schemas.openxmlformats.org/spreadsheetml/2006/main"/>
</file>

<file path=xl/persons/person42.xml><?xml version="1.0" encoding="utf-8"?>
<personList xmlns="http://schemas.microsoft.com/office/spreadsheetml/2018/threadedcomments" xmlns:x="http://schemas.openxmlformats.org/spreadsheetml/2006/main"/>
</file>

<file path=xl/persons/person43.xml><?xml version="1.0" encoding="utf-8"?>
<personList xmlns="http://schemas.microsoft.com/office/spreadsheetml/2018/threadedcomments" xmlns:x="http://schemas.openxmlformats.org/spreadsheetml/2006/main"/>
</file>

<file path=xl/persons/person44.xml><?xml version="1.0" encoding="utf-8"?>
<personList xmlns="http://schemas.microsoft.com/office/spreadsheetml/2018/threadedcomments" xmlns:x="http://schemas.openxmlformats.org/spreadsheetml/2006/main"/>
</file>

<file path=xl/persons/person45.xml><?xml version="1.0" encoding="utf-8"?>
<personList xmlns="http://schemas.microsoft.com/office/spreadsheetml/2018/threadedcomments" xmlns:x="http://schemas.openxmlformats.org/spreadsheetml/2006/main"/>
</file>

<file path=xl/persons/person46.xml><?xml version="1.0" encoding="utf-8"?>
<personList xmlns="http://schemas.microsoft.com/office/spreadsheetml/2018/threadedcomments" xmlns:x="http://schemas.openxmlformats.org/spreadsheetml/2006/main"/>
</file>

<file path=xl/persons/person47.xml><?xml version="1.0" encoding="utf-8"?>
<personList xmlns="http://schemas.microsoft.com/office/spreadsheetml/2018/threadedcomments" xmlns:x="http://schemas.openxmlformats.org/spreadsheetml/2006/main"/>
</file>

<file path=xl/persons/person48.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250.436117361111" createdVersion="8" refreshedVersion="8" minRefreshableVersion="3" recordCount="8" xr:uid="{E73DC363-3A04-4982-959A-CFB7E403FD92}">
  <cacheSource type="worksheet">
    <worksheetSource ref="N9:Q17" sheet="Pivot"/>
  </cacheSource>
  <cacheFields count="4">
    <cacheField name="Company Name" numFmtId="0">
      <sharedItems containsBlank="1" count="6">
        <s v="Lucas Basics"/>
        <m/>
        <s v="Lucas Basics Total"/>
        <s v="Grand Total"/>
        <s v="Meta Creations" u="1"/>
        <s v="Urban Right" u="1"/>
      </sharedItems>
    </cacheField>
    <cacheField name="Product Description" numFmtId="0">
      <sharedItems containsBlank="1"/>
    </cacheField>
    <cacheField name="Sum of Sales USD" numFmtId="0">
      <sharedItems containsString="0" containsBlank="1" containsNumber="1" containsInteger="1" minValue="6580" maxValue="104540"/>
    </cacheField>
    <cacheField name="Average of Sales USD" numFmtId="0">
      <sharedItems containsString="0" containsBlank="1" containsNumber="1" minValue="1645" maxValue="401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250.436117708334" createdVersion="8" refreshedVersion="8" minRefreshableVersion="3" recordCount="105" xr:uid="{6383A4DD-E947-43F8-9D4E-726DC2E7B141}">
  <cacheSource type="worksheet">
    <worksheetSource name="sales_data"/>
  </cacheSource>
  <cacheFields count="11">
    <cacheField name="Company" numFmtId="0">
      <sharedItems/>
    </cacheField>
    <cacheField name="Company Name" numFmtId="0">
      <sharedItems count="3">
        <s v="Urban Right"/>
        <s v="Meta Creations"/>
        <s v="Lucas Basics"/>
      </sharedItems>
    </cacheField>
    <cacheField name="Region" numFmtId="0">
      <sharedItems count="2">
        <s v="America"/>
        <s v="Europe"/>
      </sharedItems>
    </cacheField>
    <cacheField name="Sales Document" numFmtId="0">
      <sharedItems containsSemiMixedTypes="0" containsString="0" containsNumber="1" containsInteger="1" minValue="24030" maxValue="68116"/>
    </cacheField>
    <cacheField name="Document Date" numFmtId="14">
      <sharedItems containsSemiMixedTypes="0" containsNonDate="0" containsDate="1" containsString="0" minDate="2020-06-01T00:00:00" maxDate="2020-07-01T00:00:00"/>
    </cacheField>
    <cacheField name="Customer Code" numFmtId="0">
      <sharedItems containsSemiMixedTypes="0" containsString="0" containsNumber="1" containsInteger="1" minValue="8010" maxValue="8060"/>
    </cacheField>
    <cacheField name="Customer Name" numFmtId="0">
      <sharedItems/>
    </cacheField>
    <cacheField name="Product Code" numFmtId="0">
      <sharedItems containsSemiMixedTypes="0" containsString="0" containsNumber="1" containsInteger="1" minValue="101" maxValue="118"/>
    </cacheField>
    <cacheField name="Product Description" numFmtId="0">
      <sharedItems count="16">
        <s v="Women type T simple white"/>
        <s v="Women type T simple black"/>
        <s v="Women crop top black"/>
        <s v="Women basics"/>
        <s v="Men type T simple white"/>
        <s v="Men type T simple black"/>
        <s v="Men basics"/>
        <s v="Laptop bag black"/>
        <s v="Men dress shirt black"/>
        <s v="Men dress shirt grey"/>
        <s v="Men shorts grey"/>
        <s v="Men shorts black"/>
        <s v="Unisex tank top white"/>
        <s v="Laptop bag red"/>
        <s v="Smartphone case diamond"/>
        <s v="Smartphone case simple"/>
      </sharedItems>
    </cacheField>
    <cacheField name="Quantity" numFmtId="0">
      <sharedItems containsSemiMixedTypes="0" containsString="0" containsNumber="1" containsInteger="1" minValue="10" maxValue="200"/>
    </cacheField>
    <cacheField name="Sales USD" numFmtId="0">
      <sharedItems containsSemiMixedTypes="0" containsString="0" containsNumber="1" containsInteger="1" minValue="100" maxValue="4930"/>
    </cacheField>
  </cacheFields>
  <extLst>
    <ext xmlns:x14="http://schemas.microsoft.com/office/spreadsheetml/2009/9/main" uri="{725AE2AE-9491-48be-B2B4-4EB974FC3084}">
      <x14:pivotCacheDefinition pivotCacheId="15477054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s v="Laptop bag black"/>
    <n v="24630"/>
    <n v="2052.5"/>
  </r>
  <r>
    <x v="1"/>
    <s v="Laptop bag red"/>
    <n v="33170"/>
    <n v="2073.125"/>
  </r>
  <r>
    <x v="1"/>
    <s v="Smartphone case diamond"/>
    <n v="40160"/>
    <n v="4016"/>
  </r>
  <r>
    <x v="1"/>
    <s v="Smartphone case simple"/>
    <n v="6580"/>
    <n v="1645"/>
  </r>
  <r>
    <x v="2"/>
    <m/>
    <n v="104540"/>
    <n v="2489.0476190476193"/>
  </r>
  <r>
    <x v="3"/>
    <m/>
    <n v="104540"/>
    <n v="2489.0476190476193"/>
  </r>
  <r>
    <x v="1"/>
    <m/>
    <m/>
    <m/>
  </r>
  <r>
    <x v="1"/>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s v="1010US"/>
    <x v="0"/>
    <x v="0"/>
    <n v="66030"/>
    <d v="2020-06-01T00:00:00"/>
    <n v="8010"/>
    <s v="Dellicia"/>
    <n v="103"/>
    <x v="0"/>
    <n v="120"/>
    <n v="1440"/>
  </r>
  <r>
    <s v="1010US"/>
    <x v="0"/>
    <x v="0"/>
    <n v="66030"/>
    <d v="2020-06-02T00:00:00"/>
    <n v="8010"/>
    <s v="Dellicia"/>
    <n v="104"/>
    <x v="1"/>
    <n v="150"/>
    <n v="1800"/>
  </r>
  <r>
    <s v="1010US"/>
    <x v="0"/>
    <x v="0"/>
    <n v="66032"/>
    <d v="2020-06-01T00:00:00"/>
    <n v="8010"/>
    <s v="Dellicia"/>
    <n v="103"/>
    <x v="0"/>
    <n v="170"/>
    <n v="2040"/>
  </r>
  <r>
    <s v="1010US"/>
    <x v="0"/>
    <x v="0"/>
    <n v="66032"/>
    <d v="2020-06-02T00:00:00"/>
    <n v="8010"/>
    <s v="Dellicia"/>
    <n v="104"/>
    <x v="1"/>
    <n v="140"/>
    <n v="1680"/>
  </r>
  <r>
    <s v="1010US"/>
    <x v="0"/>
    <x v="0"/>
    <n v="66031"/>
    <d v="2020-06-01T00:00:00"/>
    <n v="8020"/>
    <s v="Erma"/>
    <n v="103"/>
    <x v="0"/>
    <n v="140"/>
    <n v="1680"/>
  </r>
  <r>
    <s v="1010US"/>
    <x v="0"/>
    <x v="0"/>
    <n v="66031"/>
    <d v="2020-06-02T00:00:00"/>
    <n v="8020"/>
    <s v="Erma"/>
    <n v="104"/>
    <x v="1"/>
    <n v="150"/>
    <n v="1800"/>
  </r>
  <r>
    <s v="1010US"/>
    <x v="0"/>
    <x v="0"/>
    <n v="66031"/>
    <d v="2020-06-07T00:00:00"/>
    <n v="8020"/>
    <s v="Erma"/>
    <n v="105"/>
    <x v="2"/>
    <n v="100"/>
    <n v="1000"/>
  </r>
  <r>
    <s v="1010US"/>
    <x v="0"/>
    <x v="0"/>
    <n v="68112"/>
    <d v="2020-06-08T00:00:00"/>
    <n v="8010"/>
    <s v="Dellicia"/>
    <n v="104"/>
    <x v="1"/>
    <n v="180"/>
    <n v="2160"/>
  </r>
  <r>
    <s v="1010US"/>
    <x v="0"/>
    <x v="0"/>
    <n v="68112"/>
    <d v="2020-06-09T00:00:00"/>
    <n v="8010"/>
    <s v="Dellicia"/>
    <n v="105"/>
    <x v="2"/>
    <n v="120"/>
    <n v="1200"/>
  </r>
  <r>
    <s v="1010US"/>
    <x v="0"/>
    <x v="0"/>
    <n v="68116"/>
    <d v="2020-06-10T00:00:00"/>
    <n v="8020"/>
    <s v="Erma"/>
    <n v="104"/>
    <x v="1"/>
    <n v="150"/>
    <n v="1800"/>
  </r>
  <r>
    <s v="1010US"/>
    <x v="0"/>
    <x v="0"/>
    <n v="68116"/>
    <d v="2020-06-11T00:00:00"/>
    <n v="8020"/>
    <s v="Erma"/>
    <n v="105"/>
    <x v="2"/>
    <n v="190"/>
    <n v="1900"/>
  </r>
  <r>
    <s v="1010US"/>
    <x v="0"/>
    <x v="0"/>
    <n v="68116"/>
    <d v="2020-06-12T00:00:00"/>
    <n v="8020"/>
    <s v="Erma"/>
    <n v="107"/>
    <x v="3"/>
    <n v="160"/>
    <n v="800"/>
  </r>
  <r>
    <s v="1010US"/>
    <x v="0"/>
    <x v="0"/>
    <n v="68116"/>
    <d v="2020-06-13T00:00:00"/>
    <n v="8010"/>
    <s v="Dellicia"/>
    <n v="104"/>
    <x v="1"/>
    <n v="160"/>
    <n v="1920"/>
  </r>
  <r>
    <s v="1010US"/>
    <x v="0"/>
    <x v="0"/>
    <n v="68116"/>
    <d v="2020-06-14T00:00:00"/>
    <n v="8010"/>
    <s v="Dellicia"/>
    <n v="105"/>
    <x v="2"/>
    <n v="190"/>
    <n v="1900"/>
  </r>
  <r>
    <s v="1010US"/>
    <x v="0"/>
    <x v="0"/>
    <n v="65662"/>
    <d v="2020-06-15T00:00:00"/>
    <n v="8020"/>
    <s v="Erma"/>
    <n v="103"/>
    <x v="0"/>
    <n v="120"/>
    <n v="1440"/>
  </r>
  <r>
    <s v="1010US"/>
    <x v="0"/>
    <x v="0"/>
    <n v="65662"/>
    <d v="2020-06-16T00:00:00"/>
    <n v="8020"/>
    <s v="Erma"/>
    <n v="104"/>
    <x v="1"/>
    <n v="110"/>
    <n v="1320"/>
  </r>
  <r>
    <s v="1010US"/>
    <x v="0"/>
    <x v="0"/>
    <n v="65666"/>
    <d v="2020-06-02T00:00:00"/>
    <n v="8010"/>
    <s v="Dellicia"/>
    <n v="103"/>
    <x v="0"/>
    <n v="120"/>
    <n v="1440"/>
  </r>
  <r>
    <s v="1010US"/>
    <x v="0"/>
    <x v="0"/>
    <n v="65666"/>
    <d v="2020-06-03T00:00:00"/>
    <n v="8010"/>
    <s v="Dellicia"/>
    <n v="104"/>
    <x v="1"/>
    <n v="140"/>
    <n v="1680"/>
  </r>
  <r>
    <s v="1010US"/>
    <x v="0"/>
    <x v="0"/>
    <n v="65666"/>
    <d v="2020-06-04T00:00:00"/>
    <n v="8010"/>
    <s v="Dellicia"/>
    <n v="105"/>
    <x v="2"/>
    <n v="160"/>
    <n v="1600"/>
  </r>
  <r>
    <s v="1010US"/>
    <x v="0"/>
    <x v="0"/>
    <n v="65666"/>
    <d v="2020-06-05T00:00:00"/>
    <n v="8020"/>
    <s v="Erma"/>
    <n v="107"/>
    <x v="3"/>
    <n v="120"/>
    <n v="600"/>
  </r>
  <r>
    <s v="1010US"/>
    <x v="0"/>
    <x v="0"/>
    <n v="65666"/>
    <d v="2020-06-06T00:00:00"/>
    <n v="8020"/>
    <s v="Erma"/>
    <n v="103"/>
    <x v="0"/>
    <n v="200"/>
    <n v="2400"/>
  </r>
  <r>
    <s v="1010US"/>
    <x v="0"/>
    <x v="0"/>
    <n v="66015"/>
    <d v="2020-06-10T00:00:00"/>
    <n v="8010"/>
    <s v="Dellicia"/>
    <n v="103"/>
    <x v="0"/>
    <n v="140"/>
    <n v="1680"/>
  </r>
  <r>
    <s v="1010US"/>
    <x v="0"/>
    <x v="0"/>
    <n v="66015"/>
    <d v="2020-06-11T00:00:00"/>
    <n v="8010"/>
    <s v="Dellicia"/>
    <n v="104"/>
    <x v="1"/>
    <n v="140"/>
    <n v="1680"/>
  </r>
  <r>
    <s v="1010US"/>
    <x v="0"/>
    <x v="0"/>
    <n v="66017"/>
    <d v="2020-06-12T00:00:00"/>
    <n v="8010"/>
    <s v="Dellicia"/>
    <n v="103"/>
    <x v="0"/>
    <n v="140"/>
    <n v="1680"/>
  </r>
  <r>
    <s v="1010US"/>
    <x v="0"/>
    <x v="0"/>
    <n v="66017"/>
    <d v="2020-06-13T00:00:00"/>
    <n v="8010"/>
    <s v="Dellicia"/>
    <n v="104"/>
    <x v="1"/>
    <n v="140"/>
    <n v="1680"/>
  </r>
  <r>
    <s v="1010US"/>
    <x v="0"/>
    <x v="0"/>
    <n v="66016"/>
    <d v="2020-06-14T00:00:00"/>
    <n v="8020"/>
    <s v="Erma"/>
    <n v="103"/>
    <x v="0"/>
    <n v="120"/>
    <n v="1440"/>
  </r>
  <r>
    <s v="1010US"/>
    <x v="0"/>
    <x v="0"/>
    <n v="66016"/>
    <d v="2020-06-15T00:00:00"/>
    <n v="8020"/>
    <s v="Erma"/>
    <n v="104"/>
    <x v="1"/>
    <n v="130"/>
    <n v="1560"/>
  </r>
  <r>
    <s v="1010US"/>
    <x v="0"/>
    <x v="0"/>
    <n v="66016"/>
    <d v="2020-06-16T00:00:00"/>
    <n v="8020"/>
    <s v="Erma"/>
    <n v="105"/>
    <x v="2"/>
    <n v="120"/>
    <n v="1200"/>
  </r>
  <r>
    <s v="1010US"/>
    <x v="0"/>
    <x v="0"/>
    <n v="68097"/>
    <d v="2020-06-17T00:00:00"/>
    <n v="8010"/>
    <s v="Dellicia"/>
    <n v="104"/>
    <x v="1"/>
    <n v="140"/>
    <n v="1680"/>
  </r>
  <r>
    <s v="1010US"/>
    <x v="0"/>
    <x v="0"/>
    <n v="68097"/>
    <d v="2020-06-18T00:00:00"/>
    <n v="8010"/>
    <s v="Dellicia"/>
    <n v="105"/>
    <x v="2"/>
    <n v="130"/>
    <n v="1300"/>
  </r>
  <r>
    <s v="1010US"/>
    <x v="0"/>
    <x v="0"/>
    <n v="68099"/>
    <d v="2020-06-19T00:00:00"/>
    <n v="8020"/>
    <s v="Erma"/>
    <n v="104"/>
    <x v="1"/>
    <n v="120"/>
    <n v="1440"/>
  </r>
  <r>
    <s v="1010US"/>
    <x v="0"/>
    <x v="0"/>
    <n v="68099"/>
    <d v="2020-06-20T00:00:00"/>
    <n v="8020"/>
    <s v="Erma"/>
    <n v="105"/>
    <x v="2"/>
    <n v="140"/>
    <n v="1400"/>
  </r>
  <r>
    <s v="1010US"/>
    <x v="0"/>
    <x v="0"/>
    <n v="68099"/>
    <d v="2020-06-21T00:00:00"/>
    <n v="8020"/>
    <s v="Erma"/>
    <n v="107"/>
    <x v="3"/>
    <n v="170"/>
    <n v="850"/>
  </r>
  <r>
    <s v="1010US"/>
    <x v="0"/>
    <x v="0"/>
    <n v="68101"/>
    <d v="2020-06-15T00:00:00"/>
    <n v="8010"/>
    <s v="Dellicia"/>
    <n v="104"/>
    <x v="1"/>
    <n v="190"/>
    <n v="2280"/>
  </r>
  <r>
    <s v="1010US"/>
    <x v="0"/>
    <x v="0"/>
    <n v="68101"/>
    <d v="2020-06-16T00:00:00"/>
    <n v="8010"/>
    <s v="Dellicia"/>
    <n v="105"/>
    <x v="2"/>
    <n v="140"/>
    <n v="1400"/>
  </r>
  <r>
    <s v="1010US"/>
    <x v="0"/>
    <x v="0"/>
    <n v="65627"/>
    <d v="2020-06-17T00:00:00"/>
    <n v="8020"/>
    <s v="Erma"/>
    <n v="103"/>
    <x v="0"/>
    <n v="140"/>
    <n v="1680"/>
  </r>
  <r>
    <s v="1010US"/>
    <x v="0"/>
    <x v="0"/>
    <n v="65627"/>
    <d v="2020-06-18T00:00:00"/>
    <n v="8020"/>
    <s v="Erma"/>
    <n v="104"/>
    <x v="1"/>
    <n v="160"/>
    <n v="1920"/>
  </r>
  <r>
    <s v="1010US"/>
    <x v="0"/>
    <x v="0"/>
    <n v="65629"/>
    <d v="2020-06-19T00:00:00"/>
    <n v="8010"/>
    <s v="Dellicia"/>
    <n v="103"/>
    <x v="0"/>
    <n v="190"/>
    <n v="2280"/>
  </r>
  <r>
    <s v="1010US"/>
    <x v="0"/>
    <x v="0"/>
    <n v="65629"/>
    <d v="2020-06-20T00:00:00"/>
    <n v="8010"/>
    <s v="Dellicia"/>
    <n v="104"/>
    <x v="1"/>
    <n v="130"/>
    <n v="1560"/>
  </r>
  <r>
    <s v="1010US"/>
    <x v="0"/>
    <x v="0"/>
    <n v="65629"/>
    <d v="2020-06-21T00:00:00"/>
    <n v="8010"/>
    <s v="Dellicia"/>
    <n v="105"/>
    <x v="2"/>
    <n v="140"/>
    <n v="1400"/>
  </r>
  <r>
    <s v="1010US"/>
    <x v="0"/>
    <x v="0"/>
    <n v="65631"/>
    <d v="2020-06-22T00:00:00"/>
    <n v="8020"/>
    <s v="Erma"/>
    <n v="107"/>
    <x v="3"/>
    <n v="190"/>
    <n v="950"/>
  </r>
  <r>
    <s v="1010US"/>
    <x v="0"/>
    <x v="0"/>
    <n v="65631"/>
    <d v="2020-06-23T00:00:00"/>
    <n v="8020"/>
    <s v="Erma"/>
    <n v="103"/>
    <x v="0"/>
    <n v="120"/>
    <n v="1440"/>
  </r>
  <r>
    <s v="1020US"/>
    <x v="1"/>
    <x v="0"/>
    <n v="24030"/>
    <d v="2020-06-01T00:00:00"/>
    <n v="8020"/>
    <s v="Erma"/>
    <n v="101"/>
    <x v="4"/>
    <n v="130"/>
    <n v="1560"/>
  </r>
  <r>
    <s v="1020US"/>
    <x v="1"/>
    <x v="0"/>
    <n v="24030"/>
    <d v="2020-06-02T00:00:00"/>
    <n v="8020"/>
    <s v="Erma"/>
    <n v="102"/>
    <x v="5"/>
    <n v="30"/>
    <n v="360"/>
  </r>
  <r>
    <s v="1020US"/>
    <x v="1"/>
    <x v="0"/>
    <n v="24030"/>
    <d v="2020-06-03T00:00:00"/>
    <n v="8020"/>
    <s v="Erma"/>
    <n v="106"/>
    <x v="6"/>
    <n v="60"/>
    <n v="300"/>
  </r>
  <r>
    <s v="1020US"/>
    <x v="1"/>
    <x v="0"/>
    <n v="24030"/>
    <d v="2020-06-04T00:00:00"/>
    <n v="8020"/>
    <s v="Erma"/>
    <n v="108"/>
    <x v="7"/>
    <n v="80"/>
    <n v="2240"/>
  </r>
  <r>
    <s v="1020US"/>
    <x v="1"/>
    <x v="0"/>
    <n v="24031"/>
    <d v="2020-06-05T00:00:00"/>
    <n v="8020"/>
    <s v="Erma"/>
    <n v="101"/>
    <x v="4"/>
    <n v="100"/>
    <n v="1200"/>
  </r>
  <r>
    <s v="1020US"/>
    <x v="1"/>
    <x v="0"/>
    <n v="24031"/>
    <d v="2020-06-06T00:00:00"/>
    <n v="8020"/>
    <s v="Erma"/>
    <n v="108"/>
    <x v="7"/>
    <n v="20"/>
    <n v="560"/>
  </r>
  <r>
    <s v="1020US"/>
    <x v="1"/>
    <x v="0"/>
    <n v="24031"/>
    <d v="2020-06-07T00:00:00"/>
    <n v="8020"/>
    <s v="Erma"/>
    <n v="113"/>
    <x v="8"/>
    <n v="100"/>
    <n v="2500"/>
  </r>
  <r>
    <s v="1020US"/>
    <x v="1"/>
    <x v="0"/>
    <n v="28112"/>
    <d v="2020-06-08T00:00:00"/>
    <n v="8020"/>
    <s v="Erma"/>
    <n v="114"/>
    <x v="9"/>
    <n v="50"/>
    <n v="1250"/>
  </r>
  <r>
    <s v="1020US"/>
    <x v="1"/>
    <x v="0"/>
    <n v="28112"/>
    <d v="2020-06-09T00:00:00"/>
    <n v="8020"/>
    <s v="Erma"/>
    <n v="101"/>
    <x v="4"/>
    <n v="40"/>
    <n v="480"/>
  </r>
  <r>
    <s v="1020US"/>
    <x v="1"/>
    <x v="0"/>
    <n v="28112"/>
    <d v="2020-06-10T00:00:00"/>
    <n v="8020"/>
    <s v="Erma"/>
    <n v="102"/>
    <x v="5"/>
    <n v="70"/>
    <n v="840"/>
  </r>
  <r>
    <s v="1020US"/>
    <x v="1"/>
    <x v="0"/>
    <n v="28112"/>
    <d v="2020-06-11T00:00:00"/>
    <n v="8020"/>
    <s v="Erma"/>
    <n v="106"/>
    <x v="6"/>
    <n v="70"/>
    <n v="350"/>
  </r>
  <r>
    <s v="1020US"/>
    <x v="1"/>
    <x v="0"/>
    <n v="28112"/>
    <d v="2020-06-12T00:00:00"/>
    <n v="8020"/>
    <s v="Erma"/>
    <n v="108"/>
    <x v="7"/>
    <n v="10"/>
    <n v="280"/>
  </r>
  <r>
    <s v="1020US"/>
    <x v="1"/>
    <x v="0"/>
    <n v="28112"/>
    <d v="2020-06-13T00:00:00"/>
    <n v="8020"/>
    <s v="Erma"/>
    <n v="117"/>
    <x v="10"/>
    <n v="80"/>
    <n v="1440"/>
  </r>
  <r>
    <s v="1020US"/>
    <x v="1"/>
    <x v="0"/>
    <n v="28112"/>
    <d v="2020-06-14T00:00:00"/>
    <n v="8020"/>
    <s v="Erma"/>
    <n v="118"/>
    <x v="11"/>
    <n v="70"/>
    <n v="1260"/>
  </r>
  <r>
    <s v="1020US"/>
    <x v="1"/>
    <x v="0"/>
    <n v="25442"/>
    <d v="2020-06-15T00:00:00"/>
    <n v="8010"/>
    <s v="Dellicia"/>
    <n v="118"/>
    <x v="11"/>
    <n v="70"/>
    <n v="1260"/>
  </r>
  <r>
    <s v="1020US"/>
    <x v="1"/>
    <x v="0"/>
    <n v="25442"/>
    <d v="2020-06-16T00:00:00"/>
    <n v="8010"/>
    <s v="Dellicia"/>
    <n v="117"/>
    <x v="10"/>
    <n v="80"/>
    <n v="1440"/>
  </r>
  <r>
    <s v="1020US"/>
    <x v="1"/>
    <x v="0"/>
    <n v="25442"/>
    <d v="2020-06-17T00:00:00"/>
    <n v="8010"/>
    <s v="Dellicia"/>
    <n v="118"/>
    <x v="11"/>
    <n v="70"/>
    <n v="1260"/>
  </r>
  <r>
    <s v="1020US"/>
    <x v="1"/>
    <x v="0"/>
    <n v="25442"/>
    <d v="2020-06-18T00:00:00"/>
    <n v="8010"/>
    <s v="Dellicia"/>
    <n v="116"/>
    <x v="12"/>
    <n v="60"/>
    <n v="360"/>
  </r>
  <r>
    <s v="1020US"/>
    <x v="1"/>
    <x v="0"/>
    <n v="25442"/>
    <d v="2020-06-19T00:00:00"/>
    <n v="8010"/>
    <s v="Dellicia"/>
    <n v="106"/>
    <x v="6"/>
    <n v="20"/>
    <n v="100"/>
  </r>
  <r>
    <s v="1020US"/>
    <x v="1"/>
    <x v="0"/>
    <n v="25442"/>
    <d v="2020-06-20T00:00:00"/>
    <n v="8010"/>
    <s v="Dellicia"/>
    <n v="101"/>
    <x v="4"/>
    <n v="40"/>
    <n v="480"/>
  </r>
  <r>
    <s v="1020US"/>
    <x v="1"/>
    <x v="0"/>
    <n v="25442"/>
    <d v="2020-06-21T00:00:00"/>
    <n v="8010"/>
    <s v="Dellicia"/>
    <n v="102"/>
    <x v="5"/>
    <n v="10"/>
    <n v="120"/>
  </r>
  <r>
    <s v="1040DE"/>
    <x v="2"/>
    <x v="1"/>
    <n v="44030"/>
    <d v="2020-06-01T00:00:00"/>
    <n v="8060"/>
    <s v="Liebher"/>
    <n v="108"/>
    <x v="7"/>
    <n v="60"/>
    <n v="1970"/>
  </r>
  <r>
    <s v="1040DE"/>
    <x v="2"/>
    <x v="1"/>
    <n v="44030"/>
    <d v="2020-06-02T00:00:00"/>
    <n v="8060"/>
    <s v="Liebher"/>
    <n v="109"/>
    <x v="13"/>
    <n v="60"/>
    <n v="1970"/>
  </r>
  <r>
    <s v="1040DE"/>
    <x v="2"/>
    <x v="1"/>
    <n v="44032"/>
    <d v="2020-06-01T00:00:00"/>
    <n v="8060"/>
    <s v="Liebher"/>
    <n v="108"/>
    <x v="7"/>
    <n v="60"/>
    <n v="1970"/>
  </r>
  <r>
    <s v="1040DE"/>
    <x v="2"/>
    <x v="1"/>
    <n v="44032"/>
    <d v="2020-06-02T00:00:00"/>
    <n v="8060"/>
    <s v="Liebher"/>
    <n v="109"/>
    <x v="13"/>
    <n v="70"/>
    <n v="2300"/>
  </r>
  <r>
    <s v="1040DE"/>
    <x v="2"/>
    <x v="1"/>
    <n v="44031"/>
    <d v="2020-06-01T00:00:00"/>
    <n v="8050"/>
    <s v="Aida GmbH"/>
    <n v="108"/>
    <x v="7"/>
    <n v="60"/>
    <n v="1970"/>
  </r>
  <r>
    <s v="1040DE"/>
    <x v="2"/>
    <x v="1"/>
    <n v="44031"/>
    <d v="2020-06-02T00:00:00"/>
    <n v="8050"/>
    <s v="Aida GmbH"/>
    <n v="109"/>
    <x v="13"/>
    <n v="50"/>
    <n v="1640"/>
  </r>
  <r>
    <s v="1040DE"/>
    <x v="2"/>
    <x v="1"/>
    <n v="44031"/>
    <d v="2020-06-07T00:00:00"/>
    <n v="8050"/>
    <s v="Aida GmbH"/>
    <n v="110"/>
    <x v="14"/>
    <n v="60"/>
    <n v="4230"/>
  </r>
  <r>
    <s v="1040DE"/>
    <x v="2"/>
    <x v="1"/>
    <n v="48112"/>
    <d v="2020-06-08T00:00:00"/>
    <n v="8060"/>
    <s v="Liebher"/>
    <n v="109"/>
    <x v="13"/>
    <n v="60"/>
    <n v="1970"/>
  </r>
  <r>
    <s v="1040DE"/>
    <x v="2"/>
    <x v="1"/>
    <n v="48112"/>
    <d v="2020-06-09T00:00:00"/>
    <n v="8060"/>
    <s v="Liebher"/>
    <n v="110"/>
    <x v="14"/>
    <n v="50"/>
    <n v="3520"/>
  </r>
  <r>
    <s v="1040DE"/>
    <x v="2"/>
    <x v="1"/>
    <n v="48114"/>
    <d v="2020-06-08T00:00:00"/>
    <n v="8050"/>
    <s v="Aida GmbH"/>
    <n v="109"/>
    <x v="13"/>
    <n v="60"/>
    <n v="1970"/>
  </r>
  <r>
    <s v="1040DE"/>
    <x v="2"/>
    <x v="1"/>
    <n v="48114"/>
    <d v="2020-06-09T00:00:00"/>
    <n v="8050"/>
    <s v="Aida GmbH"/>
    <n v="110"/>
    <x v="14"/>
    <n v="60"/>
    <n v="4230"/>
  </r>
  <r>
    <s v="1040DE"/>
    <x v="2"/>
    <x v="1"/>
    <n v="48114"/>
    <d v="2020-06-12T00:00:00"/>
    <n v="8050"/>
    <s v="Aida GmbH"/>
    <n v="111"/>
    <x v="15"/>
    <n v="80"/>
    <n v="1880"/>
  </r>
  <r>
    <s v="1040DE"/>
    <x v="2"/>
    <x v="1"/>
    <n v="48116"/>
    <d v="2020-06-08T00:00:00"/>
    <n v="8060"/>
    <s v="Liebher"/>
    <n v="109"/>
    <x v="13"/>
    <n v="60"/>
    <n v="1970"/>
  </r>
  <r>
    <s v="1040DE"/>
    <x v="2"/>
    <x v="1"/>
    <n v="48116"/>
    <d v="2020-06-09T00:00:00"/>
    <n v="8060"/>
    <s v="Liebher"/>
    <n v="110"/>
    <x v="14"/>
    <n v="60"/>
    <n v="4230"/>
  </r>
  <r>
    <s v="1040DE"/>
    <x v="2"/>
    <x v="1"/>
    <n v="45442"/>
    <d v="2020-06-15T00:00:00"/>
    <n v="8050"/>
    <s v="Aida GmbH"/>
    <n v="108"/>
    <x v="7"/>
    <n v="50"/>
    <n v="1640"/>
  </r>
  <r>
    <s v="1040DE"/>
    <x v="2"/>
    <x v="1"/>
    <n v="45442"/>
    <d v="2020-06-16T00:00:00"/>
    <n v="8050"/>
    <s v="Aida GmbH"/>
    <n v="109"/>
    <x v="13"/>
    <n v="60"/>
    <n v="1970"/>
  </r>
  <r>
    <s v="1040DE"/>
    <x v="2"/>
    <x v="1"/>
    <n v="45444"/>
    <d v="2020-06-15T00:00:00"/>
    <n v="8060"/>
    <s v="Liebher"/>
    <n v="108"/>
    <x v="7"/>
    <n v="60"/>
    <n v="1970"/>
  </r>
  <r>
    <s v="1040DE"/>
    <x v="2"/>
    <x v="1"/>
    <n v="45444"/>
    <d v="2020-06-16T00:00:00"/>
    <n v="8060"/>
    <s v="Liebher"/>
    <n v="109"/>
    <x v="13"/>
    <n v="70"/>
    <n v="2300"/>
  </r>
  <r>
    <s v="1040DE"/>
    <x v="2"/>
    <x v="1"/>
    <n v="45444"/>
    <d v="2020-06-19T00:00:00"/>
    <n v="8060"/>
    <s v="Liebher"/>
    <n v="110"/>
    <x v="14"/>
    <n v="60"/>
    <n v="4230"/>
  </r>
  <r>
    <s v="1040DE"/>
    <x v="2"/>
    <x v="1"/>
    <n v="45446"/>
    <d v="2020-06-15T00:00:00"/>
    <n v="8050"/>
    <s v="Aida GmbH"/>
    <n v="111"/>
    <x v="15"/>
    <n v="80"/>
    <n v="1880"/>
  </r>
  <r>
    <s v="1040DE"/>
    <x v="2"/>
    <x v="1"/>
    <n v="45446"/>
    <d v="2020-06-16T00:00:00"/>
    <n v="8050"/>
    <s v="Aida GmbH"/>
    <n v="108"/>
    <x v="7"/>
    <n v="50"/>
    <n v="1640"/>
  </r>
  <r>
    <s v="1040DE"/>
    <x v="2"/>
    <x v="1"/>
    <n v="44015"/>
    <d v="2020-06-18T00:00:00"/>
    <n v="8060"/>
    <s v="Liebher"/>
    <n v="108"/>
    <x v="7"/>
    <n v="60"/>
    <n v="1970"/>
  </r>
  <r>
    <s v="1040DE"/>
    <x v="2"/>
    <x v="1"/>
    <n v="44015"/>
    <d v="2020-06-23T00:00:00"/>
    <n v="8060"/>
    <s v="Liebher"/>
    <n v="109"/>
    <x v="13"/>
    <n v="70"/>
    <n v="2300"/>
  </r>
  <r>
    <s v="1040DE"/>
    <x v="2"/>
    <x v="1"/>
    <n v="44017"/>
    <d v="2020-06-16T00:00:00"/>
    <n v="8060"/>
    <s v="Liebher"/>
    <n v="108"/>
    <x v="7"/>
    <n v="70"/>
    <n v="2300"/>
  </r>
  <r>
    <s v="1040DE"/>
    <x v="2"/>
    <x v="1"/>
    <n v="44017"/>
    <d v="2020-06-25T00:00:00"/>
    <n v="8060"/>
    <s v="Liebher"/>
    <n v="109"/>
    <x v="13"/>
    <n v="70"/>
    <n v="2300"/>
  </r>
  <r>
    <s v="1040DE"/>
    <x v="2"/>
    <x v="1"/>
    <n v="44016"/>
    <d v="2020-06-16T00:00:00"/>
    <n v="8050"/>
    <s v="Aida GmbH"/>
    <n v="108"/>
    <x v="7"/>
    <n v="70"/>
    <n v="2300"/>
  </r>
  <r>
    <s v="1040DE"/>
    <x v="2"/>
    <x v="1"/>
    <n v="44016"/>
    <d v="2020-06-18T00:00:00"/>
    <n v="8050"/>
    <s v="Aida GmbH"/>
    <n v="109"/>
    <x v="13"/>
    <n v="60"/>
    <n v="1970"/>
  </r>
  <r>
    <s v="1040DE"/>
    <x v="2"/>
    <x v="1"/>
    <n v="44016"/>
    <d v="2020-06-23T00:00:00"/>
    <n v="8050"/>
    <s v="Aida GmbH"/>
    <n v="110"/>
    <x v="14"/>
    <n v="50"/>
    <n v="3520"/>
  </r>
  <r>
    <s v="1040DE"/>
    <x v="2"/>
    <x v="1"/>
    <n v="48097"/>
    <d v="2020-06-29T00:00:00"/>
    <n v="8060"/>
    <s v="Liebher"/>
    <n v="109"/>
    <x v="13"/>
    <n v="60"/>
    <n v="1970"/>
  </r>
  <r>
    <s v="1040DE"/>
    <x v="2"/>
    <x v="1"/>
    <n v="48097"/>
    <d v="2020-06-30T00:00:00"/>
    <n v="8060"/>
    <s v="Liebher"/>
    <n v="110"/>
    <x v="14"/>
    <n v="70"/>
    <n v="4930"/>
  </r>
  <r>
    <s v="1040DE"/>
    <x v="2"/>
    <x v="1"/>
    <n v="48099"/>
    <d v="2020-06-15T00:00:00"/>
    <n v="8050"/>
    <s v="Aida GmbH"/>
    <n v="109"/>
    <x v="13"/>
    <n v="60"/>
    <n v="1970"/>
  </r>
  <r>
    <s v="1040DE"/>
    <x v="2"/>
    <x v="1"/>
    <n v="48099"/>
    <d v="2020-06-16T00:00:00"/>
    <n v="8050"/>
    <s v="Aida GmbH"/>
    <n v="110"/>
    <x v="14"/>
    <n v="60"/>
    <n v="4230"/>
  </r>
  <r>
    <s v="1040DE"/>
    <x v="2"/>
    <x v="1"/>
    <n v="48099"/>
    <d v="2020-06-17T00:00:00"/>
    <n v="8050"/>
    <s v="Aida GmbH"/>
    <n v="111"/>
    <x v="15"/>
    <n v="60"/>
    <n v="1410"/>
  </r>
  <r>
    <s v="1040DE"/>
    <x v="2"/>
    <x v="1"/>
    <n v="48101"/>
    <d v="2020-06-18T00:00:00"/>
    <n v="8060"/>
    <s v="Liebher"/>
    <n v="109"/>
    <x v="13"/>
    <n v="60"/>
    <n v="1970"/>
  </r>
  <r>
    <s v="1040DE"/>
    <x v="2"/>
    <x v="1"/>
    <n v="48101"/>
    <d v="2020-06-19T00:00:00"/>
    <n v="8060"/>
    <s v="Liebher"/>
    <n v="110"/>
    <x v="14"/>
    <n v="50"/>
    <n v="3520"/>
  </r>
  <r>
    <s v="1040DE"/>
    <x v="2"/>
    <x v="1"/>
    <n v="45427"/>
    <d v="2020-06-20T00:00:00"/>
    <n v="8050"/>
    <s v="Aida GmbH"/>
    <n v="108"/>
    <x v="7"/>
    <n v="70"/>
    <n v="2300"/>
  </r>
  <r>
    <s v="1040DE"/>
    <x v="2"/>
    <x v="1"/>
    <n v="45427"/>
    <d v="2020-06-21T00:00:00"/>
    <n v="8050"/>
    <s v="Aida GmbH"/>
    <n v="109"/>
    <x v="13"/>
    <n v="60"/>
    <n v="1970"/>
  </r>
  <r>
    <s v="1040DE"/>
    <x v="2"/>
    <x v="1"/>
    <n v="45429"/>
    <d v="2020-06-22T00:00:00"/>
    <n v="8060"/>
    <s v="Liebher"/>
    <n v="108"/>
    <x v="7"/>
    <n v="80"/>
    <n v="2630"/>
  </r>
  <r>
    <s v="1040DE"/>
    <x v="2"/>
    <x v="1"/>
    <n v="45429"/>
    <d v="2020-06-23T00:00:00"/>
    <n v="8060"/>
    <s v="Liebher"/>
    <n v="109"/>
    <x v="13"/>
    <n v="80"/>
    <n v="2630"/>
  </r>
  <r>
    <s v="1040DE"/>
    <x v="2"/>
    <x v="1"/>
    <n v="45429"/>
    <d v="2020-06-24T00:00:00"/>
    <n v="8060"/>
    <s v="Liebher"/>
    <n v="110"/>
    <x v="14"/>
    <n v="50"/>
    <n v="3520"/>
  </r>
  <r>
    <s v="1040DE"/>
    <x v="2"/>
    <x v="1"/>
    <n v="45431"/>
    <d v="2020-06-25T00:00:00"/>
    <n v="8050"/>
    <s v="Aida GmbH"/>
    <n v="111"/>
    <x v="15"/>
    <n v="60"/>
    <n v="1410"/>
  </r>
  <r>
    <s v="1040DE"/>
    <x v="2"/>
    <x v="1"/>
    <n v="45431"/>
    <d v="2020-06-26T00:00:00"/>
    <n v="8050"/>
    <s v="Aida GmbH"/>
    <n v="108"/>
    <x v="7"/>
    <n v="60"/>
    <n v="197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438B3C-DADA-48F3-B4EB-48415169D330}" name="PivotTable4"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N31:O35" firstHeaderRow="1" firstDataRow="1" firstDataCol="1"/>
  <pivotFields count="4">
    <pivotField axis="axisRow" showAll="0">
      <items count="7">
        <item x="3"/>
        <item x="0"/>
        <item x="2"/>
        <item m="1" x="4"/>
        <item m="1" x="5"/>
        <item x="1"/>
        <item t="default"/>
      </items>
    </pivotField>
    <pivotField showAll="0"/>
    <pivotField showAll="0"/>
    <pivotField dataField="1" numFmtId="4" showAll="0"/>
  </pivotFields>
  <rowFields count="1">
    <field x="0"/>
  </rowFields>
  <rowItems count="4">
    <i>
      <x/>
    </i>
    <i>
      <x v="1"/>
    </i>
    <i>
      <x v="2"/>
    </i>
    <i>
      <x v="5"/>
    </i>
  </rowItems>
  <colItems count="1">
    <i/>
  </colItems>
  <dataFields count="1">
    <dataField name="Sum of Average of Sales USD" fld="3" baseField="0" baseItem="0"/>
  </dataFields>
  <pivotTableStyleInfo name="PivotStyleDark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5F6F05-8D10-4161-8CD1-8270AF29032D}" name="PivotTable1" cacheId="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N9:Q12" firstHeaderRow="0" firstDataRow="1" firstDataCol="2"/>
  <pivotFields count="11">
    <pivotField compact="0" outline="0" showAll="0"/>
    <pivotField axis="axisRow" compact="0" outline="0" showAll="0">
      <items count="4">
        <item x="2"/>
        <item sd="0" x="1"/>
        <item sd="0" x="0"/>
        <item t="default"/>
      </items>
    </pivotField>
    <pivotField compact="0" outline="0" showAll="0">
      <items count="3">
        <item h="1" x="1"/>
        <item x="0"/>
        <item t="default"/>
      </items>
    </pivotField>
    <pivotField compact="0" outline="0" showAll="0"/>
    <pivotField compact="0" numFmtId="14" outline="0" showAll="0"/>
    <pivotField compact="0" outline="0" showAll="0"/>
    <pivotField compact="0" outline="0" showAll="0"/>
    <pivotField compact="0" outline="0" showAll="0"/>
    <pivotField axis="axisRow" compact="0" outline="0" showAll="0">
      <items count="17">
        <item x="7"/>
        <item x="13"/>
        <item x="6"/>
        <item x="8"/>
        <item x="9"/>
        <item x="11"/>
        <item x="10"/>
        <item x="5"/>
        <item x="4"/>
        <item x="14"/>
        <item x="15"/>
        <item x="12"/>
        <item x="3"/>
        <item x="2"/>
        <item x="1"/>
        <item x="0"/>
        <item t="default"/>
      </items>
    </pivotField>
    <pivotField compact="0" outline="0" showAll="0"/>
    <pivotField dataField="1" compact="0" outline="0" showAll="0"/>
  </pivotFields>
  <rowFields count="2">
    <field x="1"/>
    <field x="8"/>
  </rowFields>
  <rowItems count="3">
    <i>
      <x v="1"/>
    </i>
    <i>
      <x v="2"/>
    </i>
    <i t="grand">
      <x/>
    </i>
  </rowItems>
  <colFields count="1">
    <field x="-2"/>
  </colFields>
  <colItems count="2">
    <i>
      <x/>
    </i>
    <i i="1">
      <x v="1"/>
    </i>
  </colItems>
  <dataFields count="2">
    <dataField name="Sum of Sales USD" fld="10" baseField="0" baseItem="0"/>
    <dataField name="Average of Sales USD" fld="10" subtotal="average" baseField="0" baseItem="0" numFmtId="4"/>
  </dataField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C8F8574-E655-4D49-9DB5-6BC841320412}" name="PivotTable5"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N22:O26" firstHeaderRow="1" firstDataRow="1" firstDataCol="1"/>
  <pivotFields count="4">
    <pivotField axis="axisRow" showAll="0">
      <items count="7">
        <item x="3"/>
        <item x="0"/>
        <item x="2"/>
        <item m="1" x="4"/>
        <item m="1" x="5"/>
        <item x="1"/>
        <item t="default"/>
      </items>
    </pivotField>
    <pivotField showAll="0"/>
    <pivotField showAll="0"/>
    <pivotField dataField="1" numFmtId="4" showAll="0"/>
  </pivotFields>
  <rowFields count="1">
    <field x="0"/>
  </rowFields>
  <rowItems count="4">
    <i>
      <x/>
    </i>
    <i>
      <x v="1"/>
    </i>
    <i>
      <x v="2"/>
    </i>
    <i>
      <x v="5"/>
    </i>
  </rowItems>
  <colItems count="1">
    <i/>
  </colItems>
  <dataFields count="1">
    <dataField name="Sum of Average of Sales USD" fld="3" baseField="0" baseItem="0"/>
  </dataFields>
  <pivotTableStyleInfo name="PivotStyleDark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831A566-DB69-4CB8-B433-18CF2742E25F}" sourceName="Region">
  <pivotTables>
    <pivotTable tabId="2" name="PivotTable1"/>
  </pivotTables>
  <data>
    <tabular pivotCacheId="1547705497">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683A091-9017-4920-91A0-3A4BD57FBB0B}" cache="Slicer_Region" caption="Reg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C088DCC-FA85-49ED-BD50-30E05F343266}" name="Table2" displayName="Table2" ref="R11:U23" totalsRowCount="1">
  <tableColumns count="4">
    <tableColumn id="1" xr3:uid="{857768FE-9D8E-411B-AE4D-6CEA24A8212D}" name="Region" totalsRowLabel="Total">
      <calculatedColumnFormula>CHOOSE(RANDBETWEEN(1, 4),"East","West","North","South")</calculatedColumnFormula>
    </tableColumn>
    <tableColumn id="2" xr3:uid="{B84FD9D9-0421-426A-A0BA-5727718AB17D}" name="Sales per" totalsRowFunction="count"/>
    <tableColumn id="3" xr3:uid="{C63CDB9E-ACEB-4E37-BE6C-AB1369B87422}" name="Product" totalsRowFunction="count"/>
    <tableColumn id="4" xr3:uid="{0FE9DC24-44BB-4228-9E93-94DC6E6DB65A}" name="Units" totalsRowFunction="su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DCAC91-ADB2-4F64-ABDE-ADC4EE965CE0}" name="Table5" displayName="Table5" ref="AJ6:AM40" totalsRowShown="0" headerRowDxfId="17" tableBorderDxfId="16">
  <autoFilter ref="AJ6:AM40" xr:uid="{45DCAC91-ADB2-4F64-ABDE-ADC4EE965CE0}"/>
  <tableColumns count="4">
    <tableColumn id="1" xr3:uid="{5C91770C-A6F7-47AE-B978-E0E151E896F2}" name="Division"/>
    <tableColumn id="2" xr3:uid="{F5E6A744-76D3-4A9F-9BD9-68A911B8EB86}" name="Region"/>
    <tableColumn id="3" xr3:uid="{15BDD099-2A2A-4363-B95B-B70F8936FB89}" name="Apps"/>
    <tableColumn id="4" xr3:uid="{380CB5CB-CA1F-491D-B10A-E0D1025FFE36}" name="Revenue"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EE3813-4D8B-429F-8FF1-72827F7D8432}" name="Data" displayName="Data" ref="B2:H51" totalsRowShown="0" headerRowDxfId="14" dataDxfId="13">
  <autoFilter ref="B2:H51" xr:uid="{CBEE3813-4D8B-429F-8FF1-72827F7D8432}"/>
  <tableColumns count="7">
    <tableColumn id="1" xr3:uid="{C3B62A87-BD3F-43AB-8496-21EAEDECC75C}" name="Month" dataDxfId="12"/>
    <tableColumn id="2" xr3:uid="{476A4F01-60D9-46DF-B8E0-73FE45A9B3E6}" name="App"/>
    <tableColumn id="3" xr3:uid="{A27BC548-02A0-448C-8596-F9D20239B86F}" name="Downloads" dataDxfId="11"/>
    <tableColumn id="4" xr3:uid="{74E60A30-BE92-4217-B05F-733ED3369F29}" name="Uninstalls" dataDxfId="10"/>
    <tableColumn id="5" xr3:uid="{D9B8DCFD-A9A6-4B0A-91FF-C58764562A9B}" name="5 star ratings" dataDxfId="9"/>
    <tableColumn id="6" xr3:uid="{E0AD4ED9-E828-46F0-B607-19885625F3A1}" name="1 star ratings" dataDxfId="8"/>
    <tableColumn id="7" xr3:uid="{D92B54A3-5C43-479D-9E42-CF7C2ACC68FF}" name="Total ratings" dataDxfId="7"/>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2EDE19C-A782-4D9D-AC7A-4902C2237B66}" name="Table3" displayName="Table3" ref="G19:H22" totalsRowShown="0" headerRowDxfId="6" dataDxfId="5">
  <autoFilter ref="G19:H22" xr:uid="{A2EDE19C-A782-4D9D-AC7A-4902C2237B66}"/>
  <tableColumns count="2">
    <tableColumn id="1" xr3:uid="{64CF74BF-5FBF-46B0-AA93-A8E164669CFE}" name="Student" dataDxfId="4"/>
    <tableColumn id="2" xr3:uid="{505A5221-3A07-4994-9C79-A4E72DC09294}" name="Marks" dataDxfId="3"/>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E04C2F-F1F0-4F54-A353-E4D4600B37FB}" name="sales_data" displayName="sales_data" ref="A2:K107" totalsRowShown="0" headerRowDxfId="2" headerRowBorderDxfId="1" headerRowCellStyle="Heading 1 2">
  <autoFilter ref="A2:K107" xr:uid="{0FE04C2F-F1F0-4F54-A353-E4D4600B37FB}"/>
  <tableColumns count="11">
    <tableColumn id="1" xr3:uid="{B7257116-C450-47CF-ACF2-1D42646099B1}" name="Company"/>
    <tableColumn id="2" xr3:uid="{79D14499-1420-4618-BDFC-543F5E1E5857}" name="Company Name"/>
    <tableColumn id="3" xr3:uid="{6751BFAA-D4D6-41DC-9EDD-985A8EC1685E}" name="Region"/>
    <tableColumn id="4" xr3:uid="{E56BA87A-7842-4417-B2B9-D31CCE19DF82}" name="Sales Document"/>
    <tableColumn id="5" xr3:uid="{A7567318-DBC6-407E-A1CF-F5681D26AF0E}" name="Document Date" dataDxfId="0"/>
    <tableColumn id="6" xr3:uid="{E5B53FDE-D90F-4B71-A19F-4CB3BA2D01BB}" name="Customer Code"/>
    <tableColumn id="7" xr3:uid="{492C955F-DF82-47F9-8F10-B96E7826B49A}" name="Customer Name"/>
    <tableColumn id="8" xr3:uid="{A3910C17-620B-4EE1-B7C9-79F4D1578111}" name="Product Code"/>
    <tableColumn id="9" xr3:uid="{EBF84900-1B99-4734-A873-A36693C65AF4}" name="Product Description"/>
    <tableColumn id="10" xr3:uid="{78B3E9E3-F108-4AF8-B9AC-A4B3706B2BEC}" name="Quantity"/>
    <tableColumn id="11" xr3:uid="{573D53A1-5623-4F68-9FF9-085436A6CC31}" name="Sales USD"/>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3166B26-3D8A-4483-AAFF-0CD74458E064}">
  <we:reference id="wa104381227" version="1.0.0.1" store="en-US" storeType="OMEX"/>
  <we:alternateReferences>
    <we:reference id="WA104381227" version="1.0.0.1"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ww.youtube.com/watch?v=0tdlR1rBwkM&amp;list=PLmHVyfmcRKyx1KSoobwukzf1Nf-Y97Rw0"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4.xml"/><Relationship Id="rId2" Type="http://schemas.openxmlformats.org/officeDocument/2006/relationships/drawing" Target="../drawings/drawing3.xml"/><Relationship Id="rId16" Type="http://schemas.openxmlformats.org/officeDocument/2006/relationships/ctrlProp" Target="../ctrlProps/ctrlProp13.xml"/><Relationship Id="rId1" Type="http://schemas.openxmlformats.org/officeDocument/2006/relationships/hyperlink" Target="mailto:Durga@99"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https://www.youtube.com/watch?v=UjiIjjzaJyk" TargetMode="Externa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youtube.com/watch?v=C9beIaL-cBA&amp;list=PLmHVyfmcRKyw08u-MZm4ROnB3J0gRlsop" TargetMode="Externa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5.xml"/><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42A63-D869-4220-AA22-DFB265A3E4AA}">
  <sheetPr codeName="Sheet1"/>
  <dimension ref="A1:AS95"/>
  <sheetViews>
    <sheetView workbookViewId="0">
      <selection activeCell="F13" sqref="F13"/>
    </sheetView>
  </sheetViews>
  <sheetFormatPr defaultRowHeight="15"/>
  <cols>
    <col min="1" max="1" width="15.5703125" bestFit="1" customWidth="1"/>
    <col min="3" max="3" width="10.42578125" bestFit="1" customWidth="1"/>
    <col min="4" max="4" width="10.140625" customWidth="1"/>
    <col min="5" max="5" width="11.140625" customWidth="1"/>
    <col min="6" max="6" width="9.140625" customWidth="1"/>
    <col min="8" max="8" width="15.28515625" customWidth="1"/>
    <col min="13" max="13" width="13.140625" customWidth="1"/>
    <col min="14" max="14" width="9.42578125" customWidth="1"/>
    <col min="16" max="16" width="12" bestFit="1" customWidth="1"/>
    <col min="18" max="18" width="9.28515625" customWidth="1"/>
    <col min="19" max="19" width="12.28515625" customWidth="1"/>
    <col min="20" max="20" width="10" customWidth="1"/>
    <col min="22" max="22" width="10.42578125" customWidth="1"/>
    <col min="36" max="36" width="10.28515625" customWidth="1"/>
    <col min="37" max="37" width="9.28515625" customWidth="1"/>
    <col min="39" max="39" width="11" customWidth="1"/>
  </cols>
  <sheetData>
    <row r="1" spans="1:44">
      <c r="A1" t="s">
        <v>1079</v>
      </c>
    </row>
    <row r="2" spans="1:44">
      <c r="A2" s="15" t="s">
        <v>93</v>
      </c>
      <c r="J2" t="s">
        <v>1076</v>
      </c>
    </row>
    <row r="3" spans="1:44">
      <c r="A3" s="125" t="s">
        <v>1077</v>
      </c>
      <c r="D3" t="s">
        <v>1078</v>
      </c>
    </row>
    <row r="5" spans="1:44" ht="18.75">
      <c r="A5">
        <v>1</v>
      </c>
      <c r="B5">
        <v>1</v>
      </c>
      <c r="C5">
        <v>1</v>
      </c>
      <c r="E5" s="1">
        <v>45108</v>
      </c>
      <c r="F5" t="s">
        <v>0</v>
      </c>
      <c r="H5" s="4" t="s">
        <v>7</v>
      </c>
      <c r="I5" s="4" t="s">
        <v>8</v>
      </c>
      <c r="J5" s="4" t="s">
        <v>9</v>
      </c>
      <c r="K5" s="4" t="s">
        <v>30</v>
      </c>
      <c r="M5" s="12" t="s">
        <v>80</v>
      </c>
      <c r="AJ5" s="34" t="s">
        <v>298</v>
      </c>
      <c r="AL5" t="s">
        <v>302</v>
      </c>
    </row>
    <row r="6" spans="1:44">
      <c r="A6" s="2">
        <v>1</v>
      </c>
      <c r="B6">
        <v>2</v>
      </c>
      <c r="C6">
        <v>2</v>
      </c>
      <c r="E6" s="3">
        <v>45109</v>
      </c>
      <c r="F6" s="2" t="s">
        <v>1</v>
      </c>
      <c r="H6" t="s">
        <v>10</v>
      </c>
      <c r="I6">
        <v>30</v>
      </c>
      <c r="J6">
        <v>35</v>
      </c>
      <c r="K6">
        <f>I6+J6</f>
        <v>65</v>
      </c>
      <c r="M6" t="s">
        <v>41</v>
      </c>
      <c r="N6" t="s">
        <v>81</v>
      </c>
      <c r="AJ6" s="36" t="s">
        <v>278</v>
      </c>
      <c r="AK6" s="36" t="s">
        <v>110</v>
      </c>
      <c r="AL6" s="36" t="s">
        <v>279</v>
      </c>
      <c r="AM6" s="36" t="s">
        <v>280</v>
      </c>
    </row>
    <row r="7" spans="1:44">
      <c r="A7">
        <v>1</v>
      </c>
      <c r="B7" s="2">
        <v>3</v>
      </c>
      <c r="C7">
        <v>3</v>
      </c>
      <c r="E7" s="1">
        <v>45110</v>
      </c>
      <c r="F7" t="s">
        <v>2</v>
      </c>
      <c r="H7" t="s">
        <v>11</v>
      </c>
      <c r="I7">
        <v>20</v>
      </c>
      <c r="J7">
        <v>55</v>
      </c>
      <c r="K7">
        <f t="shared" ref="K7:K24" si="0">I7+J7</f>
        <v>75</v>
      </c>
      <c r="M7" t="s">
        <v>75</v>
      </c>
      <c r="AJ7" t="s">
        <v>281</v>
      </c>
      <c r="AK7" t="s">
        <v>141</v>
      </c>
      <c r="AL7" t="s">
        <v>285</v>
      </c>
      <c r="AM7" s="35">
        <v>85200</v>
      </c>
    </row>
    <row r="8" spans="1:44">
      <c r="A8">
        <v>1</v>
      </c>
      <c r="B8">
        <v>4</v>
      </c>
      <c r="C8">
        <v>4</v>
      </c>
      <c r="E8" s="1">
        <v>45111</v>
      </c>
      <c r="F8" t="s">
        <v>3</v>
      </c>
      <c r="H8" t="s">
        <v>12</v>
      </c>
      <c r="I8">
        <v>45</v>
      </c>
      <c r="J8">
        <v>50</v>
      </c>
      <c r="K8">
        <f t="shared" si="0"/>
        <v>95</v>
      </c>
      <c r="M8" t="s">
        <v>70</v>
      </c>
      <c r="AJ8" t="s">
        <v>293</v>
      </c>
      <c r="AK8" t="s">
        <v>141</v>
      </c>
      <c r="AL8" t="s">
        <v>295</v>
      </c>
      <c r="AM8" s="35">
        <v>46922</v>
      </c>
      <c r="AO8" t="s">
        <v>303</v>
      </c>
    </row>
    <row r="9" spans="1:44" ht="18.75">
      <c r="A9">
        <v>1</v>
      </c>
      <c r="B9">
        <v>5</v>
      </c>
      <c r="C9">
        <v>5</v>
      </c>
      <c r="E9" s="1">
        <v>45112</v>
      </c>
      <c r="F9" t="s">
        <v>4</v>
      </c>
      <c r="H9" t="s">
        <v>13</v>
      </c>
      <c r="I9">
        <v>35</v>
      </c>
      <c r="J9">
        <v>30</v>
      </c>
      <c r="K9">
        <f t="shared" si="0"/>
        <v>65</v>
      </c>
      <c r="M9" t="s">
        <v>62</v>
      </c>
      <c r="R9" s="33" t="s">
        <v>233</v>
      </c>
      <c r="S9" t="s">
        <v>253</v>
      </c>
      <c r="T9" t="s">
        <v>254</v>
      </c>
      <c r="Z9" s="33" t="s">
        <v>250</v>
      </c>
      <c r="AA9" t="s">
        <v>251</v>
      </c>
      <c r="AJ9" t="s">
        <v>293</v>
      </c>
      <c r="AK9" t="s">
        <v>141</v>
      </c>
      <c r="AL9" t="s">
        <v>296</v>
      </c>
      <c r="AM9" s="35">
        <v>46336</v>
      </c>
      <c r="AN9" t="s">
        <v>299</v>
      </c>
    </row>
    <row r="10" spans="1:44">
      <c r="A10">
        <v>1</v>
      </c>
      <c r="B10">
        <v>6</v>
      </c>
      <c r="E10" s="1">
        <v>45113</v>
      </c>
      <c r="F10" t="s">
        <v>5</v>
      </c>
      <c r="H10" t="s">
        <v>14</v>
      </c>
      <c r="I10">
        <v>25</v>
      </c>
      <c r="J10">
        <v>50</v>
      </c>
      <c r="K10">
        <f t="shared" si="0"/>
        <v>75</v>
      </c>
      <c r="M10" t="s">
        <v>73</v>
      </c>
      <c r="Z10" t="s">
        <v>252</v>
      </c>
      <c r="AJ10" t="s">
        <v>293</v>
      </c>
      <c r="AK10" t="s">
        <v>141</v>
      </c>
      <c r="AL10" t="s">
        <v>297</v>
      </c>
      <c r="AM10" s="35">
        <v>30832</v>
      </c>
      <c r="AN10" t="s">
        <v>300</v>
      </c>
    </row>
    <row r="11" spans="1:44">
      <c r="A11">
        <v>1</v>
      </c>
      <c r="B11">
        <v>7</v>
      </c>
      <c r="C11" t="s">
        <v>317</v>
      </c>
      <c r="E11" s="1">
        <v>45114</v>
      </c>
      <c r="F11" t="s">
        <v>6</v>
      </c>
      <c r="H11" t="s">
        <v>15</v>
      </c>
      <c r="I11">
        <v>90</v>
      </c>
      <c r="J11">
        <v>40</v>
      </c>
      <c r="K11">
        <f t="shared" si="0"/>
        <v>130</v>
      </c>
      <c r="M11" t="s">
        <v>71</v>
      </c>
      <c r="R11" t="s">
        <v>110</v>
      </c>
      <c r="S11" t="s">
        <v>260</v>
      </c>
      <c r="T11" t="s">
        <v>105</v>
      </c>
      <c r="U11" t="s">
        <v>234</v>
      </c>
      <c r="AJ11" t="s">
        <v>286</v>
      </c>
      <c r="AK11" t="s">
        <v>141</v>
      </c>
      <c r="AL11" t="s">
        <v>289</v>
      </c>
      <c r="AM11" s="35">
        <v>26412</v>
      </c>
      <c r="AN11" t="s">
        <v>301</v>
      </c>
    </row>
    <row r="12" spans="1:44">
      <c r="H12" t="s">
        <v>16</v>
      </c>
      <c r="I12">
        <v>45</v>
      </c>
      <c r="J12">
        <v>40</v>
      </c>
      <c r="K12">
        <f t="shared" si="0"/>
        <v>85</v>
      </c>
      <c r="M12" t="s">
        <v>67</v>
      </c>
      <c r="O12" s="136" t="s">
        <v>200</v>
      </c>
      <c r="P12" s="136"/>
      <c r="R12" t="s">
        <v>235</v>
      </c>
      <c r="S12" t="s">
        <v>49</v>
      </c>
      <c r="T12" t="s">
        <v>248</v>
      </c>
      <c r="U12">
        <v>6380</v>
      </c>
      <c r="AJ12" t="s">
        <v>281</v>
      </c>
      <c r="AK12" t="s">
        <v>141</v>
      </c>
      <c r="AL12" t="s">
        <v>283</v>
      </c>
      <c r="AM12" s="35">
        <v>9000</v>
      </c>
      <c r="AO12" s="147" t="s">
        <v>304</v>
      </c>
      <c r="AP12" s="147"/>
      <c r="AQ12" s="147"/>
      <c r="AR12" s="147"/>
    </row>
    <row r="13" spans="1:44">
      <c r="H13" t="s">
        <v>17</v>
      </c>
      <c r="I13">
        <v>60</v>
      </c>
      <c r="J13">
        <v>55</v>
      </c>
      <c r="K13">
        <f t="shared" si="0"/>
        <v>115</v>
      </c>
      <c r="M13" t="s">
        <v>65</v>
      </c>
      <c r="O13">
        <f>COUNT(I6:I24)</f>
        <v>19</v>
      </c>
      <c r="P13">
        <f>COUNTA(H6:H24)</f>
        <v>19</v>
      </c>
      <c r="R13" t="s">
        <v>236</v>
      </c>
      <c r="S13" t="s">
        <v>239</v>
      </c>
      <c r="T13" t="s">
        <v>248</v>
      </c>
      <c r="U13">
        <v>5169</v>
      </c>
      <c r="W13" t="s">
        <v>235</v>
      </c>
      <c r="X13" t="s">
        <v>49</v>
      </c>
      <c r="Y13" t="s">
        <v>248</v>
      </c>
      <c r="Z13">
        <v>6380</v>
      </c>
      <c r="AJ13" t="s">
        <v>281</v>
      </c>
      <c r="AK13" t="s">
        <v>141</v>
      </c>
      <c r="AL13" t="s">
        <v>290</v>
      </c>
      <c r="AM13" s="35">
        <v>13500</v>
      </c>
    </row>
    <row r="14" spans="1:44" ht="18.75">
      <c r="A14" s="141" t="s">
        <v>31</v>
      </c>
      <c r="B14" s="141"/>
      <c r="C14" s="141"/>
      <c r="H14" t="s">
        <v>18</v>
      </c>
      <c r="I14">
        <v>80</v>
      </c>
      <c r="J14">
        <v>75</v>
      </c>
      <c r="K14">
        <f t="shared" si="0"/>
        <v>155</v>
      </c>
      <c r="M14" t="s">
        <v>66</v>
      </c>
      <c r="O14" t="s">
        <v>201</v>
      </c>
      <c r="P14" t="s">
        <v>202</v>
      </c>
      <c r="R14" t="s">
        <v>237</v>
      </c>
      <c r="S14" t="s">
        <v>240</v>
      </c>
      <c r="T14" t="s">
        <v>247</v>
      </c>
      <c r="U14">
        <v>4565</v>
      </c>
      <c r="W14" t="s">
        <v>236</v>
      </c>
      <c r="X14" t="s">
        <v>239</v>
      </c>
      <c r="Y14" t="s">
        <v>248</v>
      </c>
      <c r="Z14">
        <v>5169</v>
      </c>
      <c r="AJ14" t="s">
        <v>286</v>
      </c>
      <c r="AK14" t="s">
        <v>141</v>
      </c>
      <c r="AL14" t="s">
        <v>287</v>
      </c>
      <c r="AM14" s="35">
        <v>8532</v>
      </c>
    </row>
    <row r="15" spans="1:44">
      <c r="A15" s="142" t="s">
        <v>32</v>
      </c>
      <c r="B15" s="142"/>
      <c r="C15" s="142"/>
      <c r="D15" s="142"/>
      <c r="H15" t="s">
        <v>19</v>
      </c>
      <c r="I15">
        <v>56</v>
      </c>
      <c r="J15">
        <v>35</v>
      </c>
      <c r="K15">
        <f t="shared" si="0"/>
        <v>91</v>
      </c>
      <c r="M15" t="s">
        <v>63</v>
      </c>
      <c r="R15" t="s">
        <v>238</v>
      </c>
      <c r="S15" t="s">
        <v>241</v>
      </c>
      <c r="T15" t="s">
        <v>247</v>
      </c>
      <c r="U15">
        <v>5323</v>
      </c>
      <c r="W15" t="s">
        <v>237</v>
      </c>
      <c r="X15" t="s">
        <v>243</v>
      </c>
      <c r="Y15" t="s">
        <v>248</v>
      </c>
      <c r="Z15">
        <v>7195</v>
      </c>
      <c r="AJ15" t="s">
        <v>281</v>
      </c>
      <c r="AK15" t="s">
        <v>284</v>
      </c>
      <c r="AL15" t="s">
        <v>283</v>
      </c>
      <c r="AM15" s="35">
        <v>3000</v>
      </c>
    </row>
    <row r="16" spans="1:44">
      <c r="A16" s="143" t="s">
        <v>33</v>
      </c>
      <c r="B16" s="143"/>
      <c r="C16" s="5"/>
      <c r="D16" s="5"/>
      <c r="H16" t="s">
        <v>20</v>
      </c>
      <c r="I16">
        <v>81</v>
      </c>
      <c r="J16">
        <v>60</v>
      </c>
      <c r="K16">
        <f t="shared" si="0"/>
        <v>141</v>
      </c>
      <c r="M16" t="s">
        <v>74</v>
      </c>
      <c r="R16" t="s">
        <v>237</v>
      </c>
      <c r="S16" t="s">
        <v>242</v>
      </c>
      <c r="T16" t="s">
        <v>247</v>
      </c>
      <c r="U16">
        <v>4394</v>
      </c>
      <c r="W16" t="s">
        <v>235</v>
      </c>
      <c r="X16" t="s">
        <v>245</v>
      </c>
      <c r="Y16" t="s">
        <v>248</v>
      </c>
      <c r="Z16">
        <v>2427</v>
      </c>
      <c r="AJ16" t="s">
        <v>281</v>
      </c>
      <c r="AK16" t="s">
        <v>284</v>
      </c>
      <c r="AL16" t="s">
        <v>285</v>
      </c>
      <c r="AM16" s="35">
        <v>46994</v>
      </c>
    </row>
    <row r="17" spans="1:45">
      <c r="A17" s="130" t="s">
        <v>34</v>
      </c>
      <c r="B17" s="130"/>
      <c r="C17" s="130"/>
      <c r="D17" s="130"/>
      <c r="E17" s="130"/>
      <c r="H17" t="s">
        <v>21</v>
      </c>
      <c r="I17">
        <v>60</v>
      </c>
      <c r="J17">
        <v>30</v>
      </c>
      <c r="K17">
        <f t="shared" si="0"/>
        <v>90</v>
      </c>
      <c r="M17" t="s">
        <v>72</v>
      </c>
      <c r="R17" t="s">
        <v>237</v>
      </c>
      <c r="S17" t="s">
        <v>243</v>
      </c>
      <c r="T17" t="s">
        <v>248</v>
      </c>
      <c r="U17">
        <v>7195</v>
      </c>
      <c r="AB17" s="135" t="s">
        <v>259</v>
      </c>
      <c r="AC17" s="135"/>
      <c r="AD17" s="135"/>
      <c r="AF17" s="135" t="s">
        <v>262</v>
      </c>
      <c r="AG17" s="135"/>
      <c r="AH17" s="135"/>
      <c r="AJ17" t="s">
        <v>281</v>
      </c>
      <c r="AK17" t="s">
        <v>284</v>
      </c>
      <c r="AL17" t="s">
        <v>290</v>
      </c>
      <c r="AM17" s="35">
        <v>90530</v>
      </c>
    </row>
    <row r="18" spans="1:45">
      <c r="A18">
        <v>40</v>
      </c>
      <c r="B18" s="5"/>
      <c r="C18" s="5"/>
      <c r="D18" s="5">
        <v>30</v>
      </c>
      <c r="E18" s="5">
        <v>30</v>
      </c>
      <c r="H18" t="s">
        <v>22</v>
      </c>
      <c r="I18">
        <v>90</v>
      </c>
      <c r="J18">
        <v>65</v>
      </c>
      <c r="K18">
        <f t="shared" si="0"/>
        <v>155</v>
      </c>
      <c r="M18" t="s">
        <v>77</v>
      </c>
      <c r="R18" t="s">
        <v>237</v>
      </c>
      <c r="S18" t="s">
        <v>244</v>
      </c>
      <c r="T18" t="s">
        <v>249</v>
      </c>
      <c r="U18">
        <v>5231</v>
      </c>
      <c r="W18" t="s">
        <v>255</v>
      </c>
      <c r="X18">
        <f>SUM(Table2[Units])</f>
        <v>49446</v>
      </c>
      <c r="Z18" t="s">
        <v>110</v>
      </c>
      <c r="AB18" t="s">
        <v>110</v>
      </c>
      <c r="AC18" t="s">
        <v>181</v>
      </c>
      <c r="AD18" t="s">
        <v>260</v>
      </c>
      <c r="AF18" t="s">
        <v>265</v>
      </c>
      <c r="AG18" t="s">
        <v>263</v>
      </c>
      <c r="AH18" t="s">
        <v>268</v>
      </c>
      <c r="AJ18" t="s">
        <v>293</v>
      </c>
      <c r="AK18" t="s">
        <v>284</v>
      </c>
      <c r="AL18" t="s">
        <v>295</v>
      </c>
      <c r="AM18" s="35">
        <v>43784</v>
      </c>
    </row>
    <row r="19" spans="1:45">
      <c r="B19" s="5"/>
      <c r="C19" s="5"/>
      <c r="D19">
        <v>40</v>
      </c>
      <c r="E19">
        <v>40</v>
      </c>
      <c r="H19" t="s">
        <v>23</v>
      </c>
      <c r="I19">
        <v>60</v>
      </c>
      <c r="J19">
        <v>44</v>
      </c>
      <c r="K19">
        <f t="shared" si="0"/>
        <v>104</v>
      </c>
      <c r="M19" t="s">
        <v>77</v>
      </c>
      <c r="R19" t="s">
        <v>235</v>
      </c>
      <c r="S19" t="s">
        <v>245</v>
      </c>
      <c r="T19" t="s">
        <v>248</v>
      </c>
      <c r="U19">
        <v>2427</v>
      </c>
      <c r="W19" t="s">
        <v>256</v>
      </c>
      <c r="X19">
        <f>SUBTOTAL(9,Z13:Z16)</f>
        <v>21171</v>
      </c>
      <c r="Z19" t="s">
        <v>235</v>
      </c>
      <c r="AB19" t="s">
        <v>237</v>
      </c>
      <c r="AC19" t="s">
        <v>247</v>
      </c>
      <c r="AD19" t="s">
        <v>261</v>
      </c>
      <c r="AF19" t="s">
        <v>264</v>
      </c>
      <c r="AG19" t="s">
        <v>237</v>
      </c>
      <c r="AH19" t="s">
        <v>270</v>
      </c>
      <c r="AJ19" t="s">
        <v>293</v>
      </c>
      <c r="AK19" t="s">
        <v>284</v>
      </c>
      <c r="AL19" t="s">
        <v>294</v>
      </c>
      <c r="AM19" s="35">
        <v>34155</v>
      </c>
    </row>
    <row r="20" spans="1:45">
      <c r="A20" s="143" t="s">
        <v>35</v>
      </c>
      <c r="B20" s="143"/>
      <c r="H20" t="s">
        <v>24</v>
      </c>
      <c r="I20">
        <v>85</v>
      </c>
      <c r="J20">
        <v>69</v>
      </c>
      <c r="K20">
        <f t="shared" si="0"/>
        <v>154</v>
      </c>
      <c r="M20" t="s">
        <v>76</v>
      </c>
      <c r="R20" t="s">
        <v>237</v>
      </c>
      <c r="S20" t="s">
        <v>49</v>
      </c>
      <c r="T20" t="s">
        <v>247</v>
      </c>
      <c r="U20">
        <v>4213</v>
      </c>
      <c r="Z20" t="s">
        <v>258</v>
      </c>
      <c r="AB20" t="s">
        <v>267</v>
      </c>
      <c r="AF20" t="s">
        <v>266</v>
      </c>
      <c r="AG20" t="s">
        <v>237</v>
      </c>
      <c r="AH20" t="s">
        <v>269</v>
      </c>
      <c r="AJ20" t="s">
        <v>293</v>
      </c>
      <c r="AK20" t="s">
        <v>284</v>
      </c>
      <c r="AL20" t="s">
        <v>296</v>
      </c>
      <c r="AM20" s="35">
        <v>19789</v>
      </c>
      <c r="AO20" s="147" t="s">
        <v>305</v>
      </c>
      <c r="AP20" s="147"/>
    </row>
    <row r="21" spans="1:45">
      <c r="A21" s="130" t="s">
        <v>36</v>
      </c>
      <c r="B21" s="130"/>
      <c r="C21" s="130"/>
      <c r="H21" t="s">
        <v>25</v>
      </c>
      <c r="I21">
        <v>55</v>
      </c>
      <c r="J21">
        <v>40</v>
      </c>
      <c r="K21">
        <f t="shared" si="0"/>
        <v>95</v>
      </c>
      <c r="M21" t="s">
        <v>79</v>
      </c>
      <c r="R21" t="s">
        <v>237</v>
      </c>
      <c r="S21" t="s">
        <v>239</v>
      </c>
      <c r="T21" t="s">
        <v>247</v>
      </c>
      <c r="U21">
        <v>3239</v>
      </c>
      <c r="AJ21" t="s">
        <v>286</v>
      </c>
      <c r="AK21" t="s">
        <v>284</v>
      </c>
      <c r="AL21" t="s">
        <v>289</v>
      </c>
      <c r="AM21" s="35">
        <v>8132</v>
      </c>
    </row>
    <row r="22" spans="1:45">
      <c r="A22" t="s">
        <v>37</v>
      </c>
      <c r="H22" t="s">
        <v>26</v>
      </c>
      <c r="I22">
        <v>90</v>
      </c>
      <c r="J22">
        <v>55</v>
      </c>
      <c r="K22">
        <f t="shared" si="0"/>
        <v>145</v>
      </c>
      <c r="M22" t="s">
        <v>78</v>
      </c>
      <c r="R22" t="s">
        <v>237</v>
      </c>
      <c r="S22" t="s">
        <v>240</v>
      </c>
      <c r="T22" t="s">
        <v>246</v>
      </c>
      <c r="U22">
        <v>1310</v>
      </c>
      <c r="W22" s="135" t="s">
        <v>276</v>
      </c>
      <c r="X22" s="135"/>
      <c r="AB22" t="s">
        <v>110</v>
      </c>
      <c r="AC22" t="s">
        <v>181</v>
      </c>
      <c r="AF22" t="s">
        <v>263</v>
      </c>
      <c r="AG22" t="s">
        <v>268</v>
      </c>
      <c r="AH22" t="s">
        <v>268</v>
      </c>
      <c r="AJ22" t="s">
        <v>286</v>
      </c>
      <c r="AK22" t="s">
        <v>284</v>
      </c>
      <c r="AL22" t="s">
        <v>288</v>
      </c>
      <c r="AM22" s="35">
        <v>6487</v>
      </c>
    </row>
    <row r="23" spans="1:45">
      <c r="A23">
        <v>30</v>
      </c>
      <c r="D23">
        <v>30</v>
      </c>
      <c r="H23" t="s">
        <v>27</v>
      </c>
      <c r="I23">
        <v>75</v>
      </c>
      <c r="J23">
        <v>85</v>
      </c>
      <c r="K23">
        <f t="shared" si="0"/>
        <v>160</v>
      </c>
      <c r="M23" t="s">
        <v>68</v>
      </c>
      <c r="R23" t="s">
        <v>98</v>
      </c>
      <c r="S23">
        <f>SUBTOTAL(103,Table2[Sales per])</f>
        <v>11</v>
      </c>
      <c r="T23">
        <f>SUBTOTAL(103,Table2[Product])</f>
        <v>11</v>
      </c>
      <c r="U23">
        <f>SUBTOTAL(109,Table2[Units])</f>
        <v>49446</v>
      </c>
      <c r="W23" t="s">
        <v>105</v>
      </c>
      <c r="X23" t="s">
        <v>110</v>
      </c>
      <c r="Y23" t="s">
        <v>277</v>
      </c>
      <c r="AB23" t="s">
        <v>237</v>
      </c>
      <c r="AC23" t="s">
        <v>247</v>
      </c>
      <c r="AF23" t="s">
        <v>237</v>
      </c>
      <c r="AG23" t="s">
        <v>270</v>
      </c>
      <c r="AH23" t="s">
        <v>272</v>
      </c>
      <c r="AJ23" t="s">
        <v>286</v>
      </c>
      <c r="AK23" t="s">
        <v>284</v>
      </c>
      <c r="AL23" t="s">
        <v>287</v>
      </c>
      <c r="AM23" s="35">
        <v>47296</v>
      </c>
    </row>
    <row r="24" spans="1:45">
      <c r="A24">
        <v>40</v>
      </c>
      <c r="D24">
        <v>40</v>
      </c>
      <c r="H24" t="s">
        <v>28</v>
      </c>
      <c r="I24">
        <v>100</v>
      </c>
      <c r="J24">
        <v>110</v>
      </c>
      <c r="K24">
        <f t="shared" si="0"/>
        <v>210</v>
      </c>
      <c r="M24" t="s">
        <v>64</v>
      </c>
      <c r="R24" t="s">
        <v>257</v>
      </c>
      <c r="W24" t="s">
        <v>248</v>
      </c>
      <c r="X24" t="s">
        <v>235</v>
      </c>
      <c r="AB24" t="s">
        <v>273</v>
      </c>
      <c r="AC24" t="s">
        <v>275</v>
      </c>
      <c r="AF24" t="s">
        <v>273</v>
      </c>
      <c r="AG24" t="s">
        <v>271</v>
      </c>
      <c r="AH24" t="s">
        <v>274</v>
      </c>
      <c r="AJ24" t="s">
        <v>281</v>
      </c>
      <c r="AK24" t="s">
        <v>291</v>
      </c>
      <c r="AL24" t="s">
        <v>290</v>
      </c>
      <c r="AM24" s="35">
        <v>34196</v>
      </c>
    </row>
    <row r="25" spans="1:45">
      <c r="A25">
        <v>50</v>
      </c>
      <c r="D25">
        <v>50</v>
      </c>
      <c r="H25" t="s">
        <v>29</v>
      </c>
      <c r="M25" t="s">
        <v>69</v>
      </c>
      <c r="W25" t="s">
        <v>247</v>
      </c>
      <c r="X25" t="s">
        <v>236</v>
      </c>
      <c r="AJ25" t="s">
        <v>293</v>
      </c>
      <c r="AK25" t="s">
        <v>291</v>
      </c>
      <c r="AL25" t="s">
        <v>296</v>
      </c>
      <c r="AM25" s="35">
        <v>9432</v>
      </c>
      <c r="AO25" t="s">
        <v>306</v>
      </c>
    </row>
    <row r="26" spans="1:45">
      <c r="W26" t="s">
        <v>249</v>
      </c>
      <c r="X26" t="s">
        <v>237</v>
      </c>
      <c r="AJ26" t="s">
        <v>293</v>
      </c>
      <c r="AK26" t="s">
        <v>291</v>
      </c>
      <c r="AL26" t="s">
        <v>297</v>
      </c>
      <c r="AM26" s="35">
        <v>49656</v>
      </c>
    </row>
    <row r="27" spans="1:45">
      <c r="A27" s="149" t="s">
        <v>164</v>
      </c>
      <c r="B27" s="149"/>
      <c r="C27" s="149"/>
      <c r="W27" t="s">
        <v>246</v>
      </c>
      <c r="X27" t="s">
        <v>238</v>
      </c>
      <c r="AJ27" t="s">
        <v>286</v>
      </c>
      <c r="AK27" t="s">
        <v>291</v>
      </c>
      <c r="AL27" t="s">
        <v>289</v>
      </c>
      <c r="AM27" s="35">
        <v>29277</v>
      </c>
      <c r="AO27" t="s">
        <v>316</v>
      </c>
    </row>
    <row r="28" spans="1:45" ht="18.75">
      <c r="A28" s="141" t="s">
        <v>166</v>
      </c>
      <c r="B28" s="141"/>
      <c r="F28" s="130" t="s">
        <v>171</v>
      </c>
      <c r="G28" s="130"/>
      <c r="K28" t="s">
        <v>177</v>
      </c>
      <c r="O28" t="s">
        <v>178</v>
      </c>
      <c r="AA28" t="s">
        <v>194</v>
      </c>
      <c r="AJ28" t="s">
        <v>281</v>
      </c>
      <c r="AK28" t="s">
        <v>282</v>
      </c>
      <c r="AL28" t="s">
        <v>283</v>
      </c>
      <c r="AM28" s="35">
        <v>40000</v>
      </c>
    </row>
    <row r="29" spans="1:45">
      <c r="A29" s="22">
        <f ca="1">NOW()</f>
        <v>45274.905518865744</v>
      </c>
      <c r="B29" t="s">
        <v>165</v>
      </c>
      <c r="E29" t="s">
        <v>172</v>
      </c>
      <c r="F29">
        <f>SUM(A23:A25)</f>
        <v>120</v>
      </c>
      <c r="H29" t="s">
        <v>176</v>
      </c>
      <c r="J29">
        <f ca="1">HOUR(NOW())</f>
        <v>21</v>
      </c>
      <c r="K29" t="e">
        <f ca="1">CONVERT(J29,"HR","MN")</f>
        <v>#N/A</v>
      </c>
      <c r="O29" t="s">
        <v>179</v>
      </c>
      <c r="P29">
        <f>3+8</f>
        <v>11</v>
      </c>
      <c r="R29" t="s">
        <v>184</v>
      </c>
      <c r="S29">
        <f>MOD(15,2)</f>
        <v>1</v>
      </c>
      <c r="U29" t="s">
        <v>189</v>
      </c>
      <c r="V29">
        <v>0.54263048217140397</v>
      </c>
      <c r="AA29" t="s">
        <v>193</v>
      </c>
      <c r="AB29">
        <f>EVEN(13)</f>
        <v>14</v>
      </c>
      <c r="AJ29" t="s">
        <v>293</v>
      </c>
      <c r="AK29" t="s">
        <v>282</v>
      </c>
      <c r="AL29" t="s">
        <v>294</v>
      </c>
      <c r="AM29" s="35">
        <v>44675</v>
      </c>
      <c r="AP29" t="s">
        <v>307</v>
      </c>
      <c r="AQ29" t="s">
        <v>41</v>
      </c>
      <c r="AR29" t="s">
        <v>315</v>
      </c>
      <c r="AS29" t="s">
        <v>98</v>
      </c>
    </row>
    <row r="30" spans="1:45">
      <c r="A30" s="1">
        <f ca="1">TODAY()</f>
        <v>45274</v>
      </c>
      <c r="B30" t="s">
        <v>167</v>
      </c>
      <c r="E30" t="s">
        <v>173</v>
      </c>
      <c r="F30">
        <f>AVERAGE(D23:D25)</f>
        <v>40</v>
      </c>
      <c r="O30" t="s">
        <v>180</v>
      </c>
      <c r="P30" s="23">
        <f>10-2</f>
        <v>8</v>
      </c>
      <c r="R30" t="s">
        <v>186</v>
      </c>
      <c r="S30">
        <f>MEDIAN(K16:K23)</f>
        <v>143</v>
      </c>
      <c r="U30" t="s">
        <v>190</v>
      </c>
      <c r="V30">
        <v>3</v>
      </c>
      <c r="AA30" t="s">
        <v>185</v>
      </c>
      <c r="AB30">
        <f>ODD(12)</f>
        <v>13</v>
      </c>
      <c r="AJ30" t="s">
        <v>293</v>
      </c>
      <c r="AK30" t="s">
        <v>282</v>
      </c>
      <c r="AL30" t="s">
        <v>297</v>
      </c>
      <c r="AM30" s="35">
        <v>13596</v>
      </c>
      <c r="AP30">
        <v>1</v>
      </c>
      <c r="AQ30" t="s">
        <v>62</v>
      </c>
      <c r="AR30" t="s">
        <v>308</v>
      </c>
      <c r="AS30">
        <v>318</v>
      </c>
    </row>
    <row r="31" spans="1:45">
      <c r="A31">
        <f ca="1">DAY(TODAY())</f>
        <v>14</v>
      </c>
      <c r="B31" t="s">
        <v>168</v>
      </c>
      <c r="E31" t="s">
        <v>174</v>
      </c>
      <c r="F31">
        <f>ROUND(12.3454546,3)</f>
        <v>12.345000000000001</v>
      </c>
      <c r="O31" t="s">
        <v>181</v>
      </c>
      <c r="P31">
        <f>PRODUCT(2,5)</f>
        <v>10</v>
      </c>
      <c r="R31" t="s">
        <v>187</v>
      </c>
      <c r="S31">
        <f>SQRT(25)</f>
        <v>5</v>
      </c>
      <c r="U31" t="s">
        <v>191</v>
      </c>
      <c r="V31">
        <f>LARGE(K14:K23,3)</f>
        <v>155</v>
      </c>
      <c r="AJ31" t="s">
        <v>286</v>
      </c>
      <c r="AK31" t="s">
        <v>282</v>
      </c>
      <c r="AL31" t="s">
        <v>289</v>
      </c>
      <c r="AM31" s="35">
        <v>49988</v>
      </c>
      <c r="AP31">
        <v>2</v>
      </c>
      <c r="AQ31" t="s">
        <v>63</v>
      </c>
      <c r="AR31" t="s">
        <v>308</v>
      </c>
      <c r="AS31">
        <v>405</v>
      </c>
    </row>
    <row r="32" spans="1:45">
      <c r="A32">
        <f ca="1">MONTH(TODAY())</f>
        <v>12</v>
      </c>
      <c r="B32" t="s">
        <v>169</v>
      </c>
      <c r="F32">
        <f>ROUND(-12.456562,3)</f>
        <v>-12.457000000000001</v>
      </c>
      <c r="O32" t="s">
        <v>182</v>
      </c>
      <c r="P32">
        <f>PRODUCT(P29:P31,3)</f>
        <v>2640</v>
      </c>
      <c r="R32" t="s">
        <v>188</v>
      </c>
      <c r="S32">
        <f>POWER(2,3)</f>
        <v>8</v>
      </c>
      <c r="U32" t="s">
        <v>192</v>
      </c>
      <c r="V32">
        <f>SMALL(J14:J22,3)</f>
        <v>40</v>
      </c>
      <c r="AJ32" t="s">
        <v>286</v>
      </c>
      <c r="AK32" t="s">
        <v>282</v>
      </c>
      <c r="AL32" t="s">
        <v>288</v>
      </c>
      <c r="AM32" s="35">
        <v>49144</v>
      </c>
      <c r="AP32">
        <v>3</v>
      </c>
      <c r="AQ32" t="s">
        <v>64</v>
      </c>
      <c r="AR32" t="s">
        <v>308</v>
      </c>
      <c r="AS32">
        <v>525</v>
      </c>
    </row>
    <row r="33" spans="1:45" ht="18.75">
      <c r="A33" s="1">
        <f ca="1">TODAY()+10</f>
        <v>45284</v>
      </c>
      <c r="B33" t="s">
        <v>170</v>
      </c>
      <c r="E33" t="s">
        <v>175</v>
      </c>
      <c r="F33">
        <f>INT(12.33345)</f>
        <v>12</v>
      </c>
      <c r="P33" t="s">
        <v>183</v>
      </c>
      <c r="Y33" s="148" t="s">
        <v>318</v>
      </c>
      <c r="Z33" s="148"/>
      <c r="AJ33" t="s">
        <v>286</v>
      </c>
      <c r="AK33" t="s">
        <v>282</v>
      </c>
      <c r="AL33" t="s">
        <v>287</v>
      </c>
      <c r="AM33" s="35">
        <v>34155</v>
      </c>
      <c r="AP33">
        <v>4</v>
      </c>
      <c r="AQ33" t="s">
        <v>65</v>
      </c>
      <c r="AR33" t="s">
        <v>309</v>
      </c>
      <c r="AS33">
        <v>309</v>
      </c>
    </row>
    <row r="34" spans="1:45">
      <c r="A34" s="1"/>
      <c r="Y34" t="s">
        <v>326</v>
      </c>
      <c r="Z34" t="s">
        <v>324</v>
      </c>
      <c r="AA34" t="s">
        <v>275</v>
      </c>
      <c r="AC34" t="s">
        <v>212</v>
      </c>
      <c r="AD34" t="s">
        <v>325</v>
      </c>
      <c r="AJ34" t="s">
        <v>281</v>
      </c>
      <c r="AK34" t="s">
        <v>292</v>
      </c>
      <c r="AL34" t="s">
        <v>283</v>
      </c>
      <c r="AM34" s="35">
        <v>20898</v>
      </c>
      <c r="AP34">
        <v>5</v>
      </c>
      <c r="AQ34" t="s">
        <v>66</v>
      </c>
      <c r="AR34" t="s">
        <v>309</v>
      </c>
      <c r="AS34">
        <v>405</v>
      </c>
    </row>
    <row r="35" spans="1:45">
      <c r="A35" s="1" t="s">
        <v>195</v>
      </c>
      <c r="Z35" t="s">
        <v>319</v>
      </c>
      <c r="AJ35" t="s">
        <v>293</v>
      </c>
      <c r="AK35" t="s">
        <v>292</v>
      </c>
      <c r="AL35" t="s">
        <v>295</v>
      </c>
      <c r="AM35" s="35">
        <v>42569</v>
      </c>
      <c r="AP35">
        <v>6</v>
      </c>
      <c r="AQ35" t="s">
        <v>67</v>
      </c>
      <c r="AR35" t="s">
        <v>309</v>
      </c>
      <c r="AS35">
        <v>534</v>
      </c>
    </row>
    <row r="36" spans="1:45">
      <c r="A36" s="1" t="s">
        <v>196</v>
      </c>
      <c r="B36" t="str">
        <f>LEFT(B33,3)</f>
        <v>add</v>
      </c>
      <c r="F36" t="s">
        <v>203</v>
      </c>
      <c r="G36">
        <f>AVERAGEIFS(G48:G55,C48:C55,"&gt;75")</f>
        <v>314</v>
      </c>
      <c r="Y36" s="4" t="s">
        <v>41</v>
      </c>
      <c r="Z36" t="s">
        <v>275</v>
      </c>
      <c r="AA36" t="s">
        <v>322</v>
      </c>
      <c r="AJ36" t="s">
        <v>293</v>
      </c>
      <c r="AK36" t="s">
        <v>292</v>
      </c>
      <c r="AL36" t="s">
        <v>296</v>
      </c>
      <c r="AM36" s="35">
        <v>18524</v>
      </c>
      <c r="AP36">
        <v>7</v>
      </c>
      <c r="AQ36" t="s">
        <v>68</v>
      </c>
      <c r="AR36" t="s">
        <v>310</v>
      </c>
      <c r="AS36">
        <v>314</v>
      </c>
    </row>
    <row r="37" spans="1:45">
      <c r="A37" s="1" t="s">
        <v>197</v>
      </c>
      <c r="B37" t="str">
        <f>RIGHT(B33,3)</f>
        <v>day</v>
      </c>
      <c r="Y37" s="4" t="s">
        <v>327</v>
      </c>
      <c r="Z37" t="s">
        <v>321</v>
      </c>
      <c r="AA37" t="s">
        <v>323</v>
      </c>
      <c r="AJ37" t="s">
        <v>293</v>
      </c>
      <c r="AK37" t="s">
        <v>292</v>
      </c>
      <c r="AL37" t="s">
        <v>297</v>
      </c>
      <c r="AM37" s="35">
        <v>2116</v>
      </c>
      <c r="AP37">
        <v>8</v>
      </c>
      <c r="AQ37" t="s">
        <v>69</v>
      </c>
      <c r="AR37" t="s">
        <v>310</v>
      </c>
      <c r="AS37">
        <v>405</v>
      </c>
    </row>
    <row r="38" spans="1:45">
      <c r="A38" s="1" t="s">
        <v>198</v>
      </c>
      <c r="B38" t="str">
        <f>MID("Sunday",4,3)</f>
        <v>day</v>
      </c>
      <c r="Z38" t="s">
        <v>320</v>
      </c>
      <c r="AJ38" t="s">
        <v>286</v>
      </c>
      <c r="AK38" t="s">
        <v>292</v>
      </c>
      <c r="AL38" t="s">
        <v>289</v>
      </c>
      <c r="AM38" s="35">
        <v>28020</v>
      </c>
      <c r="AP38">
        <v>9</v>
      </c>
      <c r="AQ38" t="s">
        <v>70</v>
      </c>
      <c r="AR38" t="s">
        <v>310</v>
      </c>
      <c r="AS38">
        <v>530</v>
      </c>
    </row>
    <row r="39" spans="1:45">
      <c r="A39" s="1" t="s">
        <v>199</v>
      </c>
      <c r="B39">
        <f>MATCH("kak",H6:H19)</f>
        <v>14</v>
      </c>
      <c r="AJ39" t="s">
        <v>286</v>
      </c>
      <c r="AK39" t="s">
        <v>292</v>
      </c>
      <c r="AL39" t="s">
        <v>288</v>
      </c>
      <c r="AM39" s="35">
        <v>28523</v>
      </c>
      <c r="AP39">
        <v>10</v>
      </c>
      <c r="AQ39" t="s">
        <v>71</v>
      </c>
      <c r="AR39" t="s">
        <v>311</v>
      </c>
      <c r="AS39">
        <v>195</v>
      </c>
    </row>
    <row r="40" spans="1:45">
      <c r="A40" s="1"/>
      <c r="Y40" s="139" t="s">
        <v>328</v>
      </c>
      <c r="Z40" s="139"/>
      <c r="AA40" s="139"/>
      <c r="AJ40" t="s">
        <v>286</v>
      </c>
      <c r="AK40" t="s">
        <v>292</v>
      </c>
      <c r="AL40" t="s">
        <v>287</v>
      </c>
      <c r="AM40" s="35">
        <v>46652</v>
      </c>
      <c r="AP40">
        <v>11</v>
      </c>
      <c r="AQ40" t="s">
        <v>72</v>
      </c>
      <c r="AR40" t="s">
        <v>311</v>
      </c>
      <c r="AS40">
        <v>205</v>
      </c>
    </row>
    <row r="41" spans="1:45">
      <c r="A41" s="1"/>
      <c r="Y41" s="132" t="s">
        <v>329</v>
      </c>
      <c r="Z41" s="132"/>
      <c r="AB41" s="37" t="s">
        <v>341</v>
      </c>
      <c r="AC41" s="37"/>
      <c r="AE41" s="37"/>
      <c r="AF41" s="37"/>
      <c r="AP41">
        <v>12</v>
      </c>
      <c r="AQ41" t="s">
        <v>73</v>
      </c>
      <c r="AR41" t="s">
        <v>311</v>
      </c>
      <c r="AS41">
        <v>395</v>
      </c>
    </row>
    <row r="42" spans="1:45" ht="18.75">
      <c r="A42" s="141" t="s">
        <v>38</v>
      </c>
      <c r="B42" s="141"/>
      <c r="J42" s="141" t="s">
        <v>99</v>
      </c>
      <c r="K42" s="141"/>
      <c r="V42" t="s">
        <v>333</v>
      </c>
      <c r="Y42" s="131" t="s">
        <v>330</v>
      </c>
      <c r="Z42" s="131"/>
      <c r="AB42" s="131" t="s">
        <v>331</v>
      </c>
      <c r="AC42" s="131"/>
      <c r="AP42">
        <v>13</v>
      </c>
      <c r="AQ42" t="s">
        <v>312</v>
      </c>
      <c r="AR42" t="s">
        <v>311</v>
      </c>
      <c r="AS42">
        <v>195</v>
      </c>
    </row>
    <row r="43" spans="1:45">
      <c r="A43" s="144" t="s">
        <v>39</v>
      </c>
      <c r="B43" s="144"/>
      <c r="C43" s="144"/>
      <c r="D43" s="144"/>
      <c r="K43" s="138" t="s">
        <v>100</v>
      </c>
      <c r="L43" s="138"/>
      <c r="M43" s="138"/>
      <c r="N43" s="138"/>
      <c r="O43" s="138"/>
      <c r="P43" s="138"/>
      <c r="V43" s="38" t="s">
        <v>96</v>
      </c>
      <c r="W43" s="38"/>
      <c r="Y43" t="s">
        <v>340</v>
      </c>
      <c r="Z43" t="b">
        <f>AND(LEN(Y43)=5,ISNUMBER(VALUE(RIGHT(Y43,4))),ISTEXT(LEFT(Y43,1)))</f>
        <v>1</v>
      </c>
      <c r="AB43" t="s">
        <v>342</v>
      </c>
      <c r="AC43" t="b">
        <f>AND(LEN(AB43)=6,ISNUMBER(VALUE(RIGHT(AB43,4))),LEFT(AB43,2)="CS")</f>
        <v>1</v>
      </c>
      <c r="AP43">
        <v>14</v>
      </c>
      <c r="AQ43" t="s">
        <v>74</v>
      </c>
      <c r="AR43" t="s">
        <v>311</v>
      </c>
      <c r="AS43">
        <v>205</v>
      </c>
    </row>
    <row r="44" spans="1:45">
      <c r="A44" s="145" t="s">
        <v>40</v>
      </c>
      <c r="B44" s="145"/>
      <c r="C44" s="145"/>
      <c r="D44" s="145"/>
      <c r="E44" s="145"/>
      <c r="F44" s="145"/>
      <c r="G44" s="145"/>
      <c r="H44" s="145"/>
      <c r="I44" s="145"/>
      <c r="V44" s="38" t="s">
        <v>336</v>
      </c>
      <c r="W44" s="38">
        <f>LEN(V44)</f>
        <v>5</v>
      </c>
      <c r="Y44">
        <v>4545</v>
      </c>
      <c r="Z44">
        <v>545</v>
      </c>
      <c r="AP44">
        <v>15</v>
      </c>
      <c r="AQ44" t="s">
        <v>75</v>
      </c>
      <c r="AR44" t="s">
        <v>311</v>
      </c>
      <c r="AS44">
        <v>395</v>
      </c>
    </row>
    <row r="45" spans="1:45">
      <c r="V45" s="38" t="s">
        <v>334</v>
      </c>
      <c r="W45" s="38" t="b">
        <f>W44&gt;5</f>
        <v>0</v>
      </c>
      <c r="AP45">
        <v>16</v>
      </c>
      <c r="AQ45" t="s">
        <v>76</v>
      </c>
      <c r="AR45" t="s">
        <v>313</v>
      </c>
      <c r="AS45">
        <v>251</v>
      </c>
    </row>
    <row r="46" spans="1:45">
      <c r="A46" s="7"/>
      <c r="B46" s="135" t="s">
        <v>46</v>
      </c>
      <c r="C46" s="135"/>
      <c r="D46" s="135"/>
      <c r="E46" s="135"/>
      <c r="F46" s="7"/>
      <c r="G46" s="7"/>
      <c r="J46" s="7"/>
      <c r="K46" s="8" t="s">
        <v>41</v>
      </c>
      <c r="L46" s="7" t="s">
        <v>47</v>
      </c>
      <c r="M46" s="7" t="s">
        <v>48</v>
      </c>
      <c r="N46" s="7" t="s">
        <v>49</v>
      </c>
      <c r="O46" s="7" t="s">
        <v>50</v>
      </c>
      <c r="P46" s="7" t="s">
        <v>51</v>
      </c>
      <c r="Q46" s="7" t="s">
        <v>52</v>
      </c>
      <c r="R46" s="7" t="s">
        <v>53</v>
      </c>
      <c r="S46" s="7" t="s">
        <v>54</v>
      </c>
      <c r="V46" s="38" t="s">
        <v>335</v>
      </c>
      <c r="W46" s="38" t="b">
        <f>LEN(V44)=5</f>
        <v>1</v>
      </c>
      <c r="Y46" s="132" t="s">
        <v>332</v>
      </c>
      <c r="Z46" s="132"/>
      <c r="AP46">
        <v>17</v>
      </c>
      <c r="AQ46" t="s">
        <v>77</v>
      </c>
      <c r="AR46" t="s">
        <v>313</v>
      </c>
      <c r="AS46">
        <v>349</v>
      </c>
    </row>
    <row r="47" spans="1:45">
      <c r="A47" s="8" t="s">
        <v>41</v>
      </c>
      <c r="B47" s="9" t="s">
        <v>94</v>
      </c>
      <c r="C47" s="9" t="s">
        <v>42</v>
      </c>
      <c r="D47" s="9" t="s">
        <v>43</v>
      </c>
      <c r="E47" s="9" t="s">
        <v>44</v>
      </c>
      <c r="F47" s="9" t="s">
        <v>45</v>
      </c>
      <c r="G47" s="9" t="s">
        <v>98</v>
      </c>
      <c r="J47" s="135" t="s">
        <v>46</v>
      </c>
      <c r="K47" s="9" t="s">
        <v>94</v>
      </c>
      <c r="L47" s="14">
        <v>1</v>
      </c>
      <c r="M47" s="14">
        <v>2</v>
      </c>
      <c r="N47" s="14">
        <v>3</v>
      </c>
      <c r="O47" s="14">
        <v>4</v>
      </c>
      <c r="P47" s="14">
        <v>5</v>
      </c>
      <c r="Q47" s="14">
        <v>6</v>
      </c>
      <c r="R47" s="14">
        <v>7</v>
      </c>
      <c r="S47" s="14">
        <v>8</v>
      </c>
      <c r="V47" s="38" t="s">
        <v>337</v>
      </c>
      <c r="W47" s="38" t="str">
        <f>RIGHT(V44,4)</f>
        <v>5001</v>
      </c>
      <c r="Y47" t="s">
        <v>343</v>
      </c>
      <c r="Z47" t="b">
        <f>AND(LEN(Y47)=6,ISNUMBER(VALUE(RIGHT(Y47,4))),ISTEXT(LEFT(Y47,1)))</f>
        <v>1</v>
      </c>
      <c r="AP47">
        <v>18</v>
      </c>
      <c r="AQ47" t="s">
        <v>314</v>
      </c>
      <c r="AR47" t="s">
        <v>313</v>
      </c>
      <c r="AS47">
        <v>479</v>
      </c>
    </row>
    <row r="48" spans="1:45" ht="15" customHeight="1">
      <c r="A48" s="7" t="s">
        <v>47</v>
      </c>
      <c r="B48" s="14">
        <v>1</v>
      </c>
      <c r="C48" s="14">
        <v>38</v>
      </c>
      <c r="D48" s="14">
        <v>58</v>
      </c>
      <c r="E48" s="14">
        <v>66</v>
      </c>
      <c r="F48" s="14">
        <v>49</v>
      </c>
      <c r="G48" s="14">
        <f>SUM(B48:F48)</f>
        <v>212</v>
      </c>
      <c r="J48" s="135"/>
      <c r="K48" s="9" t="s">
        <v>42</v>
      </c>
      <c r="L48" s="14">
        <v>38</v>
      </c>
      <c r="M48" s="14">
        <v>88</v>
      </c>
      <c r="N48" s="14">
        <v>57</v>
      </c>
      <c r="O48" s="14">
        <v>82</v>
      </c>
      <c r="P48" s="14">
        <v>55</v>
      </c>
      <c r="Q48" s="14">
        <v>44</v>
      </c>
      <c r="R48" s="14">
        <v>75</v>
      </c>
      <c r="S48" s="14">
        <v>38</v>
      </c>
      <c r="V48" s="38" t="s">
        <v>338</v>
      </c>
      <c r="W48" s="38" t="b">
        <f>ISNUMBER(VALUE(W47))</f>
        <v>1</v>
      </c>
      <c r="AP48">
        <v>19</v>
      </c>
      <c r="AQ48" t="s">
        <v>78</v>
      </c>
      <c r="AR48" t="s">
        <v>313</v>
      </c>
      <c r="AS48">
        <v>253</v>
      </c>
    </row>
    <row r="49" spans="1:45">
      <c r="A49" s="7" t="s">
        <v>48</v>
      </c>
      <c r="B49" s="14">
        <v>2</v>
      </c>
      <c r="C49" s="14">
        <v>88</v>
      </c>
      <c r="D49" s="14">
        <v>92</v>
      </c>
      <c r="E49" s="14">
        <v>74</v>
      </c>
      <c r="F49" s="14">
        <v>90</v>
      </c>
      <c r="G49" s="14">
        <f t="shared" ref="G49:G55" si="1">SUM(B49:F49)</f>
        <v>346</v>
      </c>
      <c r="J49" s="135"/>
      <c r="K49" s="9" t="s">
        <v>43</v>
      </c>
      <c r="L49" s="14">
        <v>58</v>
      </c>
      <c r="M49" s="14">
        <v>92</v>
      </c>
      <c r="N49" s="14">
        <v>77</v>
      </c>
      <c r="O49" s="14">
        <v>56</v>
      </c>
      <c r="P49" s="14">
        <v>55</v>
      </c>
      <c r="Q49" s="14">
        <v>69</v>
      </c>
      <c r="R49" s="14">
        <v>51</v>
      </c>
      <c r="S49" s="14">
        <v>37</v>
      </c>
      <c r="V49" s="38" t="s">
        <v>339</v>
      </c>
      <c r="W49" s="38" t="b">
        <f>ISTEXT(LEFT(V44,1))</f>
        <v>1</v>
      </c>
      <c r="AP49">
        <v>20</v>
      </c>
      <c r="AQ49" t="s">
        <v>79</v>
      </c>
      <c r="AR49" t="s">
        <v>313</v>
      </c>
      <c r="AS49">
        <v>413</v>
      </c>
    </row>
    <row r="50" spans="1:45">
      <c r="A50" s="7" t="s">
        <v>49</v>
      </c>
      <c r="B50" s="14">
        <v>3</v>
      </c>
      <c r="C50" s="14">
        <v>57</v>
      </c>
      <c r="D50" s="14">
        <v>77</v>
      </c>
      <c r="E50" s="14">
        <v>91</v>
      </c>
      <c r="F50" s="14">
        <v>91</v>
      </c>
      <c r="G50" s="14">
        <f t="shared" si="1"/>
        <v>319</v>
      </c>
      <c r="J50" s="135"/>
      <c r="K50" s="9" t="s">
        <v>44</v>
      </c>
      <c r="L50" s="14">
        <v>66</v>
      </c>
      <c r="M50" s="14">
        <v>74</v>
      </c>
      <c r="N50" s="14">
        <v>91</v>
      </c>
      <c r="O50" s="14">
        <v>45</v>
      </c>
      <c r="P50" s="14">
        <v>65</v>
      </c>
      <c r="Q50" s="14">
        <v>80</v>
      </c>
      <c r="R50" s="14">
        <v>57</v>
      </c>
      <c r="S50" s="14">
        <v>51</v>
      </c>
      <c r="V50" s="38" t="s">
        <v>344</v>
      </c>
      <c r="W50" s="38" t="b">
        <f>ISNUMBER(VALUE(MID(V44,1,2)))</f>
        <v>0</v>
      </c>
    </row>
    <row r="51" spans="1:45">
      <c r="A51" s="7" t="s">
        <v>50</v>
      </c>
      <c r="B51" s="14">
        <v>4</v>
      </c>
      <c r="C51" s="14">
        <v>82</v>
      </c>
      <c r="D51" s="14">
        <v>56</v>
      </c>
      <c r="E51" s="14">
        <v>45</v>
      </c>
      <c r="F51" s="14">
        <v>95</v>
      </c>
      <c r="G51" s="14">
        <f>SUM(B51:F51)</f>
        <v>282</v>
      </c>
      <c r="J51" s="7"/>
      <c r="K51" s="9" t="s">
        <v>45</v>
      </c>
      <c r="L51" s="14">
        <v>49</v>
      </c>
      <c r="M51" s="14">
        <v>90</v>
      </c>
      <c r="N51" s="14">
        <v>91</v>
      </c>
      <c r="O51" s="14">
        <v>95</v>
      </c>
      <c r="P51" s="14">
        <v>75</v>
      </c>
      <c r="Q51" s="14">
        <v>90</v>
      </c>
      <c r="R51" s="14">
        <v>84</v>
      </c>
      <c r="S51" s="14">
        <v>56</v>
      </c>
      <c r="V51" s="38" t="s">
        <v>345</v>
      </c>
      <c r="W51" s="38" t="b">
        <f>ISTEXT(MID(V44,1,2))</f>
        <v>1</v>
      </c>
    </row>
    <row r="52" spans="1:45">
      <c r="A52" s="7" t="s">
        <v>51</v>
      </c>
      <c r="B52" s="14">
        <v>5</v>
      </c>
      <c r="C52" s="14">
        <v>55</v>
      </c>
      <c r="D52" s="14">
        <v>55</v>
      </c>
      <c r="E52" s="14">
        <v>65</v>
      </c>
      <c r="F52" s="14">
        <v>75</v>
      </c>
      <c r="G52" s="14">
        <f t="shared" si="1"/>
        <v>255</v>
      </c>
      <c r="J52" s="7"/>
      <c r="K52" s="9" t="s">
        <v>98</v>
      </c>
      <c r="L52" s="14">
        <f t="shared" ref="L52:S52" si="2">SUM(L47:L51)</f>
        <v>212</v>
      </c>
      <c r="M52" s="14">
        <f t="shared" si="2"/>
        <v>346</v>
      </c>
      <c r="N52" s="14">
        <f t="shared" si="2"/>
        <v>319</v>
      </c>
      <c r="O52" s="14">
        <f t="shared" si="2"/>
        <v>282</v>
      </c>
      <c r="P52" s="14">
        <f t="shared" si="2"/>
        <v>255</v>
      </c>
      <c r="Q52" s="14">
        <f t="shared" si="2"/>
        <v>289</v>
      </c>
      <c r="R52" s="14">
        <f t="shared" si="2"/>
        <v>274</v>
      </c>
      <c r="S52" s="14">
        <f t="shared" si="2"/>
        <v>190</v>
      </c>
    </row>
    <row r="53" spans="1:45">
      <c r="A53" s="7" t="s">
        <v>52</v>
      </c>
      <c r="B53" s="14">
        <v>6</v>
      </c>
      <c r="C53" s="14">
        <v>44</v>
      </c>
      <c r="D53" s="14">
        <v>69</v>
      </c>
      <c r="E53" s="14">
        <v>80</v>
      </c>
      <c r="F53" s="14">
        <v>90</v>
      </c>
      <c r="G53" s="14">
        <f>SUM(B53:F53)</f>
        <v>289</v>
      </c>
    </row>
    <row r="54" spans="1:45" ht="18.75">
      <c r="A54" s="7" t="s">
        <v>53</v>
      </c>
      <c r="B54" s="14">
        <v>7</v>
      </c>
      <c r="C54" s="14">
        <v>75</v>
      </c>
      <c r="D54" s="14">
        <v>51</v>
      </c>
      <c r="E54" s="14">
        <v>57</v>
      </c>
      <c r="F54" s="14">
        <v>84</v>
      </c>
      <c r="G54" s="14">
        <f t="shared" si="1"/>
        <v>274</v>
      </c>
      <c r="N54" s="137" t="s">
        <v>95</v>
      </c>
      <c r="O54" s="137"/>
      <c r="P54" s="137"/>
      <c r="Q54" s="137"/>
      <c r="R54" s="137"/>
      <c r="V54" s="133" t="s">
        <v>346</v>
      </c>
      <c r="W54" s="133"/>
    </row>
    <row r="55" spans="1:45">
      <c r="A55" s="7" t="s">
        <v>54</v>
      </c>
      <c r="B55" s="14">
        <v>8</v>
      </c>
      <c r="C55" s="14">
        <v>38</v>
      </c>
      <c r="D55" s="14">
        <v>37</v>
      </c>
      <c r="E55" s="14">
        <v>51</v>
      </c>
      <c r="F55" s="14">
        <v>56</v>
      </c>
      <c r="G55" s="14">
        <f t="shared" si="1"/>
        <v>190</v>
      </c>
      <c r="N55" t="s">
        <v>96</v>
      </c>
      <c r="O55" t="s">
        <v>94</v>
      </c>
      <c r="P55" t="s">
        <v>97</v>
      </c>
      <c r="AD55" t="s">
        <v>384</v>
      </c>
    </row>
    <row r="56" spans="1:45">
      <c r="N56" t="s">
        <v>53</v>
      </c>
      <c r="O56">
        <f>HLOOKUP(N56,K46:S52,2,FALSE)</f>
        <v>7</v>
      </c>
      <c r="P56">
        <f>HLOOKUP(N56,K46:S52,7,FALSE)</f>
        <v>274</v>
      </c>
      <c r="R56" s="130" t="s">
        <v>101</v>
      </c>
      <c r="S56" s="130"/>
      <c r="T56" s="130"/>
      <c r="V56" s="134" t="s">
        <v>381</v>
      </c>
      <c r="W56" s="134"/>
      <c r="X56" s="134"/>
      <c r="Z56" s="134" t="s">
        <v>382</v>
      </c>
      <c r="AA56" s="134"/>
      <c r="AB56" s="134"/>
    </row>
    <row r="57" spans="1:45">
      <c r="A57" s="150" t="s">
        <v>57</v>
      </c>
      <c r="B57" s="150"/>
      <c r="C57" s="150"/>
      <c r="D57" s="150"/>
      <c r="E57" s="150"/>
      <c r="F57" s="150"/>
      <c r="G57" s="150"/>
      <c r="H57" s="150"/>
      <c r="I57" s="150"/>
      <c r="J57" s="150"/>
      <c r="K57" s="150"/>
      <c r="L57" s="150"/>
      <c r="R57" s="130"/>
      <c r="S57" s="130"/>
      <c r="T57" s="130"/>
      <c r="V57" s="39" t="s">
        <v>347</v>
      </c>
      <c r="W57" s="39" t="s">
        <v>348</v>
      </c>
      <c r="X57" s="39">
        <v>305</v>
      </c>
      <c r="Z57" s="14" t="str">
        <f>TRIM(V57)</f>
        <v>Mankey</v>
      </c>
      <c r="AA57" s="14" t="str">
        <f>TRIM(W57)</f>
        <v>Fighting</v>
      </c>
      <c r="AB57" s="14" t="str">
        <f>TRIM(X57)</f>
        <v>305</v>
      </c>
    </row>
    <row r="58" spans="1:45" ht="18.75">
      <c r="A58" s="6">
        <f>VLOOKUP("Brad",A47:F55,2,0)</f>
        <v>4</v>
      </c>
      <c r="B58" s="146" t="s">
        <v>55</v>
      </c>
      <c r="C58" s="146"/>
      <c r="D58" s="146"/>
      <c r="E58" s="146"/>
      <c r="V58" s="39" t="s">
        <v>349</v>
      </c>
      <c r="W58" s="39" t="s">
        <v>310</v>
      </c>
      <c r="X58" s="39">
        <v>510</v>
      </c>
      <c r="Z58" s="14" t="str">
        <f>TRIM(V58)</f>
        <v>Poliwrath</v>
      </c>
      <c r="AA58" s="14" t="str">
        <f t="shared" ref="AA58:AA87" si="3">TRIM(W58)</f>
        <v>Water</v>
      </c>
      <c r="AB58" s="14" t="str">
        <f t="shared" ref="AB58:AB87" si="4">TRIM(X58)</f>
        <v>510</v>
      </c>
    </row>
    <row r="59" spans="1:45" ht="18.75">
      <c r="A59" s="6">
        <f>VLOOKUP("Maria",A47:F55,4,0)</f>
        <v>69</v>
      </c>
      <c r="B59" s="146" t="s">
        <v>56</v>
      </c>
      <c r="C59" s="146"/>
      <c r="D59" s="146"/>
      <c r="V59" s="39" t="s">
        <v>350</v>
      </c>
      <c r="W59" s="39" t="s">
        <v>351</v>
      </c>
      <c r="X59" s="39">
        <v>490</v>
      </c>
      <c r="Z59" s="14" t="str">
        <f t="shared" ref="Z59:Z86" si="5">TRIM(V59)</f>
        <v>Victreebel</v>
      </c>
      <c r="AA59" s="14" t="str">
        <f t="shared" si="3"/>
        <v>Grass</v>
      </c>
      <c r="AB59" s="14" t="str">
        <f t="shared" si="4"/>
        <v>490</v>
      </c>
    </row>
    <row r="60" spans="1:45" ht="18.75">
      <c r="A60" s="6">
        <f>VLOOKUP("Jill",A47:F55,5,0)</f>
        <v>57</v>
      </c>
      <c r="B60" s="130" t="s">
        <v>58</v>
      </c>
      <c r="C60" s="130"/>
      <c r="D60" s="98"/>
      <c r="V60" s="39"/>
      <c r="W60" s="39"/>
      <c r="X60" s="39"/>
      <c r="Z60" s="14"/>
      <c r="AA60" s="14"/>
      <c r="AB60" s="14"/>
    </row>
    <row r="61" spans="1:45" ht="18.75">
      <c r="A61" s="6"/>
      <c r="B61" s="13"/>
      <c r="C61" s="13"/>
      <c r="D61" s="98"/>
      <c r="V61" s="39"/>
      <c r="W61" s="39"/>
      <c r="X61" s="39"/>
      <c r="Z61" s="14"/>
      <c r="AA61" s="14"/>
      <c r="AB61" s="14"/>
    </row>
    <row r="62" spans="1:45" ht="15.75" customHeight="1">
      <c r="C62" s="130" t="s">
        <v>889</v>
      </c>
      <c r="D62" s="130"/>
      <c r="E62" s="130"/>
      <c r="K62" s="130" t="s">
        <v>893</v>
      </c>
      <c r="L62" s="130"/>
      <c r="V62" s="39"/>
      <c r="W62" s="39"/>
      <c r="X62" s="39"/>
      <c r="Z62" s="14"/>
      <c r="AA62" s="14"/>
      <c r="AB62" s="14"/>
    </row>
    <row r="63" spans="1:45" ht="15.75">
      <c r="A63" s="103" t="s">
        <v>108</v>
      </c>
      <c r="B63" s="104" t="s">
        <v>452</v>
      </c>
      <c r="C63" s="13" t="s">
        <v>890</v>
      </c>
      <c r="D63" s="13" t="s">
        <v>891</v>
      </c>
      <c r="E63" s="13" t="s">
        <v>892</v>
      </c>
      <c r="G63" s="106" t="s">
        <v>889</v>
      </c>
      <c r="H63" s="106" t="s">
        <v>893</v>
      </c>
      <c r="I63" s="106" t="s">
        <v>894</v>
      </c>
      <c r="K63" s="106" t="s">
        <v>906</v>
      </c>
      <c r="L63" s="106" t="s">
        <v>907</v>
      </c>
      <c r="V63" s="39"/>
      <c r="W63" s="39"/>
      <c r="X63" s="39"/>
      <c r="Z63" s="14"/>
      <c r="AA63" s="14"/>
      <c r="AB63" s="14"/>
    </row>
    <row r="64" spans="1:45" ht="15.75">
      <c r="A64" s="102" t="s">
        <v>418</v>
      </c>
      <c r="B64" s="13">
        <v>3</v>
      </c>
      <c r="C64" s="13">
        <f>SUMIFS($G$64:$G$69,$K$64:$K$69,"&lt;="&amp;B64,$L$64:$L$69,"&gt;="&amp;B64)</f>
        <v>2</v>
      </c>
      <c r="D64" s="98"/>
      <c r="G64">
        <v>1</v>
      </c>
      <c r="H64" s="101">
        <v>1</v>
      </c>
      <c r="I64" t="s">
        <v>900</v>
      </c>
      <c r="K64">
        <v>1</v>
      </c>
      <c r="L64">
        <v>1</v>
      </c>
      <c r="M64" t="s">
        <v>908</v>
      </c>
      <c r="V64" s="39"/>
      <c r="W64" s="39"/>
      <c r="X64" s="39"/>
      <c r="Z64" s="14"/>
      <c r="AA64" s="14"/>
      <c r="AB64" s="14"/>
    </row>
    <row r="65" spans="1:32" ht="15.75">
      <c r="A65" s="102" t="s">
        <v>419</v>
      </c>
      <c r="B65" s="13">
        <v>5</v>
      </c>
      <c r="C65" s="13">
        <f t="shared" ref="C65:C71" si="6">SUMIFS($G$64:$G$69,$K$64:$K$69,"&lt;="&amp;B65,$L$64:$L$69,"&gt;="&amp;B65)</f>
        <v>2</v>
      </c>
      <c r="D65" s="98"/>
      <c r="G65">
        <v>2</v>
      </c>
      <c r="H65" s="105" t="s">
        <v>895</v>
      </c>
      <c r="I65" t="s">
        <v>901</v>
      </c>
      <c r="K65">
        <v>2</v>
      </c>
      <c r="L65">
        <v>5</v>
      </c>
      <c r="V65" s="39"/>
      <c r="W65" s="39"/>
      <c r="X65" s="39"/>
      <c r="Z65" s="14"/>
      <c r="AA65" s="14"/>
      <c r="AB65" s="14"/>
    </row>
    <row r="66" spans="1:32" ht="15.75">
      <c r="A66" s="102" t="s">
        <v>221</v>
      </c>
      <c r="B66" s="13">
        <v>1</v>
      </c>
      <c r="C66" s="13">
        <f t="shared" si="6"/>
        <v>1</v>
      </c>
      <c r="D66" s="98"/>
      <c r="G66">
        <v>3</v>
      </c>
      <c r="H66" s="105" t="s">
        <v>896</v>
      </c>
      <c r="I66" t="s">
        <v>902</v>
      </c>
      <c r="K66">
        <v>6</v>
      </c>
      <c r="L66">
        <v>8</v>
      </c>
      <c r="V66" s="39"/>
      <c r="W66" s="39"/>
      <c r="X66" s="39"/>
      <c r="Z66" s="14"/>
      <c r="AA66" s="14"/>
      <c r="AB66" s="14"/>
    </row>
    <row r="67" spans="1:32" ht="15.75">
      <c r="A67" s="102" t="s">
        <v>420</v>
      </c>
      <c r="B67" s="13">
        <v>102</v>
      </c>
      <c r="C67" s="13">
        <f t="shared" si="6"/>
        <v>6</v>
      </c>
      <c r="D67" s="98"/>
      <c r="G67">
        <v>4</v>
      </c>
      <c r="H67" s="105" t="s">
        <v>897</v>
      </c>
      <c r="I67" t="s">
        <v>903</v>
      </c>
      <c r="K67">
        <v>9</v>
      </c>
      <c r="L67">
        <v>50</v>
      </c>
      <c r="V67" s="39"/>
      <c r="W67" s="39"/>
      <c r="X67" s="39"/>
      <c r="Z67" s="14"/>
      <c r="AA67" s="14"/>
      <c r="AB67" s="14"/>
    </row>
    <row r="68" spans="1:32" ht="15.75">
      <c r="A68" s="102" t="s">
        <v>886</v>
      </c>
      <c r="B68" s="13">
        <v>51</v>
      </c>
      <c r="C68" s="13">
        <f t="shared" si="6"/>
        <v>5</v>
      </c>
      <c r="D68" s="98"/>
      <c r="G68">
        <v>5</v>
      </c>
      <c r="H68" s="105" t="s">
        <v>898</v>
      </c>
      <c r="I68" t="s">
        <v>904</v>
      </c>
      <c r="K68">
        <v>51</v>
      </c>
      <c r="L68">
        <v>100</v>
      </c>
      <c r="V68" s="39"/>
      <c r="W68" s="39"/>
      <c r="X68" s="39"/>
      <c r="Z68" s="14"/>
      <c r="AA68" s="14"/>
      <c r="AB68" s="14"/>
    </row>
    <row r="69" spans="1:32" ht="15.75">
      <c r="A69" s="102" t="s">
        <v>467</v>
      </c>
      <c r="B69" s="13">
        <v>4</v>
      </c>
      <c r="C69" s="13">
        <f t="shared" si="6"/>
        <v>2</v>
      </c>
      <c r="D69" s="98"/>
      <c r="G69">
        <v>6</v>
      </c>
      <c r="H69" s="105" t="s">
        <v>899</v>
      </c>
      <c r="I69" t="s">
        <v>905</v>
      </c>
      <c r="K69">
        <v>101</v>
      </c>
      <c r="L69">
        <v>200</v>
      </c>
      <c r="V69" s="39"/>
      <c r="W69" s="39"/>
      <c r="X69" s="39"/>
      <c r="Z69" s="14"/>
      <c r="AA69" s="14"/>
      <c r="AB69" s="14"/>
    </row>
    <row r="70" spans="1:32" ht="15.75">
      <c r="A70" s="102" t="s">
        <v>887</v>
      </c>
      <c r="B70" s="13">
        <v>7</v>
      </c>
      <c r="C70" s="13">
        <f t="shared" si="6"/>
        <v>3</v>
      </c>
      <c r="V70" s="39" t="s">
        <v>352</v>
      </c>
      <c r="W70" s="39" t="s">
        <v>353</v>
      </c>
      <c r="X70" s="39">
        <v>335</v>
      </c>
      <c r="Z70" s="14" t="str">
        <f t="shared" si="5"/>
        <v>Tentacool</v>
      </c>
      <c r="AA70" s="14" t="str">
        <f t="shared" si="3"/>
        <v>Water</v>
      </c>
      <c r="AB70" s="14" t="str">
        <f t="shared" si="4"/>
        <v>335</v>
      </c>
    </row>
    <row r="71" spans="1:32" ht="18.75">
      <c r="A71" s="102" t="s">
        <v>888</v>
      </c>
      <c r="B71" s="13">
        <v>9</v>
      </c>
      <c r="C71" s="13">
        <f t="shared" si="6"/>
        <v>4</v>
      </c>
      <c r="H71" s="87" t="s">
        <v>774</v>
      </c>
      <c r="V71" s="39"/>
      <c r="W71" s="39"/>
      <c r="X71" s="39"/>
      <c r="Z71" s="14"/>
      <c r="AA71" s="14"/>
      <c r="AB71" s="14"/>
    </row>
    <row r="72" spans="1:32" ht="18.75">
      <c r="A72" s="6"/>
      <c r="B72" s="13"/>
      <c r="C72" s="13"/>
      <c r="H72" t="s">
        <v>775</v>
      </c>
      <c r="V72" s="39" t="s">
        <v>354</v>
      </c>
      <c r="W72" s="39" t="s">
        <v>355</v>
      </c>
      <c r="X72" s="39">
        <v>465</v>
      </c>
      <c r="Z72" s="14" t="str">
        <f t="shared" si="5"/>
        <v>Magneton</v>
      </c>
      <c r="AA72" s="14" t="str">
        <f t="shared" si="3"/>
        <v>Electric</v>
      </c>
      <c r="AB72" s="14" t="str">
        <f t="shared" si="4"/>
        <v>465</v>
      </c>
    </row>
    <row r="73" spans="1:32" ht="18.75">
      <c r="A73" s="137" t="s">
        <v>95</v>
      </c>
      <c r="B73" s="137"/>
      <c r="C73" s="137"/>
      <c r="D73" s="137"/>
      <c r="E73" s="137"/>
      <c r="H73" s="88" t="s">
        <v>776</v>
      </c>
      <c r="V73" s="39" t="s">
        <v>356</v>
      </c>
      <c r="W73" s="39" t="s">
        <v>310</v>
      </c>
      <c r="X73" s="39">
        <v>475</v>
      </c>
      <c r="Z73" s="14" t="str">
        <f t="shared" si="5"/>
        <v>Dewgong</v>
      </c>
      <c r="AA73" s="14" t="str">
        <f t="shared" si="3"/>
        <v>Water</v>
      </c>
      <c r="AB73" s="14" t="str">
        <f t="shared" si="4"/>
        <v>475</v>
      </c>
    </row>
    <row r="74" spans="1:32" ht="17.25">
      <c r="A74" t="s">
        <v>96</v>
      </c>
      <c r="B74" t="s">
        <v>94</v>
      </c>
      <c r="C74" t="s">
        <v>97</v>
      </c>
      <c r="H74" s="88" t="s">
        <v>777</v>
      </c>
      <c r="V74" s="39" t="s">
        <v>357</v>
      </c>
      <c r="W74" s="39" t="s">
        <v>358</v>
      </c>
      <c r="X74" s="39">
        <v>525</v>
      </c>
      <c r="Z74" s="14" t="str">
        <f t="shared" si="5"/>
        <v>Cloyster</v>
      </c>
      <c r="AA74" s="14" t="str">
        <f t="shared" si="3"/>
        <v>Water</v>
      </c>
      <c r="AB74" s="14" t="str">
        <f t="shared" si="4"/>
        <v>525</v>
      </c>
    </row>
    <row r="75" spans="1:32">
      <c r="A75" t="s">
        <v>47</v>
      </c>
      <c r="B75">
        <f>VLOOKUP(A75,A48:F55,2,0)</f>
        <v>1</v>
      </c>
      <c r="C75">
        <f>VLOOKUP(A75,A48:G55,7,0)</f>
        <v>212</v>
      </c>
      <c r="V75" s="39" t="s">
        <v>359</v>
      </c>
      <c r="W75" s="39" t="s">
        <v>360</v>
      </c>
      <c r="X75" s="39">
        <v>385</v>
      </c>
      <c r="Z75" s="14" t="str">
        <f t="shared" si="5"/>
        <v>Onix</v>
      </c>
      <c r="AA75" s="14" t="str">
        <f t="shared" si="3"/>
        <v>Rock</v>
      </c>
      <c r="AB75" s="14" t="str">
        <f t="shared" si="4"/>
        <v>385</v>
      </c>
      <c r="AD75" t="s">
        <v>385</v>
      </c>
    </row>
    <row r="76" spans="1:32">
      <c r="V76" s="39" t="s">
        <v>361</v>
      </c>
      <c r="W76" s="39" t="s">
        <v>362</v>
      </c>
      <c r="X76" s="39">
        <v>420</v>
      </c>
      <c r="Z76" s="14" t="str">
        <f t="shared" si="5"/>
        <v>Dragonair</v>
      </c>
      <c r="AA76" s="14" t="str">
        <f t="shared" si="3"/>
        <v>Dragon</v>
      </c>
      <c r="AB76" s="14" t="str">
        <f t="shared" si="4"/>
        <v>420</v>
      </c>
    </row>
    <row r="77" spans="1:32">
      <c r="A77" s="151" t="s">
        <v>59</v>
      </c>
      <c r="B77" s="151"/>
      <c r="C77" s="10" t="str">
        <f>A55</f>
        <v>Josh</v>
      </c>
      <c r="I77">
        <v>1</v>
      </c>
      <c r="J77">
        <v>2</v>
      </c>
      <c r="K77">
        <v>3</v>
      </c>
      <c r="L77" t="s">
        <v>785</v>
      </c>
      <c r="N77" t="s">
        <v>785</v>
      </c>
      <c r="O77">
        <f>INDEX(I78:K84,4,2)</f>
        <v>5.8</v>
      </c>
      <c r="P77" t="s">
        <v>787</v>
      </c>
      <c r="V77" s="39" t="s">
        <v>363</v>
      </c>
      <c r="W77" s="39" t="s">
        <v>364</v>
      </c>
      <c r="X77" s="39">
        <v>349</v>
      </c>
      <c r="Z77" s="14" t="str">
        <f t="shared" si="5"/>
        <v>Pidgeotto</v>
      </c>
      <c r="AA77" s="14" t="str">
        <f t="shared" si="3"/>
        <v>Normal</v>
      </c>
      <c r="AB77" s="14" t="str">
        <f t="shared" si="4"/>
        <v>349</v>
      </c>
      <c r="AD77" t="s">
        <v>383</v>
      </c>
    </row>
    <row r="78" spans="1:32">
      <c r="A78" s="151" t="s">
        <v>60</v>
      </c>
      <c r="B78" s="151"/>
      <c r="C78" s="11">
        <f>VLOOKUP(C77,A47:F55,3,0)</f>
        <v>38</v>
      </c>
      <c r="D78" s="152" t="s">
        <v>61</v>
      </c>
      <c r="E78" s="152"/>
      <c r="F78" s="152"/>
      <c r="G78" s="152"/>
      <c r="H78" s="152"/>
      <c r="I78" t="s">
        <v>41</v>
      </c>
      <c r="J78" t="s">
        <v>778</v>
      </c>
      <c r="K78" t="s">
        <v>779</v>
      </c>
      <c r="L78">
        <v>1</v>
      </c>
      <c r="N78" t="s">
        <v>199</v>
      </c>
      <c r="O78">
        <f>MATCH("Kevin",I78:I84,0)</f>
        <v>4</v>
      </c>
      <c r="P78" t="s">
        <v>788</v>
      </c>
      <c r="V78" s="39" t="s">
        <v>365</v>
      </c>
      <c r="W78" s="39" t="s">
        <v>366</v>
      </c>
      <c r="X78" s="39">
        <v>253</v>
      </c>
      <c r="Z78" s="14" t="str">
        <f t="shared" si="5"/>
        <v>Rattata</v>
      </c>
      <c r="AA78" s="14" t="str">
        <f t="shared" si="3"/>
        <v>Normal</v>
      </c>
      <c r="AB78" s="14" t="str">
        <f t="shared" si="4"/>
        <v>253</v>
      </c>
    </row>
    <row r="79" spans="1:32">
      <c r="I79" t="s">
        <v>780</v>
      </c>
      <c r="J79">
        <v>6.2</v>
      </c>
      <c r="K79">
        <v>185</v>
      </c>
      <c r="L79">
        <v>2</v>
      </c>
      <c r="O79">
        <f>MATCH(J78,I78:K78,0)</f>
        <v>2</v>
      </c>
      <c r="P79" t="s">
        <v>789</v>
      </c>
      <c r="V79" s="39" t="s">
        <v>367</v>
      </c>
      <c r="W79" s="39" t="s">
        <v>311</v>
      </c>
      <c r="X79" s="39">
        <v>395</v>
      </c>
      <c r="Z79" s="14" t="str">
        <f t="shared" si="5"/>
        <v>Beedrill</v>
      </c>
      <c r="AA79" s="14" t="str">
        <f t="shared" si="3"/>
        <v>Bug</v>
      </c>
      <c r="AB79" s="14" t="str">
        <f t="shared" si="4"/>
        <v>395</v>
      </c>
    </row>
    <row r="80" spans="1:32" ht="18.75">
      <c r="A80" s="141" t="s">
        <v>102</v>
      </c>
      <c r="B80" s="141"/>
      <c r="I80" t="s">
        <v>49</v>
      </c>
      <c r="J80">
        <v>5.9</v>
      </c>
      <c r="K80">
        <v>170</v>
      </c>
      <c r="L80">
        <v>3</v>
      </c>
      <c r="N80" t="s">
        <v>780</v>
      </c>
      <c r="V80" s="39" t="s">
        <v>368</v>
      </c>
      <c r="W80" s="39" t="s">
        <v>369</v>
      </c>
      <c r="X80" s="39">
        <v>310</v>
      </c>
      <c r="Z80" s="14" t="str">
        <f t="shared" si="5"/>
        <v>Doduo</v>
      </c>
      <c r="AA80" s="14" t="str">
        <f t="shared" si="3"/>
        <v>Normal</v>
      </c>
      <c r="AB80" s="14" t="str">
        <f t="shared" si="4"/>
        <v>310</v>
      </c>
      <c r="AF80" t="s">
        <v>386</v>
      </c>
    </row>
    <row r="81" spans="1:34">
      <c r="I81" t="s">
        <v>781</v>
      </c>
      <c r="J81">
        <v>5.8</v>
      </c>
      <c r="K81">
        <v>175</v>
      </c>
      <c r="L81">
        <v>4</v>
      </c>
      <c r="N81" t="s">
        <v>778</v>
      </c>
      <c r="V81" s="39" t="s">
        <v>370</v>
      </c>
      <c r="W81" s="39" t="s">
        <v>310</v>
      </c>
      <c r="X81" s="39">
        <v>475</v>
      </c>
      <c r="Z81" s="14" t="str">
        <f t="shared" si="5"/>
        <v>Kingler</v>
      </c>
      <c r="AA81" s="14" t="str">
        <f t="shared" si="3"/>
        <v>Water</v>
      </c>
      <c r="AB81" s="14" t="str">
        <f t="shared" si="4"/>
        <v>475</v>
      </c>
      <c r="AD81" s="40" t="s">
        <v>390</v>
      </c>
    </row>
    <row r="82" spans="1:34">
      <c r="B82" t="s">
        <v>103</v>
      </c>
      <c r="C82" t="s">
        <v>104</v>
      </c>
      <c r="D82" t="s">
        <v>105</v>
      </c>
      <c r="E82" t="s">
        <v>106</v>
      </c>
      <c r="F82" t="s">
        <v>107</v>
      </c>
      <c r="I82" t="s">
        <v>782</v>
      </c>
      <c r="J82">
        <v>5.5</v>
      </c>
      <c r="K82">
        <v>145</v>
      </c>
      <c r="L82">
        <v>5</v>
      </c>
      <c r="N82" t="s">
        <v>786</v>
      </c>
      <c r="O82">
        <f>INDEX(I78:K84,MATCH(N80,I78:I84,0),MATCH(N81,I78:K78,0))</f>
        <v>6.2</v>
      </c>
      <c r="V82" s="39" t="s">
        <v>371</v>
      </c>
      <c r="W82" s="39" t="s">
        <v>372</v>
      </c>
      <c r="X82" s="39">
        <v>505</v>
      </c>
      <c r="Z82" s="14" t="str">
        <f t="shared" si="5"/>
        <v>Nidoqueen</v>
      </c>
      <c r="AA82" s="14" t="str">
        <f t="shared" si="3"/>
        <v>Poison</v>
      </c>
      <c r="AB82" s="14" t="str">
        <f t="shared" si="4"/>
        <v>505</v>
      </c>
      <c r="AD82" t="s">
        <v>389</v>
      </c>
    </row>
    <row r="83" spans="1:34">
      <c r="B83">
        <v>2017</v>
      </c>
      <c r="I83" t="s">
        <v>783</v>
      </c>
      <c r="J83">
        <v>6.1</v>
      </c>
      <c r="K83">
        <v>210</v>
      </c>
      <c r="L83">
        <v>6</v>
      </c>
      <c r="V83" s="39" t="s">
        <v>373</v>
      </c>
      <c r="W83" s="39" t="s">
        <v>374</v>
      </c>
      <c r="X83" s="39">
        <v>455</v>
      </c>
      <c r="Z83" s="14" t="str">
        <f t="shared" si="5"/>
        <v>Hitmonchan</v>
      </c>
      <c r="AA83" s="14" t="str">
        <f t="shared" si="3"/>
        <v>Fighting</v>
      </c>
      <c r="AB83" s="14" t="str">
        <f t="shared" si="4"/>
        <v>455</v>
      </c>
      <c r="AD83" t="s">
        <v>387</v>
      </c>
    </row>
    <row r="84" spans="1:34">
      <c r="B84">
        <v>2015</v>
      </c>
      <c r="I84" t="s">
        <v>784</v>
      </c>
      <c r="J84">
        <v>6</v>
      </c>
      <c r="K84">
        <v>180</v>
      </c>
      <c r="L84">
        <v>7</v>
      </c>
      <c r="N84" t="s">
        <v>41</v>
      </c>
      <c r="O84" t="s">
        <v>778</v>
      </c>
      <c r="P84" t="s">
        <v>779</v>
      </c>
      <c r="V84" s="39" t="s">
        <v>375</v>
      </c>
      <c r="W84" s="39" t="s">
        <v>309</v>
      </c>
      <c r="X84" s="39">
        <v>405</v>
      </c>
      <c r="Z84" s="14" t="str">
        <f t="shared" si="5"/>
        <v>Charmeleon</v>
      </c>
      <c r="AA84" s="14" t="str">
        <f t="shared" si="3"/>
        <v>Fire</v>
      </c>
      <c r="AB84" s="14" t="str">
        <f t="shared" si="4"/>
        <v>405</v>
      </c>
      <c r="AD84" t="s">
        <v>387</v>
      </c>
      <c r="AF84" t="s">
        <v>393</v>
      </c>
    </row>
    <row r="85" spans="1:34">
      <c r="N85" t="s">
        <v>49</v>
      </c>
      <c r="O85">
        <f>INDEX(I79:K84,MATCH(N85,I79:I84,0),2)</f>
        <v>5.9</v>
      </c>
      <c r="P85">
        <f>INDEX(I79:K84,MATCH(N85,I79:I84,0),3)</f>
        <v>170</v>
      </c>
      <c r="V85" s="39" t="s">
        <v>376</v>
      </c>
      <c r="W85" s="39" t="s">
        <v>377</v>
      </c>
      <c r="X85" s="39">
        <v>438</v>
      </c>
      <c r="Z85" s="14" t="str">
        <f t="shared" si="5"/>
        <v>Arbok</v>
      </c>
      <c r="AA85" s="14" t="str">
        <f t="shared" si="3"/>
        <v>Poison</v>
      </c>
      <c r="AB85" s="14" t="str">
        <f t="shared" si="4"/>
        <v>438</v>
      </c>
      <c r="AD85" s="40" t="s">
        <v>390</v>
      </c>
      <c r="AF85" s="41" t="s">
        <v>327</v>
      </c>
      <c r="AH85" t="s">
        <v>394</v>
      </c>
    </row>
    <row r="86" spans="1:34">
      <c r="J86" t="s">
        <v>790</v>
      </c>
      <c r="M86" t="str">
        <f>INDEX(I79:I84,4)</f>
        <v>Amanda</v>
      </c>
      <c r="V86" s="39" t="s">
        <v>378</v>
      </c>
      <c r="W86" s="39" t="s">
        <v>379</v>
      </c>
      <c r="X86" s="39">
        <v>310</v>
      </c>
      <c r="Z86" s="14" t="str">
        <f t="shared" si="5"/>
        <v>Gastly</v>
      </c>
      <c r="AA86" s="14" t="str">
        <f t="shared" si="3"/>
        <v>Ghost</v>
      </c>
      <c r="AB86" s="14" t="str">
        <f t="shared" si="4"/>
        <v>310</v>
      </c>
      <c r="AD86" t="s">
        <v>388</v>
      </c>
      <c r="AF86" s="41" t="s">
        <v>391</v>
      </c>
    </row>
    <row r="87" spans="1:34" ht="18.75">
      <c r="A87" s="141" t="s">
        <v>82</v>
      </c>
      <c r="B87" s="141"/>
      <c r="C87" s="141"/>
      <c r="J87" t="s">
        <v>791</v>
      </c>
      <c r="M87">
        <f>MATCH("Carl",I79:I84,0)</f>
        <v>5</v>
      </c>
      <c r="V87" s="39" t="s">
        <v>380</v>
      </c>
      <c r="W87" s="39" t="s">
        <v>310</v>
      </c>
      <c r="X87" s="39">
        <v>200</v>
      </c>
      <c r="Z87" s="14" t="str">
        <f>TRIM(V87)</f>
        <v>Magikarp</v>
      </c>
      <c r="AA87" s="14" t="str">
        <f t="shared" si="3"/>
        <v>Water</v>
      </c>
      <c r="AB87" s="14" t="str">
        <f t="shared" si="4"/>
        <v>200</v>
      </c>
      <c r="AD87" s="40" t="s">
        <v>390</v>
      </c>
      <c r="AF87" s="41" t="s">
        <v>392</v>
      </c>
    </row>
    <row r="88" spans="1:34">
      <c r="A88" t="s">
        <v>83</v>
      </c>
      <c r="B88" t="s">
        <v>84</v>
      </c>
      <c r="C88" t="s">
        <v>8</v>
      </c>
      <c r="D88" t="s">
        <v>9</v>
      </c>
      <c r="E88" t="s">
        <v>85</v>
      </c>
      <c r="F88" t="s">
        <v>86</v>
      </c>
      <c r="H88" t="s">
        <v>87</v>
      </c>
      <c r="AD88" s="40" t="s">
        <v>390</v>
      </c>
    </row>
    <row r="89" spans="1:34">
      <c r="A89" t="s">
        <v>88</v>
      </c>
      <c r="B89">
        <v>45</v>
      </c>
      <c r="C89">
        <v>49</v>
      </c>
      <c r="D89">
        <v>49</v>
      </c>
      <c r="E89">
        <v>65</v>
      </c>
      <c r="F89">
        <v>65</v>
      </c>
      <c r="H89">
        <v>45</v>
      </c>
      <c r="K89" t="s">
        <v>792</v>
      </c>
      <c r="L89" t="s">
        <v>41</v>
      </c>
      <c r="M89" t="s">
        <v>778</v>
      </c>
      <c r="AD89" t="s">
        <v>387</v>
      </c>
    </row>
    <row r="90" spans="1:34">
      <c r="A90" t="s">
        <v>89</v>
      </c>
      <c r="B90">
        <v>39</v>
      </c>
      <c r="C90">
        <v>52</v>
      </c>
      <c r="D90">
        <v>43</v>
      </c>
      <c r="E90">
        <v>60</v>
      </c>
      <c r="F90">
        <v>50</v>
      </c>
      <c r="H90">
        <v>65</v>
      </c>
      <c r="L90" t="s">
        <v>49</v>
      </c>
      <c r="M90">
        <f>IFERROR(INDEX(I79:J84,MATCH(L90,I79:I84,0),2),"No name exists")</f>
        <v>5.9</v>
      </c>
    </row>
    <row r="91" spans="1:34">
      <c r="A91" t="s">
        <v>90</v>
      </c>
      <c r="B91">
        <v>44</v>
      </c>
      <c r="C91">
        <v>48</v>
      </c>
      <c r="D91">
        <v>65</v>
      </c>
      <c r="E91">
        <v>50</v>
      </c>
      <c r="F91">
        <v>64</v>
      </c>
      <c r="H91">
        <v>43</v>
      </c>
    </row>
    <row r="92" spans="1:34">
      <c r="A92" t="s">
        <v>91</v>
      </c>
      <c r="K92" t="str">
        <f>_xlfn.CONCAT("Durga"," is a ","data analyst")</f>
        <v>Durga is a data analyst</v>
      </c>
    </row>
    <row r="93" spans="1:34">
      <c r="J93" t="s">
        <v>793</v>
      </c>
      <c r="K93" t="str">
        <f>_xlfn.TEXTJOIN(", ",TRUE,I79:I84)</f>
        <v>Sally, Tom, Kevin, Amanda, Carl, Ned</v>
      </c>
    </row>
    <row r="95" spans="1:34" ht="18.75">
      <c r="A95" s="140" t="s">
        <v>92</v>
      </c>
      <c r="B95" s="140"/>
      <c r="C95" s="140"/>
      <c r="D95" s="140"/>
      <c r="E95" s="140"/>
      <c r="F95" s="140"/>
      <c r="G95" s="140"/>
      <c r="H95" s="140"/>
    </row>
  </sheetData>
  <sortState xmlns:xlrd2="http://schemas.microsoft.com/office/spreadsheetml/2017/richdata2" ref="AP30:AS49">
    <sortCondition ref="AP29:AP49"/>
  </sortState>
  <mergeCells count="46">
    <mergeCell ref="AO12:AR12"/>
    <mergeCell ref="AO20:AP20"/>
    <mergeCell ref="Y33:Z33"/>
    <mergeCell ref="J47:J50"/>
    <mergeCell ref="A80:B80"/>
    <mergeCell ref="A27:C27"/>
    <mergeCell ref="A28:B28"/>
    <mergeCell ref="F28:G28"/>
    <mergeCell ref="A57:L57"/>
    <mergeCell ref="J42:K42"/>
    <mergeCell ref="A73:E73"/>
    <mergeCell ref="A77:B77"/>
    <mergeCell ref="A78:B78"/>
    <mergeCell ref="D78:H78"/>
    <mergeCell ref="AB17:AD17"/>
    <mergeCell ref="AF17:AH17"/>
    <mergeCell ref="A95:H95"/>
    <mergeCell ref="A14:C14"/>
    <mergeCell ref="A15:D15"/>
    <mergeCell ref="A16:B16"/>
    <mergeCell ref="B60:C60"/>
    <mergeCell ref="A17:E17"/>
    <mergeCell ref="A20:B20"/>
    <mergeCell ref="A21:C21"/>
    <mergeCell ref="A42:B42"/>
    <mergeCell ref="A43:D43"/>
    <mergeCell ref="A44:I44"/>
    <mergeCell ref="B46:E46"/>
    <mergeCell ref="B58:E58"/>
    <mergeCell ref="B59:D59"/>
    <mergeCell ref="A87:C87"/>
    <mergeCell ref="C62:E62"/>
    <mergeCell ref="W22:X22"/>
    <mergeCell ref="O12:P12"/>
    <mergeCell ref="N54:R54"/>
    <mergeCell ref="K43:P43"/>
    <mergeCell ref="Y40:AA40"/>
    <mergeCell ref="Y41:Z41"/>
    <mergeCell ref="K62:L62"/>
    <mergeCell ref="AB42:AC42"/>
    <mergeCell ref="Y46:Z46"/>
    <mergeCell ref="Y42:Z42"/>
    <mergeCell ref="V54:W54"/>
    <mergeCell ref="R56:T57"/>
    <mergeCell ref="V56:X56"/>
    <mergeCell ref="Z56:AB56"/>
  </mergeCells>
  <phoneticPr fontId="2" type="noConversion"/>
  <conditionalFormatting sqref="AM7:AM14">
    <cfRule type="cellIs" dxfId="20" priority="1" operator="greaterThan">
      <formula>46000</formula>
    </cfRule>
    <cfRule type="cellIs" dxfId="19" priority="2" operator="between">
      <formula>26000</formula>
      <formula>45000</formula>
    </cfRule>
    <cfRule type="cellIs" dxfId="18" priority="3" operator="greaterThan">
      <formula>46866</formula>
    </cfRule>
  </conditionalFormatting>
  <dataValidations count="11">
    <dataValidation type="list" allowBlank="1" showInputMessage="1" showErrorMessage="1" sqref="N56" xr:uid="{5F17274B-F4FD-4C01-BE6D-380D28554BBB}">
      <formula1>$L$46:$S$46</formula1>
    </dataValidation>
    <dataValidation type="list" allowBlank="1" showInputMessage="1" showErrorMessage="1" promptTitle="Select Gender" prompt="Please select your gender" sqref="Y34" xr:uid="{753B5835-FB79-44E5-A4F9-A3BE4FB7E65A}">
      <formula1>"Male,Female"</formula1>
    </dataValidation>
    <dataValidation type="list" allowBlank="1" showInputMessage="1" showErrorMessage="1" sqref="AA34" xr:uid="{746160A3-18DA-4621-AA45-44EA1FDAFADD}">
      <formula1>$Z$35:$Z$38</formula1>
    </dataValidation>
    <dataValidation type="list" allowBlank="1" showInputMessage="1" showErrorMessage="1" sqref="AC34" xr:uid="{F0FFC5EF-CE3B-4104-AF9E-8B52D8D26BAE}">
      <formula1>INDIRECT("Data[App]")</formula1>
    </dataValidation>
    <dataValidation type="textLength" operator="greaterThanOrEqual" allowBlank="1" showInputMessage="1" showErrorMessage="1" error="Name must be &gt;=5" promptTitle="Name of a person" prompt="Plz enter your name" sqref="Y37" xr:uid="{B2E4A534-787C-492D-A3FE-801ABD7EA633}">
      <formula1>5</formula1>
    </dataValidation>
    <dataValidation type="custom" allowBlank="1" showInputMessage="1" showErrorMessage="1" sqref="Z44" xr:uid="{9CCE4A58-3E01-44C6-925B-8293A74484B9}">
      <formula1>AND(LEN(Y43)=5,ISNUMBER(VALUE(RIGHT(Y43,4))),ISTEXT(LEFT(Y43,1)))</formula1>
    </dataValidation>
    <dataValidation type="custom" allowBlank="1" showInputMessage="1" showErrorMessage="1" error="plz enter 1 letter and 4 numbers" sqref="Y43" xr:uid="{79FFB543-6B8C-43E1-9E1A-BC3B3F98BE85}">
      <formula1>AND(LEN(Y43)=5,ISNUMBER(VALUE(RIGHT(Y43,4))),ISTEXT(LEFT(Y43,1)))</formula1>
    </dataValidation>
    <dataValidation type="custom" allowBlank="1" showInputMessage="1" showErrorMessage="1" error="plz enter 2 letters and 4 numbers" sqref="Y47" xr:uid="{EE3169C2-92CD-49C1-BD71-705FC165FA81}">
      <formula1>AND(LEN(Y47)=6,ISNUMBER(VALUE(RIGHT(Y47,4))),ISTEXT(LEFT(Y47,1)))</formula1>
    </dataValidation>
    <dataValidation type="custom" allowBlank="1" showInputMessage="1" showErrorMessage="1" error="Plz ensure first 2 letters must be 'CS' and remaining are 4 numbers_x000a_" sqref="AB43" xr:uid="{0E36C61A-2579-4867-878E-FAB6A76E03BC}">
      <formula1>AND(LEN(AB43)=6,ISNUMBER(VALUE(RIGHT(AB43,4))),LEFT(AB43,2)="CS")</formula1>
    </dataValidation>
    <dataValidation type="list" allowBlank="1" showInputMessage="1" showErrorMessage="1" sqref="N85" xr:uid="{7CBC6424-2EFC-4304-90AE-6CD4DE26A00B}">
      <formula1>$I$79:$I$84</formula1>
    </dataValidation>
    <dataValidation type="list" allowBlank="1" showInputMessage="1" showErrorMessage="1" sqref="O84" xr:uid="{EC329710-85AA-456B-88E4-B749ADAD49DC}">
      <formula1>$J$78:$K$78</formula1>
    </dataValidation>
  </dataValidations>
  <hyperlinks>
    <hyperlink ref="A2" r:id="rId1" xr:uid="{3E9BDC7E-36F1-4941-B3F2-665BAFBF73BE}"/>
  </hyperlinks>
  <pageMargins left="0.7" right="0.7" top="0.75" bottom="0.75" header="0.3" footer="0.3"/>
  <pageSetup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8C26D-B4A1-4C4B-8385-79A894E9E5C3}">
  <sheetPr codeName="Sheet2"/>
  <dimension ref="A2:S154"/>
  <sheetViews>
    <sheetView topLeftCell="A93" workbookViewId="0">
      <selection activeCell="D106" sqref="D106"/>
    </sheetView>
  </sheetViews>
  <sheetFormatPr defaultRowHeight="15"/>
  <cols>
    <col min="2" max="2" width="17.85546875" customWidth="1"/>
    <col min="4" max="4" width="13" customWidth="1"/>
    <col min="5" max="5" width="12" customWidth="1"/>
    <col min="6" max="7" width="14.28515625" customWidth="1"/>
    <col min="8" max="8" width="14" customWidth="1"/>
    <col min="9" max="9" width="12.5703125" bestFit="1" customWidth="1"/>
    <col min="10" max="10" width="14.42578125" bestFit="1" customWidth="1"/>
    <col min="11" max="11" width="12.28515625" customWidth="1"/>
  </cols>
  <sheetData>
    <row r="2" spans="2:13">
      <c r="B2" s="26" t="s">
        <v>204</v>
      </c>
      <c r="C2" s="27" t="s">
        <v>205</v>
      </c>
      <c r="D2" s="28" t="s">
        <v>206</v>
      </c>
      <c r="E2" s="28" t="s">
        <v>207</v>
      </c>
      <c r="F2" s="28" t="s">
        <v>208</v>
      </c>
      <c r="G2" s="28" t="s">
        <v>209</v>
      </c>
      <c r="H2" s="28" t="s">
        <v>210</v>
      </c>
    </row>
    <row r="3" spans="2:13">
      <c r="B3" s="24">
        <v>44348</v>
      </c>
      <c r="C3" t="s">
        <v>211</v>
      </c>
      <c r="D3" s="25">
        <v>7079</v>
      </c>
      <c r="E3" s="25">
        <v>141</v>
      </c>
      <c r="F3" s="25">
        <v>89</v>
      </c>
      <c r="G3" s="25">
        <v>60</v>
      </c>
      <c r="H3" s="25">
        <v>879</v>
      </c>
      <c r="J3" s="153" t="s">
        <v>218</v>
      </c>
      <c r="K3" s="153"/>
      <c r="L3" s="153"/>
      <c r="M3" s="153"/>
    </row>
    <row r="4" spans="2:13">
      <c r="B4" s="24">
        <v>44348</v>
      </c>
      <c r="C4" t="s">
        <v>212</v>
      </c>
      <c r="D4" s="25">
        <v>7683</v>
      </c>
      <c r="E4" s="25">
        <v>153</v>
      </c>
      <c r="F4" s="25">
        <v>78</v>
      </c>
      <c r="G4" s="25">
        <v>41</v>
      </c>
      <c r="H4" s="25">
        <v>702</v>
      </c>
      <c r="J4">
        <f>SUMIFS(Data[Downloads],Data[App],"Sugar Rush")</f>
        <v>43718</v>
      </c>
    </row>
    <row r="5" spans="2:13">
      <c r="B5" s="24">
        <v>44348</v>
      </c>
      <c r="C5" t="s">
        <v>213</v>
      </c>
      <c r="D5" s="25">
        <v>4681</v>
      </c>
      <c r="E5" s="25">
        <v>93</v>
      </c>
      <c r="F5" s="25">
        <v>99</v>
      </c>
      <c r="G5" s="25">
        <v>53</v>
      </c>
      <c r="H5" s="25">
        <v>897</v>
      </c>
    </row>
    <row r="6" spans="2:13">
      <c r="B6" s="24">
        <v>44348</v>
      </c>
      <c r="C6" t="s">
        <v>214</v>
      </c>
      <c r="D6" s="25">
        <v>4373</v>
      </c>
      <c r="E6" s="25">
        <v>87</v>
      </c>
      <c r="F6" s="25">
        <v>86</v>
      </c>
      <c r="G6" s="25">
        <v>51</v>
      </c>
      <c r="H6" s="25">
        <v>808</v>
      </c>
      <c r="J6" s="154" t="s">
        <v>219</v>
      </c>
      <c r="K6" s="154"/>
      <c r="L6" s="154"/>
      <c r="M6" s="154"/>
    </row>
    <row r="7" spans="2:13">
      <c r="B7" s="24">
        <v>44348</v>
      </c>
      <c r="C7" t="s">
        <v>215</v>
      </c>
      <c r="D7" s="25">
        <v>3499</v>
      </c>
      <c r="E7" s="25">
        <v>69</v>
      </c>
      <c r="F7" s="25">
        <v>91</v>
      </c>
      <c r="G7" s="25">
        <v>42</v>
      </c>
      <c r="H7" s="25">
        <v>785</v>
      </c>
      <c r="J7" t="s">
        <v>220</v>
      </c>
      <c r="K7" t="s">
        <v>221</v>
      </c>
      <c r="M7">
        <f>SUMIFS(Data[Downloads],Data[App],"C*")</f>
        <v>91536</v>
      </c>
    </row>
    <row r="8" spans="2:13">
      <c r="B8" s="24">
        <v>44348</v>
      </c>
      <c r="C8" t="s">
        <v>216</v>
      </c>
      <c r="D8" s="25">
        <v>5649</v>
      </c>
      <c r="E8" s="25">
        <v>112</v>
      </c>
      <c r="F8" s="25">
        <v>78</v>
      </c>
      <c r="G8" s="25">
        <v>31</v>
      </c>
      <c r="H8" s="25">
        <v>643</v>
      </c>
      <c r="K8">
        <f>SUMIFS(Data[Downloads],Data[App],K7&amp;"*")</f>
        <v>91536</v>
      </c>
    </row>
    <row r="9" spans="2:13">
      <c r="B9" s="24">
        <v>44348</v>
      </c>
      <c r="C9" t="s">
        <v>217</v>
      </c>
      <c r="D9" s="25">
        <v>1837</v>
      </c>
      <c r="E9" s="25">
        <v>36</v>
      </c>
      <c r="F9" s="25">
        <v>111</v>
      </c>
      <c r="G9" s="25">
        <v>38</v>
      </c>
      <c r="H9" s="25">
        <v>879</v>
      </c>
    </row>
    <row r="10" spans="2:13">
      <c r="B10" s="24">
        <v>44378</v>
      </c>
      <c r="C10" t="s">
        <v>211</v>
      </c>
      <c r="D10" s="25">
        <v>8586</v>
      </c>
      <c r="E10" s="25">
        <v>171</v>
      </c>
      <c r="F10" s="25">
        <v>81</v>
      </c>
      <c r="G10" s="25">
        <v>52</v>
      </c>
      <c r="H10" s="25">
        <v>785</v>
      </c>
      <c r="J10" s="154" t="s">
        <v>222</v>
      </c>
      <c r="K10" s="154"/>
      <c r="L10" s="154"/>
      <c r="M10" s="154"/>
    </row>
    <row r="11" spans="2:13">
      <c r="B11" s="24">
        <v>44378</v>
      </c>
      <c r="C11" t="s">
        <v>212</v>
      </c>
      <c r="D11" s="25">
        <v>7098</v>
      </c>
      <c r="E11" s="25">
        <v>141</v>
      </c>
      <c r="F11" s="25">
        <v>96</v>
      </c>
      <c r="G11" s="25">
        <v>35</v>
      </c>
      <c r="H11" s="25">
        <v>773</v>
      </c>
      <c r="K11">
        <f>SUMIFS(Data[Uninstalls],Data[Month],"December-21")</f>
        <v>783</v>
      </c>
    </row>
    <row r="12" spans="2:13">
      <c r="B12" s="24">
        <v>44378</v>
      </c>
      <c r="C12" t="s">
        <v>213</v>
      </c>
      <c r="D12" s="25">
        <v>7066</v>
      </c>
      <c r="E12" s="25">
        <v>141</v>
      </c>
      <c r="F12" s="25">
        <v>64</v>
      </c>
      <c r="G12" s="25">
        <v>32</v>
      </c>
      <c r="H12" s="25">
        <v>566</v>
      </c>
    </row>
    <row r="13" spans="2:13">
      <c r="B13" s="24">
        <v>44378</v>
      </c>
      <c r="C13" t="s">
        <v>214</v>
      </c>
      <c r="D13" s="25">
        <v>6806</v>
      </c>
      <c r="E13" s="25">
        <v>136</v>
      </c>
      <c r="F13" s="25">
        <v>83</v>
      </c>
      <c r="G13" s="25">
        <v>47</v>
      </c>
      <c r="H13" s="25">
        <v>684</v>
      </c>
      <c r="J13" s="154" t="s">
        <v>223</v>
      </c>
      <c r="K13" s="154"/>
      <c r="L13" s="154"/>
    </row>
    <row r="14" spans="2:13">
      <c r="B14" s="24">
        <v>44378</v>
      </c>
      <c r="C14" t="s">
        <v>215</v>
      </c>
      <c r="D14" s="25">
        <v>5702</v>
      </c>
      <c r="E14" s="25">
        <v>114</v>
      </c>
      <c r="F14" s="25">
        <v>87</v>
      </c>
      <c r="G14" s="25">
        <v>46</v>
      </c>
      <c r="H14" s="25">
        <v>785</v>
      </c>
      <c r="J14" s="29">
        <v>44470</v>
      </c>
    </row>
    <row r="15" spans="2:13">
      <c r="B15" s="24">
        <v>44378</v>
      </c>
      <c r="C15" t="s">
        <v>216</v>
      </c>
      <c r="D15" s="25">
        <v>4576</v>
      </c>
      <c r="E15" s="25">
        <v>91</v>
      </c>
      <c r="F15" s="25">
        <v>76</v>
      </c>
      <c r="G15" s="25">
        <v>39</v>
      </c>
      <c r="H15" s="25">
        <v>679</v>
      </c>
      <c r="J15" s="30">
        <v>44531</v>
      </c>
      <c r="K15">
        <f>SUMIFS(Data[Downloads],Data[Month],"&gt;="&amp;J14,Data[Month],"&lt;="&amp;J15)</f>
        <v>122200</v>
      </c>
    </row>
    <row r="16" spans="2:13">
      <c r="B16" s="24">
        <v>44378</v>
      </c>
      <c r="C16" t="s">
        <v>217</v>
      </c>
      <c r="D16" s="25">
        <v>5004</v>
      </c>
      <c r="E16" s="25">
        <v>100</v>
      </c>
      <c r="F16" s="25">
        <v>135</v>
      </c>
      <c r="G16" s="25">
        <v>50</v>
      </c>
      <c r="H16" s="25">
        <v>1092</v>
      </c>
    </row>
    <row r="17" spans="2:13">
      <c r="B17" s="24">
        <v>44409</v>
      </c>
      <c r="C17" t="s">
        <v>211</v>
      </c>
      <c r="D17" s="25">
        <v>4856</v>
      </c>
      <c r="E17" s="25">
        <v>97</v>
      </c>
      <c r="F17" s="25">
        <v>87</v>
      </c>
      <c r="G17" s="25">
        <v>25</v>
      </c>
      <c r="H17" s="25">
        <v>661</v>
      </c>
      <c r="J17" t="s">
        <v>224</v>
      </c>
    </row>
    <row r="18" spans="2:13">
      <c r="B18" s="24">
        <v>44409</v>
      </c>
      <c r="C18" t="s">
        <v>212</v>
      </c>
      <c r="D18" s="25">
        <v>10028</v>
      </c>
      <c r="E18" s="25">
        <v>200</v>
      </c>
      <c r="F18" s="25">
        <v>124</v>
      </c>
      <c r="G18" s="25">
        <v>39</v>
      </c>
      <c r="H18" s="25">
        <v>962</v>
      </c>
      <c r="J18">
        <f>COUNTIFS(Data[Downloads],"&gt;8000")</f>
        <v>5</v>
      </c>
    </row>
    <row r="19" spans="2:13">
      <c r="B19" s="24">
        <v>44409</v>
      </c>
      <c r="C19" t="s">
        <v>213</v>
      </c>
      <c r="D19" s="25">
        <v>7909</v>
      </c>
      <c r="E19" s="25">
        <v>158</v>
      </c>
      <c r="F19" s="25">
        <v>137</v>
      </c>
      <c r="G19" s="25">
        <v>32</v>
      </c>
      <c r="H19" s="25">
        <v>997</v>
      </c>
    </row>
    <row r="20" spans="2:13">
      <c r="B20" s="24">
        <v>44409</v>
      </c>
      <c r="C20" t="s">
        <v>214</v>
      </c>
      <c r="D20" s="25">
        <v>5233</v>
      </c>
      <c r="E20" s="25">
        <v>104</v>
      </c>
      <c r="F20" s="25">
        <v>78</v>
      </c>
      <c r="G20" s="25">
        <v>31</v>
      </c>
      <c r="H20" s="25">
        <v>643</v>
      </c>
      <c r="J20" t="s">
        <v>225</v>
      </c>
    </row>
    <row r="21" spans="2:13">
      <c r="B21" s="24">
        <v>44409</v>
      </c>
      <c r="C21" t="s">
        <v>215</v>
      </c>
      <c r="D21" s="25">
        <v>6782</v>
      </c>
      <c r="E21" s="25">
        <v>135</v>
      </c>
      <c r="F21" s="25">
        <v>70</v>
      </c>
      <c r="G21" s="25">
        <v>45</v>
      </c>
      <c r="H21" s="25">
        <v>679</v>
      </c>
      <c r="J21" t="s">
        <v>205</v>
      </c>
      <c r="K21" t="s">
        <v>226</v>
      </c>
      <c r="L21" t="s">
        <v>227</v>
      </c>
      <c r="M21" t="s">
        <v>228</v>
      </c>
    </row>
    <row r="22" spans="2:13">
      <c r="B22" s="24">
        <v>44409</v>
      </c>
      <c r="C22" t="s">
        <v>216</v>
      </c>
      <c r="D22" s="25">
        <v>5429</v>
      </c>
      <c r="E22" s="25">
        <v>108</v>
      </c>
      <c r="F22" s="25">
        <v>81</v>
      </c>
      <c r="G22" s="25">
        <v>35</v>
      </c>
      <c r="H22" s="25">
        <v>684</v>
      </c>
      <c r="J22" t="s">
        <v>215</v>
      </c>
      <c r="K22">
        <f>SUMIFS(Data[5 star ratings],Data[App],J22)</f>
        <v>587</v>
      </c>
      <c r="L22">
        <f>SUMIFS(Data[Total ratings],Data[App],J22)</f>
        <v>5353</v>
      </c>
      <c r="M22" s="31">
        <f>K22/L22</f>
        <v>0.10965813562488325</v>
      </c>
    </row>
    <row r="23" spans="2:13">
      <c r="B23" s="24">
        <v>44409</v>
      </c>
      <c r="C23" t="s">
        <v>217</v>
      </c>
      <c r="D23" s="25">
        <v>6825</v>
      </c>
      <c r="E23" s="25">
        <v>136</v>
      </c>
      <c r="F23" s="25">
        <v>122</v>
      </c>
      <c r="G23" s="25">
        <v>29</v>
      </c>
      <c r="H23" s="25">
        <v>891</v>
      </c>
    </row>
    <row r="24" spans="2:13">
      <c r="B24" s="24">
        <v>44440</v>
      </c>
      <c r="C24" t="s">
        <v>211</v>
      </c>
      <c r="D24" s="25">
        <v>7258</v>
      </c>
      <c r="E24" s="25">
        <v>145</v>
      </c>
      <c r="F24" s="25">
        <v>106</v>
      </c>
      <c r="G24" s="25">
        <v>38</v>
      </c>
      <c r="H24" s="25">
        <v>850</v>
      </c>
      <c r="J24" t="s">
        <v>229</v>
      </c>
    </row>
    <row r="25" spans="2:13">
      <c r="B25" s="24">
        <v>44440</v>
      </c>
      <c r="C25" t="s">
        <v>212</v>
      </c>
      <c r="D25" s="25">
        <v>5735</v>
      </c>
      <c r="E25" s="25">
        <v>114</v>
      </c>
      <c r="F25" s="25">
        <v>77</v>
      </c>
      <c r="G25" s="25">
        <v>36</v>
      </c>
      <c r="H25" s="25">
        <v>667</v>
      </c>
      <c r="J25" t="s">
        <v>205</v>
      </c>
      <c r="K25" t="str">
        <f>C15</f>
        <v>Subway Wafers</v>
      </c>
    </row>
    <row r="26" spans="2:13">
      <c r="B26" s="24">
        <v>44440</v>
      </c>
      <c r="C26" t="s">
        <v>213</v>
      </c>
      <c r="D26" s="25">
        <v>7899</v>
      </c>
      <c r="E26" s="25">
        <v>157</v>
      </c>
      <c r="F26" s="25">
        <v>51</v>
      </c>
      <c r="G26" s="25">
        <v>49</v>
      </c>
      <c r="H26" s="25">
        <v>590</v>
      </c>
      <c r="J26" t="s">
        <v>230</v>
      </c>
      <c r="K26">
        <f>AVERAGEIFS(Data[Uninstalls],Data[App],K25)</f>
        <v>104.71428571428571</v>
      </c>
    </row>
    <row r="27" spans="2:13">
      <c r="B27" s="24">
        <v>44440</v>
      </c>
      <c r="C27" t="s">
        <v>214</v>
      </c>
      <c r="D27" s="25">
        <v>6430</v>
      </c>
      <c r="E27" s="25">
        <v>128</v>
      </c>
      <c r="F27" s="25">
        <v>143</v>
      </c>
      <c r="G27" s="25">
        <v>49</v>
      </c>
      <c r="H27" s="25">
        <v>1133</v>
      </c>
    </row>
    <row r="28" spans="2:13">
      <c r="B28" s="24">
        <v>44440</v>
      </c>
      <c r="C28" t="s">
        <v>215</v>
      </c>
      <c r="D28" s="25">
        <v>7333</v>
      </c>
      <c r="E28" s="25">
        <v>146</v>
      </c>
      <c r="F28" s="25">
        <v>60</v>
      </c>
      <c r="G28" s="25">
        <v>60</v>
      </c>
      <c r="H28" s="25">
        <v>708</v>
      </c>
      <c r="J28" t="s">
        <v>231</v>
      </c>
    </row>
    <row r="29" spans="2:13">
      <c r="B29" s="24">
        <v>44440</v>
      </c>
      <c r="C29" t="s">
        <v>216</v>
      </c>
      <c r="D29" s="25">
        <v>4879</v>
      </c>
      <c r="E29" s="25">
        <v>97</v>
      </c>
      <c r="F29" s="25">
        <v>126</v>
      </c>
      <c r="G29" s="25">
        <v>29</v>
      </c>
      <c r="H29" s="25">
        <v>915</v>
      </c>
      <c r="J29" t="s">
        <v>204</v>
      </c>
      <c r="K29" t="s">
        <v>232</v>
      </c>
      <c r="M29">
        <f>MAX(K30:K36)</f>
        <v>956</v>
      </c>
    </row>
    <row r="30" spans="2:13">
      <c r="B30" s="24">
        <v>44440</v>
      </c>
      <c r="C30" t="s">
        <v>217</v>
      </c>
      <c r="D30" s="25">
        <v>8453</v>
      </c>
      <c r="E30" s="25">
        <v>169</v>
      </c>
      <c r="F30" s="25">
        <v>84</v>
      </c>
      <c r="G30" s="25">
        <v>36</v>
      </c>
      <c r="H30" s="25">
        <v>708</v>
      </c>
      <c r="J30" s="30">
        <f>B9</f>
        <v>44348</v>
      </c>
      <c r="K30">
        <f>SUMIFS(Data[Uninstalls],Data[Month],J30)</f>
        <v>691</v>
      </c>
    </row>
    <row r="31" spans="2:13">
      <c r="B31" s="24">
        <v>44470</v>
      </c>
      <c r="C31" t="s">
        <v>211</v>
      </c>
      <c r="D31" s="25">
        <v>8050</v>
      </c>
      <c r="E31" s="25">
        <v>161</v>
      </c>
      <c r="F31" s="25">
        <v>104</v>
      </c>
      <c r="G31" s="25">
        <v>32</v>
      </c>
      <c r="H31" s="25">
        <v>802</v>
      </c>
      <c r="J31" s="30">
        <f>B16</f>
        <v>44378</v>
      </c>
      <c r="K31">
        <f>SUMIFS(Data[Uninstalls],Data[Month],J31)</f>
        <v>894</v>
      </c>
    </row>
    <row r="32" spans="2:13">
      <c r="B32" s="24">
        <v>44470</v>
      </c>
      <c r="C32" t="s">
        <v>212</v>
      </c>
      <c r="D32" s="25">
        <v>4693</v>
      </c>
      <c r="E32" s="25">
        <v>93</v>
      </c>
      <c r="F32" s="25">
        <v>85</v>
      </c>
      <c r="G32" s="25">
        <v>46</v>
      </c>
      <c r="H32" s="25">
        <v>773</v>
      </c>
      <c r="J32" s="30">
        <f>B22</f>
        <v>44409</v>
      </c>
      <c r="K32">
        <f>SUMIFS(Data[Uninstalls],Data[Month],J32)</f>
        <v>938</v>
      </c>
    </row>
    <row r="33" spans="2:11">
      <c r="B33" s="24">
        <v>44470</v>
      </c>
      <c r="C33" t="s">
        <v>213</v>
      </c>
      <c r="D33" s="25">
        <v>5165</v>
      </c>
      <c r="E33" s="25">
        <v>103</v>
      </c>
      <c r="F33" s="25">
        <v>95</v>
      </c>
      <c r="G33" s="25">
        <v>40</v>
      </c>
      <c r="H33" s="25">
        <v>797</v>
      </c>
      <c r="J33" s="32">
        <f>B28</f>
        <v>44440</v>
      </c>
      <c r="K33">
        <f>SUMIFS(Data[Uninstalls],Data[Month],J33)</f>
        <v>956</v>
      </c>
    </row>
    <row r="34" spans="2:11">
      <c r="B34" s="24">
        <v>44470</v>
      </c>
      <c r="C34" t="s">
        <v>214</v>
      </c>
      <c r="D34" s="25">
        <v>4906</v>
      </c>
      <c r="E34" s="25">
        <v>98</v>
      </c>
      <c r="F34" s="25">
        <v>76</v>
      </c>
      <c r="G34" s="25">
        <v>47</v>
      </c>
      <c r="H34" s="25">
        <v>702</v>
      </c>
      <c r="J34" s="32">
        <f>B31</f>
        <v>44470</v>
      </c>
      <c r="K34">
        <f>SUMIFS(Data[Uninstalls],Data[Month],J34)</f>
        <v>802</v>
      </c>
    </row>
    <row r="35" spans="2:11">
      <c r="B35" s="24">
        <v>44470</v>
      </c>
      <c r="C35" t="s">
        <v>215</v>
      </c>
      <c r="D35" s="25">
        <v>6032</v>
      </c>
      <c r="E35" s="25">
        <v>120</v>
      </c>
      <c r="F35" s="25">
        <v>65</v>
      </c>
      <c r="G35" s="25">
        <v>47</v>
      </c>
      <c r="H35" s="25">
        <v>661</v>
      </c>
      <c r="J35" s="32">
        <f>B38</f>
        <v>44501</v>
      </c>
      <c r="K35">
        <f>SUMIFS(Data[Uninstalls],Data[Month],J35)</f>
        <v>848</v>
      </c>
    </row>
    <row r="36" spans="2:11">
      <c r="B36" s="24">
        <v>44470</v>
      </c>
      <c r="C36" t="s">
        <v>216</v>
      </c>
      <c r="D36" s="25">
        <v>7092</v>
      </c>
      <c r="E36" s="25">
        <v>141</v>
      </c>
      <c r="F36" s="25">
        <v>68</v>
      </c>
      <c r="G36" s="25">
        <v>32</v>
      </c>
      <c r="H36" s="25">
        <v>590</v>
      </c>
      <c r="J36" s="32">
        <f>B48</f>
        <v>44531</v>
      </c>
      <c r="K36">
        <f>SUMIFS(Data[Uninstalls],Data[Month],J36)</f>
        <v>783</v>
      </c>
    </row>
    <row r="37" spans="2:11">
      <c r="B37" s="24">
        <v>44470</v>
      </c>
      <c r="C37" t="s">
        <v>217</v>
      </c>
      <c r="D37" s="25">
        <v>4340</v>
      </c>
      <c r="E37" s="25">
        <v>86</v>
      </c>
      <c r="F37" s="25">
        <v>76</v>
      </c>
      <c r="G37" s="25">
        <v>30</v>
      </c>
      <c r="H37" s="25">
        <v>625</v>
      </c>
    </row>
    <row r="38" spans="2:11">
      <c r="B38" s="24">
        <v>44501</v>
      </c>
      <c r="C38" t="s">
        <v>211</v>
      </c>
      <c r="D38" s="25">
        <v>7500</v>
      </c>
      <c r="E38" s="25">
        <v>150</v>
      </c>
      <c r="F38" s="25">
        <v>81</v>
      </c>
      <c r="G38" s="25">
        <v>56</v>
      </c>
      <c r="H38" s="25">
        <v>808</v>
      </c>
    </row>
    <row r="39" spans="2:11">
      <c r="B39" s="24">
        <v>44501</v>
      </c>
      <c r="C39" t="s">
        <v>212</v>
      </c>
      <c r="D39" s="25">
        <v>5520</v>
      </c>
      <c r="E39" s="25">
        <v>110</v>
      </c>
      <c r="F39" s="25">
        <v>97</v>
      </c>
      <c r="G39" s="25">
        <v>32</v>
      </c>
      <c r="H39" s="25">
        <v>761</v>
      </c>
    </row>
    <row r="40" spans="2:11">
      <c r="B40" s="24">
        <v>44501</v>
      </c>
      <c r="C40" t="s">
        <v>213</v>
      </c>
      <c r="D40" s="25">
        <v>5651</v>
      </c>
      <c r="E40" s="25">
        <v>113</v>
      </c>
      <c r="F40" s="25">
        <v>81</v>
      </c>
      <c r="G40" s="25">
        <v>40</v>
      </c>
      <c r="H40" s="25">
        <v>714</v>
      </c>
    </row>
    <row r="41" spans="2:11">
      <c r="B41" s="24">
        <v>44501</v>
      </c>
      <c r="C41" t="s">
        <v>214</v>
      </c>
      <c r="D41" s="25">
        <v>9195</v>
      </c>
      <c r="E41" s="25">
        <v>183</v>
      </c>
      <c r="F41" s="25">
        <v>117</v>
      </c>
      <c r="G41" s="25">
        <v>41</v>
      </c>
      <c r="H41" s="25">
        <v>932</v>
      </c>
    </row>
    <row r="42" spans="2:11">
      <c r="B42" s="24">
        <v>44501</v>
      </c>
      <c r="C42" t="s">
        <v>215</v>
      </c>
      <c r="D42" s="25">
        <v>7488</v>
      </c>
      <c r="E42" s="25">
        <v>149</v>
      </c>
      <c r="F42" s="25">
        <v>82</v>
      </c>
      <c r="G42" s="25">
        <v>50</v>
      </c>
      <c r="H42" s="25">
        <v>779</v>
      </c>
    </row>
    <row r="43" spans="2:11">
      <c r="B43" s="24">
        <v>44501</v>
      </c>
      <c r="C43" t="s">
        <v>216</v>
      </c>
      <c r="D43" s="25">
        <v>2849</v>
      </c>
      <c r="E43" s="25">
        <v>56</v>
      </c>
      <c r="F43" s="25">
        <v>92</v>
      </c>
      <c r="G43" s="25">
        <v>55</v>
      </c>
      <c r="H43" s="25">
        <v>867</v>
      </c>
    </row>
    <row r="44" spans="2:11">
      <c r="B44" s="24">
        <v>44501</v>
      </c>
      <c r="C44" t="s">
        <v>217</v>
      </c>
      <c r="D44" s="25">
        <v>4389</v>
      </c>
      <c r="E44" s="25">
        <v>87</v>
      </c>
      <c r="F44" s="25">
        <v>80</v>
      </c>
      <c r="G44" s="25">
        <v>51</v>
      </c>
      <c r="H44" s="25">
        <v>773</v>
      </c>
    </row>
    <row r="45" spans="2:11">
      <c r="B45" s="24">
        <v>44531</v>
      </c>
      <c r="C45" t="s">
        <v>211</v>
      </c>
      <c r="D45" s="25">
        <v>2297</v>
      </c>
      <c r="E45" s="25">
        <v>45</v>
      </c>
      <c r="F45" s="25">
        <v>76</v>
      </c>
      <c r="G45" s="25">
        <v>47</v>
      </c>
      <c r="H45" s="25">
        <v>726</v>
      </c>
    </row>
    <row r="46" spans="2:11">
      <c r="B46" s="24">
        <v>44531</v>
      </c>
      <c r="C46" t="s">
        <v>212</v>
      </c>
      <c r="D46" s="25">
        <v>5153</v>
      </c>
      <c r="E46" s="25">
        <v>103</v>
      </c>
      <c r="F46" s="25">
        <v>76</v>
      </c>
      <c r="G46" s="25">
        <v>49</v>
      </c>
      <c r="H46" s="25">
        <v>738</v>
      </c>
    </row>
    <row r="47" spans="2:11">
      <c r="B47" s="24">
        <v>44531</v>
      </c>
      <c r="C47" t="s">
        <v>213</v>
      </c>
      <c r="D47" s="25">
        <v>7752</v>
      </c>
      <c r="E47" s="25">
        <v>155</v>
      </c>
      <c r="F47" s="25">
        <v>94</v>
      </c>
      <c r="G47" s="25">
        <v>39</v>
      </c>
      <c r="H47" s="25">
        <v>785</v>
      </c>
    </row>
    <row r="48" spans="2:11">
      <c r="B48" s="24">
        <v>44531</v>
      </c>
      <c r="C48" t="s">
        <v>214</v>
      </c>
      <c r="D48" s="25">
        <v>5132</v>
      </c>
      <c r="E48" s="25">
        <v>102</v>
      </c>
      <c r="F48" s="25">
        <v>75</v>
      </c>
      <c r="G48" s="25">
        <v>46</v>
      </c>
      <c r="H48" s="25">
        <v>714</v>
      </c>
    </row>
    <row r="49" spans="1:11">
      <c r="B49" s="24">
        <v>44531</v>
      </c>
      <c r="C49" t="s">
        <v>215</v>
      </c>
      <c r="D49" s="25">
        <v>6882</v>
      </c>
      <c r="E49" s="25">
        <v>137</v>
      </c>
      <c r="F49" s="25">
        <v>132</v>
      </c>
      <c r="G49" s="25">
        <v>30</v>
      </c>
      <c r="H49" s="25">
        <v>956</v>
      </c>
    </row>
    <row r="50" spans="1:11">
      <c r="B50" s="24">
        <v>44531</v>
      </c>
      <c r="C50" t="s">
        <v>216</v>
      </c>
      <c r="D50" s="25">
        <v>6420</v>
      </c>
      <c r="E50" s="25">
        <v>128</v>
      </c>
      <c r="F50" s="25">
        <v>77</v>
      </c>
      <c r="G50" s="25">
        <v>52</v>
      </c>
      <c r="H50" s="25">
        <v>761</v>
      </c>
    </row>
    <row r="51" spans="1:11">
      <c r="B51" s="24">
        <v>44531</v>
      </c>
      <c r="C51" t="s">
        <v>217</v>
      </c>
      <c r="D51" s="25">
        <v>5694</v>
      </c>
      <c r="E51" s="25">
        <v>113</v>
      </c>
      <c r="F51" s="25">
        <v>56</v>
      </c>
      <c r="G51" s="25">
        <v>55</v>
      </c>
      <c r="H51" s="25">
        <v>655</v>
      </c>
    </row>
    <row r="54" spans="1:11" ht="15.75">
      <c r="B54" s="42" t="s">
        <v>395</v>
      </c>
      <c r="C54" t="s">
        <v>400</v>
      </c>
    </row>
    <row r="56" spans="1:11">
      <c r="B56" t="s">
        <v>41</v>
      </c>
      <c r="C56" t="s">
        <v>397</v>
      </c>
      <c r="D56" t="s">
        <v>94</v>
      </c>
    </row>
    <row r="57" spans="1:11">
      <c r="B57" t="s">
        <v>327</v>
      </c>
      <c r="C57" t="s">
        <v>398</v>
      </c>
      <c r="D57">
        <v>2</v>
      </c>
    </row>
    <row r="58" spans="1:11">
      <c r="B58" t="s">
        <v>391</v>
      </c>
      <c r="C58" t="s">
        <v>399</v>
      </c>
      <c r="D58">
        <v>3</v>
      </c>
    </row>
    <row r="59" spans="1:11" ht="30">
      <c r="B59" t="s">
        <v>392</v>
      </c>
      <c r="C59" t="s">
        <v>398</v>
      </c>
      <c r="D59">
        <v>4</v>
      </c>
      <c r="E59" s="43" t="s">
        <v>401</v>
      </c>
    </row>
    <row r="60" spans="1:11">
      <c r="B60" t="s">
        <v>396</v>
      </c>
      <c r="C60" t="s">
        <v>399</v>
      </c>
      <c r="D60">
        <v>6</v>
      </c>
    </row>
    <row r="62" spans="1:11" ht="18.75">
      <c r="B62" s="44" t="s">
        <v>402</v>
      </c>
      <c r="F62" s="44" t="s">
        <v>415</v>
      </c>
    </row>
    <row r="63" spans="1:11">
      <c r="B63" t="s">
        <v>327</v>
      </c>
      <c r="C63" t="s">
        <v>391</v>
      </c>
      <c r="D63" t="s">
        <v>414</v>
      </c>
      <c r="F63" s="7" t="s">
        <v>41</v>
      </c>
      <c r="G63" s="7" t="s">
        <v>416</v>
      </c>
      <c r="H63" s="7" t="s">
        <v>417</v>
      </c>
    </row>
    <row r="64" spans="1:11">
      <c r="A64" t="s">
        <v>403</v>
      </c>
      <c r="B64" t="str">
        <f>_xlfn.CONCAT(B63," ",C63)</f>
        <v>Durga Prasad</v>
      </c>
      <c r="F64" s="7" t="s">
        <v>421</v>
      </c>
      <c r="G64" s="7" t="s">
        <v>418</v>
      </c>
      <c r="H64" s="7">
        <v>22</v>
      </c>
      <c r="K64" s="45" t="s">
        <v>426</v>
      </c>
    </row>
    <row r="65" spans="1:10">
      <c r="A65" t="s">
        <v>196</v>
      </c>
      <c r="B65" t="str">
        <f>LEFT(B64,5)</f>
        <v>Durga</v>
      </c>
      <c r="F65" s="7" t="s">
        <v>422</v>
      </c>
      <c r="G65" s="7" t="s">
        <v>419</v>
      </c>
      <c r="H65" s="7">
        <v>21</v>
      </c>
    </row>
    <row r="66" spans="1:10">
      <c r="A66" t="s">
        <v>404</v>
      </c>
      <c r="B66" t="str">
        <f>MID(B64,1,3)</f>
        <v>Dur</v>
      </c>
      <c r="F66" s="7" t="s">
        <v>423</v>
      </c>
      <c r="G66" s="7" t="s">
        <v>221</v>
      </c>
      <c r="H66" s="7">
        <v>20</v>
      </c>
    </row>
    <row r="67" spans="1:10">
      <c r="A67" t="s">
        <v>405</v>
      </c>
      <c r="B67">
        <f>LEN(B64)</f>
        <v>12</v>
      </c>
      <c r="F67" s="7" t="s">
        <v>424</v>
      </c>
      <c r="G67" s="7" t="s">
        <v>420</v>
      </c>
      <c r="H67" s="7">
        <v>20</v>
      </c>
    </row>
    <row r="68" spans="1:10">
      <c r="A68" t="s">
        <v>406</v>
      </c>
      <c r="B68">
        <f>FIND("a",B64)</f>
        <v>5</v>
      </c>
    </row>
    <row r="69" spans="1:10">
      <c r="A69" t="s">
        <v>407</v>
      </c>
      <c r="B69">
        <f>SEARCH("U",B65)</f>
        <v>2</v>
      </c>
      <c r="F69" s="45" t="s">
        <v>425</v>
      </c>
    </row>
    <row r="70" spans="1:10">
      <c r="A70" t="s">
        <v>408</v>
      </c>
      <c r="B70" t="str">
        <f>SUBSTITUTE(C63,"ad","adh")</f>
        <v>Prasadh</v>
      </c>
      <c r="F70" s="7" t="s">
        <v>41</v>
      </c>
      <c r="G70" s="7" t="s">
        <v>421</v>
      </c>
      <c r="H70" s="7" t="s">
        <v>422</v>
      </c>
      <c r="I70" s="7" t="s">
        <v>423</v>
      </c>
      <c r="J70" s="7" t="s">
        <v>424</v>
      </c>
    </row>
    <row r="71" spans="1:10">
      <c r="A71" t="s">
        <v>409</v>
      </c>
      <c r="B71" t="str">
        <f>PROPER("durga")</f>
        <v>Durga</v>
      </c>
      <c r="F71" s="7" t="s">
        <v>416</v>
      </c>
      <c r="G71" s="7" t="s">
        <v>418</v>
      </c>
      <c r="H71" s="7" t="s">
        <v>419</v>
      </c>
      <c r="I71" s="7" t="s">
        <v>221</v>
      </c>
      <c r="J71" s="7" t="s">
        <v>420</v>
      </c>
    </row>
    <row r="72" spans="1:10">
      <c r="A72" t="s">
        <v>410</v>
      </c>
      <c r="B72" t="str">
        <f>PROPER("durga")</f>
        <v>Durga</v>
      </c>
      <c r="C72" s="25" t="s">
        <v>411</v>
      </c>
      <c r="F72" s="7" t="s">
        <v>417</v>
      </c>
      <c r="G72" s="7">
        <v>20</v>
      </c>
      <c r="H72" s="7">
        <v>21</v>
      </c>
      <c r="I72" s="7">
        <v>20</v>
      </c>
      <c r="J72" s="7">
        <v>19</v>
      </c>
    </row>
    <row r="73" spans="1:10">
      <c r="A73" t="s">
        <v>412</v>
      </c>
      <c r="B73" t="str">
        <f>REPLACE(B65,2,4,"uck")</f>
        <v>Duck</v>
      </c>
    </row>
    <row r="74" spans="1:10" ht="17.25">
      <c r="A74" t="s">
        <v>413</v>
      </c>
      <c r="B74" t="str">
        <f>_xlfn.TEXTJOIN(" ",FALSE,B63,C63,D63)</f>
        <v>Durga Prasad Data Analyst</v>
      </c>
      <c r="F74" s="47" t="s">
        <v>427</v>
      </c>
    </row>
    <row r="75" spans="1:10">
      <c r="F75" s="7" t="s">
        <v>428</v>
      </c>
    </row>
    <row r="77" spans="1:10" ht="17.25">
      <c r="F77" s="46" t="str">
        <f t="array" ref="F77:J79">TRANSPOSE(F63:H67)</f>
        <v>Name</v>
      </c>
      <c r="G77" s="46" t="str">
        <v>A1</v>
      </c>
      <c r="H77" s="46" t="str">
        <v>B1</v>
      </c>
      <c r="I77" t="str">
        <v>C1</v>
      </c>
      <c r="J77" t="str">
        <v>D1</v>
      </c>
    </row>
    <row r="78" spans="1:10">
      <c r="F78" t="str">
        <v>Country</v>
      </c>
      <c r="G78" t="str">
        <v>A</v>
      </c>
      <c r="H78" t="str">
        <v>B</v>
      </c>
      <c r="I78" t="str">
        <v>C</v>
      </c>
      <c r="J78" t="str">
        <v>D</v>
      </c>
    </row>
    <row r="79" spans="1:10">
      <c r="F79" t="str">
        <v>Age</v>
      </c>
      <c r="G79">
        <v>22</v>
      </c>
      <c r="H79">
        <v>21</v>
      </c>
      <c r="I79">
        <v>20</v>
      </c>
      <c r="J79">
        <v>20</v>
      </c>
    </row>
    <row r="81" spans="1:12">
      <c r="B81" s="49" t="s">
        <v>444</v>
      </c>
    </row>
    <row r="83" spans="1:12">
      <c r="A83" t="s">
        <v>446</v>
      </c>
      <c r="B83" t="s">
        <v>445</v>
      </c>
    </row>
    <row r="84" spans="1:12">
      <c r="A84">
        <v>80.599999999999994</v>
      </c>
      <c r="B84">
        <v>90</v>
      </c>
      <c r="D84" t="s">
        <v>447</v>
      </c>
      <c r="E84" s="23">
        <f>SLOPE($B$84:$B$103,$A$84:$A$103)</f>
        <v>1.5056860138827355</v>
      </c>
    </row>
    <row r="85" spans="1:12">
      <c r="A85">
        <v>75.2</v>
      </c>
      <c r="B85">
        <v>85</v>
      </c>
      <c r="D85" t="s">
        <v>448</v>
      </c>
      <c r="E85" s="23">
        <f>INTERCEPT(B84:B103,A84:A103)</f>
        <v>-33.26081819524444</v>
      </c>
    </row>
    <row r="86" spans="1:12">
      <c r="A86">
        <v>86</v>
      </c>
      <c r="B86">
        <v>107</v>
      </c>
    </row>
    <row r="87" spans="1:12">
      <c r="A87">
        <v>75.2</v>
      </c>
      <c r="B87">
        <v>71</v>
      </c>
      <c r="D87" t="s">
        <v>450</v>
      </c>
      <c r="E87">
        <v>79</v>
      </c>
    </row>
    <row r="88" spans="1:12">
      <c r="A88">
        <v>60.8</v>
      </c>
      <c r="B88">
        <v>65</v>
      </c>
      <c r="D88" t="s">
        <v>449</v>
      </c>
      <c r="E88">
        <f>E85+E87*E84</f>
        <v>85.688376901491665</v>
      </c>
    </row>
    <row r="89" spans="1:12">
      <c r="A89">
        <v>68</v>
      </c>
      <c r="B89">
        <v>69</v>
      </c>
      <c r="H89" t="s">
        <v>451</v>
      </c>
      <c r="I89" t="s">
        <v>452</v>
      </c>
    </row>
    <row r="90" spans="1:12">
      <c r="A90">
        <v>71.599999999999994</v>
      </c>
      <c r="B90">
        <v>67</v>
      </c>
      <c r="H90">
        <v>0.5</v>
      </c>
      <c r="I90">
        <v>76</v>
      </c>
      <c r="K90" t="s">
        <v>476</v>
      </c>
    </row>
    <row r="91" spans="1:12">
      <c r="A91">
        <v>66.2</v>
      </c>
      <c r="B91">
        <v>70</v>
      </c>
      <c r="H91">
        <v>0.5</v>
      </c>
      <c r="I91">
        <v>78</v>
      </c>
      <c r="K91" t="s">
        <v>455</v>
      </c>
    </row>
    <row r="92" spans="1:12" ht="15.75" thickBot="1">
      <c r="A92">
        <v>60.8</v>
      </c>
      <c r="B92">
        <v>65</v>
      </c>
      <c r="H92">
        <v>1</v>
      </c>
      <c r="I92">
        <v>74</v>
      </c>
    </row>
    <row r="93" spans="1:12">
      <c r="A93">
        <v>78.8</v>
      </c>
      <c r="B93">
        <v>81</v>
      </c>
      <c r="H93">
        <v>1</v>
      </c>
      <c r="I93">
        <v>80</v>
      </c>
      <c r="K93" s="52" t="s">
        <v>456</v>
      </c>
      <c r="L93" s="52"/>
    </row>
    <row r="94" spans="1:12">
      <c r="A94">
        <v>78.8</v>
      </c>
      <c r="B94">
        <v>73</v>
      </c>
      <c r="H94">
        <v>1</v>
      </c>
      <c r="I94">
        <v>84</v>
      </c>
      <c r="K94" t="s">
        <v>453</v>
      </c>
      <c r="L94">
        <v>0.78231786200402875</v>
      </c>
    </row>
    <row r="95" spans="1:12">
      <c r="A95">
        <v>62.6</v>
      </c>
      <c r="B95">
        <v>64</v>
      </c>
      <c r="H95">
        <v>1.5</v>
      </c>
      <c r="I95">
        <v>79</v>
      </c>
      <c r="K95" t="s">
        <v>457</v>
      </c>
      <c r="L95">
        <v>0.61202123721055457</v>
      </c>
    </row>
    <row r="96" spans="1:12">
      <c r="A96">
        <v>75.2</v>
      </c>
      <c r="B96">
        <v>89</v>
      </c>
      <c r="H96">
        <v>2</v>
      </c>
      <c r="I96">
        <v>86</v>
      </c>
      <c r="K96" t="s">
        <v>458</v>
      </c>
      <c r="L96">
        <v>0.56891248578950515</v>
      </c>
    </row>
    <row r="97" spans="1:19">
      <c r="A97">
        <v>75.2</v>
      </c>
      <c r="B97">
        <v>79</v>
      </c>
      <c r="H97">
        <v>2.5</v>
      </c>
      <c r="I97">
        <v>90</v>
      </c>
      <c r="K97" t="s">
        <v>454</v>
      </c>
      <c r="L97">
        <v>4.4053122584302802</v>
      </c>
    </row>
    <row r="98" spans="1:19" ht="15.75" thickBot="1">
      <c r="A98">
        <v>69.8</v>
      </c>
      <c r="B98">
        <v>66</v>
      </c>
      <c r="H98">
        <v>2.5</v>
      </c>
      <c r="I98">
        <v>92</v>
      </c>
      <c r="K98" s="50" t="s">
        <v>459</v>
      </c>
      <c r="L98" s="50">
        <v>11</v>
      </c>
    </row>
    <row r="99" spans="1:19">
      <c r="A99">
        <v>64.400000000000006</v>
      </c>
      <c r="B99">
        <v>53</v>
      </c>
      <c r="H99">
        <v>3</v>
      </c>
      <c r="I99">
        <v>84</v>
      </c>
    </row>
    <row r="100" spans="1:19" ht="15.75" thickBot="1">
      <c r="A100">
        <v>71.599999999999994</v>
      </c>
      <c r="B100">
        <v>75</v>
      </c>
      <c r="H100">
        <v>3</v>
      </c>
      <c r="I100">
        <v>83</v>
      </c>
      <c r="K100" t="s">
        <v>460</v>
      </c>
    </row>
    <row r="101" spans="1:19">
      <c r="A101">
        <v>86</v>
      </c>
      <c r="B101">
        <v>99</v>
      </c>
      <c r="H101">
        <v>4</v>
      </c>
      <c r="I101">
        <v>97</v>
      </c>
      <c r="K101" s="51"/>
      <c r="L101" s="51" t="s">
        <v>464</v>
      </c>
      <c r="M101" s="51" t="s">
        <v>465</v>
      </c>
      <c r="N101" s="51" t="s">
        <v>466</v>
      </c>
      <c r="O101" s="51" t="s">
        <v>467</v>
      </c>
      <c r="P101" s="51" t="s">
        <v>468</v>
      </c>
    </row>
    <row r="102" spans="1:19">
      <c r="A102">
        <v>78.8</v>
      </c>
      <c r="B102">
        <v>81</v>
      </c>
      <c r="K102" t="s">
        <v>461</v>
      </c>
      <c r="L102">
        <v>1</v>
      </c>
      <c r="M102">
        <v>275.52083333333326</v>
      </c>
      <c r="N102">
        <v>275.52083333333326</v>
      </c>
      <c r="O102">
        <v>14.197145986272105</v>
      </c>
      <c r="P102">
        <v>4.4306931516403863E-3</v>
      </c>
    </row>
    <row r="103" spans="1:19">
      <c r="A103">
        <v>77</v>
      </c>
      <c r="B103">
        <v>88</v>
      </c>
      <c r="K103" t="s">
        <v>462</v>
      </c>
      <c r="L103">
        <v>9</v>
      </c>
      <c r="M103">
        <v>174.66098484848484</v>
      </c>
      <c r="N103">
        <v>19.406776094276093</v>
      </c>
    </row>
    <row r="104" spans="1:19" ht="15.75" thickBot="1">
      <c r="K104" s="50" t="s">
        <v>98</v>
      </c>
      <c r="L104" s="50">
        <v>10</v>
      </c>
      <c r="M104" s="50">
        <v>450.18181818181813</v>
      </c>
      <c r="N104" s="50"/>
      <c r="O104" s="50"/>
      <c r="P104" s="50"/>
    </row>
    <row r="105" spans="1:19" ht="15.75" thickBot="1"/>
    <row r="106" spans="1:19">
      <c r="B106" t="s">
        <v>455</v>
      </c>
      <c r="K106" s="51"/>
      <c r="L106" s="51" t="s">
        <v>469</v>
      </c>
      <c r="M106" s="51" t="s">
        <v>454</v>
      </c>
      <c r="N106" s="51" t="s">
        <v>470</v>
      </c>
      <c r="O106" s="51" t="s">
        <v>471</v>
      </c>
      <c r="P106" s="51" t="s">
        <v>472</v>
      </c>
      <c r="Q106" s="51" t="s">
        <v>473</v>
      </c>
      <c r="R106" s="51" t="s">
        <v>474</v>
      </c>
      <c r="S106" s="51" t="s">
        <v>475</v>
      </c>
    </row>
    <row r="107" spans="1:19" ht="15.75" thickBot="1">
      <c r="K107" t="s">
        <v>463</v>
      </c>
      <c r="L107">
        <v>74.689393939393938</v>
      </c>
      <c r="M107">
        <v>2.8693514488409431</v>
      </c>
      <c r="N107">
        <v>26.030061242433113</v>
      </c>
      <c r="O107">
        <v>8.7932246415891556E-10</v>
      </c>
      <c r="P107">
        <v>68.198470006812983</v>
      </c>
      <c r="Q107">
        <v>81.180317871974893</v>
      </c>
      <c r="R107">
        <v>68.198470006812983</v>
      </c>
      <c r="S107">
        <v>81.180317871974893</v>
      </c>
    </row>
    <row r="108" spans="1:19" ht="15.75" thickBot="1">
      <c r="B108" s="52" t="s">
        <v>456</v>
      </c>
      <c r="C108" s="52"/>
      <c r="K108" s="50">
        <v>0.5</v>
      </c>
      <c r="L108" s="50">
        <v>4.7916666666666652</v>
      </c>
      <c r="M108" s="50">
        <v>1.2717041091345405</v>
      </c>
      <c r="N108" s="50">
        <v>3.7679100289513405</v>
      </c>
      <c r="O108" s="50">
        <v>4.4306931516404019E-3</v>
      </c>
      <c r="P108" s="50">
        <v>1.9148721072280539</v>
      </c>
      <c r="Q108" s="50">
        <v>7.6684612261052765</v>
      </c>
      <c r="R108" s="50">
        <v>1.9148721072280539</v>
      </c>
      <c r="S108" s="50">
        <v>7.6684612261052765</v>
      </c>
    </row>
    <row r="109" spans="1:19">
      <c r="B109" t="s">
        <v>453</v>
      </c>
      <c r="C109">
        <v>0.86279842221775371</v>
      </c>
    </row>
    <row r="110" spans="1:19">
      <c r="B110" t="s">
        <v>457</v>
      </c>
      <c r="C110">
        <v>0.74442111738144512</v>
      </c>
    </row>
    <row r="111" spans="1:19">
      <c r="B111" t="s">
        <v>458</v>
      </c>
      <c r="C111">
        <v>0.73022229056930321</v>
      </c>
    </row>
    <row r="112" spans="1:19">
      <c r="B112" t="s">
        <v>454</v>
      </c>
      <c r="C112">
        <v>6.8870814506074165</v>
      </c>
    </row>
    <row r="113" spans="2:10" ht="15.75" thickBot="1">
      <c r="B113" s="50" t="s">
        <v>459</v>
      </c>
      <c r="C113" s="50">
        <v>20</v>
      </c>
    </row>
    <row r="115" spans="2:10" ht="15.75" thickBot="1">
      <c r="B115" t="s">
        <v>460</v>
      </c>
    </row>
    <row r="116" spans="2:10">
      <c r="B116" s="51"/>
      <c r="C116" s="51" t="s">
        <v>464</v>
      </c>
      <c r="D116" s="51" t="s">
        <v>465</v>
      </c>
      <c r="E116" s="51" t="s">
        <v>466</v>
      </c>
      <c r="F116" s="51" t="s">
        <v>467</v>
      </c>
      <c r="G116" s="51" t="s">
        <v>468</v>
      </c>
    </row>
    <row r="117" spans="2:10">
      <c r="B117" t="s">
        <v>461</v>
      </c>
      <c r="C117">
        <v>1</v>
      </c>
      <c r="D117">
        <v>2486.7759636685869</v>
      </c>
      <c r="E117">
        <v>2486.7759636685869</v>
      </c>
      <c r="F117">
        <v>52.428353921808764</v>
      </c>
      <c r="G117">
        <v>9.8378944530579641E-7</v>
      </c>
    </row>
    <row r="118" spans="2:10">
      <c r="B118" t="s">
        <v>462</v>
      </c>
      <c r="C118">
        <v>18</v>
      </c>
      <c r="D118">
        <v>853.77403633141353</v>
      </c>
      <c r="E118">
        <v>47.431890907300755</v>
      </c>
    </row>
    <row r="119" spans="2:10" ht="15.75" thickBot="1">
      <c r="B119" s="50" t="s">
        <v>98</v>
      </c>
      <c r="C119" s="50">
        <v>19</v>
      </c>
      <c r="D119" s="50">
        <v>3340.55</v>
      </c>
      <c r="E119" s="50"/>
      <c r="F119" s="50"/>
      <c r="G119" s="50"/>
    </row>
    <row r="120" spans="2:10" ht="15.75" thickBot="1"/>
    <row r="121" spans="2:10">
      <c r="B121" s="51"/>
      <c r="C121" s="51" t="s">
        <v>469</v>
      </c>
      <c r="D121" s="51" t="s">
        <v>454</v>
      </c>
      <c r="E121" s="51" t="s">
        <v>470</v>
      </c>
      <c r="F121" s="51" t="s">
        <v>471</v>
      </c>
      <c r="G121" s="51" t="s">
        <v>472</v>
      </c>
      <c r="H121" s="51" t="s">
        <v>473</v>
      </c>
      <c r="I121" s="51" t="s">
        <v>474</v>
      </c>
      <c r="J121" s="51" t="s">
        <v>475</v>
      </c>
    </row>
    <row r="122" spans="2:10">
      <c r="B122" t="s">
        <v>463</v>
      </c>
      <c r="C122">
        <v>-33.260818195244468</v>
      </c>
      <c r="D122">
        <v>15.284894261817682</v>
      </c>
      <c r="E122">
        <v>-2.1760581149934031</v>
      </c>
      <c r="F122">
        <v>4.3113404127958325E-2</v>
      </c>
      <c r="G122">
        <v>-65.373189432651003</v>
      </c>
      <c r="H122">
        <v>-1.1484469578379333</v>
      </c>
      <c r="I122">
        <v>-65.373189432651003</v>
      </c>
      <c r="J122">
        <v>-1.1484469578379333</v>
      </c>
    </row>
    <row r="123" spans="2:10" ht="15.75" thickBot="1">
      <c r="B123" s="50" t="s">
        <v>446</v>
      </c>
      <c r="C123" s="50">
        <v>1.5056860138827357</v>
      </c>
      <c r="D123" s="50">
        <v>0.20794635157753188</v>
      </c>
      <c r="E123" s="50">
        <v>7.2407426360704736</v>
      </c>
      <c r="F123" s="50">
        <v>9.8378944530579281E-7</v>
      </c>
      <c r="G123" s="50">
        <v>1.0688069406657874</v>
      </c>
      <c r="H123" s="50">
        <v>1.942565087099684</v>
      </c>
      <c r="I123" s="50">
        <v>1.0688069406657874</v>
      </c>
      <c r="J123" s="50">
        <v>1.942565087099684</v>
      </c>
    </row>
    <row r="132" spans="2:10">
      <c r="B132" t="s">
        <v>477</v>
      </c>
    </row>
    <row r="134" spans="2:10">
      <c r="B134" s="54" t="s">
        <v>478</v>
      </c>
      <c r="C134" s="54" t="s">
        <v>480</v>
      </c>
      <c r="D134" s="54" t="s">
        <v>479</v>
      </c>
      <c r="E134" s="54" t="s">
        <v>481</v>
      </c>
    </row>
    <row r="135" spans="2:10">
      <c r="B135" s="53">
        <v>80.599999999999994</v>
      </c>
      <c r="C135" s="53">
        <v>89.5</v>
      </c>
      <c r="D135" s="53">
        <v>1</v>
      </c>
      <c r="E135" s="53">
        <v>90</v>
      </c>
      <c r="H135" t="s">
        <v>483</v>
      </c>
      <c r="I135" t="s">
        <v>484</v>
      </c>
      <c r="J135" t="s">
        <v>485</v>
      </c>
    </row>
    <row r="136" spans="2:10">
      <c r="B136" s="53">
        <v>75.2</v>
      </c>
      <c r="C136" s="53">
        <v>86.4</v>
      </c>
      <c r="D136" s="53">
        <v>1</v>
      </c>
      <c r="E136" s="53">
        <v>85</v>
      </c>
      <c r="G136" t="s">
        <v>482</v>
      </c>
      <c r="H136" s="23" cm="1">
        <f t="array" ref="H136:J136">LINEST(E135:E154,B135:C154)</f>
        <v>0.80168591650350762</v>
      </c>
      <c r="I136" s="23">
        <v>0.60207749218204754</v>
      </c>
      <c r="J136" s="23">
        <v>-30.477038540807605</v>
      </c>
    </row>
    <row r="137" spans="2:10">
      <c r="B137" s="53">
        <v>86</v>
      </c>
      <c r="C137" s="53">
        <v>99.2</v>
      </c>
      <c r="D137" s="53">
        <v>2</v>
      </c>
      <c r="E137" s="53">
        <v>107</v>
      </c>
    </row>
    <row r="138" spans="2:10">
      <c r="B138" s="53">
        <v>75.2</v>
      </c>
      <c r="C138" s="53">
        <v>72.400000000000006</v>
      </c>
      <c r="D138" s="53">
        <v>2</v>
      </c>
      <c r="E138" s="53">
        <v>71</v>
      </c>
    </row>
    <row r="139" spans="2:10">
      <c r="B139" s="53">
        <v>60.8</v>
      </c>
      <c r="C139" s="53">
        <v>71.2</v>
      </c>
      <c r="D139" s="53">
        <v>2</v>
      </c>
      <c r="E139" s="53">
        <v>65</v>
      </c>
    </row>
    <row r="140" spans="2:10">
      <c r="B140" s="53">
        <v>68</v>
      </c>
      <c r="C140" s="53">
        <v>71</v>
      </c>
      <c r="D140" s="53">
        <v>2</v>
      </c>
      <c r="E140" s="53">
        <v>69</v>
      </c>
    </row>
    <row r="141" spans="2:10">
      <c r="B141" s="53">
        <v>71.599999999999994</v>
      </c>
      <c r="C141" s="53">
        <v>78</v>
      </c>
      <c r="D141" s="53">
        <v>1.25</v>
      </c>
      <c r="E141" s="53">
        <v>67</v>
      </c>
    </row>
    <row r="142" spans="2:10">
      <c r="B142" s="53">
        <v>66.2</v>
      </c>
      <c r="C142" s="53">
        <v>74.3</v>
      </c>
      <c r="D142" s="53">
        <v>1.5</v>
      </c>
      <c r="E142" s="53">
        <v>70</v>
      </c>
    </row>
    <row r="143" spans="2:10">
      <c r="B143" s="53">
        <v>60.8</v>
      </c>
      <c r="C143" s="53">
        <v>69.400000000000006</v>
      </c>
      <c r="D143" s="53">
        <v>1.5</v>
      </c>
      <c r="E143" s="53">
        <v>65</v>
      </c>
    </row>
    <row r="144" spans="2:10">
      <c r="B144" s="53">
        <v>78.800000000000011</v>
      </c>
      <c r="C144" s="53">
        <v>82.5</v>
      </c>
      <c r="D144" s="53">
        <v>1.5</v>
      </c>
      <c r="E144" s="53">
        <v>81</v>
      </c>
    </row>
    <row r="145" spans="2:5">
      <c r="B145" s="53">
        <v>78.800000000000011</v>
      </c>
      <c r="C145" s="53">
        <v>75.2</v>
      </c>
      <c r="D145" s="53">
        <v>1.5</v>
      </c>
      <c r="E145" s="53">
        <v>73</v>
      </c>
    </row>
    <row r="146" spans="2:5">
      <c r="B146" s="53">
        <v>62.6</v>
      </c>
      <c r="C146" s="53">
        <v>70.3</v>
      </c>
      <c r="D146" s="53">
        <v>1</v>
      </c>
      <c r="E146" s="53">
        <v>64</v>
      </c>
    </row>
    <row r="147" spans="2:5">
      <c r="B147" s="53">
        <v>75.2</v>
      </c>
      <c r="C147" s="53">
        <v>88.6</v>
      </c>
      <c r="D147" s="53">
        <v>1</v>
      </c>
      <c r="E147" s="53">
        <v>89</v>
      </c>
    </row>
    <row r="148" spans="2:5">
      <c r="B148" s="53">
        <v>75.2</v>
      </c>
      <c r="C148" s="53">
        <v>74.5</v>
      </c>
      <c r="D148" s="53">
        <v>1</v>
      </c>
      <c r="E148" s="53">
        <v>79</v>
      </c>
    </row>
    <row r="149" spans="2:5">
      <c r="B149" s="53">
        <v>69.800000000000011</v>
      </c>
      <c r="C149" s="53">
        <v>71.099999999999994</v>
      </c>
      <c r="D149" s="53">
        <v>0.75</v>
      </c>
      <c r="E149" s="53">
        <v>66</v>
      </c>
    </row>
    <row r="150" spans="2:5">
      <c r="B150" s="53">
        <v>64.400000000000006</v>
      </c>
      <c r="C150" s="53">
        <v>52.1</v>
      </c>
      <c r="D150" s="53">
        <v>0.75</v>
      </c>
      <c r="E150" s="53">
        <v>53</v>
      </c>
    </row>
    <row r="151" spans="2:5">
      <c r="B151" s="53">
        <v>71.599999999999994</v>
      </c>
      <c r="C151" s="53">
        <v>88.4</v>
      </c>
      <c r="D151" s="53">
        <v>0.75</v>
      </c>
      <c r="E151" s="53">
        <v>75</v>
      </c>
    </row>
    <row r="152" spans="2:5">
      <c r="B152" s="53">
        <v>86</v>
      </c>
      <c r="C152" s="53">
        <v>95.2</v>
      </c>
      <c r="D152" s="53">
        <v>0.75</v>
      </c>
      <c r="E152" s="53">
        <v>99</v>
      </c>
    </row>
    <row r="153" spans="2:5">
      <c r="B153" s="53">
        <v>78.800000000000011</v>
      </c>
      <c r="C153" s="53">
        <v>81.900000000000006</v>
      </c>
      <c r="D153" s="53">
        <v>2</v>
      </c>
      <c r="E153" s="53">
        <v>81</v>
      </c>
    </row>
    <row r="154" spans="2:5">
      <c r="B154" s="53">
        <v>77</v>
      </c>
      <c r="C154" s="53">
        <v>87.9</v>
      </c>
      <c r="D154" s="53">
        <v>2</v>
      </c>
      <c r="E154" s="53">
        <v>88</v>
      </c>
    </row>
  </sheetData>
  <mergeCells count="4">
    <mergeCell ref="J3:M3"/>
    <mergeCell ref="J6:M6"/>
    <mergeCell ref="J10:M10"/>
    <mergeCell ref="J13:L13"/>
  </mergeCells>
  <phoneticPr fontId="2" type="noConversion"/>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35D9F-A375-43FC-BC0A-0EC1966D9D0E}">
  <sheetPr codeName="Sheet3"/>
  <dimension ref="A1:A15"/>
  <sheetViews>
    <sheetView showGridLines="0" workbookViewId="0">
      <selection activeCell="P12" sqref="P12"/>
    </sheetView>
  </sheetViews>
  <sheetFormatPr defaultRowHeight="15"/>
  <cols>
    <col min="6" max="6" width="9.140625" customWidth="1"/>
    <col min="8" max="8" width="9.140625" customWidth="1"/>
    <col min="10" max="10" width="9.5703125" customWidth="1"/>
    <col min="11" max="12" width="9.140625" customWidth="1"/>
  </cols>
  <sheetData>
    <row r="1" spans="1:1">
      <c r="A1" t="s">
        <v>745</v>
      </c>
    </row>
    <row r="2" spans="1:1">
      <c r="A2" t="s">
        <v>794</v>
      </c>
    </row>
    <row r="3" spans="1:1">
      <c r="A3" t="s">
        <v>795</v>
      </c>
    </row>
    <row r="4" spans="1:1">
      <c r="A4" t="s">
        <v>1080</v>
      </c>
    </row>
    <row r="5" spans="1:1">
      <c r="A5" t="s">
        <v>1081</v>
      </c>
    </row>
    <row r="7" spans="1:1">
      <c r="A7" t="s">
        <v>823</v>
      </c>
    </row>
    <row r="12" spans="1:1">
      <c r="A12" s="49" t="s">
        <v>1106</v>
      </c>
    </row>
    <row r="13" spans="1:1">
      <c r="A13" t="s">
        <v>1107</v>
      </c>
    </row>
    <row r="14" spans="1:1">
      <c r="A14" t="s">
        <v>1108</v>
      </c>
    </row>
    <row r="15" spans="1:1">
      <c r="A15" t="s">
        <v>1109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25D5A-3F6A-4710-B742-116673B225BD}">
  <sheetPr codeName="Sheet11"/>
  <dimension ref="A1:AF51"/>
  <sheetViews>
    <sheetView tabSelected="1" topLeftCell="A9" workbookViewId="0">
      <selection activeCell="P48" sqref="P48"/>
    </sheetView>
  </sheetViews>
  <sheetFormatPr defaultRowHeight="15"/>
  <cols>
    <col min="7" max="8" width="11" customWidth="1"/>
  </cols>
  <sheetData>
    <row r="1" spans="1:13">
      <c r="A1" t="s">
        <v>1082</v>
      </c>
      <c r="F1" t="s">
        <v>1123</v>
      </c>
      <c r="G1" t="s">
        <v>1124</v>
      </c>
    </row>
    <row r="2" spans="1:13">
      <c r="A2" t="s">
        <v>1083</v>
      </c>
    </row>
    <row r="4" spans="1:13">
      <c r="A4" t="s">
        <v>1084</v>
      </c>
      <c r="G4" t="s">
        <v>1088</v>
      </c>
      <c r="H4" t="s">
        <v>1087</v>
      </c>
    </row>
    <row r="5" spans="1:13">
      <c r="H5" t="s">
        <v>1122</v>
      </c>
    </row>
    <row r="6" spans="1:13">
      <c r="H6" t="s">
        <v>1125</v>
      </c>
      <c r="M6" t="s">
        <v>327</v>
      </c>
    </row>
    <row r="9" spans="1:13">
      <c r="I9" t="s">
        <v>1090</v>
      </c>
      <c r="J9" t="s">
        <v>1012</v>
      </c>
    </row>
    <row r="10" spans="1:13">
      <c r="D10" t="s">
        <v>1085</v>
      </c>
      <c r="I10" t="s">
        <v>327</v>
      </c>
      <c r="J10" t="s">
        <v>418</v>
      </c>
    </row>
    <row r="11" spans="1:13">
      <c r="I11" t="s">
        <v>391</v>
      </c>
      <c r="J11" t="s">
        <v>418</v>
      </c>
    </row>
    <row r="12" spans="1:13">
      <c r="I12" t="s">
        <v>392</v>
      </c>
      <c r="J12" t="s">
        <v>418</v>
      </c>
    </row>
    <row r="14" spans="1:13">
      <c r="A14" t="s">
        <v>1086</v>
      </c>
    </row>
    <row r="16" spans="1:13">
      <c r="G16" t="s">
        <v>1089</v>
      </c>
    </row>
    <row r="18" spans="1:32">
      <c r="O18" s="49" t="s">
        <v>1092</v>
      </c>
      <c r="AA18" t="s">
        <v>1090</v>
      </c>
      <c r="AB18" t="s">
        <v>1091</v>
      </c>
      <c r="AD18" t="s">
        <v>1096</v>
      </c>
    </row>
    <row r="19" spans="1:32">
      <c r="G19" s="126" t="s">
        <v>1090</v>
      </c>
      <c r="H19" s="126" t="s">
        <v>1091</v>
      </c>
      <c r="O19" t="s">
        <v>1093</v>
      </c>
      <c r="AA19" t="s">
        <v>418</v>
      </c>
      <c r="AB19">
        <v>55</v>
      </c>
      <c r="AF19" t="s">
        <v>1097</v>
      </c>
    </row>
    <row r="20" spans="1:32">
      <c r="G20" s="127" t="s">
        <v>418</v>
      </c>
      <c r="H20" s="127">
        <v>21</v>
      </c>
      <c r="O20" t="s">
        <v>1094</v>
      </c>
      <c r="AA20" t="s">
        <v>419</v>
      </c>
      <c r="AB20">
        <v>60</v>
      </c>
      <c r="AF20">
        <f ca="1">OFFSET(AA19,2,1)</f>
        <v>73</v>
      </c>
    </row>
    <row r="21" spans="1:32">
      <c r="G21" s="127" t="s">
        <v>419</v>
      </c>
      <c r="H21" s="127">
        <v>20</v>
      </c>
      <c r="T21" t="s">
        <v>1095</v>
      </c>
      <c r="AA21" t="s">
        <v>221</v>
      </c>
      <c r="AB21">
        <v>73</v>
      </c>
    </row>
    <row r="22" spans="1:32">
      <c r="G22" s="127" t="s">
        <v>221</v>
      </c>
      <c r="H22" s="127">
        <v>25</v>
      </c>
      <c r="AA22" t="s">
        <v>420</v>
      </c>
      <c r="AB22">
        <v>71</v>
      </c>
    </row>
    <row r="23" spans="1:32">
      <c r="AA23" t="s">
        <v>886</v>
      </c>
      <c r="AB23">
        <v>69</v>
      </c>
    </row>
    <row r="24" spans="1:32">
      <c r="S24" t="s">
        <v>1098</v>
      </c>
    </row>
    <row r="25" spans="1:32">
      <c r="S25" t="s">
        <v>1101</v>
      </c>
    </row>
    <row r="26" spans="1:32">
      <c r="H26" t="s">
        <v>1114</v>
      </c>
      <c r="J26">
        <v>5</v>
      </c>
      <c r="K26">
        <v>4</v>
      </c>
      <c r="S26" t="s">
        <v>1100</v>
      </c>
      <c r="T26" t="s">
        <v>1099</v>
      </c>
    </row>
    <row r="27" spans="1:32">
      <c r="J27" t="s">
        <v>1110</v>
      </c>
      <c r="K27">
        <v>9</v>
      </c>
    </row>
    <row r="28" spans="1:32">
      <c r="J28" t="s">
        <v>1111</v>
      </c>
      <c r="K28">
        <v>1</v>
      </c>
    </row>
    <row r="29" spans="1:32">
      <c r="A29" s="49" t="s">
        <v>1102</v>
      </c>
      <c r="G29" s="49" t="s">
        <v>1115</v>
      </c>
      <c r="J29" t="s">
        <v>1112</v>
      </c>
      <c r="K29">
        <v>20</v>
      </c>
    </row>
    <row r="30" spans="1:32" ht="19.5">
      <c r="J30" s="129" t="s">
        <v>1113</v>
      </c>
      <c r="K30">
        <v>1.25</v>
      </c>
    </row>
    <row r="34" spans="1:12">
      <c r="I34">
        <v>89</v>
      </c>
      <c r="J34" s="128" t="s">
        <v>419</v>
      </c>
    </row>
    <row r="35" spans="1:12">
      <c r="I35">
        <v>91</v>
      </c>
      <c r="J35" s="128" t="s">
        <v>418</v>
      </c>
    </row>
    <row r="36" spans="1:12">
      <c r="I36">
        <v>50</v>
      </c>
      <c r="J36" s="128" t="s">
        <v>221</v>
      </c>
    </row>
    <row r="38" spans="1:12" ht="19.5">
      <c r="L38" s="129"/>
    </row>
    <row r="42" spans="1:12">
      <c r="A42" s="49" t="s">
        <v>1103</v>
      </c>
      <c r="D42" t="s">
        <v>1105</v>
      </c>
    </row>
    <row r="43" spans="1:12">
      <c r="A43" t="s">
        <v>1104</v>
      </c>
      <c r="E43" t="b" cm="1">
        <f t="array" ref="E43">like_strings("abc","ac")</f>
        <v>0</v>
      </c>
    </row>
    <row r="45" spans="1:12">
      <c r="A45" t="s">
        <v>41</v>
      </c>
      <c r="B45" t="s">
        <v>1116</v>
      </c>
      <c r="C45" t="s">
        <v>1117</v>
      </c>
      <c r="D45" t="s">
        <v>409</v>
      </c>
      <c r="E45" t="s">
        <v>405</v>
      </c>
    </row>
    <row r="46" spans="1:12">
      <c r="A46" t="s">
        <v>327</v>
      </c>
      <c r="B46" t="s">
        <v>411</v>
      </c>
      <c r="C46" t="s">
        <v>1118</v>
      </c>
      <c r="D46" t="s">
        <v>327</v>
      </c>
      <c r="E46">
        <v>5</v>
      </c>
    </row>
    <row r="47" spans="1:12">
      <c r="A47" t="s">
        <v>1119</v>
      </c>
      <c r="B47" t="s">
        <v>327</v>
      </c>
      <c r="C47" t="s">
        <v>1120</v>
      </c>
      <c r="D47" t="s">
        <v>1121</v>
      </c>
    </row>
    <row r="48" spans="1:12">
      <c r="A48" s="15" t="s">
        <v>327</v>
      </c>
      <c r="B48">
        <v>0</v>
      </c>
      <c r="C48">
        <v>0</v>
      </c>
      <c r="D48" t="s">
        <v>1130</v>
      </c>
    </row>
    <row r="50" spans="1:3">
      <c r="A50" t="s">
        <v>1126</v>
      </c>
      <c r="B50" t="s">
        <v>1127</v>
      </c>
      <c r="C50" t="s">
        <v>1128</v>
      </c>
    </row>
    <row r="51" spans="1:3">
      <c r="A51" t="s">
        <v>1129</v>
      </c>
    </row>
  </sheetData>
  <hyperlinks>
    <hyperlink ref="A48" r:id="rId1" display="Durga@99" xr:uid="{0994CC7D-1DB4-4216-8B36-C3FE86E57EF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edit">
                <anchor moveWithCells="1" sizeWithCells="1">
                  <from>
                    <xdr:col>10</xdr:col>
                    <xdr:colOff>0</xdr:colOff>
                    <xdr:row>18</xdr:row>
                    <xdr:rowOff>9525</xdr:rowOff>
                  </from>
                  <to>
                    <xdr:col>12</xdr:col>
                    <xdr:colOff>0</xdr:colOff>
                    <xdr:row>20</xdr:row>
                    <xdr:rowOff>9525</xdr:rowOff>
                  </to>
                </anchor>
              </controlPr>
            </control>
          </mc:Choice>
        </mc:AlternateContent>
        <mc:AlternateContent xmlns:mc="http://schemas.openxmlformats.org/markup-compatibility/2006">
          <mc:Choice Requires="x14">
            <control shapeId="5123" r:id="rId5" name="Button 3">
              <controlPr defaultSize="0" print="0" autoFill="0" autoPict="0" macro="[0]!_xludf.Offset">
                <anchor moveWithCells="1" sizeWithCells="1">
                  <from>
                    <xdr:col>16</xdr:col>
                    <xdr:colOff>590550</xdr:colOff>
                    <xdr:row>20</xdr:row>
                    <xdr:rowOff>9525</xdr:rowOff>
                  </from>
                  <to>
                    <xdr:col>18</xdr:col>
                    <xdr:colOff>9525</xdr:colOff>
                    <xdr:row>21</xdr:row>
                    <xdr:rowOff>9525</xdr:rowOff>
                  </to>
                </anchor>
              </controlPr>
            </control>
          </mc:Choice>
        </mc:AlternateContent>
        <mc:AlternateContent xmlns:mc="http://schemas.openxmlformats.org/markup-compatibility/2006">
          <mc:Choice Requires="x14">
            <control shapeId="5124" r:id="rId6" name="Button 4">
              <controlPr defaultSize="0" print="0" autoFill="0" autoPict="0" macro="[0]!Range_offset">
                <anchor moveWithCells="1" sizeWithCells="1">
                  <from>
                    <xdr:col>16</xdr:col>
                    <xdr:colOff>47625</xdr:colOff>
                    <xdr:row>22</xdr:row>
                    <xdr:rowOff>38100</xdr:rowOff>
                  </from>
                  <to>
                    <xdr:col>17</xdr:col>
                    <xdr:colOff>295275</xdr:colOff>
                    <xdr:row>23</xdr:row>
                    <xdr:rowOff>152400</xdr:rowOff>
                  </to>
                </anchor>
              </controlPr>
            </control>
          </mc:Choice>
        </mc:AlternateContent>
        <mc:AlternateContent xmlns:mc="http://schemas.openxmlformats.org/markup-compatibility/2006">
          <mc:Choice Requires="x14">
            <control shapeId="5125" r:id="rId7" name="Button 5">
              <controlPr defaultSize="0" print="0" autoFill="0" autoPict="0" macro="[0]!Resize">
                <anchor moveWithCells="1" sizeWithCells="1">
                  <from>
                    <xdr:col>15</xdr:col>
                    <xdr:colOff>609600</xdr:colOff>
                    <xdr:row>24</xdr:row>
                    <xdr:rowOff>180975</xdr:rowOff>
                  </from>
                  <to>
                    <xdr:col>17</xdr:col>
                    <xdr:colOff>9525</xdr:colOff>
                    <xdr:row>26</xdr:row>
                    <xdr:rowOff>0</xdr:rowOff>
                  </to>
                </anchor>
              </controlPr>
            </control>
          </mc:Choice>
        </mc:AlternateContent>
        <mc:AlternateContent xmlns:mc="http://schemas.openxmlformats.org/markup-compatibility/2006">
          <mc:Choice Requires="x14">
            <control shapeId="5129" r:id="rId8" name="Button 9">
              <controlPr defaultSize="0" print="0" autoFill="0" autoPict="0" macro="[0]!Sheet11.addNumbers">
                <anchor moveWithCells="1" sizeWithCells="1">
                  <from>
                    <xdr:col>11</xdr:col>
                    <xdr:colOff>38100</xdr:colOff>
                    <xdr:row>28</xdr:row>
                    <xdr:rowOff>161925</xdr:rowOff>
                  </from>
                  <to>
                    <xdr:col>13</xdr:col>
                    <xdr:colOff>0</xdr:colOff>
                    <xdr:row>31</xdr:row>
                    <xdr:rowOff>19050</xdr:rowOff>
                  </to>
                </anchor>
              </controlPr>
            </control>
          </mc:Choice>
        </mc:AlternateContent>
        <mc:AlternateContent xmlns:mc="http://schemas.openxmlformats.org/markup-compatibility/2006">
          <mc:Choice Requires="x14">
            <control shapeId="5130" r:id="rId9" name="Button 10">
              <controlPr defaultSize="0" print="0" autoFill="0" autoPict="0" macro="[0]!my_data">
                <anchor moveWithCells="1" sizeWithCells="1">
                  <from>
                    <xdr:col>9</xdr:col>
                    <xdr:colOff>19050</xdr:colOff>
                    <xdr:row>6</xdr:row>
                    <xdr:rowOff>9525</xdr:rowOff>
                  </from>
                  <to>
                    <xdr:col>10</xdr:col>
                    <xdr:colOff>76200</xdr:colOff>
                    <xdr:row>7</xdr:row>
                    <xdr:rowOff>85725</xdr:rowOff>
                  </to>
                </anchor>
              </controlPr>
            </control>
          </mc:Choice>
        </mc:AlternateContent>
        <mc:AlternateContent xmlns:mc="http://schemas.openxmlformats.org/markup-compatibility/2006">
          <mc:Choice Requires="x14">
            <control shapeId="5131" r:id="rId10" name="Button 11">
              <controlPr defaultSize="0" print="0" autoFill="0" autoPict="0" macro="[0]!copy_paste">
                <anchor moveWithCells="1" sizeWithCells="1">
                  <from>
                    <xdr:col>9</xdr:col>
                    <xdr:colOff>600075</xdr:colOff>
                    <xdr:row>22</xdr:row>
                    <xdr:rowOff>0</xdr:rowOff>
                  </from>
                  <to>
                    <xdr:col>12</xdr:col>
                    <xdr:colOff>9525</xdr:colOff>
                    <xdr:row>23</xdr:row>
                    <xdr:rowOff>0</xdr:rowOff>
                  </to>
                </anchor>
              </controlPr>
            </control>
          </mc:Choice>
        </mc:AlternateContent>
        <mc:AlternateContent xmlns:mc="http://schemas.openxmlformats.org/markup-compatibility/2006">
          <mc:Choice Requires="x14">
            <control shapeId="5132" r:id="rId11" name="Button 12">
              <controlPr defaultSize="0" print="0" autoFill="0" autoPict="0" macro="[0]!calculator">
                <anchor moveWithCells="1" sizeWithCells="1">
                  <from>
                    <xdr:col>8</xdr:col>
                    <xdr:colOff>600075</xdr:colOff>
                    <xdr:row>24</xdr:row>
                    <xdr:rowOff>28575</xdr:rowOff>
                  </from>
                  <to>
                    <xdr:col>10</xdr:col>
                    <xdr:colOff>590550</xdr:colOff>
                    <xdr:row>25</xdr:row>
                    <xdr:rowOff>19050</xdr:rowOff>
                  </to>
                </anchor>
              </controlPr>
            </control>
          </mc:Choice>
        </mc:AlternateContent>
        <mc:AlternateContent xmlns:mc="http://schemas.openxmlformats.org/markup-compatibility/2006">
          <mc:Choice Requires="x14">
            <control shapeId="5133" r:id="rId12" name="Button 13">
              <controlPr defaultSize="0" print="0" autoFill="0" autoPict="0" macro="[0]!if_else">
                <anchor moveWithCells="1" sizeWithCells="1">
                  <from>
                    <xdr:col>6</xdr:col>
                    <xdr:colOff>0</xdr:colOff>
                    <xdr:row>30</xdr:row>
                    <xdr:rowOff>9525</xdr:rowOff>
                  </from>
                  <to>
                    <xdr:col>7</xdr:col>
                    <xdr:colOff>9525</xdr:colOff>
                    <xdr:row>32</xdr:row>
                    <xdr:rowOff>180975</xdr:rowOff>
                  </to>
                </anchor>
              </controlPr>
            </control>
          </mc:Choice>
        </mc:AlternateContent>
        <mc:AlternateContent xmlns:mc="http://schemas.openxmlformats.org/markup-compatibility/2006">
          <mc:Choice Requires="x14">
            <control shapeId="5134" r:id="rId13" name="Button 14">
              <controlPr defaultSize="0" print="0" autoFill="0" autoPict="0" macro="[0]!grade">
                <anchor moveWithCells="1" sizeWithCells="1">
                  <from>
                    <xdr:col>6</xdr:col>
                    <xdr:colOff>0</xdr:colOff>
                    <xdr:row>34</xdr:row>
                    <xdr:rowOff>9525</xdr:rowOff>
                  </from>
                  <to>
                    <xdr:col>7</xdr:col>
                    <xdr:colOff>9525</xdr:colOff>
                    <xdr:row>36</xdr:row>
                    <xdr:rowOff>190500</xdr:rowOff>
                  </to>
                </anchor>
              </controlPr>
            </control>
          </mc:Choice>
        </mc:AlternateContent>
        <mc:AlternateContent xmlns:mc="http://schemas.openxmlformats.org/markup-compatibility/2006">
          <mc:Choice Requires="x14">
            <control shapeId="5135" r:id="rId14" name="Button 15">
              <controlPr defaultSize="0" print="0" autoFill="0" autoPict="0" macro="[0]!fav_color">
                <anchor moveWithCells="1" sizeWithCells="1">
                  <from>
                    <xdr:col>6</xdr:col>
                    <xdr:colOff>28575</xdr:colOff>
                    <xdr:row>38</xdr:row>
                    <xdr:rowOff>28575</xdr:rowOff>
                  </from>
                  <to>
                    <xdr:col>7</xdr:col>
                    <xdr:colOff>714375</xdr:colOff>
                    <xdr:row>40</xdr:row>
                    <xdr:rowOff>38100</xdr:rowOff>
                  </to>
                </anchor>
              </controlPr>
            </control>
          </mc:Choice>
        </mc:AlternateContent>
        <mc:AlternateContent xmlns:mc="http://schemas.openxmlformats.org/markup-compatibility/2006">
          <mc:Choice Requires="x14">
            <control shapeId="5136" r:id="rId15" name="Button 16">
              <controlPr defaultSize="0" print="0" autoFill="0" autoPict="0" macro="[0]!with_use">
                <anchor moveWithCells="1" sizeWithCells="1">
                  <from>
                    <xdr:col>8</xdr:col>
                    <xdr:colOff>600075</xdr:colOff>
                    <xdr:row>38</xdr:row>
                    <xdr:rowOff>9525</xdr:rowOff>
                  </from>
                  <to>
                    <xdr:col>10</xdr:col>
                    <xdr:colOff>600075</xdr:colOff>
                    <xdr:row>40</xdr:row>
                    <xdr:rowOff>9525</xdr:rowOff>
                  </to>
                </anchor>
              </controlPr>
            </control>
          </mc:Choice>
        </mc:AlternateContent>
        <mc:AlternateContent xmlns:mc="http://schemas.openxmlformats.org/markup-compatibility/2006">
          <mc:Choice Requires="x14">
            <control shapeId="5137" r:id="rId16" name="Button 17">
              <controlPr defaultSize="0" print="0" autoFill="0" autoPict="0" macro="[0]!string_funs">
                <anchor moveWithCells="1" sizeWithCells="1">
                  <from>
                    <xdr:col>4</xdr:col>
                    <xdr:colOff>600075</xdr:colOff>
                    <xdr:row>44</xdr:row>
                    <xdr:rowOff>180975</xdr:rowOff>
                  </from>
                  <to>
                    <xdr:col>6</xdr:col>
                    <xdr:colOff>390525</xdr:colOff>
                    <xdr:row>46</xdr:row>
                    <xdr:rowOff>190500</xdr:rowOff>
                  </to>
                </anchor>
              </controlPr>
            </control>
          </mc:Choice>
        </mc:AlternateContent>
      </controls>
    </mc:Choice>
  </mc:AlternateContent>
  <tableParts count="1">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B7550-FF49-40AB-8D96-8C3491212521}">
  <sheetPr codeName="Sheet4"/>
  <dimension ref="A1:S157"/>
  <sheetViews>
    <sheetView showGridLines="0" topLeftCell="A157" workbookViewId="0">
      <selection activeCell="E163" sqref="E163"/>
    </sheetView>
  </sheetViews>
  <sheetFormatPr defaultRowHeight="15"/>
  <sheetData>
    <row r="1" spans="1:3">
      <c r="A1" s="15" t="s">
        <v>797</v>
      </c>
      <c r="B1" s="49" t="s">
        <v>796</v>
      </c>
    </row>
    <row r="4" spans="1:3">
      <c r="A4" t="s">
        <v>798</v>
      </c>
    </row>
    <row r="5" spans="1:3">
      <c r="A5" t="s">
        <v>799</v>
      </c>
    </row>
    <row r="9" spans="1:3">
      <c r="A9" s="155" t="s">
        <v>819</v>
      </c>
      <c r="B9" s="156"/>
      <c r="C9" s="156"/>
    </row>
    <row r="10" spans="1:3">
      <c r="A10" t="s">
        <v>850</v>
      </c>
    </row>
    <row r="11" spans="1:3">
      <c r="A11" t="s">
        <v>830</v>
      </c>
      <c r="B11" s="90"/>
      <c r="C11" s="100"/>
    </row>
    <row r="12" spans="1:3">
      <c r="A12" t="s">
        <v>820</v>
      </c>
    </row>
    <row r="13" spans="1:3">
      <c r="A13" t="s">
        <v>824</v>
      </c>
    </row>
    <row r="14" spans="1:3">
      <c r="A14" t="s">
        <v>821</v>
      </c>
    </row>
    <row r="16" spans="1:3">
      <c r="A16" t="s">
        <v>818</v>
      </c>
    </row>
    <row r="17" spans="1:19">
      <c r="A17" t="s">
        <v>825</v>
      </c>
    </row>
    <row r="18" spans="1:19">
      <c r="A18" t="s">
        <v>822</v>
      </c>
      <c r="N18" s="99" t="s">
        <v>392</v>
      </c>
      <c r="O18" s="14" t="s">
        <v>327</v>
      </c>
      <c r="P18" s="11" t="s">
        <v>391</v>
      </c>
      <c r="Q18" t="s">
        <v>828</v>
      </c>
      <c r="R18" s="4" t="s">
        <v>827</v>
      </c>
      <c r="S18" s="4"/>
    </row>
    <row r="20" spans="1:19">
      <c r="A20" t="s">
        <v>826</v>
      </c>
    </row>
    <row r="21" spans="1:19">
      <c r="A21" t="s">
        <v>829</v>
      </c>
    </row>
    <row r="23" spans="1:19">
      <c r="A23" t="s">
        <v>831</v>
      </c>
    </row>
    <row r="24" spans="1:19">
      <c r="A24" t="s">
        <v>832</v>
      </c>
    </row>
    <row r="26" spans="1:19">
      <c r="A26" t="s">
        <v>833</v>
      </c>
    </row>
    <row r="27" spans="1:19">
      <c r="A27" s="101">
        <v>24</v>
      </c>
      <c r="B27" s="101" t="s">
        <v>834</v>
      </c>
      <c r="C27" t="s">
        <v>837</v>
      </c>
      <c r="D27" s="101" t="s">
        <v>835</v>
      </c>
      <c r="E27" t="s">
        <v>836</v>
      </c>
    </row>
    <row r="28" spans="1:19">
      <c r="A28" t="s">
        <v>838</v>
      </c>
    </row>
    <row r="30" spans="1:19">
      <c r="A30" t="s">
        <v>839</v>
      </c>
    </row>
    <row r="31" spans="1:19">
      <c r="A31" t="s">
        <v>841</v>
      </c>
    </row>
    <row r="32" spans="1:19">
      <c r="A32" t="s">
        <v>840</v>
      </c>
    </row>
    <row r="33" spans="1:12">
      <c r="A33" t="s">
        <v>843</v>
      </c>
    </row>
    <row r="34" spans="1:12">
      <c r="A34" t="s">
        <v>842</v>
      </c>
    </row>
    <row r="35" spans="1:12">
      <c r="A35" t="s">
        <v>844</v>
      </c>
    </row>
    <row r="37" spans="1:12">
      <c r="A37" t="s">
        <v>845</v>
      </c>
    </row>
    <row r="38" spans="1:12">
      <c r="A38" t="s">
        <v>846</v>
      </c>
    </row>
    <row r="40" spans="1:12">
      <c r="A40" t="s">
        <v>847</v>
      </c>
    </row>
    <row r="41" spans="1:12">
      <c r="A41" t="s">
        <v>849</v>
      </c>
    </row>
    <row r="42" spans="1:12">
      <c r="A42" t="s">
        <v>848</v>
      </c>
      <c r="L42" t="s">
        <v>855</v>
      </c>
    </row>
    <row r="43" spans="1:12">
      <c r="A43" t="s">
        <v>851</v>
      </c>
      <c r="L43" t="s">
        <v>856</v>
      </c>
    </row>
    <row r="44" spans="1:12">
      <c r="A44" t="s">
        <v>852</v>
      </c>
    </row>
    <row r="45" spans="1:12">
      <c r="L45" t="s">
        <v>857</v>
      </c>
    </row>
    <row r="46" spans="1:12">
      <c r="A46" t="s">
        <v>853</v>
      </c>
      <c r="L46" t="s">
        <v>858</v>
      </c>
    </row>
    <row r="47" spans="1:12">
      <c r="A47" t="s">
        <v>854</v>
      </c>
    </row>
    <row r="50" spans="1:9">
      <c r="I50" t="s">
        <v>859</v>
      </c>
    </row>
    <row r="51" spans="1:9">
      <c r="I51" t="s">
        <v>860</v>
      </c>
    </row>
    <row r="52" spans="1:9">
      <c r="I52" t="s">
        <v>862</v>
      </c>
    </row>
    <row r="53" spans="1:9">
      <c r="I53" t="s">
        <v>861</v>
      </c>
    </row>
    <row r="57" spans="1:9">
      <c r="I57" t="s">
        <v>863</v>
      </c>
    </row>
    <row r="58" spans="1:9">
      <c r="I58" t="s">
        <v>864</v>
      </c>
    </row>
    <row r="59" spans="1:9">
      <c r="I59" t="s">
        <v>865</v>
      </c>
    </row>
    <row r="60" spans="1:9">
      <c r="B60" s="45"/>
      <c r="C60" s="45"/>
      <c r="I60" t="s">
        <v>866</v>
      </c>
    </row>
    <row r="61" spans="1:9">
      <c r="A61" s="45" t="s">
        <v>867</v>
      </c>
    </row>
    <row r="62" spans="1:9">
      <c r="A62" t="s">
        <v>868</v>
      </c>
    </row>
    <row r="63" spans="1:9">
      <c r="A63" t="s">
        <v>873</v>
      </c>
    </row>
    <row r="65" spans="1:15">
      <c r="A65" t="s">
        <v>869</v>
      </c>
    </row>
    <row r="66" spans="1:15">
      <c r="A66" t="s">
        <v>870</v>
      </c>
    </row>
    <row r="68" spans="1:15">
      <c r="A68" t="s">
        <v>871</v>
      </c>
    </row>
    <row r="69" spans="1:15">
      <c r="A69" t="s">
        <v>872</v>
      </c>
    </row>
    <row r="71" spans="1:15">
      <c r="A71" t="s">
        <v>874</v>
      </c>
      <c r="O71" t="s">
        <v>880</v>
      </c>
    </row>
    <row r="72" spans="1:15">
      <c r="A72" t="s">
        <v>875</v>
      </c>
      <c r="O72" t="s">
        <v>881</v>
      </c>
    </row>
    <row r="73" spans="1:15">
      <c r="A73" t="s">
        <v>876</v>
      </c>
      <c r="O73" t="s">
        <v>882</v>
      </c>
    </row>
    <row r="74" spans="1:15">
      <c r="A74" t="s">
        <v>877</v>
      </c>
    </row>
    <row r="76" spans="1:15">
      <c r="A76" t="s">
        <v>878</v>
      </c>
    </row>
    <row r="77" spans="1:15">
      <c r="A77" t="s">
        <v>879</v>
      </c>
    </row>
    <row r="91" spans="1:11">
      <c r="A91" t="s">
        <v>883</v>
      </c>
    </row>
    <row r="92" spans="1:11">
      <c r="A92" t="s">
        <v>916</v>
      </c>
    </row>
    <row r="93" spans="1:11">
      <c r="A93" t="s">
        <v>884</v>
      </c>
    </row>
    <row r="94" spans="1:11">
      <c r="A94" t="s">
        <v>909</v>
      </c>
      <c r="K94" t="s">
        <v>911</v>
      </c>
    </row>
    <row r="95" spans="1:11">
      <c r="A95" t="s">
        <v>910</v>
      </c>
      <c r="K95" t="s">
        <v>912</v>
      </c>
    </row>
    <row r="98" spans="1:14">
      <c r="K98" t="s">
        <v>913</v>
      </c>
    </row>
    <row r="99" spans="1:14">
      <c r="K99" t="s">
        <v>914</v>
      </c>
    </row>
    <row r="101" spans="1:14">
      <c r="K101" t="s">
        <v>915</v>
      </c>
    </row>
    <row r="109" spans="1:14">
      <c r="A109" t="s">
        <v>939</v>
      </c>
    </row>
    <row r="110" spans="1:14">
      <c r="A110" t="s">
        <v>938</v>
      </c>
    </row>
    <row r="111" spans="1:14">
      <c r="K111" t="s">
        <v>937</v>
      </c>
    </row>
    <row r="112" spans="1:14">
      <c r="A112" t="s">
        <v>940</v>
      </c>
      <c r="L112" s="7" t="s">
        <v>917</v>
      </c>
      <c r="M112" s="7" t="s">
        <v>918</v>
      </c>
      <c r="N112" s="7" t="s">
        <v>931</v>
      </c>
    </row>
    <row r="113" spans="1:14">
      <c r="A113" t="s">
        <v>942</v>
      </c>
      <c r="L113" s="107" t="s">
        <v>919</v>
      </c>
      <c r="M113" s="107" t="s">
        <v>925</v>
      </c>
      <c r="N113" s="107" t="s">
        <v>327</v>
      </c>
    </row>
    <row r="114" spans="1:14">
      <c r="A114" t="s">
        <v>943</v>
      </c>
      <c r="L114" s="107" t="s">
        <v>920</v>
      </c>
      <c r="M114" s="107" t="s">
        <v>926</v>
      </c>
      <c r="N114" s="107" t="s">
        <v>933</v>
      </c>
    </row>
    <row r="115" spans="1:14">
      <c r="L115" s="107" t="s">
        <v>921</v>
      </c>
      <c r="M115" s="107" t="s">
        <v>927</v>
      </c>
      <c r="N115" s="107" t="s">
        <v>934</v>
      </c>
    </row>
    <row r="116" spans="1:14">
      <c r="H116" t="s">
        <v>941</v>
      </c>
      <c r="L116" s="107" t="s">
        <v>922</v>
      </c>
      <c r="M116" s="107" t="s">
        <v>928</v>
      </c>
      <c r="N116" s="107" t="s">
        <v>932</v>
      </c>
    </row>
    <row r="117" spans="1:14">
      <c r="L117" s="107" t="s">
        <v>923</v>
      </c>
      <c r="M117" s="107" t="s">
        <v>929</v>
      </c>
      <c r="N117" s="107" t="s">
        <v>935</v>
      </c>
    </row>
    <row r="118" spans="1:14">
      <c r="L118" s="107" t="s">
        <v>924</v>
      </c>
      <c r="M118" s="107" t="s">
        <v>930</v>
      </c>
      <c r="N118" s="107" t="s">
        <v>936</v>
      </c>
    </row>
    <row r="122" spans="1:14">
      <c r="A122" t="s">
        <v>944</v>
      </c>
    </row>
    <row r="123" spans="1:14">
      <c r="A123" t="s">
        <v>945</v>
      </c>
    </row>
    <row r="124" spans="1:14">
      <c r="A124" t="s">
        <v>946</v>
      </c>
    </row>
    <row r="127" spans="1:14">
      <c r="A127" t="s">
        <v>947</v>
      </c>
    </row>
    <row r="137" spans="1:1">
      <c r="A137" t="s">
        <v>948</v>
      </c>
    </row>
    <row r="138" spans="1:1">
      <c r="A138" t="s">
        <v>949</v>
      </c>
    </row>
    <row r="140" spans="1:1">
      <c r="A140" t="s">
        <v>950</v>
      </c>
    </row>
    <row r="147" spans="1:6">
      <c r="F147" t="s">
        <v>951</v>
      </c>
    </row>
    <row r="150" spans="1:6">
      <c r="A150" t="s">
        <v>952</v>
      </c>
    </row>
    <row r="152" spans="1:6">
      <c r="A152" t="s">
        <v>953</v>
      </c>
    </row>
    <row r="153" spans="1:6">
      <c r="A153" t="s">
        <v>954</v>
      </c>
    </row>
    <row r="154" spans="1:6">
      <c r="A154" t="s">
        <v>955</v>
      </c>
    </row>
    <row r="155" spans="1:6">
      <c r="A155" t="s">
        <v>956</v>
      </c>
    </row>
    <row r="157" spans="1:6">
      <c r="A157" t="s">
        <v>957</v>
      </c>
    </row>
  </sheetData>
  <mergeCells count="1">
    <mergeCell ref="A9:C9"/>
  </mergeCells>
  <hyperlinks>
    <hyperlink ref="A1" r:id="rId1" xr:uid="{41DAA4B7-9DB9-4008-AEB4-48FBA0396CE1}"/>
  </hyperlinks>
  <pageMargins left="0.7" right="0.7" top="0.75" bottom="0.75" header="0.3" footer="0.3"/>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CB46-7A49-456D-AEDB-B2A06C3976F6}">
  <sheetPr codeName="Sheet5"/>
  <dimension ref="A1:S70"/>
  <sheetViews>
    <sheetView topLeftCell="A58" workbookViewId="0">
      <selection activeCell="F74" sqref="F74"/>
    </sheetView>
  </sheetViews>
  <sheetFormatPr defaultRowHeight="15"/>
  <cols>
    <col min="4" max="4" width="9" customWidth="1"/>
  </cols>
  <sheetData>
    <row r="1" spans="1:19" ht="18.75">
      <c r="A1" s="157" t="s">
        <v>38</v>
      </c>
      <c r="B1" s="157"/>
    </row>
    <row r="3" spans="1:19" ht="15.75">
      <c r="A3" s="108" t="s">
        <v>958</v>
      </c>
      <c r="B3" s="109" t="s">
        <v>959</v>
      </c>
      <c r="C3" s="109" t="s">
        <v>960</v>
      </c>
      <c r="D3" s="109" t="s">
        <v>961</v>
      </c>
      <c r="G3" t="s">
        <v>992</v>
      </c>
      <c r="K3" t="s">
        <v>993</v>
      </c>
      <c r="M3" t="s">
        <v>994</v>
      </c>
    </row>
    <row r="4" spans="1:19" ht="15.75">
      <c r="A4" s="110">
        <v>610</v>
      </c>
      <c r="B4" s="111" t="s">
        <v>962</v>
      </c>
      <c r="C4" s="111" t="s">
        <v>963</v>
      </c>
      <c r="D4" s="111" t="s">
        <v>964</v>
      </c>
      <c r="G4" t="s">
        <v>94</v>
      </c>
      <c r="H4" t="s">
        <v>989</v>
      </c>
      <c r="K4" s="108" t="s">
        <v>958</v>
      </c>
      <c r="L4" s="109" t="s">
        <v>959</v>
      </c>
      <c r="M4" s="109" t="s">
        <v>960</v>
      </c>
      <c r="N4" s="109" t="s">
        <v>961</v>
      </c>
      <c r="P4" s="108" t="s">
        <v>958</v>
      </c>
      <c r="Q4" s="109" t="s">
        <v>959</v>
      </c>
      <c r="R4" s="109" t="s">
        <v>960</v>
      </c>
      <c r="S4" s="109" t="s">
        <v>961</v>
      </c>
    </row>
    <row r="5" spans="1:19">
      <c r="A5" s="110">
        <v>798</v>
      </c>
      <c r="B5" s="111" t="s">
        <v>965</v>
      </c>
      <c r="C5" s="111" t="s">
        <v>966</v>
      </c>
      <c r="D5" s="111" t="s">
        <v>967</v>
      </c>
      <c r="G5">
        <v>886</v>
      </c>
      <c r="H5" t="str">
        <f>VLOOKUP(G5,$A$4:$D$12,4,0)</f>
        <v>marilyn.bradley@acme.com</v>
      </c>
      <c r="K5">
        <v>886</v>
      </c>
      <c r="L5" t="str">
        <f>VLOOKUP(K5,$A$4:$D$12,2,0)</f>
        <v>Marilyn</v>
      </c>
      <c r="M5" t="e">
        <f t="shared" ref="M5:N5" si="0">VLOOKUP(L5,$A$4:$D$12,2,0)</f>
        <v>#N/A</v>
      </c>
      <c r="N5" t="e">
        <f t="shared" si="0"/>
        <v>#N/A</v>
      </c>
      <c r="P5">
        <v>886</v>
      </c>
      <c r="Q5" t="str">
        <f>VLOOKUP($P5,$A$4:$D$12,COLUMNS($A$3:B3),0)</f>
        <v>Marilyn</v>
      </c>
      <c r="R5" t="str">
        <f>VLOOKUP($P5,$A$4:$D$12,COLUMNS($A$3:C3),0)</f>
        <v>Bradley</v>
      </c>
      <c r="S5" t="str">
        <f>VLOOKUP($P5,$A$4:$D$12,COLUMNS($A$3:D3),0)</f>
        <v>marilyn.bradley@acme.com</v>
      </c>
    </row>
    <row r="6" spans="1:19">
      <c r="A6" s="110">
        <v>841</v>
      </c>
      <c r="B6" s="111" t="s">
        <v>968</v>
      </c>
      <c r="C6" s="111" t="s">
        <v>969</v>
      </c>
      <c r="D6" s="111" t="s">
        <v>970</v>
      </c>
      <c r="G6">
        <v>841</v>
      </c>
      <c r="H6" t="str">
        <f>VLOOKUP(G6,$A$4:$D$12,4,0)</f>
        <v>evelyn.monet@acme.com</v>
      </c>
      <c r="K6">
        <v>798</v>
      </c>
      <c r="L6" t="str">
        <f>VLOOKUP(K6,$A$4:$D$12,2,0)</f>
        <v>Steven</v>
      </c>
      <c r="P6">
        <v>798</v>
      </c>
      <c r="Q6" t="str">
        <f>VLOOKUP($P6,$A$4:$D$12,COLUMNS($A$3:B4),0)</f>
        <v>Steven</v>
      </c>
      <c r="R6" t="str">
        <f>VLOOKUP($P6,$A$4:$D$12,COLUMNS($A$3:C4),0)</f>
        <v>Batista</v>
      </c>
      <c r="S6" t="str">
        <f>VLOOKUP($P6,$A$4:$D$12,COLUMNS($A$3:D4),0)</f>
        <v>steven.batista@acme.com</v>
      </c>
    </row>
    <row r="7" spans="1:19">
      <c r="A7" s="110">
        <v>886</v>
      </c>
      <c r="B7" s="111" t="s">
        <v>971</v>
      </c>
      <c r="C7" s="111" t="s">
        <v>972</v>
      </c>
      <c r="D7" s="111" t="s">
        <v>973</v>
      </c>
      <c r="K7">
        <v>622</v>
      </c>
      <c r="L7" t="str">
        <f>VLOOKUP(K7,$A$4:$D$12,2,0)</f>
        <v>Jonathan</v>
      </c>
      <c r="P7">
        <v>622</v>
      </c>
      <c r="Q7" t="str">
        <f>VLOOKUP($P7,$A$4:$D$12,COLUMNS($A$3:B5),0)</f>
        <v>Jonathan</v>
      </c>
      <c r="R7" t="str">
        <f>VLOOKUP($P7,$A$4:$D$12,COLUMNS($A$3:C5),0)</f>
        <v>Adder</v>
      </c>
      <c r="S7" t="str">
        <f>VLOOKUP($P7,$A$4:$D$12,COLUMNS($A$3:D5),0)</f>
        <v>jonathan.adder@acme.com</v>
      </c>
    </row>
    <row r="8" spans="1:19">
      <c r="A8" s="110">
        <v>622</v>
      </c>
      <c r="B8" s="111" t="s">
        <v>974</v>
      </c>
      <c r="C8" s="111" t="s">
        <v>975</v>
      </c>
      <c r="D8" s="111" t="s">
        <v>976</v>
      </c>
      <c r="G8" t="s">
        <v>990</v>
      </c>
      <c r="K8">
        <v>867</v>
      </c>
      <c r="L8" t="str">
        <f>VLOOKUP(K8,$A$4:$D$12,2,0)</f>
        <v>Erica</v>
      </c>
    </row>
    <row r="9" spans="1:19">
      <c r="A9" s="110">
        <v>601</v>
      </c>
      <c r="B9" s="111" t="s">
        <v>977</v>
      </c>
      <c r="C9" s="111" t="s">
        <v>978</v>
      </c>
      <c r="D9" s="111" t="s">
        <v>979</v>
      </c>
      <c r="G9" t="s">
        <v>96</v>
      </c>
      <c r="H9" t="s">
        <v>991</v>
      </c>
      <c r="P9" t="s">
        <v>995</v>
      </c>
    </row>
    <row r="10" spans="1:19">
      <c r="A10" s="110">
        <v>869</v>
      </c>
      <c r="B10" s="111" t="s">
        <v>980</v>
      </c>
      <c r="C10" s="111" t="s">
        <v>981</v>
      </c>
      <c r="D10" s="111" t="s">
        <v>982</v>
      </c>
      <c r="G10" t="s">
        <v>781</v>
      </c>
      <c r="H10">
        <f>VLOOKUP(G10,Sheet1!$I$79:$K$84,2,0)</f>
        <v>5.8</v>
      </c>
      <c r="J10" t="s">
        <v>996</v>
      </c>
    </row>
    <row r="11" spans="1:19">
      <c r="A11" s="110">
        <v>867</v>
      </c>
      <c r="B11" s="111" t="s">
        <v>983</v>
      </c>
      <c r="C11" s="111" t="s">
        <v>984</v>
      </c>
      <c r="D11" s="111" t="s">
        <v>985</v>
      </c>
      <c r="J11" t="s">
        <v>1008</v>
      </c>
      <c r="M11">
        <f>VLOOKUP(MIN(E15:E23),E15:E23,1,0)</f>
        <v>15</v>
      </c>
    </row>
    <row r="12" spans="1:19">
      <c r="A12" s="110">
        <v>785</v>
      </c>
      <c r="B12" s="111" t="s">
        <v>986</v>
      </c>
      <c r="C12" s="111" t="s">
        <v>987</v>
      </c>
      <c r="D12" s="111" t="s">
        <v>988</v>
      </c>
      <c r="J12" t="s">
        <v>1009</v>
      </c>
      <c r="M12">
        <f>VLOOKUP(MAX(E15:E23),E15:F23,2,0)</f>
        <v>8</v>
      </c>
    </row>
    <row r="13" spans="1:19">
      <c r="J13" t="s">
        <v>1010</v>
      </c>
      <c r="M13" t="str">
        <f>VLOOKUP(AVERAGE(E15:E23),E15:G23,3,1)</f>
        <v>Antony</v>
      </c>
    </row>
    <row r="14" spans="1:19">
      <c r="E14" t="s">
        <v>997</v>
      </c>
      <c r="F14" t="s">
        <v>998</v>
      </c>
      <c r="G14" t="s">
        <v>999</v>
      </c>
    </row>
    <row r="15" spans="1:19">
      <c r="E15">
        <v>18</v>
      </c>
      <c r="F15">
        <v>1</v>
      </c>
      <c r="G15" t="s">
        <v>1000</v>
      </c>
      <c r="J15" t="s">
        <v>1020</v>
      </c>
      <c r="K15" t="s">
        <v>1018</v>
      </c>
      <c r="L15" t="s">
        <v>1019</v>
      </c>
    </row>
    <row r="16" spans="1:19">
      <c r="E16">
        <v>29</v>
      </c>
      <c r="F16">
        <v>2</v>
      </c>
      <c r="G16" t="s">
        <v>1001</v>
      </c>
      <c r="I16" t="s">
        <v>1011</v>
      </c>
      <c r="M16" t="s">
        <v>1017</v>
      </c>
      <c r="N16" t="s">
        <v>1012</v>
      </c>
    </row>
    <row r="17" spans="1:14">
      <c r="E17">
        <v>20</v>
      </c>
      <c r="F17">
        <v>3</v>
      </c>
      <c r="G17" t="s">
        <v>1002</v>
      </c>
      <c r="I17" t="s">
        <v>41</v>
      </c>
      <c r="J17" t="s">
        <v>452</v>
      </c>
      <c r="K17" t="s">
        <v>1012</v>
      </c>
      <c r="M17">
        <v>0</v>
      </c>
      <c r="N17" t="s">
        <v>467</v>
      </c>
    </row>
    <row r="18" spans="1:14">
      <c r="E18">
        <v>34</v>
      </c>
      <c r="F18">
        <v>4</v>
      </c>
      <c r="G18" t="s">
        <v>1003</v>
      </c>
      <c r="I18" t="s">
        <v>1013</v>
      </c>
      <c r="J18">
        <v>75</v>
      </c>
      <c r="K18" t="str">
        <f>VLOOKUP(J18,$M$17:$N$21,2,1)</f>
        <v>C</v>
      </c>
      <c r="M18">
        <v>60</v>
      </c>
      <c r="N18" t="s">
        <v>420</v>
      </c>
    </row>
    <row r="19" spans="1:14">
      <c r="E19">
        <v>17</v>
      </c>
      <c r="F19">
        <v>5</v>
      </c>
      <c r="G19" t="s">
        <v>781</v>
      </c>
      <c r="I19" t="s">
        <v>1014</v>
      </c>
      <c r="J19">
        <v>65</v>
      </c>
      <c r="K19" t="str">
        <f>VLOOKUP(J19,$M$17:$N$21,2,TRUE)</f>
        <v>D</v>
      </c>
      <c r="M19">
        <v>70</v>
      </c>
      <c r="N19" t="s">
        <v>221</v>
      </c>
    </row>
    <row r="20" spans="1:14">
      <c r="E20">
        <v>21</v>
      </c>
      <c r="F20">
        <v>6</v>
      </c>
      <c r="G20" t="s">
        <v>1004</v>
      </c>
      <c r="I20" t="s">
        <v>1015</v>
      </c>
      <c r="J20">
        <v>93</v>
      </c>
      <c r="K20" t="str">
        <f t="shared" ref="K20:K21" si="1">VLOOKUP(J20,$M$17:$N$21,2,1)</f>
        <v>A</v>
      </c>
      <c r="M20">
        <v>80</v>
      </c>
      <c r="N20" t="s">
        <v>419</v>
      </c>
    </row>
    <row r="21" spans="1:14">
      <c r="E21">
        <v>15</v>
      </c>
      <c r="F21">
        <v>7</v>
      </c>
      <c r="G21" t="s">
        <v>1005</v>
      </c>
      <c r="I21" t="s">
        <v>1016</v>
      </c>
      <c r="J21">
        <v>80</v>
      </c>
      <c r="K21" t="str">
        <f t="shared" si="1"/>
        <v>B</v>
      </c>
      <c r="M21">
        <v>90</v>
      </c>
      <c r="N21" t="s">
        <v>418</v>
      </c>
    </row>
    <row r="22" spans="1:14">
      <c r="E22">
        <v>35</v>
      </c>
      <c r="F22">
        <v>8</v>
      </c>
      <c r="G22" t="s">
        <v>1006</v>
      </c>
    </row>
    <row r="23" spans="1:14">
      <c r="E23">
        <v>24</v>
      </c>
      <c r="F23">
        <v>9</v>
      </c>
      <c r="G23" t="s">
        <v>1007</v>
      </c>
    </row>
    <row r="25" spans="1:14" ht="18.75">
      <c r="A25" s="157" t="s">
        <v>99</v>
      </c>
      <c r="B25" s="157"/>
    </row>
    <row r="26" spans="1:14">
      <c r="A26" t="s">
        <v>104</v>
      </c>
      <c r="B26" t="s">
        <v>107</v>
      </c>
      <c r="C26" t="s">
        <v>1056</v>
      </c>
      <c r="E26" t="s">
        <v>107</v>
      </c>
      <c r="F26">
        <v>1</v>
      </c>
      <c r="G26">
        <v>2</v>
      </c>
      <c r="H26">
        <v>3</v>
      </c>
      <c r="I26">
        <v>4</v>
      </c>
    </row>
    <row r="27" spans="1:14">
      <c r="A27" t="s">
        <v>1057</v>
      </c>
      <c r="B27">
        <v>2</v>
      </c>
      <c r="C27" t="str">
        <f>HLOOKUP(B27,$F$26:$I$27,2,0)</f>
        <v>Average</v>
      </c>
      <c r="E27" t="s">
        <v>1056</v>
      </c>
      <c r="F27" t="s">
        <v>1064</v>
      </c>
      <c r="G27" t="s">
        <v>1063</v>
      </c>
      <c r="H27" t="s">
        <v>1062</v>
      </c>
      <c r="I27" t="s">
        <v>1061</v>
      </c>
    </row>
    <row r="28" spans="1:14">
      <c r="A28" t="s">
        <v>1058</v>
      </c>
      <c r="B28">
        <v>3</v>
      </c>
      <c r="C28" t="str">
        <f t="shared" ref="C28:C30" si="2">HLOOKUP(B28,$F$26:$I$27,2,0)</f>
        <v>Good</v>
      </c>
    </row>
    <row r="29" spans="1:14">
      <c r="A29" t="s">
        <v>1059</v>
      </c>
      <c r="B29">
        <v>4</v>
      </c>
      <c r="C29" t="str">
        <f t="shared" si="2"/>
        <v>Excellent</v>
      </c>
    </row>
    <row r="30" spans="1:14">
      <c r="A30" t="s">
        <v>1060</v>
      </c>
      <c r="B30">
        <v>3</v>
      </c>
      <c r="C30" t="str">
        <f t="shared" si="2"/>
        <v>Good</v>
      </c>
    </row>
    <row r="31" spans="1:14">
      <c r="G31">
        <v>1</v>
      </c>
      <c r="H31">
        <v>2</v>
      </c>
      <c r="I31">
        <v>3</v>
      </c>
      <c r="J31">
        <v>4</v>
      </c>
      <c r="K31">
        <v>5</v>
      </c>
      <c r="L31">
        <v>6</v>
      </c>
      <c r="M31">
        <v>7</v>
      </c>
    </row>
    <row r="32" spans="1:14">
      <c r="B32" t="s">
        <v>249</v>
      </c>
      <c r="C32" t="s">
        <v>248</v>
      </c>
      <c r="D32" t="s">
        <v>1065</v>
      </c>
      <c r="G32" t="s">
        <v>1068</v>
      </c>
      <c r="H32" t="s">
        <v>1069</v>
      </c>
      <c r="I32" t="s">
        <v>1070</v>
      </c>
      <c r="J32" t="s">
        <v>1071</v>
      </c>
      <c r="K32" t="s">
        <v>1072</v>
      </c>
      <c r="L32" t="s">
        <v>1073</v>
      </c>
      <c r="M32" t="s">
        <v>1074</v>
      </c>
    </row>
    <row r="33" spans="1:13">
      <c r="A33" s="30">
        <v>37012</v>
      </c>
      <c r="B33">
        <v>21</v>
      </c>
      <c r="C33">
        <v>15</v>
      </c>
      <c r="D33">
        <v>19</v>
      </c>
      <c r="F33" t="s">
        <v>1067</v>
      </c>
      <c r="G33">
        <f>HLOOKUP("Apple",$B$32:$D$39,2,0)</f>
        <v>21</v>
      </c>
      <c r="H33">
        <f>HLOOKUP("Apple",$B$32:$D$39,3,0)</f>
        <v>25</v>
      </c>
      <c r="I33">
        <f>HLOOKUP("Apple",$B$32:$D$39,I31+1,0)</f>
        <v>30</v>
      </c>
      <c r="J33">
        <f t="shared" ref="J33:M33" si="3">HLOOKUP("Apple",$B$32:$D$39,J31+1,0)</f>
        <v>29</v>
      </c>
      <c r="K33">
        <f t="shared" si="3"/>
        <v>20</v>
      </c>
      <c r="L33">
        <f t="shared" si="3"/>
        <v>18</v>
      </c>
      <c r="M33">
        <f t="shared" si="3"/>
        <v>32</v>
      </c>
    </row>
    <row r="34" spans="1:13">
      <c r="A34" s="30">
        <v>37377</v>
      </c>
      <c r="B34">
        <v>25</v>
      </c>
      <c r="C34">
        <v>17</v>
      </c>
      <c r="D34">
        <v>20</v>
      </c>
    </row>
    <row r="35" spans="1:13">
      <c r="A35" s="30">
        <v>37742</v>
      </c>
      <c r="B35">
        <v>30</v>
      </c>
      <c r="C35">
        <v>20</v>
      </c>
      <c r="D35">
        <v>22</v>
      </c>
    </row>
    <row r="36" spans="1:13">
      <c r="A36" s="30">
        <v>38108</v>
      </c>
      <c r="B36">
        <v>29</v>
      </c>
      <c r="C36">
        <v>21</v>
      </c>
      <c r="D36">
        <v>21</v>
      </c>
    </row>
    <row r="37" spans="1:13">
      <c r="A37" s="30">
        <v>38473</v>
      </c>
      <c r="B37">
        <v>20</v>
      </c>
      <c r="C37">
        <v>18</v>
      </c>
      <c r="D37">
        <v>18</v>
      </c>
    </row>
    <row r="38" spans="1:13">
      <c r="A38" s="30">
        <v>38838</v>
      </c>
      <c r="B38">
        <v>18</v>
      </c>
      <c r="C38">
        <v>16</v>
      </c>
      <c r="D38">
        <v>16</v>
      </c>
    </row>
    <row r="39" spans="1:13">
      <c r="A39" s="30">
        <v>39203</v>
      </c>
      <c r="B39">
        <v>32</v>
      </c>
      <c r="C39">
        <v>21</v>
      </c>
      <c r="D39">
        <v>19</v>
      </c>
    </row>
    <row r="40" spans="1:13">
      <c r="A40" s="30" t="s">
        <v>1066</v>
      </c>
      <c r="B40">
        <f>SUM(B33:B39)</f>
        <v>175</v>
      </c>
      <c r="C40">
        <f t="shared" ref="C40:D40" si="4">SUM(C33:C39)</f>
        <v>128</v>
      </c>
      <c r="D40">
        <f t="shared" si="4"/>
        <v>135</v>
      </c>
    </row>
    <row r="42" spans="1:13" ht="19.5">
      <c r="A42" s="158" t="s">
        <v>1075</v>
      </c>
      <c r="B42" s="158"/>
    </row>
    <row r="43" spans="1:13">
      <c r="A43" t="s">
        <v>1025</v>
      </c>
      <c r="E43" t="s">
        <v>1021</v>
      </c>
      <c r="F43" t="s">
        <v>1022</v>
      </c>
      <c r="G43" t="s">
        <v>1023</v>
      </c>
      <c r="K43" t="s">
        <v>449</v>
      </c>
      <c r="L43" t="s">
        <v>1023</v>
      </c>
    </row>
    <row r="44" spans="1:13" ht="15.75" thickBot="1">
      <c r="E44">
        <v>1</v>
      </c>
      <c r="F44">
        <v>1000</v>
      </c>
      <c r="G44" s="31">
        <f t="shared" ref="G44:G55" si="5">VLOOKUP(F44,$K$44:$L$49,2,TRUE)</f>
        <v>0.02</v>
      </c>
      <c r="K44">
        <v>500</v>
      </c>
      <c r="L44" t="s">
        <v>1024</v>
      </c>
    </row>
    <row r="45" spans="1:13">
      <c r="A45" s="112" t="s">
        <v>41</v>
      </c>
      <c r="B45" s="113" t="s">
        <v>1026</v>
      </c>
      <c r="C45" s="114" t="s">
        <v>1027</v>
      </c>
      <c r="E45">
        <v>2</v>
      </c>
      <c r="F45">
        <v>5300</v>
      </c>
      <c r="G45" s="31">
        <f t="shared" si="5"/>
        <v>0.05</v>
      </c>
      <c r="K45">
        <v>1000</v>
      </c>
      <c r="L45" s="31">
        <v>0.02</v>
      </c>
    </row>
    <row r="46" spans="1:13">
      <c r="A46" s="115" t="s">
        <v>1028</v>
      </c>
      <c r="B46" s="116" t="s">
        <v>497</v>
      </c>
      <c r="C46" s="117" t="s">
        <v>651</v>
      </c>
      <c r="E46">
        <v>3</v>
      </c>
      <c r="F46">
        <v>9500</v>
      </c>
      <c r="G46" s="31">
        <f t="shared" si="5"/>
        <v>0.1</v>
      </c>
      <c r="K46">
        <v>2000</v>
      </c>
      <c r="L46" s="31">
        <v>0.03</v>
      </c>
    </row>
    <row r="47" spans="1:13">
      <c r="A47" s="115" t="s">
        <v>1029</v>
      </c>
      <c r="B47" s="116" t="s">
        <v>500</v>
      </c>
      <c r="C47" s="117" t="s">
        <v>1030</v>
      </c>
      <c r="E47">
        <v>4</v>
      </c>
      <c r="F47">
        <v>2000</v>
      </c>
      <c r="G47" s="31">
        <f t="shared" si="5"/>
        <v>0.03</v>
      </c>
      <c r="K47">
        <v>5000</v>
      </c>
      <c r="L47" s="31">
        <v>0.05</v>
      </c>
    </row>
    <row r="48" spans="1:13">
      <c r="A48" s="115" t="s">
        <v>1006</v>
      </c>
      <c r="B48" s="116" t="s">
        <v>1031</v>
      </c>
      <c r="C48" s="117" t="s">
        <v>638</v>
      </c>
      <c r="D48" s="121"/>
      <c r="E48">
        <v>5</v>
      </c>
      <c r="F48">
        <v>2100</v>
      </c>
      <c r="G48" s="31">
        <f t="shared" si="5"/>
        <v>0.03</v>
      </c>
      <c r="K48">
        <v>7500</v>
      </c>
      <c r="L48" s="31">
        <v>0.1</v>
      </c>
    </row>
    <row r="49" spans="1:12">
      <c r="A49" s="115" t="s">
        <v>1028</v>
      </c>
      <c r="B49" s="116" t="s">
        <v>1032</v>
      </c>
      <c r="C49" s="117" t="s">
        <v>659</v>
      </c>
      <c r="E49">
        <v>6</v>
      </c>
      <c r="F49">
        <v>8000</v>
      </c>
      <c r="G49" s="31">
        <f t="shared" si="5"/>
        <v>0.1</v>
      </c>
      <c r="K49">
        <v>10000</v>
      </c>
      <c r="L49" s="31">
        <v>0.15</v>
      </c>
    </row>
    <row r="50" spans="1:12">
      <c r="A50" s="115" t="s">
        <v>1033</v>
      </c>
      <c r="B50" s="116" t="s">
        <v>1034</v>
      </c>
      <c r="C50" s="117" t="s">
        <v>643</v>
      </c>
      <c r="E50">
        <v>7</v>
      </c>
      <c r="F50">
        <v>7500</v>
      </c>
      <c r="G50" s="31">
        <f t="shared" si="5"/>
        <v>0.1</v>
      </c>
    </row>
    <row r="51" spans="1:12">
      <c r="A51" s="115" t="s">
        <v>1035</v>
      </c>
      <c r="B51" s="116" t="s">
        <v>1036</v>
      </c>
      <c r="C51" s="117" t="s">
        <v>1030</v>
      </c>
      <c r="E51">
        <v>8</v>
      </c>
      <c r="F51">
        <v>950</v>
      </c>
      <c r="G51" s="31" t="str">
        <f t="shared" si="5"/>
        <v>no discount</v>
      </c>
    </row>
    <row r="52" spans="1:12" ht="15.75" thickBot="1">
      <c r="A52" s="118" t="s">
        <v>936</v>
      </c>
      <c r="B52" s="119" t="s">
        <v>1037</v>
      </c>
      <c r="C52" s="120" t="s">
        <v>638</v>
      </c>
      <c r="E52">
        <v>9</v>
      </c>
      <c r="F52">
        <v>1000</v>
      </c>
      <c r="G52" s="31">
        <f t="shared" si="5"/>
        <v>0.02</v>
      </c>
    </row>
    <row r="53" spans="1:12">
      <c r="E53">
        <v>10</v>
      </c>
      <c r="F53">
        <v>2000</v>
      </c>
      <c r="G53" s="31">
        <f t="shared" si="5"/>
        <v>0.03</v>
      </c>
    </row>
    <row r="54" spans="1:12">
      <c r="E54">
        <v>11</v>
      </c>
      <c r="F54">
        <v>12000</v>
      </c>
      <c r="G54" s="31">
        <f t="shared" si="5"/>
        <v>0.15</v>
      </c>
    </row>
    <row r="55" spans="1:12">
      <c r="A55" s="121" t="s">
        <v>1038</v>
      </c>
      <c r="C55" s="121" t="s">
        <v>1028</v>
      </c>
      <c r="D55" s="122" t="s">
        <v>1039</v>
      </c>
      <c r="E55">
        <v>12</v>
      </c>
      <c r="F55">
        <v>1500</v>
      </c>
      <c r="G55" s="31">
        <f t="shared" si="5"/>
        <v>0.02</v>
      </c>
    </row>
    <row r="56" spans="1:12">
      <c r="B56" t="s">
        <v>1042</v>
      </c>
      <c r="D56" t="s">
        <v>1041</v>
      </c>
    </row>
    <row r="57" spans="1:12">
      <c r="B57" t="s">
        <v>1043</v>
      </c>
      <c r="D57" t="s">
        <v>1040</v>
      </c>
    </row>
    <row r="61" spans="1:12">
      <c r="A61" t="s">
        <v>1047</v>
      </c>
    </row>
    <row r="62" spans="1:12">
      <c r="A62" s="124" t="s">
        <v>1048</v>
      </c>
    </row>
    <row r="66" spans="6:11">
      <c r="F66" t="s">
        <v>1049</v>
      </c>
      <c r="J66" t="s">
        <v>1055</v>
      </c>
    </row>
    <row r="67" spans="6:11">
      <c r="F67" t="s">
        <v>1050</v>
      </c>
      <c r="J67">
        <v>1</v>
      </c>
      <c r="K67" t="s">
        <v>1051</v>
      </c>
    </row>
    <row r="68" spans="6:11">
      <c r="F68" s="123" t="s">
        <v>1045</v>
      </c>
      <c r="J68">
        <v>-1</v>
      </c>
      <c r="K68" t="s">
        <v>1052</v>
      </c>
    </row>
    <row r="69" spans="6:11">
      <c r="F69" s="121" t="s">
        <v>1044</v>
      </c>
      <c r="J69">
        <v>2</v>
      </c>
      <c r="K69" t="s">
        <v>1053</v>
      </c>
    </row>
    <row r="70" spans="6:11">
      <c r="F70" s="121" t="s">
        <v>1046</v>
      </c>
      <c r="J70">
        <v>-2</v>
      </c>
      <c r="K70" t="s">
        <v>1054</v>
      </c>
    </row>
  </sheetData>
  <mergeCells count="3">
    <mergeCell ref="A1:B1"/>
    <mergeCell ref="A25:B25"/>
    <mergeCell ref="A42:B42"/>
  </mergeCells>
  <phoneticPr fontId="2" type="noConversion"/>
  <dataValidations count="1">
    <dataValidation type="list" allowBlank="1" showInputMessage="1" showErrorMessage="1" sqref="G5:G6 K5:K8 P5" xr:uid="{D2AD5114-636B-47A0-8E42-60B16C0F94B4}">
      <formula1>$A$4:$A$12</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C21CFD7-C80F-467F-A90D-E623B53768EB}">
          <x14:formula1>
            <xm:f>Sheet1!$I$79:$I$84</xm:f>
          </x14:formula1>
          <xm:sqref>G10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6EDB3-0C9F-4147-A916-56CA5DE4ADE1}">
  <sheetPr codeName="Sheet6"/>
  <dimension ref="A2:AG272"/>
  <sheetViews>
    <sheetView showGridLines="0" topLeftCell="A14" workbookViewId="0">
      <selection activeCell="C11" sqref="C11"/>
    </sheetView>
  </sheetViews>
  <sheetFormatPr defaultRowHeight="15"/>
  <cols>
    <col min="2" max="2" width="9.140625" customWidth="1"/>
    <col min="13" max="13" width="9.5703125" bestFit="1" customWidth="1"/>
    <col min="26" max="26" width="10" customWidth="1"/>
  </cols>
  <sheetData>
    <row r="2" spans="1:33" ht="21.75">
      <c r="A2" s="91" t="s">
        <v>800</v>
      </c>
      <c r="Y2" t="s">
        <v>587</v>
      </c>
    </row>
    <row r="3" spans="1:33" ht="18">
      <c r="A3" s="92" t="s">
        <v>801</v>
      </c>
      <c r="I3" s="93" t="s">
        <v>802</v>
      </c>
      <c r="J3" s="93" t="s">
        <v>803</v>
      </c>
      <c r="K3" s="93" t="s">
        <v>804</v>
      </c>
      <c r="L3" s="93" t="s">
        <v>805</v>
      </c>
      <c r="M3" s="95" t="s">
        <v>98</v>
      </c>
    </row>
    <row r="4" spans="1:33" ht="21.75">
      <c r="A4" s="91"/>
      <c r="H4" s="93" t="s">
        <v>326</v>
      </c>
      <c r="I4">
        <v>34</v>
      </c>
      <c r="J4">
        <v>40</v>
      </c>
      <c r="K4">
        <v>58</v>
      </c>
      <c r="L4">
        <v>18</v>
      </c>
      <c r="M4" s="10">
        <f>SUM(I4:L4)</f>
        <v>150</v>
      </c>
    </row>
    <row r="5" spans="1:33" ht="15.75">
      <c r="A5" s="96" t="s">
        <v>807</v>
      </c>
      <c r="H5" s="93" t="s">
        <v>806</v>
      </c>
      <c r="I5">
        <v>34</v>
      </c>
      <c r="J5">
        <v>52</v>
      </c>
      <c r="K5">
        <v>20</v>
      </c>
      <c r="L5">
        <v>44</v>
      </c>
      <c r="M5" s="10">
        <f>SUM(I5:L5)</f>
        <v>150</v>
      </c>
    </row>
    <row r="6" spans="1:33" ht="21.75">
      <c r="A6" s="91"/>
      <c r="B6" s="97"/>
      <c r="C6" t="s">
        <v>808</v>
      </c>
      <c r="H6" s="95" t="s">
        <v>98</v>
      </c>
      <c r="I6" s="10">
        <f>SUM(I4:I5)</f>
        <v>68</v>
      </c>
      <c r="J6" s="10">
        <f t="shared" ref="J6:M6" si="0">SUM(J4:J5)</f>
        <v>92</v>
      </c>
      <c r="K6" s="10">
        <f t="shared" si="0"/>
        <v>78</v>
      </c>
      <c r="L6" s="10">
        <f t="shared" si="0"/>
        <v>62</v>
      </c>
      <c r="M6" s="94">
        <f t="shared" si="0"/>
        <v>300</v>
      </c>
    </row>
    <row r="7" spans="1:33" ht="21.75">
      <c r="A7" s="91"/>
    </row>
    <row r="8" spans="1:33" ht="15.75">
      <c r="A8" s="96" t="s">
        <v>810</v>
      </c>
      <c r="C8">
        <f>(I5/I6)</f>
        <v>0.5</v>
      </c>
      <c r="F8" s="143" t="s">
        <v>814</v>
      </c>
      <c r="G8" s="143"/>
      <c r="H8" s="143" t="s">
        <v>815</v>
      </c>
      <c r="I8" s="143"/>
      <c r="J8" s="143" t="s">
        <v>816</v>
      </c>
      <c r="K8" s="143"/>
      <c r="L8" s="143" t="s">
        <v>817</v>
      </c>
      <c r="M8" s="143"/>
    </row>
    <row r="9" spans="1:33" ht="21.75">
      <c r="A9" s="91"/>
      <c r="F9" s="159">
        <f>I6/$M$6</f>
        <v>0.22666666666666666</v>
      </c>
      <c r="G9" s="159"/>
      <c r="H9" s="159">
        <f t="shared" ref="H9" si="1">K6/$M$6</f>
        <v>0.26</v>
      </c>
      <c r="I9" s="159"/>
      <c r="J9" s="159">
        <f>K6/$M$6</f>
        <v>0.26</v>
      </c>
      <c r="K9" s="159"/>
      <c r="L9" s="159">
        <f>L6/$M$6</f>
        <v>0.20666666666666667</v>
      </c>
      <c r="M9" s="159"/>
    </row>
    <row r="10" spans="1:33" ht="21.75">
      <c r="A10" s="91" t="s">
        <v>811</v>
      </c>
    </row>
    <row r="11" spans="1:33" ht="15.75">
      <c r="A11" s="96" t="s">
        <v>809</v>
      </c>
      <c r="C11">
        <f>F11*(I6/M4)/F9</f>
        <v>1</v>
      </c>
      <c r="E11" s="89" t="s">
        <v>812</v>
      </c>
      <c r="F11" s="40">
        <f>M4/M6</f>
        <v>0.5</v>
      </c>
      <c r="I11" s="90"/>
      <c r="J11" s="45"/>
    </row>
    <row r="12" spans="1:33" ht="21.75">
      <c r="A12" s="91"/>
      <c r="E12" s="89" t="s">
        <v>813</v>
      </c>
      <c r="F12" s="40">
        <f>M5/M6</f>
        <v>0.5</v>
      </c>
    </row>
    <row r="13" spans="1:33" ht="21.75">
      <c r="A13" s="91"/>
    </row>
    <row r="14" spans="1:33" ht="21.75">
      <c r="A14" s="91"/>
    </row>
    <row r="15" spans="1:33">
      <c r="Y15" t="s">
        <v>594</v>
      </c>
    </row>
    <row r="16" spans="1:33" ht="15.75" thickBot="1">
      <c r="A16" s="55" t="s">
        <v>510</v>
      </c>
      <c r="B16" t="s">
        <v>509</v>
      </c>
      <c r="C16" s="55" t="s">
        <v>511</v>
      </c>
      <c r="D16" t="s">
        <v>516</v>
      </c>
      <c r="Y16" s="5" t="s">
        <v>595</v>
      </c>
      <c r="Z16" s="5"/>
      <c r="AA16" s="5"/>
      <c r="AB16" s="5"/>
      <c r="AC16" s="5"/>
      <c r="AD16" s="5"/>
      <c r="AE16" s="5"/>
      <c r="AF16" s="5"/>
      <c r="AG16" s="5"/>
    </row>
    <row r="17" spans="1:33">
      <c r="A17" s="56">
        <v>6100</v>
      </c>
      <c r="B17">
        <v>130000</v>
      </c>
      <c r="C17" s="56">
        <v>6809.4000000000005</v>
      </c>
      <c r="D17">
        <f t="shared" ref="D17:D48" si="2">(C17-$H$21)/$H$22</f>
        <v>-2.3741692640284437</v>
      </c>
      <c r="Y17" s="5"/>
      <c r="Z17" s="5"/>
      <c r="AA17" s="5"/>
      <c r="AB17" s="5"/>
      <c r="AC17" s="5"/>
      <c r="AD17" s="5"/>
      <c r="AE17" s="5"/>
      <c r="AF17" s="5"/>
      <c r="AG17" s="5"/>
    </row>
    <row r="18" spans="1:33">
      <c r="A18" s="56">
        <v>5837</v>
      </c>
      <c r="B18">
        <v>114000</v>
      </c>
      <c r="C18" s="56">
        <v>6869.4000000000005</v>
      </c>
      <c r="D18">
        <f t="shared" si="2"/>
        <v>-2.3065588100057774</v>
      </c>
      <c r="Y18" t="s">
        <v>588</v>
      </c>
      <c r="AA18" t="s">
        <v>596</v>
      </c>
      <c r="AG18" s="5"/>
    </row>
    <row r="19" spans="1:33">
      <c r="A19" s="56">
        <v>5319</v>
      </c>
      <c r="B19">
        <v>107000</v>
      </c>
      <c r="C19" s="56">
        <v>6869.4000000000005</v>
      </c>
      <c r="D19">
        <f t="shared" si="2"/>
        <v>-2.3065588100057774</v>
      </c>
      <c r="F19" t="s">
        <v>514</v>
      </c>
    </row>
    <row r="20" spans="1:33">
      <c r="A20" s="56">
        <v>241</v>
      </c>
      <c r="B20">
        <v>121000</v>
      </c>
      <c r="C20" s="56">
        <v>7069.4000000000015</v>
      </c>
      <c r="D20">
        <f t="shared" si="2"/>
        <v>-2.0811906299302225</v>
      </c>
    </row>
    <row r="21" spans="1:33">
      <c r="A21" s="56">
        <v>3839</v>
      </c>
      <c r="B21">
        <v>133000</v>
      </c>
      <c r="C21" s="56">
        <v>7366.4000000000015</v>
      </c>
      <c r="D21">
        <f t="shared" si="2"/>
        <v>-1.7465188825180251</v>
      </c>
      <c r="G21" t="s">
        <v>512</v>
      </c>
      <c r="H21" s="23">
        <f>AVERAGE(C17:C96)</f>
        <v>8916.3250000000116</v>
      </c>
      <c r="Y21" t="s">
        <v>589</v>
      </c>
      <c r="AC21" t="s">
        <v>597</v>
      </c>
    </row>
    <row r="22" spans="1:33">
      <c r="A22" s="56">
        <v>8891</v>
      </c>
      <c r="B22">
        <v>140000</v>
      </c>
      <c r="C22" s="56">
        <v>7389.4</v>
      </c>
      <c r="D22">
        <f t="shared" si="2"/>
        <v>-1.7206015418093386</v>
      </c>
      <c r="G22" t="s">
        <v>513</v>
      </c>
      <c r="H22">
        <f>_xlfn.STDEV.S(C17:C96)</f>
        <v>887.43672657316029</v>
      </c>
      <c r="Y22" t="s">
        <v>598</v>
      </c>
    </row>
    <row r="23" spans="1:33">
      <c r="A23" s="56">
        <v>5543</v>
      </c>
      <c r="B23">
        <v>119000</v>
      </c>
      <c r="C23" s="56">
        <v>7541.4000000000005</v>
      </c>
      <c r="D23">
        <f t="shared" si="2"/>
        <v>-1.5493217249519167</v>
      </c>
      <c r="G23" t="s">
        <v>515</v>
      </c>
      <c r="H23">
        <f>MIN(D17:D96)</f>
        <v>-2.3741692640284437</v>
      </c>
    </row>
    <row r="24" spans="1:33">
      <c r="A24" s="56">
        <v>3028</v>
      </c>
      <c r="B24">
        <v>123000</v>
      </c>
      <c r="C24" s="56">
        <v>7738.4000000000015</v>
      </c>
      <c r="D24">
        <f t="shared" si="2"/>
        <v>-1.3273340675774952</v>
      </c>
      <c r="Y24" t="s">
        <v>590</v>
      </c>
      <c r="AA24" t="s">
        <v>592</v>
      </c>
    </row>
    <row r="25" spans="1:33">
      <c r="A25" s="56">
        <v>943</v>
      </c>
      <c r="B25">
        <v>108000</v>
      </c>
      <c r="C25" s="56">
        <v>7805.4000000000005</v>
      </c>
      <c r="D25">
        <f t="shared" si="2"/>
        <v>-1.2518357272521856</v>
      </c>
      <c r="F25" t="s">
        <v>517</v>
      </c>
      <c r="Y25" t="s">
        <v>599</v>
      </c>
    </row>
    <row r="26" spans="1:33">
      <c r="A26" s="56">
        <v>6779</v>
      </c>
      <c r="B26">
        <v>133000</v>
      </c>
      <c r="C26" s="56">
        <v>7826.4000000000005</v>
      </c>
      <c r="D26">
        <f t="shared" si="2"/>
        <v>-1.2281720683442525</v>
      </c>
      <c r="G26">
        <f>_xlfn.STDEV.S(A17:A47)/SQRT(COUNT(A17:A47))</f>
        <v>470.67506932174206</v>
      </c>
    </row>
    <row r="27" spans="1:33">
      <c r="A27" s="56">
        <v>2327</v>
      </c>
      <c r="B27">
        <v>113000</v>
      </c>
      <c r="C27" s="56">
        <v>7882.4000000000015</v>
      </c>
      <c r="D27">
        <f t="shared" si="2"/>
        <v>-1.1650689779230963</v>
      </c>
      <c r="Y27" t="s">
        <v>591</v>
      </c>
      <c r="AA27" t="s">
        <v>600</v>
      </c>
    </row>
    <row r="28" spans="1:33">
      <c r="A28" s="56">
        <v>3722</v>
      </c>
      <c r="B28">
        <v>105000</v>
      </c>
      <c r="C28" s="56">
        <v>7937.4000000000005</v>
      </c>
      <c r="D28">
        <f t="shared" si="2"/>
        <v>-1.1030927284023202</v>
      </c>
      <c r="F28" t="s">
        <v>518</v>
      </c>
      <c r="Y28" t="s">
        <v>601</v>
      </c>
    </row>
    <row r="29" spans="1:33">
      <c r="A29" s="56">
        <v>1918</v>
      </c>
      <c r="B29">
        <v>112000</v>
      </c>
      <c r="C29" s="56">
        <v>7997.4000000000005</v>
      </c>
      <c r="D29">
        <f t="shared" si="2"/>
        <v>-1.0354822743796539</v>
      </c>
      <c r="F29">
        <f>AVERAGE(B17:B56)</f>
        <v>122150</v>
      </c>
      <c r="G29" t="s">
        <v>519</v>
      </c>
    </row>
    <row r="30" spans="1:33" ht="15.75">
      <c r="A30" s="56">
        <v>4890</v>
      </c>
      <c r="B30">
        <v>113000</v>
      </c>
      <c r="C30" s="56">
        <v>8012.4000000000005</v>
      </c>
      <c r="D30">
        <f t="shared" si="2"/>
        <v>-1.0185796608739874</v>
      </c>
      <c r="Y30" s="65" t="s">
        <v>593</v>
      </c>
    </row>
    <row r="31" spans="1:33">
      <c r="A31" s="56">
        <v>4130</v>
      </c>
      <c r="B31">
        <v>129000</v>
      </c>
      <c r="C31" s="56">
        <v>8027.4000000000005</v>
      </c>
      <c r="D31">
        <f t="shared" si="2"/>
        <v>-1.001677047368321</v>
      </c>
    </row>
    <row r="32" spans="1:33">
      <c r="A32" s="56">
        <v>2725</v>
      </c>
      <c r="B32">
        <v>120000</v>
      </c>
      <c r="C32" s="56">
        <v>8103.4</v>
      </c>
      <c r="D32">
        <f t="shared" si="2"/>
        <v>-0.91603713893961147</v>
      </c>
    </row>
    <row r="33" spans="1:13">
      <c r="A33" s="56">
        <v>7677</v>
      </c>
      <c r="B33">
        <v>143000</v>
      </c>
      <c r="C33" s="56">
        <v>8109.4</v>
      </c>
      <c r="D33">
        <f t="shared" si="2"/>
        <v>-0.90927609353734484</v>
      </c>
      <c r="F33" s="2" t="s">
        <v>520</v>
      </c>
    </row>
    <row r="34" spans="1:13">
      <c r="A34" s="56">
        <v>6540</v>
      </c>
      <c r="B34">
        <v>130000</v>
      </c>
      <c r="C34" s="56">
        <v>8226.4</v>
      </c>
      <c r="D34">
        <f t="shared" si="2"/>
        <v>-0.77743570819314589</v>
      </c>
    </row>
    <row r="35" spans="1:13">
      <c r="A35" s="56">
        <v>8586</v>
      </c>
      <c r="B35">
        <v>119000</v>
      </c>
      <c r="C35" s="56">
        <v>8331.4</v>
      </c>
      <c r="D35">
        <f t="shared" si="2"/>
        <v>-0.65911741365348009</v>
      </c>
      <c r="F35" t="s">
        <v>521</v>
      </c>
      <c r="G35" t="s">
        <v>522</v>
      </c>
      <c r="H35" t="s">
        <v>523</v>
      </c>
      <c r="I35" t="s">
        <v>524</v>
      </c>
    </row>
    <row r="36" spans="1:13">
      <c r="A36" s="56">
        <v>7708</v>
      </c>
      <c r="B36">
        <v>141000</v>
      </c>
      <c r="C36" s="56">
        <v>8371.4000000000015</v>
      </c>
      <c r="D36">
        <f t="shared" si="2"/>
        <v>-0.61404377763836726</v>
      </c>
      <c r="F36">
        <v>1</v>
      </c>
      <c r="G36">
        <v>2</v>
      </c>
      <c r="H36">
        <v>1.7</v>
      </c>
      <c r="I36">
        <f>H36-G36</f>
        <v>-0.30000000000000004</v>
      </c>
      <c r="K36" t="s">
        <v>512</v>
      </c>
      <c r="L36">
        <f>AVERAGE(I36:I45)</f>
        <v>0.32999999999999996</v>
      </c>
    </row>
    <row r="37" spans="1:13">
      <c r="A37" s="56">
        <v>4786</v>
      </c>
      <c r="B37">
        <v>144000</v>
      </c>
      <c r="C37" s="56">
        <v>8469.4</v>
      </c>
      <c r="D37">
        <f t="shared" si="2"/>
        <v>-0.50361336940134793</v>
      </c>
      <c r="F37">
        <v>2</v>
      </c>
      <c r="G37">
        <v>1.4</v>
      </c>
      <c r="H37">
        <v>1.7</v>
      </c>
      <c r="I37">
        <f t="shared" ref="I37:I45" si="3">H37-G37</f>
        <v>0.30000000000000004</v>
      </c>
      <c r="K37" t="s">
        <v>513</v>
      </c>
      <c r="L37">
        <f>_xlfn.STDEV.S(I36:I45)</f>
        <v>0.45472824607426543</v>
      </c>
    </row>
    <row r="38" spans="1:13">
      <c r="A38" s="56">
        <v>7057</v>
      </c>
      <c r="B38">
        <v>124000</v>
      </c>
      <c r="C38" s="56">
        <v>8470.4000000000015</v>
      </c>
      <c r="D38">
        <f t="shared" si="2"/>
        <v>-0.5024865285009682</v>
      </c>
      <c r="F38">
        <v>3</v>
      </c>
      <c r="G38">
        <v>1.3</v>
      </c>
      <c r="H38">
        <v>1.8</v>
      </c>
      <c r="I38">
        <f t="shared" si="3"/>
        <v>0.5</v>
      </c>
    </row>
    <row r="39" spans="1:13">
      <c r="A39" s="56">
        <v>8060</v>
      </c>
      <c r="B39">
        <v>117000</v>
      </c>
      <c r="C39" s="56">
        <v>8497.4000000000015</v>
      </c>
      <c r="D39">
        <f t="shared" si="2"/>
        <v>-0.47206182419076836</v>
      </c>
      <c r="F39">
        <v>4</v>
      </c>
      <c r="G39">
        <v>1.1000000000000001</v>
      </c>
      <c r="H39">
        <v>1.3</v>
      </c>
      <c r="I39">
        <f t="shared" si="3"/>
        <v>0.19999999999999996</v>
      </c>
      <c r="K39" t="s">
        <v>525</v>
      </c>
      <c r="L39">
        <v>2.2599999999999998</v>
      </c>
    </row>
    <row r="40" spans="1:13">
      <c r="A40" s="56">
        <v>1092</v>
      </c>
      <c r="B40">
        <v>143000</v>
      </c>
      <c r="C40" s="56">
        <v>8532.4</v>
      </c>
      <c r="D40">
        <f t="shared" si="2"/>
        <v>-0.43262239267754854</v>
      </c>
      <c r="F40">
        <v>5</v>
      </c>
      <c r="G40">
        <v>1.8</v>
      </c>
      <c r="H40">
        <v>1.7</v>
      </c>
      <c r="I40">
        <f t="shared" si="3"/>
        <v>-0.10000000000000009</v>
      </c>
      <c r="K40" t="s">
        <v>526</v>
      </c>
      <c r="L40">
        <f>AVERAGE(I36:I45)</f>
        <v>0.32999999999999996</v>
      </c>
      <c r="M40" t="s">
        <v>527</v>
      </c>
    </row>
    <row r="41" spans="1:13">
      <c r="A41" s="56">
        <v>5803</v>
      </c>
      <c r="B41">
        <v>116000</v>
      </c>
      <c r="C41" s="56">
        <v>8568.4</v>
      </c>
      <c r="D41">
        <f t="shared" si="2"/>
        <v>-0.39205612026394882</v>
      </c>
      <c r="F41">
        <v>6</v>
      </c>
      <c r="G41">
        <v>1.6</v>
      </c>
      <c r="H41">
        <v>1.5</v>
      </c>
      <c r="I41">
        <f t="shared" si="3"/>
        <v>-0.10000000000000009</v>
      </c>
    </row>
    <row r="42" spans="1:13">
      <c r="A42" s="56">
        <v>8949</v>
      </c>
      <c r="B42">
        <v>143000</v>
      </c>
      <c r="C42" s="56">
        <v>8592.4</v>
      </c>
      <c r="D42">
        <f t="shared" si="2"/>
        <v>-0.36501193865488235</v>
      </c>
      <c r="F42">
        <v>7</v>
      </c>
      <c r="G42">
        <v>1.5</v>
      </c>
      <c r="H42">
        <v>1.6</v>
      </c>
      <c r="I42">
        <f t="shared" si="3"/>
        <v>0.10000000000000009</v>
      </c>
      <c r="K42" t="s">
        <v>528</v>
      </c>
      <c r="L42" s="23">
        <f>AVERAGE(I36:I45)-L39*_xlfn.STDEV.S(I36:I45)/SQRT(COUNT(I36:I45))</f>
        <v>5.0172038741470026E-3</v>
      </c>
      <c r="M42" s="57">
        <f>AVERAGE(I36:I45)+L39*_xlfn.STDEV.S(I36:I45)/SQRT(COUNT(I36:I45))</f>
        <v>0.65498279612585297</v>
      </c>
    </row>
    <row r="43" spans="1:13">
      <c r="A43" s="56">
        <v>7260</v>
      </c>
      <c r="B43">
        <v>129000</v>
      </c>
      <c r="C43" s="56">
        <v>8667.4</v>
      </c>
      <c r="D43">
        <f t="shared" si="2"/>
        <v>-0.2804988711265497</v>
      </c>
      <c r="F43">
        <v>8</v>
      </c>
      <c r="G43">
        <v>0.7</v>
      </c>
      <c r="H43">
        <v>1.7</v>
      </c>
      <c r="I43">
        <f t="shared" si="3"/>
        <v>1</v>
      </c>
    </row>
    <row r="44" spans="1:13">
      <c r="A44" s="56">
        <v>1269</v>
      </c>
      <c r="B44">
        <v>105000</v>
      </c>
      <c r="C44" s="56">
        <v>8737.4000000000015</v>
      </c>
      <c r="D44">
        <f t="shared" si="2"/>
        <v>-0.2016200081001038</v>
      </c>
      <c r="F44">
        <v>9</v>
      </c>
      <c r="G44">
        <v>0.9</v>
      </c>
      <c r="H44">
        <v>1.7</v>
      </c>
      <c r="I44">
        <f t="shared" si="3"/>
        <v>0.79999999999999993</v>
      </c>
    </row>
    <row r="45" spans="1:13">
      <c r="A45" s="56">
        <v>6643</v>
      </c>
      <c r="B45">
        <v>135000</v>
      </c>
      <c r="C45" s="56">
        <v>8744.4000000000015</v>
      </c>
      <c r="D45">
        <f t="shared" si="2"/>
        <v>-0.19373212179745944</v>
      </c>
      <c r="F45">
        <v>10</v>
      </c>
      <c r="G45">
        <v>1.5</v>
      </c>
      <c r="H45">
        <v>2.4</v>
      </c>
      <c r="I45">
        <f t="shared" si="3"/>
        <v>0.89999999999999991</v>
      </c>
    </row>
    <row r="46" spans="1:13">
      <c r="A46" s="56">
        <v>582</v>
      </c>
      <c r="B46">
        <v>109000</v>
      </c>
      <c r="C46" s="56">
        <v>8748.4</v>
      </c>
      <c r="D46">
        <f t="shared" si="2"/>
        <v>-0.18922475819595039</v>
      </c>
    </row>
    <row r="47" spans="1:13">
      <c r="A47" s="56">
        <v>5864</v>
      </c>
      <c r="B47">
        <v>105000</v>
      </c>
      <c r="C47" s="56">
        <v>8761.4000000000015</v>
      </c>
      <c r="D47">
        <f t="shared" si="2"/>
        <v>-0.17457582649103734</v>
      </c>
    </row>
    <row r="48" spans="1:13">
      <c r="B48">
        <v>133000</v>
      </c>
      <c r="C48" s="56">
        <v>8783.4000000000015</v>
      </c>
      <c r="D48">
        <f t="shared" si="2"/>
        <v>-0.14978532668272643</v>
      </c>
      <c r="G48" s="130" t="s">
        <v>529</v>
      </c>
      <c r="H48" s="130"/>
      <c r="I48" s="130"/>
      <c r="J48" s="130"/>
      <c r="K48" s="130"/>
      <c r="L48" s="130"/>
    </row>
    <row r="49" spans="2:20">
      <c r="B49">
        <v>108000</v>
      </c>
      <c r="C49" s="56">
        <v>8820.4</v>
      </c>
      <c r="D49">
        <f t="shared" ref="D49:D80" si="4">(C49-$H$21)/$H$22</f>
        <v>-0.10809221336875102</v>
      </c>
    </row>
    <row r="50" spans="2:20">
      <c r="B50">
        <v>108000</v>
      </c>
      <c r="C50" s="56">
        <v>8843.4000000000015</v>
      </c>
      <c r="D50">
        <f t="shared" si="4"/>
        <v>-8.2174872660060294E-2</v>
      </c>
      <c r="G50" t="s">
        <v>530</v>
      </c>
      <c r="H50" t="s">
        <v>531</v>
      </c>
      <c r="K50" t="s">
        <v>533</v>
      </c>
      <c r="L50" t="s">
        <v>532</v>
      </c>
      <c r="N50" s="130" t="s">
        <v>537</v>
      </c>
      <c r="O50" s="130"/>
      <c r="P50" s="130"/>
      <c r="Q50" s="130"/>
      <c r="R50" s="130"/>
      <c r="S50" s="130"/>
      <c r="T50" s="130"/>
    </row>
    <row r="51" spans="2:20">
      <c r="B51">
        <v>132000</v>
      </c>
      <c r="C51" s="56">
        <v>8848.4000000000015</v>
      </c>
      <c r="D51">
        <f t="shared" si="4"/>
        <v>-7.654066815817144E-2</v>
      </c>
      <c r="G51">
        <v>3.8</v>
      </c>
      <c r="H51">
        <v>3.02</v>
      </c>
      <c r="J51" t="s">
        <v>512</v>
      </c>
      <c r="K51">
        <f>AVERAGE(G51:G60)</f>
        <v>3.9409999999999998</v>
      </c>
      <c r="L51">
        <f>AVERAGE(H51:H58)</f>
        <v>3.2450000000000001</v>
      </c>
    </row>
    <row r="52" spans="2:20">
      <c r="B52">
        <v>126000</v>
      </c>
      <c r="C52" s="56">
        <v>8859.4</v>
      </c>
      <c r="D52">
        <f t="shared" si="4"/>
        <v>-6.4145418254018038E-2</v>
      </c>
      <c r="G52">
        <v>3.76</v>
      </c>
      <c r="H52">
        <v>3.22</v>
      </c>
      <c r="J52" t="s">
        <v>513</v>
      </c>
      <c r="K52" s="57">
        <f>_xlfn.STDEV.S(G51:G60)</f>
        <v>0.18393537512458616</v>
      </c>
      <c r="L52" s="57">
        <f>_xlfn.STDEV.S(H51:H58)</f>
        <v>0.26790190102242384</v>
      </c>
    </row>
    <row r="53" spans="2:20">
      <c r="B53">
        <v>110000</v>
      </c>
      <c r="C53" s="56">
        <v>8877.4</v>
      </c>
      <c r="D53">
        <f t="shared" si="4"/>
        <v>-4.386228204721819E-2</v>
      </c>
      <c r="G53">
        <v>3.87</v>
      </c>
      <c r="H53">
        <v>3.24</v>
      </c>
      <c r="J53" t="s">
        <v>534</v>
      </c>
      <c r="K53">
        <f>COUNT(G51:G60)</f>
        <v>10</v>
      </c>
      <c r="L53">
        <f>COUNT(H51:H58)</f>
        <v>8</v>
      </c>
    </row>
    <row r="54" spans="2:20">
      <c r="B54">
        <v>103000</v>
      </c>
      <c r="C54" s="56">
        <v>8887.4000000000015</v>
      </c>
      <c r="D54">
        <f t="shared" si="4"/>
        <v>-3.259387304343845E-2</v>
      </c>
      <c r="G54">
        <v>3.99</v>
      </c>
      <c r="H54">
        <v>3.02</v>
      </c>
    </row>
    <row r="55" spans="2:20">
      <c r="B55">
        <v>125000</v>
      </c>
      <c r="C55" s="56">
        <v>8923.4000000000015</v>
      </c>
      <c r="D55">
        <f t="shared" si="4"/>
        <v>7.9723993701612383E-3</v>
      </c>
      <c r="G55">
        <v>4.0199999999999996</v>
      </c>
      <c r="H55">
        <v>3.06</v>
      </c>
      <c r="J55" t="s">
        <v>535</v>
      </c>
      <c r="L55" s="57">
        <f>((K53-1)*POWER(K52,2)+(L53-1)*POWER(L52,2))/(K53+L53-2)</f>
        <v>5.0430625000000007E-2</v>
      </c>
    </row>
    <row r="56" spans="2:20">
      <c r="B56">
        <v>118000</v>
      </c>
      <c r="C56" s="56">
        <v>8966.4000000000015</v>
      </c>
      <c r="D56">
        <f t="shared" si="4"/>
        <v>5.6426558086405308E-2</v>
      </c>
      <c r="G56">
        <v>4.25</v>
      </c>
      <c r="H56">
        <v>3.15</v>
      </c>
      <c r="J56" t="s">
        <v>536</v>
      </c>
      <c r="L56" s="57">
        <f>SQRT(L55)</f>
        <v>0.22456764014434494</v>
      </c>
      <c r="N56" t="s">
        <v>464</v>
      </c>
      <c r="O56" t="s">
        <v>538</v>
      </c>
    </row>
    <row r="57" spans="2:20">
      <c r="C57" s="56">
        <v>8978.4000000000015</v>
      </c>
      <c r="D57">
        <f t="shared" si="4"/>
        <v>6.9948648890938533E-2</v>
      </c>
      <c r="G57">
        <v>4.13</v>
      </c>
      <c r="H57">
        <v>3.81</v>
      </c>
      <c r="N57" t="s">
        <v>541</v>
      </c>
      <c r="O57" s="58">
        <v>0.95</v>
      </c>
    </row>
    <row r="58" spans="2:20">
      <c r="C58" s="56">
        <v>8979.4</v>
      </c>
      <c r="D58">
        <f t="shared" si="4"/>
        <v>7.1075489791314256E-2</v>
      </c>
      <c r="G58">
        <v>3.98</v>
      </c>
      <c r="H58">
        <v>3.44</v>
      </c>
      <c r="N58" t="s">
        <v>539</v>
      </c>
      <c r="O58" t="s">
        <v>540</v>
      </c>
    </row>
    <row r="59" spans="2:20">
      <c r="C59" s="56">
        <v>8982.4</v>
      </c>
      <c r="D59">
        <f t="shared" si="4"/>
        <v>7.4456012492447557E-2</v>
      </c>
      <c r="G59">
        <v>3.99</v>
      </c>
    </row>
    <row r="60" spans="2:20">
      <c r="C60" s="56">
        <v>9000.4</v>
      </c>
      <c r="D60">
        <f t="shared" si="4"/>
        <v>9.4739148699247405E-2</v>
      </c>
      <c r="G60">
        <v>3.62</v>
      </c>
    </row>
    <row r="61" spans="2:20">
      <c r="C61" s="56">
        <v>9025.4000000000015</v>
      </c>
      <c r="D61">
        <f t="shared" si="4"/>
        <v>0.12291017120869369</v>
      </c>
    </row>
    <row r="62" spans="2:20">
      <c r="C62" s="56">
        <v>9056.4000000000015</v>
      </c>
      <c r="D62">
        <f t="shared" si="4"/>
        <v>0.15784223912040451</v>
      </c>
    </row>
    <row r="63" spans="2:20">
      <c r="C63" s="56">
        <v>9060.4</v>
      </c>
      <c r="D63">
        <f t="shared" si="4"/>
        <v>0.16234960272191354</v>
      </c>
      <c r="L63" t="s">
        <v>542</v>
      </c>
      <c r="M63">
        <f>(K51-L51)-2.12*SQRT((L55/K53)+(L55/L53))</f>
        <v>0.47017381634318811</v>
      </c>
      <c r="N63">
        <f>(K51-L51)+2.12*SQRT((L55/K53)+(L55/L53))</f>
        <v>0.92182618365681135</v>
      </c>
    </row>
    <row r="64" spans="2:20">
      <c r="C64" s="56">
        <v>9100.4</v>
      </c>
      <c r="D64">
        <f t="shared" si="4"/>
        <v>0.20742323873702431</v>
      </c>
    </row>
    <row r="65" spans="3:12">
      <c r="C65" s="56">
        <v>9126.4000000000015</v>
      </c>
      <c r="D65">
        <f t="shared" si="4"/>
        <v>0.23672110214684836</v>
      </c>
    </row>
    <row r="66" spans="3:12">
      <c r="C66" s="56">
        <v>9168.4000000000015</v>
      </c>
      <c r="D66">
        <f t="shared" si="4"/>
        <v>0.28404841996271468</v>
      </c>
      <c r="G66" s="130" t="s">
        <v>543</v>
      </c>
      <c r="H66" s="130"/>
      <c r="I66" s="130"/>
      <c r="J66" s="130"/>
      <c r="K66" s="130"/>
      <c r="L66" s="130"/>
    </row>
    <row r="67" spans="3:12">
      <c r="C67" s="56">
        <v>9231.4000000000015</v>
      </c>
      <c r="D67">
        <f t="shared" si="4"/>
        <v>0.35503939668651413</v>
      </c>
      <c r="H67" t="s">
        <v>512</v>
      </c>
      <c r="I67" t="s">
        <v>545</v>
      </c>
      <c r="J67" t="s">
        <v>534</v>
      </c>
    </row>
    <row r="68" spans="3:12">
      <c r="C68" s="56">
        <v>9305.4000000000015</v>
      </c>
      <c r="D68">
        <f t="shared" si="4"/>
        <v>0.43842562331446905</v>
      </c>
      <c r="G68" t="s">
        <v>450</v>
      </c>
      <c r="H68">
        <v>75</v>
      </c>
      <c r="I68">
        <v>10</v>
      </c>
      <c r="J68">
        <v>30</v>
      </c>
    </row>
    <row r="69" spans="3:12">
      <c r="C69" s="56">
        <v>9374.4000000000015</v>
      </c>
      <c r="D69">
        <f t="shared" si="4"/>
        <v>0.51617764544053513</v>
      </c>
      <c r="G69" t="s">
        <v>544</v>
      </c>
      <c r="H69">
        <v>72</v>
      </c>
      <c r="I69">
        <v>8</v>
      </c>
      <c r="J69">
        <v>25</v>
      </c>
    </row>
    <row r="70" spans="3:12">
      <c r="C70" s="56">
        <v>9380.4000000000015</v>
      </c>
      <c r="D70">
        <f t="shared" si="4"/>
        <v>0.52293869084280176</v>
      </c>
    </row>
    <row r="71" spans="3:12">
      <c r="C71" s="56">
        <v>9427.4</v>
      </c>
      <c r="D71">
        <f t="shared" si="4"/>
        <v>0.57590021316055484</v>
      </c>
    </row>
    <row r="72" spans="3:12">
      <c r="C72" s="56">
        <v>9513.4000000000015</v>
      </c>
      <c r="D72">
        <f t="shared" si="4"/>
        <v>0.67280853059304502</v>
      </c>
    </row>
    <row r="73" spans="3:12">
      <c r="C73" s="56">
        <v>9520.4</v>
      </c>
      <c r="D73">
        <f t="shared" si="4"/>
        <v>0.68069641689568727</v>
      </c>
    </row>
    <row r="74" spans="3:12">
      <c r="C74" s="56">
        <v>9543.4000000000015</v>
      </c>
      <c r="D74">
        <f t="shared" si="4"/>
        <v>0.70661375760437806</v>
      </c>
    </row>
    <row r="75" spans="3:12">
      <c r="C75" s="56">
        <v>9571.4</v>
      </c>
      <c r="D75">
        <f t="shared" si="4"/>
        <v>0.73816530281495352</v>
      </c>
    </row>
    <row r="76" spans="3:12">
      <c r="C76" s="56">
        <v>9587.4000000000015</v>
      </c>
      <c r="D76">
        <f t="shared" si="4"/>
        <v>0.75619475722099994</v>
      </c>
    </row>
    <row r="77" spans="3:12">
      <c r="C77" s="56">
        <v>9596.4000000000015</v>
      </c>
      <c r="D77">
        <f t="shared" si="4"/>
        <v>0.76633632532439977</v>
      </c>
    </row>
    <row r="78" spans="3:12">
      <c r="C78" s="56">
        <v>9599.4000000000015</v>
      </c>
      <c r="D78">
        <f t="shared" si="4"/>
        <v>0.76971684802553308</v>
      </c>
    </row>
    <row r="79" spans="3:12">
      <c r="C79" s="56">
        <v>9730.4</v>
      </c>
      <c r="D79">
        <f t="shared" si="4"/>
        <v>0.91733300597501888</v>
      </c>
    </row>
    <row r="80" spans="3:12">
      <c r="C80" s="56">
        <v>9738.4000000000015</v>
      </c>
      <c r="D80">
        <f t="shared" si="4"/>
        <v>0.92634773317804298</v>
      </c>
    </row>
    <row r="81" spans="3:4">
      <c r="C81" s="56">
        <v>9763.4</v>
      </c>
      <c r="D81">
        <f t="shared" ref="D81:D96" si="5">(C81-$H$21)/$H$22</f>
        <v>0.95451875568748523</v>
      </c>
    </row>
    <row r="82" spans="3:4">
      <c r="C82" s="56">
        <v>9768.4000000000015</v>
      </c>
      <c r="D82">
        <f t="shared" si="5"/>
        <v>0.96015296018937613</v>
      </c>
    </row>
    <row r="83" spans="3:4">
      <c r="C83" s="56">
        <v>9777.4000000000015</v>
      </c>
      <c r="D83">
        <f t="shared" si="5"/>
        <v>0.97029452829277607</v>
      </c>
    </row>
    <row r="84" spans="3:4">
      <c r="C84" s="56">
        <v>9814.4</v>
      </c>
      <c r="D84">
        <f t="shared" si="5"/>
        <v>1.0119876416067515</v>
      </c>
    </row>
    <row r="85" spans="3:4">
      <c r="C85" s="56">
        <v>9826.4</v>
      </c>
      <c r="D85">
        <f t="shared" si="5"/>
        <v>1.0255097324112847</v>
      </c>
    </row>
    <row r="86" spans="3:4">
      <c r="C86" s="56">
        <v>9848.4000000000015</v>
      </c>
      <c r="D86">
        <f t="shared" si="5"/>
        <v>1.0503002322195976</v>
      </c>
    </row>
    <row r="87" spans="3:4">
      <c r="C87" s="56">
        <v>9853.4</v>
      </c>
      <c r="D87">
        <f t="shared" si="5"/>
        <v>1.0559344367214845</v>
      </c>
    </row>
    <row r="88" spans="3:4">
      <c r="C88" s="56">
        <v>9907.4</v>
      </c>
      <c r="D88">
        <f t="shared" si="5"/>
        <v>1.1167838453418839</v>
      </c>
    </row>
    <row r="89" spans="3:4">
      <c r="C89" s="56">
        <v>9943.4</v>
      </c>
      <c r="D89">
        <f t="shared" si="5"/>
        <v>1.1573501177554837</v>
      </c>
    </row>
    <row r="90" spans="3:4">
      <c r="C90" s="56">
        <v>10097.400000000001</v>
      </c>
      <c r="D90">
        <f t="shared" si="5"/>
        <v>1.3308836164136622</v>
      </c>
    </row>
    <row r="91" spans="3:4">
      <c r="C91" s="56">
        <v>10104.400000000001</v>
      </c>
      <c r="D91">
        <f t="shared" si="5"/>
        <v>1.3387715027163065</v>
      </c>
    </row>
    <row r="92" spans="3:4">
      <c r="C92" s="56">
        <v>10114.4</v>
      </c>
      <c r="D92">
        <f t="shared" si="5"/>
        <v>1.3500399117200821</v>
      </c>
    </row>
    <row r="93" spans="3:4">
      <c r="C93" s="56">
        <v>10195.4</v>
      </c>
      <c r="D93">
        <f t="shared" si="5"/>
        <v>1.4413140246506815</v>
      </c>
    </row>
    <row r="94" spans="3:4">
      <c r="C94" s="56">
        <v>10496.400000000001</v>
      </c>
      <c r="D94">
        <f t="shared" si="5"/>
        <v>1.780493135664392</v>
      </c>
    </row>
    <row r="95" spans="3:4">
      <c r="C95" s="56">
        <v>10545.400000000001</v>
      </c>
      <c r="D95">
        <f t="shared" si="5"/>
        <v>1.8357083397829026</v>
      </c>
    </row>
    <row r="96" spans="3:4">
      <c r="C96" s="56">
        <v>10769.400000000001</v>
      </c>
      <c r="D96">
        <f t="shared" si="5"/>
        <v>2.0881207014675232</v>
      </c>
    </row>
    <row r="102" spans="4:23">
      <c r="U102" t="s">
        <v>570</v>
      </c>
      <c r="V102" t="s">
        <v>571</v>
      </c>
      <c r="W102" t="s">
        <v>572</v>
      </c>
    </row>
    <row r="103" spans="4:23" ht="15.75" thickBot="1">
      <c r="D103" s="62" t="s">
        <v>546</v>
      </c>
      <c r="E103" s="62" t="s">
        <v>547</v>
      </c>
      <c r="F103" s="62" t="s">
        <v>548</v>
      </c>
      <c r="G103" s="62" t="s">
        <v>549</v>
      </c>
      <c r="H103" s="62" t="s">
        <v>416</v>
      </c>
      <c r="I103" s="62" t="s">
        <v>550</v>
      </c>
      <c r="K103" s="59">
        <f>MAX(G104:G272)</f>
        <v>4128</v>
      </c>
      <c r="L103" s="59">
        <f>MIN(G104:G272)</f>
        <v>1534</v>
      </c>
      <c r="O103" t="s">
        <v>512</v>
      </c>
      <c r="P103" t="s">
        <v>186</v>
      </c>
      <c r="Q103" t="s">
        <v>566</v>
      </c>
      <c r="T103" t="s">
        <v>553</v>
      </c>
      <c r="U103">
        <v>114</v>
      </c>
      <c r="V103" s="31">
        <v>0.77</v>
      </c>
      <c r="W103" s="31">
        <v>0.77</v>
      </c>
    </row>
    <row r="104" spans="4:23">
      <c r="D104" s="60" t="s">
        <v>551</v>
      </c>
      <c r="E104" s="60">
        <v>2018</v>
      </c>
      <c r="F104" s="61">
        <v>743</v>
      </c>
      <c r="G104" s="63">
        <v>2461</v>
      </c>
      <c r="H104" s="60" t="s">
        <v>552</v>
      </c>
      <c r="I104" s="60" t="s">
        <v>553</v>
      </c>
      <c r="K104" t="s">
        <v>563</v>
      </c>
      <c r="L104">
        <v>500</v>
      </c>
      <c r="N104" t="s">
        <v>564</v>
      </c>
      <c r="O104" s="59">
        <f>AVERAGE(G104:G272)</f>
        <v>2469.4497041420118</v>
      </c>
      <c r="P104" s="59">
        <f>MEDIAN(G104:G272)</f>
        <v>2461</v>
      </c>
      <c r="Q104">
        <f>MODE(G104:G272)</f>
        <v>2461</v>
      </c>
      <c r="T104" t="s">
        <v>554</v>
      </c>
      <c r="U104">
        <v>4</v>
      </c>
      <c r="V104" s="31">
        <v>0.03</v>
      </c>
      <c r="W104" s="31">
        <v>0.79</v>
      </c>
    </row>
    <row r="105" spans="4:23">
      <c r="D105" s="60" t="s">
        <v>551</v>
      </c>
      <c r="E105" s="60">
        <v>2013</v>
      </c>
      <c r="F105" s="61">
        <v>743</v>
      </c>
      <c r="G105" s="63">
        <v>2461</v>
      </c>
      <c r="H105" s="60" t="s">
        <v>552</v>
      </c>
      <c r="I105" s="60" t="s">
        <v>553</v>
      </c>
      <c r="K105" t="s">
        <v>577</v>
      </c>
      <c r="L105" s="59">
        <f>MAX(G104:G272)-MIN(G104:G272)</f>
        <v>2594</v>
      </c>
      <c r="T105" t="s">
        <v>556</v>
      </c>
      <c r="U105">
        <v>8</v>
      </c>
      <c r="V105" s="31">
        <v>0.05</v>
      </c>
      <c r="W105" s="31">
        <v>0.85</v>
      </c>
    </row>
    <row r="106" spans="4:23">
      <c r="D106" s="60" t="s">
        <v>551</v>
      </c>
      <c r="E106" s="60">
        <v>2019</v>
      </c>
      <c r="F106" s="61">
        <v>743</v>
      </c>
      <c r="G106" s="63">
        <v>2461</v>
      </c>
      <c r="H106" s="60" t="s">
        <v>552</v>
      </c>
      <c r="I106" s="60" t="s">
        <v>553</v>
      </c>
      <c r="K106" s="2" t="s">
        <v>564</v>
      </c>
      <c r="L106" s="2" t="s">
        <v>565</v>
      </c>
      <c r="O106" t="s">
        <v>568</v>
      </c>
      <c r="P106" t="s">
        <v>569</v>
      </c>
      <c r="T106" t="s">
        <v>558</v>
      </c>
      <c r="U106">
        <v>13</v>
      </c>
      <c r="V106" s="31">
        <v>0.09</v>
      </c>
      <c r="W106" s="31">
        <v>0.93</v>
      </c>
    </row>
    <row r="107" spans="4:23">
      <c r="D107" s="60" t="s">
        <v>551</v>
      </c>
      <c r="E107" s="60">
        <v>2013</v>
      </c>
      <c r="F107" s="61">
        <v>743</v>
      </c>
      <c r="G107" s="63">
        <v>2461</v>
      </c>
      <c r="H107" s="60" t="s">
        <v>552</v>
      </c>
      <c r="I107" s="60" t="s">
        <v>553</v>
      </c>
      <c r="K107" s="59">
        <f>L103</f>
        <v>1534</v>
      </c>
      <c r="L107">
        <f t="array" ref="L107:L113">FREQUENCY(G104:G272,K107:K113)</f>
        <v>1</v>
      </c>
      <c r="N107" t="s">
        <v>567</v>
      </c>
      <c r="O107">
        <f>_xlfn.VAR.S(F104:F272)</f>
        <v>10576.839602705002</v>
      </c>
      <c r="P107">
        <f>SKEW(F104:F272)</f>
        <v>3.8638741485409982</v>
      </c>
      <c r="T107" t="s">
        <v>560</v>
      </c>
      <c r="U107">
        <v>6</v>
      </c>
      <c r="V107" s="31">
        <f>U107/U109</f>
        <v>4.0268456375838924E-2</v>
      </c>
      <c r="W107" s="31">
        <f>W106+V107</f>
        <v>0.97026845637583903</v>
      </c>
    </row>
    <row r="108" spans="4:23">
      <c r="D108" s="60" t="s">
        <v>551</v>
      </c>
      <c r="E108" s="60">
        <v>2017</v>
      </c>
      <c r="F108" s="61">
        <v>743</v>
      </c>
      <c r="G108" s="63">
        <v>2461</v>
      </c>
      <c r="H108" s="60" t="s">
        <v>552</v>
      </c>
      <c r="I108" s="60" t="s">
        <v>553</v>
      </c>
      <c r="K108" s="59">
        <f>K107+$L$104</f>
        <v>2034</v>
      </c>
      <c r="L108">
        <v>10</v>
      </c>
      <c r="T108" t="s">
        <v>554</v>
      </c>
      <c r="U108">
        <v>4</v>
      </c>
      <c r="V108" s="31">
        <v>0.03</v>
      </c>
      <c r="W108" s="31">
        <v>1</v>
      </c>
    </row>
    <row r="109" spans="4:23">
      <c r="D109" s="60" t="s">
        <v>551</v>
      </c>
      <c r="E109" s="60">
        <v>2016</v>
      </c>
      <c r="F109" s="61">
        <v>675</v>
      </c>
      <c r="G109" s="63">
        <v>2034</v>
      </c>
      <c r="H109" s="60" t="s">
        <v>552</v>
      </c>
      <c r="I109" s="60" t="s">
        <v>554</v>
      </c>
      <c r="K109" s="59">
        <f t="shared" ref="K109:K112" si="6">K108+$L$104</f>
        <v>2534</v>
      </c>
      <c r="L109">
        <v>140</v>
      </c>
      <c r="T109" t="s">
        <v>30</v>
      </c>
      <c r="U109">
        <f>SUM(U103:U108)</f>
        <v>149</v>
      </c>
    </row>
    <row r="110" spans="4:23">
      <c r="D110" s="60" t="s">
        <v>555</v>
      </c>
      <c r="E110" s="60">
        <v>2017</v>
      </c>
      <c r="F110" s="61">
        <v>670</v>
      </c>
      <c r="G110" s="63">
        <v>2125</v>
      </c>
      <c r="H110" s="60" t="s">
        <v>552</v>
      </c>
      <c r="I110" s="60" t="s">
        <v>554</v>
      </c>
      <c r="K110" s="59">
        <f t="shared" si="6"/>
        <v>3034</v>
      </c>
      <c r="L110">
        <v>9</v>
      </c>
    </row>
    <row r="111" spans="4:23">
      <c r="D111" s="60" t="s">
        <v>551</v>
      </c>
      <c r="E111" s="60">
        <v>2016</v>
      </c>
      <c r="F111" s="61">
        <v>743</v>
      </c>
      <c r="G111" s="63">
        <v>2461</v>
      </c>
      <c r="H111" s="60" t="s">
        <v>552</v>
      </c>
      <c r="I111" s="60" t="s">
        <v>553</v>
      </c>
      <c r="K111" s="59">
        <f>K110+$L$104</f>
        <v>3534</v>
      </c>
      <c r="L111">
        <v>4</v>
      </c>
      <c r="T111" t="s">
        <v>573</v>
      </c>
      <c r="U111" t="s">
        <v>574</v>
      </c>
    </row>
    <row r="112" spans="4:23">
      <c r="D112" s="60" t="s">
        <v>551</v>
      </c>
      <c r="E112" s="60">
        <v>2012</v>
      </c>
      <c r="F112" s="61">
        <v>782</v>
      </c>
      <c r="G112" s="63">
        <v>2654</v>
      </c>
      <c r="H112" s="60" t="s">
        <v>552</v>
      </c>
      <c r="I112" s="60" t="s">
        <v>556</v>
      </c>
      <c r="K112" s="59">
        <f t="shared" si="6"/>
        <v>4034</v>
      </c>
      <c r="L112">
        <v>4</v>
      </c>
      <c r="T112" t="s">
        <v>575</v>
      </c>
      <c r="U112" t="s">
        <v>576</v>
      </c>
    </row>
    <row r="113" spans="4:12">
      <c r="D113" s="60" t="s">
        <v>551</v>
      </c>
      <c r="E113" s="60">
        <v>2017</v>
      </c>
      <c r="F113" s="61">
        <v>794</v>
      </c>
      <c r="G113" s="63">
        <v>2356</v>
      </c>
      <c r="H113" s="60" t="s">
        <v>552</v>
      </c>
      <c r="I113" s="60" t="s">
        <v>554</v>
      </c>
      <c r="K113" s="59">
        <f>K112+$L$104</f>
        <v>4534</v>
      </c>
      <c r="L113">
        <v>1</v>
      </c>
    </row>
    <row r="114" spans="4:12">
      <c r="D114" s="60" t="s">
        <v>551</v>
      </c>
      <c r="E114" s="60">
        <v>2017</v>
      </c>
      <c r="F114" s="61">
        <v>1160</v>
      </c>
      <c r="G114" s="63">
        <v>3174</v>
      </c>
      <c r="H114" s="60" t="s">
        <v>552</v>
      </c>
      <c r="I114" s="60" t="s">
        <v>557</v>
      </c>
      <c r="K114" s="59"/>
    </row>
    <row r="115" spans="4:12">
      <c r="D115" s="60" t="s">
        <v>551</v>
      </c>
      <c r="E115" s="60">
        <v>2013</v>
      </c>
      <c r="F115" s="61">
        <v>743</v>
      </c>
      <c r="G115" s="63">
        <v>2461</v>
      </c>
      <c r="H115" s="60" t="s">
        <v>552</v>
      </c>
      <c r="I115" s="60" t="s">
        <v>553</v>
      </c>
      <c r="K115" s="59"/>
    </row>
    <row r="116" spans="4:12">
      <c r="D116" s="60" t="s">
        <v>551</v>
      </c>
      <c r="E116" s="60">
        <v>2012</v>
      </c>
      <c r="F116" s="61">
        <v>794</v>
      </c>
      <c r="G116" s="63">
        <v>2177</v>
      </c>
      <c r="H116" s="60" t="s">
        <v>552</v>
      </c>
      <c r="I116" s="60" t="s">
        <v>558</v>
      </c>
    </row>
    <row r="117" spans="4:12">
      <c r="D117" s="60" t="s">
        <v>555</v>
      </c>
      <c r="E117" s="60">
        <v>2017</v>
      </c>
      <c r="F117" s="61">
        <v>743</v>
      </c>
      <c r="G117" s="63">
        <v>2461</v>
      </c>
      <c r="H117" s="60" t="s">
        <v>552</v>
      </c>
      <c r="I117" s="60" t="s">
        <v>553</v>
      </c>
    </row>
    <row r="118" spans="4:12">
      <c r="D118" s="60" t="s">
        <v>551</v>
      </c>
      <c r="E118" s="60">
        <v>2018</v>
      </c>
      <c r="F118" s="61">
        <v>743</v>
      </c>
      <c r="G118" s="63">
        <v>2461</v>
      </c>
      <c r="H118" s="60" t="s">
        <v>552</v>
      </c>
      <c r="I118" s="60" t="s">
        <v>553</v>
      </c>
    </row>
    <row r="119" spans="4:12">
      <c r="D119" s="60" t="s">
        <v>551</v>
      </c>
      <c r="E119" s="60">
        <v>2012</v>
      </c>
      <c r="F119" s="61">
        <v>743</v>
      </c>
      <c r="G119" s="63">
        <v>2461</v>
      </c>
      <c r="H119" s="60" t="s">
        <v>552</v>
      </c>
      <c r="I119" s="60" t="s">
        <v>553</v>
      </c>
    </row>
    <row r="120" spans="4:12">
      <c r="D120" s="60" t="s">
        <v>551</v>
      </c>
      <c r="E120" s="60">
        <v>2019</v>
      </c>
      <c r="F120" s="61">
        <v>790</v>
      </c>
      <c r="G120" s="63">
        <v>2495</v>
      </c>
      <c r="H120" s="60" t="s">
        <v>552</v>
      </c>
      <c r="I120" s="60" t="s">
        <v>558</v>
      </c>
    </row>
    <row r="121" spans="4:12">
      <c r="D121" s="60" t="s">
        <v>551</v>
      </c>
      <c r="E121" s="60">
        <v>2020</v>
      </c>
      <c r="F121" s="61">
        <v>723</v>
      </c>
      <c r="G121" s="63">
        <v>1961</v>
      </c>
      <c r="H121" s="60" t="s">
        <v>552</v>
      </c>
      <c r="I121" s="60" t="s">
        <v>559</v>
      </c>
    </row>
    <row r="122" spans="4:12">
      <c r="D122" s="60" t="s">
        <v>551</v>
      </c>
      <c r="E122" s="60">
        <v>2016</v>
      </c>
      <c r="F122" s="61">
        <v>781</v>
      </c>
      <c r="G122" s="63">
        <v>2585</v>
      </c>
      <c r="H122" s="60" t="s">
        <v>552</v>
      </c>
      <c r="I122" s="60" t="s">
        <v>556</v>
      </c>
    </row>
    <row r="123" spans="4:12">
      <c r="D123" s="60" t="s">
        <v>551</v>
      </c>
      <c r="E123" s="60">
        <v>2017</v>
      </c>
      <c r="F123" s="61">
        <v>1127</v>
      </c>
      <c r="G123" s="63">
        <v>3108</v>
      </c>
      <c r="H123" s="60" t="s">
        <v>552</v>
      </c>
      <c r="I123" s="60" t="s">
        <v>556</v>
      </c>
    </row>
    <row r="124" spans="4:12">
      <c r="D124" s="60" t="s">
        <v>555</v>
      </c>
      <c r="E124" s="60">
        <v>2017</v>
      </c>
      <c r="F124" s="61">
        <v>720</v>
      </c>
      <c r="G124" s="63">
        <v>2072</v>
      </c>
      <c r="H124" s="60" t="s">
        <v>552</v>
      </c>
      <c r="I124" s="60" t="s">
        <v>558</v>
      </c>
    </row>
    <row r="125" spans="4:12">
      <c r="D125" s="60" t="s">
        <v>551</v>
      </c>
      <c r="E125" s="60">
        <v>2013</v>
      </c>
      <c r="F125" s="61">
        <v>743</v>
      </c>
      <c r="G125" s="63">
        <v>2461</v>
      </c>
      <c r="H125" s="60" t="s">
        <v>552</v>
      </c>
      <c r="I125" s="60" t="s">
        <v>553</v>
      </c>
    </row>
    <row r="126" spans="4:12">
      <c r="D126" s="60" t="s">
        <v>551</v>
      </c>
      <c r="E126" s="60">
        <v>2012</v>
      </c>
      <c r="F126" s="61">
        <v>743</v>
      </c>
      <c r="G126" s="63">
        <v>2461</v>
      </c>
      <c r="H126" s="60" t="s">
        <v>552</v>
      </c>
      <c r="I126" s="60" t="s">
        <v>553</v>
      </c>
    </row>
    <row r="127" spans="4:12">
      <c r="D127" s="60" t="s">
        <v>551</v>
      </c>
      <c r="E127" s="60">
        <v>2015</v>
      </c>
      <c r="F127" s="61">
        <v>618</v>
      </c>
      <c r="G127" s="63">
        <v>1887</v>
      </c>
      <c r="H127" s="60" t="s">
        <v>552</v>
      </c>
      <c r="I127" s="60" t="s">
        <v>559</v>
      </c>
    </row>
    <row r="128" spans="4:12">
      <c r="D128" s="60" t="s">
        <v>551</v>
      </c>
      <c r="E128" s="60">
        <v>2016</v>
      </c>
      <c r="F128" s="61">
        <v>743</v>
      </c>
      <c r="G128" s="63">
        <v>2461</v>
      </c>
      <c r="H128" s="60" t="s">
        <v>552</v>
      </c>
      <c r="I128" s="60" t="s">
        <v>553</v>
      </c>
    </row>
    <row r="129" spans="4:9">
      <c r="D129" s="60" t="s">
        <v>551</v>
      </c>
      <c r="E129" s="60">
        <v>2018</v>
      </c>
      <c r="F129" s="61">
        <v>743</v>
      </c>
      <c r="G129" s="63">
        <v>2461</v>
      </c>
      <c r="H129" s="60" t="s">
        <v>552</v>
      </c>
      <c r="I129" s="60" t="s">
        <v>553</v>
      </c>
    </row>
    <row r="130" spans="4:9">
      <c r="D130" s="60" t="s">
        <v>551</v>
      </c>
      <c r="E130" s="60">
        <v>2015</v>
      </c>
      <c r="F130" s="61">
        <v>670</v>
      </c>
      <c r="G130" s="63">
        <v>2003</v>
      </c>
      <c r="H130" s="60" t="s">
        <v>552</v>
      </c>
      <c r="I130" s="60" t="s">
        <v>560</v>
      </c>
    </row>
    <row r="131" spans="4:9">
      <c r="D131" s="60" t="s">
        <v>555</v>
      </c>
      <c r="E131" s="60">
        <v>2019</v>
      </c>
      <c r="F131" s="61">
        <v>743</v>
      </c>
      <c r="G131" s="63">
        <v>2461</v>
      </c>
      <c r="H131" s="60" t="s">
        <v>552</v>
      </c>
      <c r="I131" s="60" t="s">
        <v>553</v>
      </c>
    </row>
    <row r="132" spans="4:9">
      <c r="D132" s="60" t="s">
        <v>551</v>
      </c>
      <c r="E132" s="60">
        <v>2013</v>
      </c>
      <c r="F132" s="61">
        <v>743</v>
      </c>
      <c r="G132" s="63">
        <v>2461</v>
      </c>
      <c r="H132" s="60" t="s">
        <v>552</v>
      </c>
      <c r="I132" s="60" t="s">
        <v>553</v>
      </c>
    </row>
    <row r="133" spans="4:9">
      <c r="D133" s="60" t="s">
        <v>551</v>
      </c>
      <c r="E133" s="60">
        <v>2019</v>
      </c>
      <c r="F133" s="61">
        <v>743</v>
      </c>
      <c r="G133" s="63">
        <v>2461</v>
      </c>
      <c r="H133" s="60" t="s">
        <v>552</v>
      </c>
      <c r="I133" s="60" t="s">
        <v>553</v>
      </c>
    </row>
    <row r="134" spans="4:9">
      <c r="D134" s="60" t="s">
        <v>551</v>
      </c>
      <c r="E134" s="60">
        <v>2014</v>
      </c>
      <c r="F134" s="61">
        <v>1110</v>
      </c>
      <c r="G134" s="63">
        <v>3550</v>
      </c>
      <c r="H134" s="60" t="s">
        <v>552</v>
      </c>
      <c r="I134" s="60" t="s">
        <v>558</v>
      </c>
    </row>
    <row r="135" spans="4:9">
      <c r="D135" s="60" t="s">
        <v>551</v>
      </c>
      <c r="E135" s="60">
        <v>2015</v>
      </c>
      <c r="F135" s="61">
        <v>743</v>
      </c>
      <c r="G135" s="63">
        <v>2461</v>
      </c>
      <c r="H135" s="60" t="s">
        <v>552</v>
      </c>
      <c r="I135" s="60" t="s">
        <v>553</v>
      </c>
    </row>
    <row r="136" spans="4:9">
      <c r="D136" s="60" t="s">
        <v>551</v>
      </c>
      <c r="E136" s="60">
        <v>2013</v>
      </c>
      <c r="F136" s="61">
        <v>743</v>
      </c>
      <c r="G136" s="63">
        <v>2562</v>
      </c>
      <c r="H136" s="60" t="s">
        <v>552</v>
      </c>
      <c r="I136" s="60" t="s">
        <v>553</v>
      </c>
    </row>
    <row r="137" spans="4:9">
      <c r="D137" s="60" t="s">
        <v>555</v>
      </c>
      <c r="E137" s="60">
        <v>2017</v>
      </c>
      <c r="F137" s="61">
        <v>743</v>
      </c>
      <c r="G137" s="63">
        <v>2461</v>
      </c>
      <c r="H137" s="60" t="s">
        <v>552</v>
      </c>
      <c r="I137" s="60" t="s">
        <v>553</v>
      </c>
    </row>
    <row r="138" spans="4:9">
      <c r="D138" s="60" t="s">
        <v>551</v>
      </c>
      <c r="E138" s="60">
        <v>2013</v>
      </c>
      <c r="F138" s="61">
        <v>743</v>
      </c>
      <c r="G138" s="63">
        <v>2461</v>
      </c>
      <c r="H138" s="60" t="s">
        <v>552</v>
      </c>
      <c r="I138" s="60" t="s">
        <v>553</v>
      </c>
    </row>
    <row r="139" spans="4:9">
      <c r="D139" s="60" t="s">
        <v>551</v>
      </c>
      <c r="E139" s="60">
        <v>2016</v>
      </c>
      <c r="F139" s="61">
        <v>923</v>
      </c>
      <c r="G139" s="63">
        <v>3122</v>
      </c>
      <c r="H139" s="60" t="s">
        <v>552</v>
      </c>
      <c r="I139" s="60" t="s">
        <v>559</v>
      </c>
    </row>
    <row r="140" spans="4:9">
      <c r="D140" s="60" t="s">
        <v>551</v>
      </c>
      <c r="E140" s="60">
        <v>2014</v>
      </c>
      <c r="F140" s="61">
        <v>743</v>
      </c>
      <c r="G140" s="63">
        <v>2461</v>
      </c>
      <c r="H140" s="60" t="s">
        <v>552</v>
      </c>
      <c r="I140" s="60" t="s">
        <v>553</v>
      </c>
    </row>
    <row r="141" spans="4:9">
      <c r="D141" s="60" t="s">
        <v>551</v>
      </c>
      <c r="E141" s="60">
        <v>2016</v>
      </c>
      <c r="F141" s="61">
        <v>743</v>
      </c>
      <c r="G141" s="63">
        <v>2461</v>
      </c>
      <c r="H141" s="60" t="s">
        <v>552</v>
      </c>
      <c r="I141" s="60" t="s">
        <v>553</v>
      </c>
    </row>
    <row r="142" spans="4:9">
      <c r="D142" s="60" t="s">
        <v>551</v>
      </c>
      <c r="E142" s="60">
        <v>2016</v>
      </c>
      <c r="F142" s="61">
        <v>798</v>
      </c>
      <c r="G142" s="63">
        <v>2617</v>
      </c>
      <c r="H142" s="60" t="s">
        <v>552</v>
      </c>
      <c r="I142" s="60" t="s">
        <v>556</v>
      </c>
    </row>
    <row r="143" spans="4:9">
      <c r="D143" s="60" t="s">
        <v>551</v>
      </c>
      <c r="E143" s="60">
        <v>2019</v>
      </c>
      <c r="F143" s="61">
        <v>743</v>
      </c>
      <c r="G143" s="63">
        <v>2461</v>
      </c>
      <c r="H143" s="60" t="s">
        <v>552</v>
      </c>
      <c r="I143" s="60" t="s">
        <v>553</v>
      </c>
    </row>
    <row r="144" spans="4:9">
      <c r="D144" s="60" t="s">
        <v>551</v>
      </c>
      <c r="E144" s="60">
        <v>2015</v>
      </c>
      <c r="F144" s="61">
        <v>923</v>
      </c>
      <c r="G144" s="63">
        <v>2521</v>
      </c>
      <c r="H144" s="60" t="s">
        <v>552</v>
      </c>
      <c r="I144" s="60" t="s">
        <v>561</v>
      </c>
    </row>
    <row r="145" spans="4:9">
      <c r="D145" s="60" t="s">
        <v>551</v>
      </c>
      <c r="E145" s="60">
        <v>2013</v>
      </c>
      <c r="F145" s="61">
        <v>743</v>
      </c>
      <c r="G145" s="63">
        <v>2461</v>
      </c>
      <c r="H145" s="60" t="s">
        <v>552</v>
      </c>
      <c r="I145" s="60" t="s">
        <v>553</v>
      </c>
    </row>
    <row r="146" spans="4:9">
      <c r="D146" s="60" t="s">
        <v>551</v>
      </c>
      <c r="E146" s="60">
        <v>2018</v>
      </c>
      <c r="F146" s="61">
        <v>743</v>
      </c>
      <c r="G146" s="63">
        <v>2461</v>
      </c>
      <c r="H146" s="60" t="s">
        <v>552</v>
      </c>
      <c r="I146" s="60" t="s">
        <v>553</v>
      </c>
    </row>
    <row r="147" spans="4:9">
      <c r="D147" s="60" t="s">
        <v>551</v>
      </c>
      <c r="E147" s="60">
        <v>2015</v>
      </c>
      <c r="F147" s="61">
        <v>743</v>
      </c>
      <c r="G147" s="63">
        <v>2461</v>
      </c>
      <c r="H147" s="60" t="s">
        <v>552</v>
      </c>
      <c r="I147" s="60" t="s">
        <v>553</v>
      </c>
    </row>
    <row r="148" spans="4:9">
      <c r="D148" s="60" t="s">
        <v>551</v>
      </c>
      <c r="E148" s="60">
        <v>2012</v>
      </c>
      <c r="F148" s="61">
        <v>743</v>
      </c>
      <c r="G148" s="63">
        <v>2461</v>
      </c>
      <c r="H148" s="60" t="s">
        <v>552</v>
      </c>
      <c r="I148" s="60" t="s">
        <v>553</v>
      </c>
    </row>
    <row r="149" spans="4:9">
      <c r="D149" s="60" t="s">
        <v>551</v>
      </c>
      <c r="E149" s="60">
        <v>2019</v>
      </c>
      <c r="F149" s="61">
        <v>743</v>
      </c>
      <c r="G149" s="63">
        <v>2461</v>
      </c>
      <c r="H149" s="60" t="s">
        <v>552</v>
      </c>
      <c r="I149" s="60" t="s">
        <v>553</v>
      </c>
    </row>
    <row r="150" spans="4:9">
      <c r="D150" s="60" t="s">
        <v>551</v>
      </c>
      <c r="E150" s="60">
        <v>2013</v>
      </c>
      <c r="F150" s="61">
        <v>733</v>
      </c>
      <c r="G150" s="63">
        <v>1970</v>
      </c>
      <c r="H150" s="60" t="s">
        <v>552</v>
      </c>
      <c r="I150" s="60" t="s">
        <v>559</v>
      </c>
    </row>
    <row r="151" spans="4:9">
      <c r="D151" s="60" t="s">
        <v>551</v>
      </c>
      <c r="E151" s="60">
        <v>2020</v>
      </c>
      <c r="F151" s="61">
        <v>747</v>
      </c>
      <c r="G151" s="63">
        <v>2370</v>
      </c>
      <c r="H151" s="60" t="s">
        <v>552</v>
      </c>
      <c r="I151" s="60" t="s">
        <v>559</v>
      </c>
    </row>
    <row r="152" spans="4:9">
      <c r="D152" s="60" t="s">
        <v>551</v>
      </c>
      <c r="E152" s="60">
        <v>2014</v>
      </c>
      <c r="F152" s="61">
        <v>743</v>
      </c>
      <c r="G152" s="63">
        <v>2461</v>
      </c>
      <c r="H152" s="60" t="s">
        <v>552</v>
      </c>
      <c r="I152" s="60" t="s">
        <v>553</v>
      </c>
    </row>
    <row r="153" spans="4:9">
      <c r="D153" s="60" t="s">
        <v>551</v>
      </c>
      <c r="E153" s="60">
        <v>2018</v>
      </c>
      <c r="F153" s="61">
        <v>743</v>
      </c>
      <c r="G153" s="63">
        <v>2461</v>
      </c>
      <c r="H153" s="60" t="s">
        <v>552</v>
      </c>
      <c r="I153" s="60" t="s">
        <v>553</v>
      </c>
    </row>
    <row r="154" spans="4:9">
      <c r="D154" s="60" t="s">
        <v>551</v>
      </c>
      <c r="E154" s="60">
        <v>2018</v>
      </c>
      <c r="F154" s="61">
        <v>827</v>
      </c>
      <c r="G154" s="63">
        <v>2388</v>
      </c>
      <c r="H154" s="60" t="s">
        <v>552</v>
      </c>
      <c r="I154" s="60" t="s">
        <v>558</v>
      </c>
    </row>
    <row r="155" spans="4:9">
      <c r="D155" s="60" t="s">
        <v>551</v>
      </c>
      <c r="E155" s="60">
        <v>2014</v>
      </c>
      <c r="F155" s="61">
        <v>747</v>
      </c>
      <c r="G155" s="63">
        <v>1961</v>
      </c>
      <c r="H155" s="60" t="s">
        <v>552</v>
      </c>
      <c r="I155" s="60" t="s">
        <v>559</v>
      </c>
    </row>
    <row r="156" spans="4:9">
      <c r="D156" s="60" t="s">
        <v>551</v>
      </c>
      <c r="E156" s="60">
        <v>2016</v>
      </c>
      <c r="F156" s="61">
        <v>743</v>
      </c>
      <c r="G156" s="63">
        <v>2461</v>
      </c>
      <c r="H156" s="60" t="s">
        <v>552</v>
      </c>
      <c r="I156" s="60" t="s">
        <v>553</v>
      </c>
    </row>
    <row r="157" spans="4:9">
      <c r="D157" s="60" t="s">
        <v>551</v>
      </c>
      <c r="E157" s="60">
        <v>2018</v>
      </c>
      <c r="F157" s="61">
        <v>743</v>
      </c>
      <c r="G157" s="63">
        <v>2461</v>
      </c>
      <c r="H157" s="60" t="s">
        <v>552</v>
      </c>
      <c r="I157" s="60" t="s">
        <v>553</v>
      </c>
    </row>
    <row r="158" spans="4:9">
      <c r="D158" s="60" t="s">
        <v>551</v>
      </c>
      <c r="E158" s="60">
        <v>2012</v>
      </c>
      <c r="F158" s="61">
        <v>743</v>
      </c>
      <c r="G158" s="63">
        <v>2461</v>
      </c>
      <c r="H158" s="60" t="s">
        <v>552</v>
      </c>
      <c r="I158" s="60" t="s">
        <v>553</v>
      </c>
    </row>
    <row r="159" spans="4:9">
      <c r="D159" s="60" t="s">
        <v>551</v>
      </c>
      <c r="E159" s="60">
        <v>2019</v>
      </c>
      <c r="F159" s="61">
        <v>743</v>
      </c>
      <c r="G159" s="63">
        <v>2461</v>
      </c>
      <c r="H159" s="60" t="s">
        <v>552</v>
      </c>
      <c r="I159" s="60" t="s">
        <v>553</v>
      </c>
    </row>
    <row r="160" spans="4:9">
      <c r="D160" s="60" t="s">
        <v>551</v>
      </c>
      <c r="E160" s="60">
        <v>2020</v>
      </c>
      <c r="F160" s="61">
        <v>743</v>
      </c>
      <c r="G160" s="63">
        <v>2461</v>
      </c>
      <c r="H160" s="60" t="s">
        <v>552</v>
      </c>
      <c r="I160" s="60" t="s">
        <v>553</v>
      </c>
    </row>
    <row r="161" spans="4:9">
      <c r="D161" s="60" t="s">
        <v>551</v>
      </c>
      <c r="E161" s="60">
        <v>2014</v>
      </c>
      <c r="F161" s="61">
        <v>798</v>
      </c>
      <c r="G161" s="63">
        <v>2785</v>
      </c>
      <c r="H161" s="60" t="s">
        <v>552</v>
      </c>
      <c r="I161" s="60" t="s">
        <v>557</v>
      </c>
    </row>
    <row r="162" spans="4:9">
      <c r="D162" s="60" t="s">
        <v>551</v>
      </c>
      <c r="E162" s="60">
        <v>2018</v>
      </c>
      <c r="F162" s="61">
        <v>1305</v>
      </c>
      <c r="G162" s="63">
        <v>4020</v>
      </c>
      <c r="H162" s="60" t="s">
        <v>552</v>
      </c>
      <c r="I162" s="60" t="s">
        <v>560</v>
      </c>
    </row>
    <row r="163" spans="4:9">
      <c r="D163" s="60" t="s">
        <v>551</v>
      </c>
      <c r="E163" s="60">
        <v>2018</v>
      </c>
      <c r="F163" s="61">
        <v>743</v>
      </c>
      <c r="G163" s="63">
        <v>2461</v>
      </c>
      <c r="H163" s="60" t="s">
        <v>552</v>
      </c>
      <c r="I163" s="60" t="s">
        <v>553</v>
      </c>
    </row>
    <row r="164" spans="4:9">
      <c r="D164" s="60" t="s">
        <v>551</v>
      </c>
      <c r="E164" s="60">
        <v>2015</v>
      </c>
      <c r="F164" s="61">
        <v>743</v>
      </c>
      <c r="G164" s="63">
        <v>2461</v>
      </c>
      <c r="H164" s="60" t="s">
        <v>552</v>
      </c>
      <c r="I164" s="60" t="s">
        <v>553</v>
      </c>
    </row>
    <row r="165" spans="4:9">
      <c r="D165" s="60" t="s">
        <v>551</v>
      </c>
      <c r="E165" s="60">
        <v>2014</v>
      </c>
      <c r="F165" s="61">
        <v>1109</v>
      </c>
      <c r="G165" s="63">
        <v>3445</v>
      </c>
      <c r="H165" s="60" t="s">
        <v>552</v>
      </c>
      <c r="I165" s="60" t="s">
        <v>559</v>
      </c>
    </row>
    <row r="166" spans="4:9">
      <c r="D166" s="60" t="s">
        <v>551</v>
      </c>
      <c r="E166" s="60">
        <v>2016</v>
      </c>
      <c r="F166" s="61">
        <v>649</v>
      </c>
      <c r="G166" s="63">
        <v>2146</v>
      </c>
      <c r="H166" s="60" t="s">
        <v>552</v>
      </c>
      <c r="I166" s="60" t="s">
        <v>557</v>
      </c>
    </row>
    <row r="167" spans="4:9">
      <c r="D167" s="60" t="s">
        <v>551</v>
      </c>
      <c r="E167" s="60">
        <v>2013</v>
      </c>
      <c r="F167" s="61">
        <v>743</v>
      </c>
      <c r="G167" s="63">
        <v>2461</v>
      </c>
      <c r="H167" s="60" t="s">
        <v>552</v>
      </c>
      <c r="I167" s="60" t="s">
        <v>553</v>
      </c>
    </row>
    <row r="168" spans="4:9">
      <c r="D168" s="60" t="s">
        <v>551</v>
      </c>
      <c r="E168" s="60">
        <v>2012</v>
      </c>
      <c r="F168" s="61">
        <v>743</v>
      </c>
      <c r="G168" s="63">
        <v>2461</v>
      </c>
      <c r="H168" s="60" t="s">
        <v>552</v>
      </c>
      <c r="I168" s="60" t="s">
        <v>553</v>
      </c>
    </row>
    <row r="169" spans="4:9">
      <c r="D169" s="60" t="s">
        <v>551</v>
      </c>
      <c r="E169" s="60">
        <v>2013</v>
      </c>
      <c r="F169" s="61">
        <v>743</v>
      </c>
      <c r="G169" s="63">
        <v>2461</v>
      </c>
      <c r="H169" s="60" t="s">
        <v>552</v>
      </c>
      <c r="I169" s="60" t="s">
        <v>553</v>
      </c>
    </row>
    <row r="170" spans="4:9">
      <c r="D170" s="60" t="s">
        <v>551</v>
      </c>
      <c r="E170" s="60">
        <v>2018</v>
      </c>
      <c r="F170" s="61">
        <v>743</v>
      </c>
      <c r="G170" s="63">
        <v>2461</v>
      </c>
      <c r="H170" s="60" t="s">
        <v>552</v>
      </c>
      <c r="I170" s="60" t="s">
        <v>553</v>
      </c>
    </row>
    <row r="171" spans="4:9">
      <c r="D171" s="60" t="s">
        <v>551</v>
      </c>
      <c r="E171" s="60">
        <v>2018</v>
      </c>
      <c r="F171" s="61">
        <v>649</v>
      </c>
      <c r="G171" s="63">
        <v>2244</v>
      </c>
      <c r="H171" s="60" t="s">
        <v>552</v>
      </c>
      <c r="I171" s="60" t="s">
        <v>557</v>
      </c>
    </row>
    <row r="172" spans="4:9">
      <c r="D172" s="60" t="s">
        <v>551</v>
      </c>
      <c r="E172" s="60">
        <v>2020</v>
      </c>
      <c r="F172" s="61">
        <v>743</v>
      </c>
      <c r="G172" s="63">
        <v>2461</v>
      </c>
      <c r="H172" s="60" t="s">
        <v>552</v>
      </c>
      <c r="I172" s="60" t="s">
        <v>553</v>
      </c>
    </row>
    <row r="173" spans="4:9">
      <c r="D173" s="60" t="s">
        <v>551</v>
      </c>
      <c r="E173" s="60">
        <v>2017</v>
      </c>
      <c r="F173" s="61">
        <v>785</v>
      </c>
      <c r="G173" s="63">
        <v>2208</v>
      </c>
      <c r="H173" s="60" t="s">
        <v>552</v>
      </c>
      <c r="I173" s="60" t="s">
        <v>558</v>
      </c>
    </row>
    <row r="174" spans="4:9">
      <c r="D174" s="60" t="s">
        <v>551</v>
      </c>
      <c r="E174" s="60">
        <v>2015</v>
      </c>
      <c r="F174" s="61">
        <v>743</v>
      </c>
      <c r="G174" s="63">
        <v>2461</v>
      </c>
      <c r="H174" s="60" t="s">
        <v>552</v>
      </c>
      <c r="I174" s="60" t="s">
        <v>553</v>
      </c>
    </row>
    <row r="175" spans="4:9">
      <c r="D175" s="60" t="s">
        <v>551</v>
      </c>
      <c r="E175" s="60">
        <v>2014</v>
      </c>
      <c r="F175" s="61">
        <v>743</v>
      </c>
      <c r="G175" s="63">
        <v>2461</v>
      </c>
      <c r="H175" s="60" t="s">
        <v>552</v>
      </c>
      <c r="I175" s="60" t="s">
        <v>553</v>
      </c>
    </row>
    <row r="176" spans="4:9">
      <c r="D176" s="60" t="s">
        <v>555</v>
      </c>
      <c r="E176" s="60">
        <v>2014</v>
      </c>
      <c r="F176" s="61">
        <v>743</v>
      </c>
      <c r="G176" s="63">
        <v>2461</v>
      </c>
      <c r="H176" s="60" t="s">
        <v>552</v>
      </c>
      <c r="I176" s="60" t="s">
        <v>553</v>
      </c>
    </row>
    <row r="177" spans="4:9">
      <c r="D177" s="60" t="s">
        <v>555</v>
      </c>
      <c r="E177" s="60">
        <v>2017</v>
      </c>
      <c r="F177" s="61">
        <v>743</v>
      </c>
      <c r="G177" s="63">
        <v>2461</v>
      </c>
      <c r="H177" s="60" t="s">
        <v>552</v>
      </c>
      <c r="I177" s="60" t="s">
        <v>553</v>
      </c>
    </row>
    <row r="178" spans="4:9">
      <c r="D178" s="60" t="s">
        <v>555</v>
      </c>
      <c r="E178" s="60">
        <v>2020</v>
      </c>
      <c r="F178" s="61">
        <v>743</v>
      </c>
      <c r="G178" s="63">
        <v>2461</v>
      </c>
      <c r="H178" s="60" t="s">
        <v>552</v>
      </c>
      <c r="I178" s="60" t="s">
        <v>553</v>
      </c>
    </row>
    <row r="179" spans="4:9">
      <c r="D179" s="60" t="s">
        <v>555</v>
      </c>
      <c r="E179" s="60">
        <v>2019</v>
      </c>
      <c r="F179" s="61">
        <v>743</v>
      </c>
      <c r="G179" s="63">
        <v>2461</v>
      </c>
      <c r="H179" s="60" t="s">
        <v>552</v>
      </c>
      <c r="I179" s="60" t="s">
        <v>553</v>
      </c>
    </row>
    <row r="180" spans="4:9">
      <c r="D180" s="60" t="s">
        <v>555</v>
      </c>
      <c r="E180" s="60">
        <v>2013</v>
      </c>
      <c r="F180" s="61">
        <v>743</v>
      </c>
      <c r="G180" s="63">
        <v>2461</v>
      </c>
      <c r="H180" s="60" t="s">
        <v>552</v>
      </c>
      <c r="I180" s="60" t="s">
        <v>553</v>
      </c>
    </row>
    <row r="181" spans="4:9">
      <c r="D181" s="60" t="s">
        <v>555</v>
      </c>
      <c r="E181" s="60">
        <v>2016</v>
      </c>
      <c r="F181" s="61">
        <v>743</v>
      </c>
      <c r="G181" s="63">
        <v>2461</v>
      </c>
      <c r="H181" s="60" t="s">
        <v>552</v>
      </c>
      <c r="I181" s="60" t="s">
        <v>553</v>
      </c>
    </row>
    <row r="182" spans="4:9">
      <c r="D182" s="60" t="s">
        <v>551</v>
      </c>
      <c r="E182" s="60">
        <v>2014</v>
      </c>
      <c r="F182" s="61">
        <v>743</v>
      </c>
      <c r="G182" s="63">
        <v>2461</v>
      </c>
      <c r="H182" s="60" t="s">
        <v>552</v>
      </c>
      <c r="I182" s="60" t="s">
        <v>553</v>
      </c>
    </row>
    <row r="183" spans="4:9">
      <c r="D183" s="60" t="s">
        <v>551</v>
      </c>
      <c r="E183" s="60">
        <v>2019</v>
      </c>
      <c r="F183" s="61">
        <v>743</v>
      </c>
      <c r="G183" s="63">
        <v>2461</v>
      </c>
      <c r="H183" s="60" t="s">
        <v>552</v>
      </c>
      <c r="I183" s="60" t="s">
        <v>553</v>
      </c>
    </row>
    <row r="184" spans="4:9">
      <c r="D184" s="60" t="s">
        <v>551</v>
      </c>
      <c r="E184" s="60">
        <v>2015</v>
      </c>
      <c r="F184" s="61">
        <v>701</v>
      </c>
      <c r="G184" s="63">
        <v>2122</v>
      </c>
      <c r="H184" s="60" t="s">
        <v>552</v>
      </c>
      <c r="I184" s="60" t="s">
        <v>559</v>
      </c>
    </row>
    <row r="185" spans="4:9">
      <c r="D185" s="60" t="s">
        <v>551</v>
      </c>
      <c r="E185" s="60">
        <v>2019</v>
      </c>
      <c r="F185" s="61">
        <v>743</v>
      </c>
      <c r="G185" s="63">
        <v>2461</v>
      </c>
      <c r="H185" s="60" t="s">
        <v>552</v>
      </c>
      <c r="I185" s="60" t="s">
        <v>553</v>
      </c>
    </row>
    <row r="186" spans="4:9">
      <c r="D186" s="60" t="s">
        <v>551</v>
      </c>
      <c r="E186" s="60">
        <v>2013</v>
      </c>
      <c r="F186" s="61">
        <v>743</v>
      </c>
      <c r="G186" s="63">
        <v>2461</v>
      </c>
      <c r="H186" s="60" t="s">
        <v>552</v>
      </c>
      <c r="I186" s="60" t="s">
        <v>553</v>
      </c>
    </row>
    <row r="187" spans="4:9">
      <c r="D187" s="60" t="s">
        <v>551</v>
      </c>
      <c r="E187" s="60">
        <v>2013</v>
      </c>
      <c r="F187" s="61">
        <v>743</v>
      </c>
      <c r="G187" s="63">
        <v>2461</v>
      </c>
      <c r="H187" s="60" t="s">
        <v>552</v>
      </c>
      <c r="I187" s="60" t="s">
        <v>553</v>
      </c>
    </row>
    <row r="188" spans="4:9">
      <c r="D188" s="60" t="s">
        <v>551</v>
      </c>
      <c r="E188" s="60">
        <v>2017</v>
      </c>
      <c r="F188" s="61">
        <v>743</v>
      </c>
      <c r="G188" s="63">
        <v>2461</v>
      </c>
      <c r="H188" s="60" t="s">
        <v>552</v>
      </c>
      <c r="I188" s="60" t="s">
        <v>553</v>
      </c>
    </row>
    <row r="189" spans="4:9">
      <c r="D189" s="60" t="s">
        <v>555</v>
      </c>
      <c r="E189" s="60">
        <v>2018</v>
      </c>
      <c r="F189" s="61">
        <v>743</v>
      </c>
      <c r="G189" s="63">
        <v>2461</v>
      </c>
      <c r="H189" s="60" t="s">
        <v>552</v>
      </c>
      <c r="I189" s="60" t="s">
        <v>553</v>
      </c>
    </row>
    <row r="190" spans="4:9">
      <c r="D190" s="60" t="s">
        <v>551</v>
      </c>
      <c r="E190" s="60">
        <v>2020</v>
      </c>
      <c r="F190" s="61">
        <v>743</v>
      </c>
      <c r="G190" s="63">
        <v>2461</v>
      </c>
      <c r="H190" s="60" t="s">
        <v>552</v>
      </c>
      <c r="I190" s="60" t="s">
        <v>553</v>
      </c>
    </row>
    <row r="191" spans="4:9">
      <c r="D191" s="60" t="s">
        <v>551</v>
      </c>
      <c r="E191" s="60">
        <v>2019</v>
      </c>
      <c r="F191" s="61">
        <v>649</v>
      </c>
      <c r="G191" s="63">
        <v>1980</v>
      </c>
      <c r="H191" s="60" t="s">
        <v>552</v>
      </c>
      <c r="I191" s="60" t="s">
        <v>560</v>
      </c>
    </row>
    <row r="192" spans="4:9">
      <c r="D192" s="60" t="s">
        <v>551</v>
      </c>
      <c r="E192" s="60">
        <v>2019</v>
      </c>
      <c r="F192" s="61">
        <v>743</v>
      </c>
      <c r="G192" s="63">
        <v>2461</v>
      </c>
      <c r="H192" s="60" t="s">
        <v>552</v>
      </c>
      <c r="I192" s="60" t="s">
        <v>553</v>
      </c>
    </row>
    <row r="193" spans="4:9">
      <c r="D193" s="60" t="s">
        <v>551</v>
      </c>
      <c r="E193" s="60">
        <v>2020</v>
      </c>
      <c r="F193" s="61">
        <v>743</v>
      </c>
      <c r="G193" s="63">
        <v>2461</v>
      </c>
      <c r="H193" s="60" t="s">
        <v>552</v>
      </c>
      <c r="I193" s="60" t="s">
        <v>553</v>
      </c>
    </row>
    <row r="194" spans="4:9">
      <c r="D194" s="60" t="s">
        <v>551</v>
      </c>
      <c r="E194" s="60">
        <v>2013</v>
      </c>
      <c r="F194" s="61">
        <v>743</v>
      </c>
      <c r="G194" s="63">
        <v>2461</v>
      </c>
      <c r="H194" s="60" t="s">
        <v>552</v>
      </c>
      <c r="I194" s="60" t="s">
        <v>553</v>
      </c>
    </row>
    <row r="195" spans="4:9">
      <c r="D195" s="60" t="s">
        <v>551</v>
      </c>
      <c r="E195" s="60">
        <v>2015</v>
      </c>
      <c r="F195" s="61">
        <v>743</v>
      </c>
      <c r="G195" s="63">
        <v>2461</v>
      </c>
      <c r="H195" s="60" t="s">
        <v>552</v>
      </c>
      <c r="I195" s="60" t="s">
        <v>553</v>
      </c>
    </row>
    <row r="196" spans="4:9">
      <c r="D196" s="60" t="s">
        <v>551</v>
      </c>
      <c r="E196" s="60">
        <v>2017</v>
      </c>
      <c r="F196" s="61">
        <v>785</v>
      </c>
      <c r="G196" s="63">
        <v>1951</v>
      </c>
      <c r="H196" s="60" t="s">
        <v>552</v>
      </c>
      <c r="I196" s="60" t="s">
        <v>557</v>
      </c>
    </row>
    <row r="197" spans="4:9">
      <c r="D197" s="60" t="s">
        <v>551</v>
      </c>
      <c r="E197" s="60">
        <v>2014</v>
      </c>
      <c r="F197" s="61">
        <v>743</v>
      </c>
      <c r="G197" s="63">
        <v>2461</v>
      </c>
      <c r="H197" s="60" t="s">
        <v>552</v>
      </c>
      <c r="I197" s="60" t="s">
        <v>553</v>
      </c>
    </row>
    <row r="198" spans="4:9">
      <c r="D198" s="60" t="s">
        <v>551</v>
      </c>
      <c r="E198" s="60">
        <v>2019</v>
      </c>
      <c r="F198" s="61">
        <v>743</v>
      </c>
      <c r="G198" s="63">
        <v>2461</v>
      </c>
      <c r="H198" s="60" t="s">
        <v>552</v>
      </c>
      <c r="I198" s="60" t="s">
        <v>553</v>
      </c>
    </row>
    <row r="199" spans="4:9">
      <c r="D199" s="60" t="s">
        <v>551</v>
      </c>
      <c r="E199" s="60">
        <v>2014</v>
      </c>
      <c r="F199" s="61">
        <v>743</v>
      </c>
      <c r="G199" s="63">
        <v>2461</v>
      </c>
      <c r="H199" s="60" t="s">
        <v>552</v>
      </c>
      <c r="I199" s="60" t="s">
        <v>553</v>
      </c>
    </row>
    <row r="200" spans="4:9">
      <c r="D200" s="60" t="s">
        <v>551</v>
      </c>
      <c r="E200" s="60">
        <v>2020</v>
      </c>
      <c r="F200" s="61">
        <v>743</v>
      </c>
      <c r="G200" s="63">
        <v>2461</v>
      </c>
      <c r="H200" s="60" t="s">
        <v>552</v>
      </c>
      <c r="I200" s="60" t="s">
        <v>553</v>
      </c>
    </row>
    <row r="201" spans="4:9">
      <c r="D201" s="60" t="s">
        <v>551</v>
      </c>
      <c r="E201" s="60">
        <v>2018</v>
      </c>
      <c r="F201" s="61">
        <v>743</v>
      </c>
      <c r="G201" s="63">
        <v>2461</v>
      </c>
      <c r="H201" s="60" t="s">
        <v>552</v>
      </c>
      <c r="I201" s="60" t="s">
        <v>553</v>
      </c>
    </row>
    <row r="202" spans="4:9">
      <c r="D202" s="60" t="s">
        <v>551</v>
      </c>
      <c r="E202" s="60">
        <v>2020</v>
      </c>
      <c r="F202" s="61">
        <v>743</v>
      </c>
      <c r="G202" s="63">
        <v>2461</v>
      </c>
      <c r="H202" s="60" t="s">
        <v>552</v>
      </c>
      <c r="I202" s="60" t="s">
        <v>553</v>
      </c>
    </row>
    <row r="203" spans="4:9">
      <c r="D203" s="60" t="s">
        <v>551</v>
      </c>
      <c r="E203" s="60">
        <v>2019</v>
      </c>
      <c r="F203" s="61">
        <v>743</v>
      </c>
      <c r="G203" s="63">
        <v>2461</v>
      </c>
      <c r="H203" s="60" t="s">
        <v>552</v>
      </c>
      <c r="I203" s="60" t="s">
        <v>553</v>
      </c>
    </row>
    <row r="204" spans="4:9">
      <c r="D204" s="60" t="s">
        <v>551</v>
      </c>
      <c r="E204" s="60">
        <v>2015</v>
      </c>
      <c r="F204" s="61">
        <v>743</v>
      </c>
      <c r="G204" s="63">
        <v>2461</v>
      </c>
      <c r="H204" s="60" t="s">
        <v>552</v>
      </c>
      <c r="I204" s="60" t="s">
        <v>553</v>
      </c>
    </row>
    <row r="205" spans="4:9">
      <c r="D205" s="60" t="s">
        <v>551</v>
      </c>
      <c r="E205" s="60">
        <v>2017</v>
      </c>
      <c r="F205" s="61">
        <v>743</v>
      </c>
      <c r="G205" s="63">
        <v>2461</v>
      </c>
      <c r="H205" s="60" t="s">
        <v>552</v>
      </c>
      <c r="I205" s="60" t="s">
        <v>553</v>
      </c>
    </row>
    <row r="206" spans="4:9">
      <c r="D206" s="60" t="s">
        <v>551</v>
      </c>
      <c r="E206" s="60">
        <v>2020</v>
      </c>
      <c r="F206" s="61">
        <v>743</v>
      </c>
      <c r="G206" s="63">
        <v>2461</v>
      </c>
      <c r="H206" s="60" t="s">
        <v>552</v>
      </c>
      <c r="I206" s="60" t="s">
        <v>553</v>
      </c>
    </row>
    <row r="207" spans="4:9">
      <c r="D207" s="60" t="s">
        <v>551</v>
      </c>
      <c r="E207" s="60">
        <v>2018</v>
      </c>
      <c r="F207" s="61">
        <v>743</v>
      </c>
      <c r="G207" s="63">
        <v>2461</v>
      </c>
      <c r="H207" s="60" t="s">
        <v>552</v>
      </c>
      <c r="I207" s="60" t="s">
        <v>553</v>
      </c>
    </row>
    <row r="208" spans="4:9">
      <c r="D208" s="60" t="s">
        <v>551</v>
      </c>
      <c r="E208" s="60">
        <v>2017</v>
      </c>
      <c r="F208" s="61">
        <v>743</v>
      </c>
      <c r="G208" s="63">
        <v>2461</v>
      </c>
      <c r="H208" s="60" t="s">
        <v>552</v>
      </c>
      <c r="I208" s="60" t="s">
        <v>553</v>
      </c>
    </row>
    <row r="209" spans="4:9">
      <c r="D209" s="60" t="s">
        <v>551</v>
      </c>
      <c r="E209" s="60">
        <v>2016</v>
      </c>
      <c r="F209" s="61">
        <v>743</v>
      </c>
      <c r="G209" s="63">
        <v>2461</v>
      </c>
      <c r="H209" s="60" t="s">
        <v>552</v>
      </c>
      <c r="I209" s="60" t="s">
        <v>553</v>
      </c>
    </row>
    <row r="210" spans="4:9">
      <c r="D210" s="60" t="s">
        <v>551</v>
      </c>
      <c r="E210" s="60">
        <v>2017</v>
      </c>
      <c r="F210" s="61">
        <v>743</v>
      </c>
      <c r="G210" s="63">
        <v>2461</v>
      </c>
      <c r="H210" s="60" t="s">
        <v>552</v>
      </c>
      <c r="I210" s="60" t="s">
        <v>553</v>
      </c>
    </row>
    <row r="211" spans="4:9">
      <c r="D211" s="60" t="s">
        <v>551</v>
      </c>
      <c r="E211" s="60">
        <v>2017</v>
      </c>
      <c r="F211" s="61">
        <v>1057</v>
      </c>
      <c r="G211" s="63">
        <v>3575</v>
      </c>
      <c r="H211" s="60" t="s">
        <v>552</v>
      </c>
      <c r="I211" s="60" t="s">
        <v>558</v>
      </c>
    </row>
    <row r="212" spans="4:9">
      <c r="D212" s="60" t="s">
        <v>551</v>
      </c>
      <c r="E212" s="60">
        <v>2018</v>
      </c>
      <c r="F212" s="61">
        <v>743</v>
      </c>
      <c r="G212" s="63">
        <v>2461</v>
      </c>
      <c r="H212" s="60" t="s">
        <v>552</v>
      </c>
      <c r="I212" s="60" t="s">
        <v>553</v>
      </c>
    </row>
    <row r="213" spans="4:9">
      <c r="D213" s="64" t="s">
        <v>551</v>
      </c>
      <c r="E213" s="60">
        <v>2018</v>
      </c>
      <c r="F213" s="61">
        <v>743</v>
      </c>
      <c r="G213" s="63">
        <v>2461</v>
      </c>
      <c r="H213" s="60" t="s">
        <v>552</v>
      </c>
      <c r="I213" s="60" t="s">
        <v>553</v>
      </c>
    </row>
    <row r="214" spans="4:9">
      <c r="D214" s="60" t="s">
        <v>551</v>
      </c>
      <c r="E214" s="60">
        <v>2019</v>
      </c>
      <c r="F214" s="61">
        <v>743</v>
      </c>
      <c r="G214" s="63">
        <v>2461</v>
      </c>
      <c r="H214" s="60" t="s">
        <v>552</v>
      </c>
      <c r="I214" s="60" t="s">
        <v>553</v>
      </c>
    </row>
    <row r="215" spans="4:9">
      <c r="D215" s="60" t="s">
        <v>555</v>
      </c>
      <c r="E215" s="60">
        <v>2015</v>
      </c>
      <c r="F215" s="61">
        <v>781</v>
      </c>
      <c r="G215" s="63">
        <v>2530</v>
      </c>
      <c r="H215" s="60" t="s">
        <v>552</v>
      </c>
      <c r="I215" s="60" t="s">
        <v>556</v>
      </c>
    </row>
    <row r="216" spans="4:9">
      <c r="D216" s="60" t="s">
        <v>555</v>
      </c>
      <c r="E216" s="60">
        <v>2017</v>
      </c>
      <c r="F216" s="61">
        <v>782</v>
      </c>
      <c r="G216" s="63">
        <v>2341</v>
      </c>
      <c r="H216" s="60" t="s">
        <v>552</v>
      </c>
      <c r="I216" s="60" t="s">
        <v>558</v>
      </c>
    </row>
    <row r="217" spans="4:9">
      <c r="D217" s="60" t="s">
        <v>555</v>
      </c>
      <c r="E217" s="60">
        <v>2017</v>
      </c>
      <c r="F217" s="61">
        <v>733</v>
      </c>
      <c r="G217" s="63">
        <v>2006</v>
      </c>
      <c r="H217" s="60" t="s">
        <v>552</v>
      </c>
      <c r="I217" s="60" t="s">
        <v>559</v>
      </c>
    </row>
    <row r="218" spans="4:9">
      <c r="D218" s="60" t="s">
        <v>555</v>
      </c>
      <c r="E218" s="60">
        <v>2013</v>
      </c>
      <c r="F218" s="61">
        <v>743</v>
      </c>
      <c r="G218" s="63">
        <v>2461</v>
      </c>
      <c r="H218" s="60" t="s">
        <v>552</v>
      </c>
      <c r="I218" s="60" t="s">
        <v>553</v>
      </c>
    </row>
    <row r="219" spans="4:9">
      <c r="D219" s="60" t="s">
        <v>555</v>
      </c>
      <c r="E219" s="60">
        <v>2018</v>
      </c>
      <c r="F219" s="61">
        <v>743</v>
      </c>
      <c r="G219" s="63">
        <v>2461</v>
      </c>
      <c r="H219" s="60" t="s">
        <v>552</v>
      </c>
      <c r="I219" s="60" t="s">
        <v>553</v>
      </c>
    </row>
    <row r="220" spans="4:9">
      <c r="D220" s="60" t="s">
        <v>555</v>
      </c>
      <c r="E220" s="60">
        <v>2017</v>
      </c>
      <c r="F220" s="61">
        <v>756</v>
      </c>
      <c r="G220" s="63">
        <v>2185</v>
      </c>
      <c r="H220" s="60" t="s">
        <v>552</v>
      </c>
      <c r="I220" s="60" t="s">
        <v>560</v>
      </c>
    </row>
    <row r="221" spans="4:9">
      <c r="D221" s="60" t="s">
        <v>555</v>
      </c>
      <c r="E221" s="60">
        <v>2020</v>
      </c>
      <c r="F221" s="61">
        <v>736</v>
      </c>
      <c r="G221" s="63">
        <v>1988</v>
      </c>
      <c r="H221" s="60" t="s">
        <v>552</v>
      </c>
      <c r="I221" s="60" t="s">
        <v>558</v>
      </c>
    </row>
    <row r="222" spans="4:9">
      <c r="D222" s="60" t="s">
        <v>555</v>
      </c>
      <c r="E222" s="60">
        <v>2012</v>
      </c>
      <c r="F222" s="61">
        <v>785</v>
      </c>
      <c r="G222" s="63">
        <v>2529</v>
      </c>
      <c r="H222" s="60" t="s">
        <v>552</v>
      </c>
      <c r="I222" s="60" t="s">
        <v>559</v>
      </c>
    </row>
    <row r="223" spans="4:9">
      <c r="D223" s="60" t="s">
        <v>555</v>
      </c>
      <c r="E223" s="60">
        <v>2016</v>
      </c>
      <c r="F223" s="61">
        <v>743</v>
      </c>
      <c r="G223" s="63">
        <v>2461</v>
      </c>
      <c r="H223" s="60" t="s">
        <v>552</v>
      </c>
      <c r="I223" s="60" t="s">
        <v>553</v>
      </c>
    </row>
    <row r="224" spans="4:9">
      <c r="D224" s="60" t="s">
        <v>555</v>
      </c>
      <c r="E224" s="60">
        <v>2014</v>
      </c>
      <c r="F224" s="61">
        <v>798</v>
      </c>
      <c r="G224" s="63">
        <v>2347</v>
      </c>
      <c r="H224" s="60" t="s">
        <v>552</v>
      </c>
      <c r="I224" s="60" t="s">
        <v>558</v>
      </c>
    </row>
    <row r="225" spans="4:9">
      <c r="D225" s="60" t="s">
        <v>555</v>
      </c>
      <c r="E225" s="60">
        <v>2012</v>
      </c>
      <c r="F225" s="61">
        <v>798</v>
      </c>
      <c r="G225" s="63">
        <v>2874</v>
      </c>
      <c r="H225" s="60" t="s">
        <v>552</v>
      </c>
      <c r="I225" s="60" t="s">
        <v>558</v>
      </c>
    </row>
    <row r="226" spans="4:9">
      <c r="D226" s="60" t="s">
        <v>555</v>
      </c>
      <c r="E226" s="60">
        <v>2015</v>
      </c>
      <c r="F226" s="61">
        <v>743</v>
      </c>
      <c r="G226" s="63">
        <v>2461</v>
      </c>
      <c r="H226" s="60" t="s">
        <v>552</v>
      </c>
      <c r="I226" s="60" t="s">
        <v>553</v>
      </c>
    </row>
    <row r="227" spans="4:9">
      <c r="D227" s="60" t="s">
        <v>555</v>
      </c>
      <c r="E227" s="60">
        <v>2017</v>
      </c>
      <c r="F227" s="61">
        <v>743</v>
      </c>
      <c r="G227" s="63">
        <v>2461</v>
      </c>
      <c r="H227" s="60" t="s">
        <v>552</v>
      </c>
      <c r="I227" s="60" t="s">
        <v>553</v>
      </c>
    </row>
    <row r="228" spans="4:9">
      <c r="D228" s="60" t="s">
        <v>555</v>
      </c>
      <c r="E228" s="60">
        <v>2018</v>
      </c>
      <c r="F228" s="61">
        <v>743</v>
      </c>
      <c r="G228" s="63">
        <v>2461</v>
      </c>
      <c r="H228" s="60" t="s">
        <v>552</v>
      </c>
      <c r="I228" s="60" t="s">
        <v>553</v>
      </c>
    </row>
    <row r="229" spans="4:9">
      <c r="D229" s="60" t="s">
        <v>551</v>
      </c>
      <c r="E229" s="60">
        <v>2015</v>
      </c>
      <c r="F229" s="61">
        <v>743</v>
      </c>
      <c r="G229" s="63">
        <v>2461</v>
      </c>
      <c r="H229" s="60" t="s">
        <v>552</v>
      </c>
      <c r="I229" s="60" t="s">
        <v>553</v>
      </c>
    </row>
    <row r="230" spans="4:9">
      <c r="D230" s="60" t="s">
        <v>551</v>
      </c>
      <c r="E230" s="60">
        <v>2018</v>
      </c>
      <c r="F230" s="61">
        <v>743</v>
      </c>
      <c r="G230" s="63">
        <v>2461</v>
      </c>
      <c r="H230" s="60" t="s">
        <v>552</v>
      </c>
      <c r="I230" s="60" t="s">
        <v>553</v>
      </c>
    </row>
    <row r="231" spans="4:9">
      <c r="D231" s="60" t="s">
        <v>551</v>
      </c>
      <c r="E231" s="60">
        <v>2012</v>
      </c>
      <c r="F231" s="61">
        <v>723</v>
      </c>
      <c r="G231" s="63">
        <v>2143</v>
      </c>
      <c r="H231" s="60" t="s">
        <v>552</v>
      </c>
      <c r="I231" s="60" t="s">
        <v>560</v>
      </c>
    </row>
    <row r="232" spans="4:9">
      <c r="D232" s="60" t="s">
        <v>551</v>
      </c>
      <c r="E232" s="60">
        <v>2020</v>
      </c>
      <c r="F232" s="61">
        <v>1093</v>
      </c>
      <c r="G232" s="63">
        <v>3904</v>
      </c>
      <c r="H232" s="60" t="s">
        <v>552</v>
      </c>
      <c r="I232" s="60" t="s">
        <v>558</v>
      </c>
    </row>
    <row r="233" spans="4:9">
      <c r="D233" s="60" t="s">
        <v>551</v>
      </c>
      <c r="E233" s="60">
        <v>2016</v>
      </c>
      <c r="F233" s="61">
        <v>927</v>
      </c>
      <c r="G233" s="63">
        <v>2938</v>
      </c>
      <c r="H233" s="60" t="s">
        <v>552</v>
      </c>
      <c r="I233" s="60" t="s">
        <v>556</v>
      </c>
    </row>
    <row r="234" spans="4:9">
      <c r="D234" s="60" t="s">
        <v>551</v>
      </c>
      <c r="E234" s="60">
        <v>2018</v>
      </c>
      <c r="F234" s="61">
        <v>701</v>
      </c>
      <c r="G234" s="63">
        <v>2042</v>
      </c>
      <c r="H234" s="60" t="s">
        <v>552</v>
      </c>
      <c r="I234" s="60" t="s">
        <v>562</v>
      </c>
    </row>
    <row r="235" spans="4:9">
      <c r="D235" s="60" t="s">
        <v>551</v>
      </c>
      <c r="E235" s="60">
        <v>2013</v>
      </c>
      <c r="F235" s="61">
        <v>680</v>
      </c>
      <c r="G235" s="63">
        <v>2301</v>
      </c>
      <c r="H235" s="60" t="s">
        <v>552</v>
      </c>
      <c r="I235" s="60" t="s">
        <v>557</v>
      </c>
    </row>
    <row r="236" spans="4:9">
      <c r="D236" s="60" t="s">
        <v>551</v>
      </c>
      <c r="E236" s="60">
        <v>2015</v>
      </c>
      <c r="F236" s="61">
        <v>743</v>
      </c>
      <c r="G236" s="63">
        <v>2461</v>
      </c>
      <c r="H236" s="60" t="s">
        <v>552</v>
      </c>
      <c r="I236" s="60" t="s">
        <v>553</v>
      </c>
    </row>
    <row r="237" spans="4:9">
      <c r="D237" s="60" t="s">
        <v>551</v>
      </c>
      <c r="E237" s="60">
        <v>2019</v>
      </c>
      <c r="F237" s="61">
        <v>743</v>
      </c>
      <c r="G237" s="63">
        <v>2461</v>
      </c>
      <c r="H237" s="60" t="s">
        <v>552</v>
      </c>
      <c r="I237" s="60" t="s">
        <v>553</v>
      </c>
    </row>
    <row r="238" spans="4:9">
      <c r="D238" s="60" t="s">
        <v>551</v>
      </c>
      <c r="E238" s="60">
        <v>2016</v>
      </c>
      <c r="F238" s="61">
        <v>782</v>
      </c>
      <c r="G238" s="63">
        <v>2089</v>
      </c>
      <c r="H238" s="60" t="s">
        <v>552</v>
      </c>
      <c r="I238" s="60" t="s">
        <v>554</v>
      </c>
    </row>
    <row r="239" spans="4:9">
      <c r="D239" s="60" t="s">
        <v>551</v>
      </c>
      <c r="E239" s="60">
        <v>2019</v>
      </c>
      <c r="F239" s="61">
        <v>743</v>
      </c>
      <c r="G239" s="63">
        <v>2461</v>
      </c>
      <c r="H239" s="60" t="s">
        <v>552</v>
      </c>
      <c r="I239" s="60" t="s">
        <v>553</v>
      </c>
    </row>
    <row r="240" spans="4:9">
      <c r="D240" s="60" t="s">
        <v>551</v>
      </c>
      <c r="E240" s="60">
        <v>2018</v>
      </c>
      <c r="F240" s="61">
        <v>743</v>
      </c>
      <c r="G240" s="63">
        <v>2461</v>
      </c>
      <c r="H240" s="60" t="s">
        <v>552</v>
      </c>
      <c r="I240" s="60" t="s">
        <v>553</v>
      </c>
    </row>
    <row r="241" spans="4:9">
      <c r="D241" s="60" t="s">
        <v>551</v>
      </c>
      <c r="E241" s="60">
        <v>2016</v>
      </c>
      <c r="F241" s="61">
        <v>723</v>
      </c>
      <c r="G241" s="63">
        <v>2295</v>
      </c>
      <c r="H241" s="60" t="s">
        <v>552</v>
      </c>
      <c r="I241" s="60" t="s">
        <v>559</v>
      </c>
    </row>
    <row r="242" spans="4:9">
      <c r="D242" s="60" t="s">
        <v>551</v>
      </c>
      <c r="E242" s="60">
        <v>2019</v>
      </c>
      <c r="F242" s="61">
        <v>798</v>
      </c>
      <c r="G242" s="63">
        <v>2520</v>
      </c>
      <c r="H242" s="60" t="s">
        <v>552</v>
      </c>
      <c r="I242" s="60" t="s">
        <v>556</v>
      </c>
    </row>
    <row r="243" spans="4:9">
      <c r="D243" s="60" t="s">
        <v>551</v>
      </c>
      <c r="E243" s="60">
        <v>2018</v>
      </c>
      <c r="F243" s="61">
        <v>743</v>
      </c>
      <c r="G243" s="63">
        <v>2461</v>
      </c>
      <c r="H243" s="60" t="s">
        <v>552</v>
      </c>
      <c r="I243" s="60" t="s">
        <v>553</v>
      </c>
    </row>
    <row r="244" spans="4:9">
      <c r="D244" s="60" t="s">
        <v>551</v>
      </c>
      <c r="E244" s="60">
        <v>2017</v>
      </c>
      <c r="F244" s="61">
        <v>743</v>
      </c>
      <c r="G244" s="63">
        <v>2461</v>
      </c>
      <c r="H244" s="60" t="s">
        <v>552</v>
      </c>
      <c r="I244" s="60" t="s">
        <v>553</v>
      </c>
    </row>
    <row r="245" spans="4:9">
      <c r="D245" s="60" t="s">
        <v>551</v>
      </c>
      <c r="E245" s="60">
        <v>2012</v>
      </c>
      <c r="F245" s="61">
        <v>743</v>
      </c>
      <c r="G245" s="63">
        <v>2461</v>
      </c>
      <c r="H245" s="60" t="s">
        <v>552</v>
      </c>
      <c r="I245" s="60" t="s">
        <v>553</v>
      </c>
    </row>
    <row r="246" spans="4:9">
      <c r="D246" s="60" t="s">
        <v>551</v>
      </c>
      <c r="E246" s="60">
        <v>2013</v>
      </c>
      <c r="F246" s="61">
        <v>743</v>
      </c>
      <c r="G246" s="63">
        <v>2461</v>
      </c>
      <c r="H246" s="60" t="s">
        <v>552</v>
      </c>
      <c r="I246" s="60" t="s">
        <v>553</v>
      </c>
    </row>
    <row r="247" spans="4:9">
      <c r="D247" s="60" t="s">
        <v>551</v>
      </c>
      <c r="E247" s="60">
        <v>2012</v>
      </c>
      <c r="F247" s="61">
        <v>743</v>
      </c>
      <c r="G247" s="63">
        <v>2461</v>
      </c>
      <c r="H247" s="60" t="s">
        <v>552</v>
      </c>
      <c r="I247" s="60" t="s">
        <v>553</v>
      </c>
    </row>
    <row r="248" spans="4:9">
      <c r="D248" s="60" t="s">
        <v>551</v>
      </c>
      <c r="E248" s="60">
        <v>2019</v>
      </c>
      <c r="F248" s="61">
        <v>743</v>
      </c>
      <c r="G248" s="63">
        <v>2461</v>
      </c>
      <c r="H248" s="60" t="s">
        <v>552</v>
      </c>
      <c r="I248" s="60" t="s">
        <v>553</v>
      </c>
    </row>
    <row r="249" spans="4:9">
      <c r="D249" s="60" t="s">
        <v>551</v>
      </c>
      <c r="E249" s="60">
        <v>2012</v>
      </c>
      <c r="F249" s="61">
        <v>1434</v>
      </c>
      <c r="G249" s="63">
        <v>4128</v>
      </c>
      <c r="H249" s="60" t="s">
        <v>552</v>
      </c>
      <c r="I249" s="60" t="s">
        <v>558</v>
      </c>
    </row>
    <row r="250" spans="4:9">
      <c r="D250" s="60" t="s">
        <v>551</v>
      </c>
      <c r="E250" s="60">
        <v>2013</v>
      </c>
      <c r="F250" s="61">
        <v>743</v>
      </c>
      <c r="G250" s="63">
        <v>2461</v>
      </c>
      <c r="H250" s="60" t="s">
        <v>552</v>
      </c>
      <c r="I250" s="60" t="s">
        <v>553</v>
      </c>
    </row>
    <row r="251" spans="4:9">
      <c r="D251" s="60" t="s">
        <v>551</v>
      </c>
      <c r="E251" s="60">
        <v>2013</v>
      </c>
      <c r="F251" s="61">
        <v>781</v>
      </c>
      <c r="G251" s="63">
        <v>2580</v>
      </c>
      <c r="H251" s="60" t="s">
        <v>552</v>
      </c>
      <c r="I251" s="60" t="s">
        <v>557</v>
      </c>
    </row>
    <row r="252" spans="4:9">
      <c r="D252" s="60" t="s">
        <v>551</v>
      </c>
      <c r="E252" s="60">
        <v>2014</v>
      </c>
      <c r="F252" s="61">
        <v>618</v>
      </c>
      <c r="G252" s="63">
        <v>1534</v>
      </c>
      <c r="H252" s="60" t="s">
        <v>552</v>
      </c>
      <c r="I252" s="60" t="s">
        <v>560</v>
      </c>
    </row>
    <row r="253" spans="4:9">
      <c r="D253" s="60" t="s">
        <v>551</v>
      </c>
      <c r="E253" s="60">
        <v>2017</v>
      </c>
      <c r="F253" s="61">
        <v>743</v>
      </c>
      <c r="G253" s="63">
        <v>2461</v>
      </c>
      <c r="H253" s="60" t="s">
        <v>552</v>
      </c>
      <c r="I253" s="60" t="s">
        <v>553</v>
      </c>
    </row>
    <row r="254" spans="4:9">
      <c r="D254" s="60" t="s">
        <v>551</v>
      </c>
      <c r="E254" s="60">
        <v>2020</v>
      </c>
      <c r="F254" s="61">
        <v>743</v>
      </c>
      <c r="G254" s="63">
        <v>2461</v>
      </c>
      <c r="H254" s="60" t="s">
        <v>552</v>
      </c>
      <c r="I254" s="60" t="s">
        <v>553</v>
      </c>
    </row>
    <row r="255" spans="4:9">
      <c r="D255" s="60" t="s">
        <v>551</v>
      </c>
      <c r="E255" s="60">
        <v>2016</v>
      </c>
      <c r="F255" s="61">
        <v>781</v>
      </c>
      <c r="G255" s="63">
        <v>2108</v>
      </c>
      <c r="H255" s="60" t="s">
        <v>552</v>
      </c>
      <c r="I255" s="60" t="s">
        <v>557</v>
      </c>
    </row>
    <row r="256" spans="4:9">
      <c r="D256" s="60" t="s">
        <v>551</v>
      </c>
      <c r="E256" s="60">
        <v>2019</v>
      </c>
      <c r="F256" s="61">
        <v>781</v>
      </c>
      <c r="G256" s="63">
        <v>2490</v>
      </c>
      <c r="H256" s="60" t="s">
        <v>552</v>
      </c>
      <c r="I256" s="60" t="s">
        <v>557</v>
      </c>
    </row>
    <row r="257" spans="4:9">
      <c r="D257" s="60" t="s">
        <v>551</v>
      </c>
      <c r="E257" s="60">
        <v>2014</v>
      </c>
      <c r="F257" s="61">
        <v>697</v>
      </c>
      <c r="G257" s="63">
        <v>2198</v>
      </c>
      <c r="H257" s="60" t="s">
        <v>552</v>
      </c>
      <c r="I257" s="60" t="s">
        <v>557</v>
      </c>
    </row>
    <row r="258" spans="4:9">
      <c r="D258" s="60" t="s">
        <v>551</v>
      </c>
      <c r="E258" s="60">
        <v>2017</v>
      </c>
      <c r="F258" s="61">
        <v>670</v>
      </c>
      <c r="G258" s="63">
        <v>2042</v>
      </c>
      <c r="H258" s="60" t="s">
        <v>552</v>
      </c>
      <c r="I258" s="60" t="s">
        <v>557</v>
      </c>
    </row>
    <row r="259" spans="4:9">
      <c r="D259" s="60" t="s">
        <v>551</v>
      </c>
      <c r="E259" s="60">
        <v>2015</v>
      </c>
      <c r="F259" s="61">
        <v>743</v>
      </c>
      <c r="G259" s="63">
        <v>2461</v>
      </c>
      <c r="H259" s="60" t="s">
        <v>552</v>
      </c>
      <c r="I259" s="60" t="s">
        <v>553</v>
      </c>
    </row>
    <row r="260" spans="4:9">
      <c r="D260" s="60" t="s">
        <v>551</v>
      </c>
      <c r="E260" s="60">
        <v>2013</v>
      </c>
      <c r="F260" s="61">
        <v>743</v>
      </c>
      <c r="G260" s="63">
        <v>2461</v>
      </c>
      <c r="H260" s="60" t="s">
        <v>552</v>
      </c>
      <c r="I260" s="60" t="s">
        <v>553</v>
      </c>
    </row>
    <row r="261" spans="4:9">
      <c r="D261" s="60" t="s">
        <v>551</v>
      </c>
      <c r="E261" s="60">
        <v>2019</v>
      </c>
      <c r="F261" s="61">
        <v>923</v>
      </c>
      <c r="G261" s="63">
        <v>2964</v>
      </c>
      <c r="H261" s="60" t="s">
        <v>552</v>
      </c>
      <c r="I261" s="60" t="s">
        <v>556</v>
      </c>
    </row>
    <row r="262" spans="4:9">
      <c r="D262" s="60" t="s">
        <v>551</v>
      </c>
      <c r="E262" s="60">
        <v>2019</v>
      </c>
      <c r="F262" s="61">
        <v>743</v>
      </c>
      <c r="G262" s="63">
        <v>2461</v>
      </c>
      <c r="H262" s="60" t="s">
        <v>552</v>
      </c>
      <c r="I262" s="60" t="s">
        <v>553</v>
      </c>
    </row>
    <row r="263" spans="4:9">
      <c r="D263" s="60" t="s">
        <v>551</v>
      </c>
      <c r="E263" s="60">
        <v>2012</v>
      </c>
      <c r="F263" s="61">
        <v>743</v>
      </c>
      <c r="G263" s="63">
        <v>2461</v>
      </c>
      <c r="H263" s="60" t="s">
        <v>552</v>
      </c>
      <c r="I263" s="60" t="s">
        <v>553</v>
      </c>
    </row>
    <row r="264" spans="4:9">
      <c r="D264" s="60" t="s">
        <v>551</v>
      </c>
      <c r="E264" s="60">
        <v>2015</v>
      </c>
      <c r="F264" s="61">
        <v>743</v>
      </c>
      <c r="G264" s="63">
        <v>2461</v>
      </c>
      <c r="H264" s="60" t="s">
        <v>552</v>
      </c>
      <c r="I264" s="60" t="s">
        <v>553</v>
      </c>
    </row>
    <row r="265" spans="4:9">
      <c r="D265" s="60" t="s">
        <v>551</v>
      </c>
      <c r="E265" s="60">
        <v>2014</v>
      </c>
      <c r="F265" s="61">
        <v>743</v>
      </c>
      <c r="G265" s="63">
        <v>2461</v>
      </c>
      <c r="H265" s="60" t="s">
        <v>552</v>
      </c>
      <c r="I265" s="60" t="s">
        <v>553</v>
      </c>
    </row>
    <row r="266" spans="4:9">
      <c r="D266" s="60" t="s">
        <v>551</v>
      </c>
      <c r="E266" s="60">
        <v>2016</v>
      </c>
      <c r="F266" s="61">
        <v>743</v>
      </c>
      <c r="G266" s="63">
        <v>2461</v>
      </c>
      <c r="H266" s="60" t="s">
        <v>552</v>
      </c>
      <c r="I266" s="60" t="s">
        <v>553</v>
      </c>
    </row>
    <row r="267" spans="4:9">
      <c r="D267" s="60" t="s">
        <v>551</v>
      </c>
      <c r="E267" s="60">
        <v>2015</v>
      </c>
      <c r="F267" s="61">
        <v>743</v>
      </c>
      <c r="G267" s="63">
        <v>2461</v>
      </c>
      <c r="H267" s="60" t="s">
        <v>552</v>
      </c>
      <c r="I267" s="60" t="s">
        <v>553</v>
      </c>
    </row>
    <row r="268" spans="4:9">
      <c r="D268" s="60" t="s">
        <v>551</v>
      </c>
      <c r="E268" s="60">
        <v>2015</v>
      </c>
      <c r="F268" s="61">
        <v>743</v>
      </c>
      <c r="G268" s="63">
        <v>2461</v>
      </c>
      <c r="H268" s="60" t="s">
        <v>552</v>
      </c>
      <c r="I268" s="60" t="s">
        <v>553</v>
      </c>
    </row>
    <row r="269" spans="4:9">
      <c r="D269" s="60" t="s">
        <v>551</v>
      </c>
      <c r="E269" s="60">
        <v>2015</v>
      </c>
      <c r="F269" s="61">
        <v>743</v>
      </c>
      <c r="G269" s="63">
        <v>2461</v>
      </c>
      <c r="H269" s="60" t="s">
        <v>552</v>
      </c>
      <c r="I269" s="60" t="s">
        <v>553</v>
      </c>
    </row>
    <row r="270" spans="4:9">
      <c r="D270" s="60" t="s">
        <v>551</v>
      </c>
      <c r="E270" s="60">
        <v>2015</v>
      </c>
      <c r="F270" s="61">
        <v>743</v>
      </c>
      <c r="G270" s="63">
        <v>2461</v>
      </c>
      <c r="H270" s="60" t="s">
        <v>552</v>
      </c>
      <c r="I270" s="60" t="s">
        <v>553</v>
      </c>
    </row>
    <row r="271" spans="4:9">
      <c r="D271" s="60" t="s">
        <v>551</v>
      </c>
      <c r="E271" s="60">
        <v>2013</v>
      </c>
      <c r="F271" s="61">
        <v>743</v>
      </c>
      <c r="G271" s="63">
        <v>2461</v>
      </c>
      <c r="H271" s="60" t="s">
        <v>552</v>
      </c>
      <c r="I271" s="60" t="s">
        <v>553</v>
      </c>
    </row>
    <row r="272" spans="4:9">
      <c r="D272" s="60" t="s">
        <v>551</v>
      </c>
      <c r="E272" s="60">
        <v>2012</v>
      </c>
      <c r="F272" s="61">
        <v>743</v>
      </c>
      <c r="G272" s="63">
        <v>2461</v>
      </c>
      <c r="H272" s="60" t="s">
        <v>552</v>
      </c>
      <c r="I272" s="60" t="s">
        <v>553</v>
      </c>
    </row>
  </sheetData>
  <mergeCells count="11">
    <mergeCell ref="G48:L48"/>
    <mergeCell ref="N50:T50"/>
    <mergeCell ref="G66:L66"/>
    <mergeCell ref="F8:G8"/>
    <mergeCell ref="H8:I8"/>
    <mergeCell ref="J8:K8"/>
    <mergeCell ref="L8:M8"/>
    <mergeCell ref="F9:G9"/>
    <mergeCell ref="H9:I9"/>
    <mergeCell ref="J9:K9"/>
    <mergeCell ref="L9:M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DF582-CB08-4055-B223-E5F9AD449257}">
  <sheetPr codeName="Sheet7"/>
  <dimension ref="A1:AO97"/>
  <sheetViews>
    <sheetView topLeftCell="A16" workbookViewId="0">
      <selection activeCell="N35" sqref="N35"/>
    </sheetView>
  </sheetViews>
  <sheetFormatPr defaultRowHeight="15"/>
  <cols>
    <col min="1" max="1" width="9.140625" style="23"/>
    <col min="2" max="2" width="10.7109375" style="23" customWidth="1"/>
    <col min="3" max="8" width="9.140625" style="23"/>
    <col min="9" max="9" width="9.140625" style="23" customWidth="1"/>
    <col min="10" max="16384" width="9.140625" style="23"/>
  </cols>
  <sheetData>
    <row r="1" spans="1:41">
      <c r="A1" s="160" t="s">
        <v>492</v>
      </c>
      <c r="B1" s="160"/>
      <c r="C1" s="160"/>
    </row>
    <row r="2" spans="1:41">
      <c r="G2" s="23" t="s">
        <v>720</v>
      </c>
    </row>
    <row r="3" spans="1:41">
      <c r="A3" s="23" t="s">
        <v>493</v>
      </c>
      <c r="B3" s="23" t="s">
        <v>494</v>
      </c>
      <c r="C3" s="23" t="s">
        <v>495</v>
      </c>
      <c r="D3" s="23" t="s">
        <v>496</v>
      </c>
      <c r="G3" s="23" t="s">
        <v>721</v>
      </c>
    </row>
    <row r="4" spans="1:41">
      <c r="A4" s="23" t="s">
        <v>497</v>
      </c>
      <c r="B4" s="23">
        <v>40.74</v>
      </c>
      <c r="C4" s="23">
        <v>-73.91</v>
      </c>
      <c r="D4" s="23" t="s">
        <v>502</v>
      </c>
      <c r="X4" s="23" t="s">
        <v>729</v>
      </c>
    </row>
    <row r="5" spans="1:41">
      <c r="A5" s="23" t="s">
        <v>498</v>
      </c>
      <c r="B5" s="23">
        <v>43.73</v>
      </c>
      <c r="C5" s="23">
        <v>-79.39</v>
      </c>
      <c r="D5" s="23" t="s">
        <v>502</v>
      </c>
      <c r="G5" s="23" t="s">
        <v>718</v>
      </c>
      <c r="X5" s="23" t="s">
        <v>730</v>
      </c>
    </row>
    <row r="6" spans="1:41">
      <c r="A6" s="23" t="s">
        <v>499</v>
      </c>
      <c r="B6" s="23">
        <v>48.85</v>
      </c>
      <c r="C6" s="23">
        <v>2.35</v>
      </c>
      <c r="D6" s="23" t="s">
        <v>504</v>
      </c>
      <c r="G6" s="23" t="s">
        <v>715</v>
      </c>
    </row>
    <row r="7" spans="1:41">
      <c r="A7" s="23" t="s">
        <v>500</v>
      </c>
      <c r="B7" s="23">
        <v>51.3</v>
      </c>
      <c r="C7" s="23">
        <v>-0.06</v>
      </c>
      <c r="D7" s="23" t="s">
        <v>502</v>
      </c>
      <c r="Y7" s="69" t="s">
        <v>731</v>
      </c>
      <c r="AA7" s="23" t="s">
        <v>732</v>
      </c>
      <c r="AB7" s="23">
        <v>1</v>
      </c>
      <c r="AC7" s="23">
        <f>AB7+1</f>
        <v>2</v>
      </c>
      <c r="AD7" s="23">
        <f>AC7+1</f>
        <v>3</v>
      </c>
      <c r="AF7" s="23">
        <v>1</v>
      </c>
      <c r="AG7" s="23">
        <f>AF7+1</f>
        <v>2</v>
      </c>
      <c r="AH7" s="23">
        <f>AG7+1</f>
        <v>3</v>
      </c>
      <c r="AI7" s="71" t="s">
        <v>738</v>
      </c>
    </row>
    <row r="8" spans="1:41">
      <c r="A8" s="23" t="s">
        <v>505</v>
      </c>
      <c r="B8" s="23">
        <v>50.110900000000001</v>
      </c>
      <c r="C8" s="23">
        <v>8.6795000000000009</v>
      </c>
      <c r="D8" s="23" t="s">
        <v>503</v>
      </c>
      <c r="K8" s="23" t="s">
        <v>719</v>
      </c>
      <c r="X8" s="23">
        <v>1</v>
      </c>
      <c r="Y8" s="72">
        <f t="array" aca="1" ref="Y8:Y13" ca="1">[1]!ClustAnal(B4:C9,AB11,AB15,AB13,,AB17)</f>
        <v>3</v>
      </c>
      <c r="AA8" s="23" t="s">
        <v>736</v>
      </c>
      <c r="AB8" s="75">
        <f ca="1">AVERAGEIF($Y$8:$Y$13,AB$7,$B$4:$B$9)</f>
        <v>-33.872799999999998</v>
      </c>
      <c r="AC8" s="76">
        <f t="shared" ref="AC8:AD8" ca="1" si="0">AVERAGEIF($Y$8:$Y$13,AC$7,$B$4:$B$9)</f>
        <v>50.086966666666662</v>
      </c>
      <c r="AD8" s="77">
        <f t="shared" ca="1" si="0"/>
        <v>42.234999999999999</v>
      </c>
      <c r="AF8" s="75">
        <f t="array" aca="1" ref="AF8" ca="1">SUM(ABS(TRANSPOSE($B4:$C4)-AB$8:AB$9)^$AB$13)</f>
        <v>56243.968217929993</v>
      </c>
      <c r="AG8" s="76">
        <f t="array" aca="1" ref="AG8" ca="1">SUM(ABS(TRANSPOSE($B4:$C4)-AC$8:AC$9)^$AB$13)</f>
        <v>6103.9277081177761</v>
      </c>
      <c r="AH8" s="77">
        <f t="array" aca="1" ref="AH8" ca="1">SUM(ABS(TRANSPOSE($B4:$C4)-AD$8:AD$9)^$AB$13)</f>
        <v>9.7426250000000429</v>
      </c>
      <c r="AI8" s="72">
        <f ca="1">MIN(AF8:AH8)</f>
        <v>9.7426250000000429</v>
      </c>
    </row>
    <row r="9" spans="1:41">
      <c r="A9" s="23" t="s">
        <v>501</v>
      </c>
      <c r="B9" s="23">
        <v>-33.872799999999998</v>
      </c>
      <c r="C9" s="23">
        <v>151.20529999999999</v>
      </c>
      <c r="D9" s="23" t="s">
        <v>502</v>
      </c>
      <c r="H9" s="23" t="s">
        <v>424</v>
      </c>
      <c r="I9" s="23" t="s">
        <v>716</v>
      </c>
      <c r="J9" s="23" t="s">
        <v>717</v>
      </c>
      <c r="K9" s="23" t="s">
        <v>724</v>
      </c>
      <c r="X9" s="23">
        <f>X8+1</f>
        <v>2</v>
      </c>
      <c r="Y9" s="73">
        <f ca="1"/>
        <v>3</v>
      </c>
      <c r="AA9" s="23" t="s">
        <v>737</v>
      </c>
      <c r="AB9" s="78">
        <f ca="1">AVERAGEIF($Y$8:$Y$13,AB$7,$C$4:$C$9)</f>
        <v>151.20529999999999</v>
      </c>
      <c r="AC9" s="79">
        <f t="shared" ref="AC9:AD9" ca="1" si="1">AVERAGEIF($Y$8:$Y$13,AC$7,$C$4:$C$9)</f>
        <v>3.6564999999999999</v>
      </c>
      <c r="AD9" s="80">
        <f t="shared" ca="1" si="1"/>
        <v>-76.650000000000006</v>
      </c>
      <c r="AF9" s="81">
        <f t="array" aca="1" ref="AF9" ca="1">SUM(ABS(TRANSPOSE($B5:$C5)-AB$8:AB$9)^$AB$13)</f>
        <v>59196.386949930005</v>
      </c>
      <c r="AG9" s="23">
        <f t="array" aca="1" ref="AG9" ca="1">SUM(ABS(TRANSPOSE($B5:$C5)-AC$8:AC$9)^$AB$13)</f>
        <v>6937.1321874511104</v>
      </c>
      <c r="AH9" s="82">
        <f t="array" aca="1" ref="AH9" ca="1">SUM(ABS(TRANSPOSE($B5:$C5)-AD$8:AD$9)^$AB$13)</f>
        <v>9.7426249999999648</v>
      </c>
      <c r="AI9" s="73">
        <f t="shared" ref="AI9:AI13" ca="1" si="2">MIN(AF9:AH9)</f>
        <v>9.7426249999999648</v>
      </c>
      <c r="AO9" s="23" t="s">
        <v>742</v>
      </c>
    </row>
    <row r="10" spans="1:41">
      <c r="G10" s="23" t="s">
        <v>497</v>
      </c>
      <c r="H10" s="23">
        <f>SQRT((B4-C12)^2+(C4-C13)^2)</f>
        <v>76.690023471113889</v>
      </c>
      <c r="I10" s="23">
        <f t="shared" ref="I10:I15" si="3">SQRT(SUMXMY2(B4:C4,$D$12:$D$13))</f>
        <v>74.6011802855692</v>
      </c>
      <c r="J10" s="23">
        <f t="shared" ref="J10:J15" si="4">SQRT(SUMXMY2(B4:C4,$E$12:$E$13))</f>
        <v>83.119823147068843</v>
      </c>
      <c r="K10">
        <f>IF(H10=MIN(H10:J10),1,IF(I10=MIN(H10:J10),2,3))</f>
        <v>2</v>
      </c>
      <c r="X10" s="23">
        <f t="shared" ref="X10:X13" si="5">X9+1</f>
        <v>3</v>
      </c>
      <c r="Y10" s="73">
        <f ca="1"/>
        <v>2</v>
      </c>
      <c r="AF10" s="81">
        <f t="array" aca="1" ref="AF10" ca="1">SUM(ABS(TRANSPOSE($B6:$C6)-AB$8:AB$9)^$AB$13)</f>
        <v>29000.961977930001</v>
      </c>
      <c r="AG10" s="23">
        <f t="array" aca="1" ref="AG10" ca="1">SUM(ABS(TRANSPOSE($B6:$C6)-AC$8:AC$9)^$AB$13)</f>
        <v>3.2370287844444281</v>
      </c>
      <c r="AH10" s="82">
        <f t="array" aca="1" ref="AH10" ca="1">SUM(ABS(TRANSPOSE($B6:$C6)-AD$8:AD$9)^$AB$13)</f>
        <v>6284.7582249999996</v>
      </c>
      <c r="AI10" s="73">
        <f t="shared" ca="1" si="2"/>
        <v>3.2370287844444281</v>
      </c>
    </row>
    <row r="11" spans="1:41">
      <c r="A11" s="23" t="s">
        <v>722</v>
      </c>
      <c r="B11" s="23" t="s">
        <v>508</v>
      </c>
      <c r="C11" s="23" t="s">
        <v>423</v>
      </c>
      <c r="D11" s="23" t="s">
        <v>506</v>
      </c>
      <c r="E11" s="23" t="s">
        <v>507</v>
      </c>
      <c r="G11" s="23" t="s">
        <v>498</v>
      </c>
      <c r="H11" s="23">
        <f>SQRT(SUMXMY2(B5:C5,$C$12:$C$13))</f>
        <v>81.900195359962353</v>
      </c>
      <c r="I11" s="23">
        <f t="shared" si="3"/>
        <v>79.690362027035619</v>
      </c>
      <c r="J11" s="23">
        <f t="shared" si="4"/>
        <v>88.300788784698852</v>
      </c>
      <c r="K11">
        <f t="shared" ref="K11:K15" si="6">IF(H11=MIN(H11:J11),1,IF(I11=MIN(H11:J11),2,3))</f>
        <v>2</v>
      </c>
      <c r="X11" s="71">
        <f t="shared" si="5"/>
        <v>4</v>
      </c>
      <c r="Y11" s="73">
        <f ca="1"/>
        <v>2</v>
      </c>
      <c r="AA11" s="23" t="s">
        <v>733</v>
      </c>
      <c r="AB11" s="70">
        <v>3</v>
      </c>
      <c r="AF11" s="81">
        <f t="array" aca="1" ref="AF11" ca="1">SUM(ABS(TRANSPOSE($B7:$C7)-AB$8:AB$9)^$AB$13)</f>
        <v>30135.596843929998</v>
      </c>
      <c r="AG11" s="23">
        <f t="array" aca="1" ref="AG11" ca="1">SUM(ABS(TRANSPOSE($B7:$C7)-AC$8:AC$9)^$AB$13)</f>
        <v>15.283822117777781</v>
      </c>
      <c r="AH11" s="82">
        <f t="array" aca="1" ref="AH11" ca="1">SUM(ABS(TRANSPOSE($B7:$C7)-AD$8:AD$9)^$AB$13)</f>
        <v>5948.2023250000002</v>
      </c>
      <c r="AI11" s="73">
        <f t="shared" ca="1" si="2"/>
        <v>15.283822117777781</v>
      </c>
    </row>
    <row r="12" spans="1:41">
      <c r="B12" s="23" t="s">
        <v>494</v>
      </c>
      <c r="C12" s="23">
        <v>48.85</v>
      </c>
      <c r="D12" s="23">
        <v>51.3</v>
      </c>
      <c r="E12" s="23">
        <v>50.11</v>
      </c>
      <c r="G12" s="23" t="s">
        <v>499</v>
      </c>
      <c r="H12" s="23">
        <f>SQRT(SUMXMY2(B6:C6,$C$12:$C$13))</f>
        <v>0</v>
      </c>
      <c r="I12" s="23">
        <f t="shared" si="3"/>
        <v>3.4366553507734783</v>
      </c>
      <c r="J12" s="23">
        <f t="shared" si="4"/>
        <v>6.4541846890215337</v>
      </c>
      <c r="K12">
        <f t="shared" si="6"/>
        <v>1</v>
      </c>
      <c r="X12" s="23">
        <f t="shared" si="5"/>
        <v>5</v>
      </c>
      <c r="Y12" s="73">
        <f ca="1"/>
        <v>2</v>
      </c>
      <c r="AF12" s="81">
        <f t="array" aca="1" ref="AF12" ca="1">SUM(ABS(TRANSPOSE($B8:$C8)-AB$8:AB$9)^$AB$13)</f>
        <v>27366.865531330004</v>
      </c>
      <c r="AG12" s="23">
        <f t="array" aca="1" ref="AG12" ca="1">SUM(ABS(TRANSPOSE($B8:$C8)-AC$8:AC$9)^$AB$13)</f>
        <v>25.23110180444446</v>
      </c>
      <c r="AH12" s="82">
        <f t="array" aca="1" ref="AH12" ca="1">SUM(ABS(TRANSPOSE($B8:$C8)-AD$8:AD$9)^$AB$13)</f>
        <v>7343.1533710600015</v>
      </c>
      <c r="AI12" s="73">
        <f t="shared" ca="1" si="2"/>
        <v>25.23110180444446</v>
      </c>
    </row>
    <row r="13" spans="1:41">
      <c r="B13" s="23" t="s">
        <v>495</v>
      </c>
      <c r="C13" s="23">
        <v>2.35</v>
      </c>
      <c r="D13" s="23">
        <v>-0.06</v>
      </c>
      <c r="E13" s="23">
        <v>8.68</v>
      </c>
      <c r="G13" s="23" t="s">
        <v>500</v>
      </c>
      <c r="H13" s="23">
        <f>SQRT(SUMXMY2(B7:C7,$C$12:$C$13))</f>
        <v>3.4366553507734783</v>
      </c>
      <c r="I13" s="23">
        <f t="shared" si="3"/>
        <v>0</v>
      </c>
      <c r="J13" s="23">
        <f t="shared" si="4"/>
        <v>8.8206405663080965</v>
      </c>
      <c r="K13">
        <f t="shared" si="6"/>
        <v>2</v>
      </c>
      <c r="X13" s="23">
        <f t="shared" si="5"/>
        <v>6</v>
      </c>
      <c r="Y13" s="74">
        <f ca="1"/>
        <v>1</v>
      </c>
      <c r="AA13" s="23" t="s">
        <v>734</v>
      </c>
      <c r="AB13" s="70">
        <v>2</v>
      </c>
      <c r="AF13" s="78">
        <f t="array" aca="1" ref="AF13" ca="1">SUM(ABS(TRANSPOSE($B9:$C9)-AB$8:AB$9)^$AB$13)</f>
        <v>0</v>
      </c>
      <c r="AG13" s="79">
        <f t="array" aca="1" ref="AG13" ca="1">SUM(ABS(TRANSPOSE($B9:$C9)-AC$8:AC$9)^$AB$13)</f>
        <v>28819.890800161113</v>
      </c>
      <c r="AH13" s="80">
        <f t="array" aca="1" ref="AH13" ca="1">SUM(ABS(TRANSPOSE($B9:$C9)-AD$8:AD$9)^$AB$13)</f>
        <v>57710.434958930004</v>
      </c>
      <c r="AI13" s="74">
        <f t="shared" ca="1" si="2"/>
        <v>0</v>
      </c>
    </row>
    <row r="14" spans="1:41">
      <c r="G14" s="23" t="s">
        <v>505</v>
      </c>
      <c r="H14" s="23">
        <f>SQRT(SUMXMY2(B8:C8,$C$12:$C$13))</f>
        <v>6.4538700839108945</v>
      </c>
      <c r="I14" s="23">
        <f t="shared" si="3"/>
        <v>8.8200237562038364</v>
      </c>
      <c r="J14" s="23">
        <f t="shared" si="4"/>
        <v>1.0295630140994062E-3</v>
      </c>
      <c r="K14">
        <f t="shared" si="6"/>
        <v>3</v>
      </c>
    </row>
    <row r="15" spans="1:41">
      <c r="A15" s="23" t="s">
        <v>723</v>
      </c>
      <c r="B15" s="23" t="s">
        <v>508</v>
      </c>
      <c r="C15" s="23" t="s">
        <v>423</v>
      </c>
      <c r="D15" s="23" t="s">
        <v>506</v>
      </c>
      <c r="E15" s="23" t="s">
        <v>507</v>
      </c>
      <c r="G15" s="23" t="s">
        <v>501</v>
      </c>
      <c r="H15" s="23">
        <f>SQRT(SUMXMY2(B9:C9,$C$12:$C$13))</f>
        <v>170.29668810029747</v>
      </c>
      <c r="I15" s="23">
        <f t="shared" si="3"/>
        <v>173.59607381484756</v>
      </c>
      <c r="J15" s="23">
        <f t="shared" si="4"/>
        <v>165.42844929433991</v>
      </c>
      <c r="K15">
        <f t="shared" si="6"/>
        <v>3</v>
      </c>
      <c r="AA15" s="23" t="s">
        <v>735</v>
      </c>
      <c r="AB15" s="70">
        <v>40</v>
      </c>
    </row>
    <row r="16" spans="1:41">
      <c r="B16" s="23" t="s">
        <v>494</v>
      </c>
      <c r="C16" s="23">
        <v>48.85</v>
      </c>
      <c r="D16" s="23">
        <f>AVERAGE(B4:B5,B7)</f>
        <v>45.256666666666661</v>
      </c>
      <c r="E16" s="23">
        <f>AVERAGE(B8:B9)</f>
        <v>8.1190500000000014</v>
      </c>
    </row>
    <row r="17" spans="1:30">
      <c r="B17" s="23" t="s">
        <v>495</v>
      </c>
      <c r="C17" s="23">
        <v>2.35</v>
      </c>
      <c r="D17" s="23">
        <f>AVERAGE(C4:C5,C7)</f>
        <v>-51.120000000000005</v>
      </c>
      <c r="E17" s="23">
        <f>AVERAGE(C8:C9)</f>
        <v>79.942399999999992</v>
      </c>
      <c r="H17" s="23" t="s">
        <v>424</v>
      </c>
      <c r="I17" s="23" t="s">
        <v>716</v>
      </c>
      <c r="J17" s="23" t="s">
        <v>717</v>
      </c>
      <c r="K17" s="23" t="s">
        <v>725</v>
      </c>
      <c r="O17" s="23" t="s">
        <v>424</v>
      </c>
      <c r="P17" s="23" t="s">
        <v>716</v>
      </c>
      <c r="Q17" s="23" t="s">
        <v>717</v>
      </c>
      <c r="R17" s="23" t="s">
        <v>727</v>
      </c>
      <c r="AA17" s="23" t="s">
        <v>739</v>
      </c>
      <c r="AB17" s="70">
        <v>200</v>
      </c>
    </row>
    <row r="18" spans="1:30">
      <c r="G18" s="23" t="s">
        <v>497</v>
      </c>
      <c r="H18" s="23">
        <f>SQRT(SUMXMY2(B4:C4,$C$16:$C$17))</f>
        <v>76.690023471113889</v>
      </c>
      <c r="I18" s="23">
        <f>SQRT(SUMXMY2(B4:C4,$D$16:$D$17))</f>
        <v>23.233260162486395</v>
      </c>
      <c r="J18" s="23">
        <f>SQRT(SUMXMY2(B4:C4,$E$16:$E$17))</f>
        <v>157.27265294596671</v>
      </c>
      <c r="K18">
        <f>IF(H18=MIN(H18:J18),1,IF(I18=MIN(H18:J18),2,3))</f>
        <v>2</v>
      </c>
      <c r="N18" s="23" t="s">
        <v>497</v>
      </c>
      <c r="O18" s="23">
        <f>SQRT(SUMXMY2(B4:C4,$B$4:$B$5))</f>
        <v>117.63999999999999</v>
      </c>
      <c r="P18" s="23">
        <f>SQRT(SUMXMY2(D20:D21,$B$4:$B$5))</f>
        <v>82.2635856561091</v>
      </c>
      <c r="Q18" s="23">
        <f>SQRT(SUMXMY2(B4:C4,$E$20:$E$21))</f>
        <v>237.1581080585903</v>
      </c>
      <c r="R18">
        <f>IF(O18=MIN(O18:Q18),1,IF(P18=MIN(O18:Q18),2,3))</f>
        <v>2</v>
      </c>
      <c r="T18" s="23" t="s">
        <v>728</v>
      </c>
    </row>
    <row r="19" spans="1:30">
      <c r="A19" s="23" t="s">
        <v>726</v>
      </c>
      <c r="B19" s="23" t="s">
        <v>508</v>
      </c>
      <c r="C19" s="23" t="s">
        <v>423</v>
      </c>
      <c r="D19" s="23" t="s">
        <v>506</v>
      </c>
      <c r="E19" s="23" t="s">
        <v>507</v>
      </c>
      <c r="G19" s="23" t="s">
        <v>498</v>
      </c>
      <c r="H19" s="23">
        <f t="shared" ref="H19:H21" si="7">SQRT(SUMXMY2(B5:C5,$C$16:$C$17))</f>
        <v>81.900195359962353</v>
      </c>
      <c r="I19" s="23">
        <f t="shared" ref="I19:I21" si="8">SQRT(SUMXMY2(B5:C5,$D$16:$D$17))</f>
        <v>28.311192329379399</v>
      </c>
      <c r="J19" s="23">
        <f t="shared" ref="J19:J21" si="9">SQRT(SUMXMY2(B5:C5,$E$16:$E$17))</f>
        <v>163.26344799024216</v>
      </c>
      <c r="K19">
        <f t="shared" ref="K19:K21" si="10">IF(H19=MIN(H19:J19),1,IF(I19=MIN(H19:J19),2,3))</f>
        <v>2</v>
      </c>
      <c r="N19" s="23" t="s">
        <v>498</v>
      </c>
      <c r="O19" s="23">
        <f t="shared" ref="O19:O23" si="11">SQRT(SUMXMY2(B5:C5,$B$4:$B$5))</f>
        <v>123.15630109742661</v>
      </c>
      <c r="P19" s="23">
        <f t="shared" ref="P19" si="12">SQRT(SUMXMY2(D21:D22,$B$4:$B$5))</f>
        <v>79.260000000000005</v>
      </c>
      <c r="Q19" s="23">
        <f t="shared" ref="Q19:Q23" si="13">SQRT(SUMXMY2(B5:C5,$E$20:$E$21))</f>
        <v>243.30307632648217</v>
      </c>
      <c r="R19">
        <f t="shared" ref="R19:R23" si="14">IF(O19=MIN(O19:Q19),1,IF(P19=MIN(O19:Q19),2,3))</f>
        <v>2</v>
      </c>
      <c r="AA19" s="23" t="s">
        <v>740</v>
      </c>
      <c r="AB19" s="70" t="b">
        <f ca="1">[1]!CLUST_Converge(B4:C9,Y8:Y13)</f>
        <v>1</v>
      </c>
      <c r="AD19" s="23" t="s">
        <v>743</v>
      </c>
    </row>
    <row r="20" spans="1:30">
      <c r="B20" s="23" t="s">
        <v>494</v>
      </c>
      <c r="C20" s="23">
        <f>AVERAGE(B6:B8)</f>
        <v>50.086966666666662</v>
      </c>
      <c r="D20" s="23">
        <f>AVERAGE(B4:B5)</f>
        <v>42.234999999999999</v>
      </c>
      <c r="E20" s="23">
        <f>AVERAGE(B9)</f>
        <v>-33.872799999999998</v>
      </c>
      <c r="G20" s="23" t="s">
        <v>499</v>
      </c>
      <c r="H20" s="23">
        <f t="shared" si="7"/>
        <v>0</v>
      </c>
      <c r="I20" s="23">
        <f t="shared" si="8"/>
        <v>53.590605001664656</v>
      </c>
      <c r="J20" s="23">
        <f t="shared" si="9"/>
        <v>87.633274648745726</v>
      </c>
      <c r="K20">
        <f t="shared" si="10"/>
        <v>1</v>
      </c>
      <c r="N20" s="23" t="s">
        <v>499</v>
      </c>
      <c r="O20" s="23">
        <f t="shared" si="11"/>
        <v>42.167244396569231</v>
      </c>
      <c r="P20" s="23">
        <f>SQRT(SUMXMY2(B6:C6,$D$20:$D$21))</f>
        <v>41.401873447949193</v>
      </c>
      <c r="Q20" s="23">
        <f t="shared" si="13"/>
        <v>170.29668810029747</v>
      </c>
      <c r="R20">
        <f t="shared" si="14"/>
        <v>2</v>
      </c>
    </row>
    <row r="21" spans="1:30">
      <c r="B21" s="23" t="s">
        <v>495</v>
      </c>
      <c r="C21" s="23">
        <f>AVERAGE(C7:C9)</f>
        <v>53.27493333333333</v>
      </c>
      <c r="D21" s="23">
        <f>AVERAGE(C5:C6)</f>
        <v>-38.520000000000003</v>
      </c>
      <c r="E21" s="23">
        <f>AVERAGE(C9)</f>
        <v>151.20529999999999</v>
      </c>
      <c r="G21" s="23" t="s">
        <v>500</v>
      </c>
      <c r="H21" s="23">
        <f t="shared" si="7"/>
        <v>3.4366553507734783</v>
      </c>
      <c r="I21" s="23">
        <f t="shared" si="8"/>
        <v>51.416393084091169</v>
      </c>
      <c r="J21" s="23">
        <f t="shared" si="9"/>
        <v>90.911926877954244</v>
      </c>
      <c r="K21">
        <f t="shared" si="10"/>
        <v>1</v>
      </c>
      <c r="N21" s="23" t="s">
        <v>500</v>
      </c>
      <c r="O21" s="23">
        <f t="shared" si="11"/>
        <v>45.045284991883442</v>
      </c>
      <c r="P21" s="23">
        <f t="shared" ref="P21:P23" si="15">SQRT(SUMXMY2(B7:C7,$D$20:$D$21))</f>
        <v>39.513868767813662</v>
      </c>
      <c r="Q21" s="23">
        <f t="shared" si="13"/>
        <v>173.59607381484756</v>
      </c>
      <c r="R21">
        <f t="shared" si="14"/>
        <v>2</v>
      </c>
      <c r="AA21" s="23" t="s">
        <v>741</v>
      </c>
      <c r="AB21" s="70">
        <f ca="1">SUM(AI8:AI13)</f>
        <v>63.237202706666679</v>
      </c>
      <c r="AD21" s="23" t="s">
        <v>744</v>
      </c>
    </row>
    <row r="22" spans="1:30">
      <c r="G22" s="23" t="s">
        <v>505</v>
      </c>
      <c r="H22" s="23">
        <f>SQRT(SUMXMY2(B8:C8,$C$16:$C$17))</f>
        <v>6.4538700839108945</v>
      </c>
      <c r="I22" s="23">
        <f>SQRT(SUMXMY2(B8:C8,$D$16:$D$17))</f>
        <v>59.996198058747403</v>
      </c>
      <c r="J22" s="23">
        <f>SQRT(SUMXMY2(B8:C8,$E$16:$E$17))</f>
        <v>82.714668486505445</v>
      </c>
      <c r="K22">
        <f>IF(H22=MIN(H22:J22),1,IF(I22=MIN(H22:J22),2,3))</f>
        <v>1</v>
      </c>
      <c r="N22" s="23" t="s">
        <v>505</v>
      </c>
      <c r="O22" s="23">
        <f t="shared" si="11"/>
        <v>36.281556155435226</v>
      </c>
      <c r="P22" s="23">
        <f t="shared" si="15"/>
        <v>47.852090874485306</v>
      </c>
      <c r="Q22" s="23">
        <f t="shared" si="13"/>
        <v>165.42933697301095</v>
      </c>
      <c r="R22">
        <f t="shared" si="14"/>
        <v>1</v>
      </c>
    </row>
    <row r="23" spans="1:30">
      <c r="G23" s="23" t="s">
        <v>501</v>
      </c>
      <c r="H23" s="23">
        <f>SQRT(SUMXMY2(B9:C9,$C$16:$C$17))</f>
        <v>170.29668810029747</v>
      </c>
      <c r="I23" s="23">
        <f>SQRT(SUMXMY2(B9:C9,$D$16:$D$17))</f>
        <v>217.24870428852068</v>
      </c>
      <c r="J23" s="23">
        <f>SQRT(SUMXMY2(B9:C9,$E$16:$E$17))</f>
        <v>82.714668486505474</v>
      </c>
      <c r="K23">
        <f>IF(H23=MIN(H23:J23),1,IF(I23=MIN(H23:J23),2,3))</f>
        <v>3</v>
      </c>
      <c r="N23" s="23" t="s">
        <v>501</v>
      </c>
      <c r="O23" s="23">
        <f t="shared" si="11"/>
        <v>130.83581326964725</v>
      </c>
      <c r="P23" s="23">
        <f t="shared" si="15"/>
        <v>204.4213459522513</v>
      </c>
      <c r="Q23" s="23">
        <f t="shared" si="13"/>
        <v>0</v>
      </c>
      <c r="R23">
        <f t="shared" si="14"/>
        <v>3</v>
      </c>
    </row>
    <row r="24" spans="1:30">
      <c r="K24"/>
    </row>
    <row r="25" spans="1:30">
      <c r="A25" s="23" t="s">
        <v>746</v>
      </c>
      <c r="K25"/>
    </row>
    <row r="26" spans="1:30">
      <c r="A26" s="23" t="s">
        <v>747</v>
      </c>
      <c r="B26" s="23" t="s">
        <v>748</v>
      </c>
      <c r="K26"/>
    </row>
    <row r="27" spans="1:30">
      <c r="A27" s="23" t="s">
        <v>749</v>
      </c>
      <c r="K27"/>
    </row>
    <row r="28" spans="1:30">
      <c r="A28" s="23" t="s">
        <v>750</v>
      </c>
      <c r="K28"/>
    </row>
    <row r="29" spans="1:30">
      <c r="A29" s="23" t="s">
        <v>752</v>
      </c>
      <c r="F29" s="83"/>
      <c r="G29" s="83"/>
      <c r="H29" s="83"/>
      <c r="I29"/>
      <c r="K29"/>
    </row>
    <row r="30" spans="1:30">
      <c r="A30" s="84" t="s">
        <v>751</v>
      </c>
      <c r="B30" s="84"/>
      <c r="D30" s="85" t="s">
        <v>753</v>
      </c>
      <c r="E30" s="85"/>
      <c r="F30" s="85"/>
      <c r="K30"/>
    </row>
    <row r="31" spans="1:30">
      <c r="A31" s="23" t="s">
        <v>754</v>
      </c>
      <c r="K31"/>
    </row>
    <row r="32" spans="1:30">
      <c r="A32" s="23" t="s">
        <v>755</v>
      </c>
    </row>
    <row r="33" spans="1:18">
      <c r="A33" s="23" t="s">
        <v>756</v>
      </c>
    </row>
    <row r="36" spans="1:18">
      <c r="A36" s="160" t="s">
        <v>477</v>
      </c>
      <c r="B36" s="160"/>
      <c r="C36" s="160"/>
    </row>
    <row r="38" spans="1:18">
      <c r="A38" s="23" t="s">
        <v>483</v>
      </c>
      <c r="B38" s="23" t="s">
        <v>446</v>
      </c>
      <c r="C38" s="23" t="s">
        <v>445</v>
      </c>
      <c r="D38" s="23" t="s">
        <v>584</v>
      </c>
      <c r="E38" s="23" t="s">
        <v>585</v>
      </c>
      <c r="F38" s="23" t="s">
        <v>586</v>
      </c>
    </row>
    <row r="39" spans="1:18">
      <c r="A39" s="23">
        <v>89.5</v>
      </c>
      <c r="B39" s="23">
        <v>80.599999999999994</v>
      </c>
      <c r="C39" s="23">
        <v>90</v>
      </c>
      <c r="D39" s="23">
        <f>B39*$D$66+A39*$C$66+$E$66</f>
        <v>93.228882084204116</v>
      </c>
      <c r="E39" s="23" cm="1">
        <f t="array" ref="E39:E58">TREND(C39:C58,A39:B58,,A39:B58)</f>
        <v>90.381028759834919</v>
      </c>
      <c r="F39" s="23">
        <f>POWER(C39-E39,2)</f>
        <v>0.14518291582133647</v>
      </c>
    </row>
    <row r="40" spans="1:18">
      <c r="A40" s="23">
        <v>86.4</v>
      </c>
      <c r="B40" s="23">
        <v>75.2</v>
      </c>
      <c r="C40" s="23">
        <v>85</v>
      </c>
      <c r="D40" s="23">
        <f t="shared" ref="D40:D58" si="16">B40*$D$66+A40*$C$66+$E$66</f>
        <v>87.256844249876877</v>
      </c>
      <c r="E40" s="23">
        <v>83.673028830445986</v>
      </c>
      <c r="F40" s="23">
        <f t="shared" ref="F40:F58" si="17">POWER(C40-E40,2)</f>
        <v>1.7608524848275473</v>
      </c>
    </row>
    <row r="41" spans="1:18">
      <c r="A41" s="23">
        <v>99.2</v>
      </c>
      <c r="B41" s="23">
        <v>86</v>
      </c>
      <c r="C41" s="23">
        <v>107</v>
      </c>
      <c r="D41" s="23">
        <f t="shared" si="16"/>
        <v>105.17970372380435</v>
      </c>
      <c r="E41" s="23">
        <v>100.95592126518935</v>
      </c>
      <c r="F41" s="23">
        <f t="shared" si="17"/>
        <v>36.530887752590353</v>
      </c>
    </row>
    <row r="42" spans="1:18">
      <c r="A42" s="23">
        <v>72.400000000000006</v>
      </c>
      <c r="B42" s="23">
        <v>75.2</v>
      </c>
      <c r="C42" s="23">
        <v>71</v>
      </c>
      <c r="D42" s="23">
        <f t="shared" si="16"/>
        <v>74.574575572025111</v>
      </c>
      <c r="E42" s="23">
        <v>75.470529426882848</v>
      </c>
      <c r="F42" s="23">
        <f t="shared" si="17"/>
        <v>19.985633356625488</v>
      </c>
    </row>
    <row r="43" spans="1:18">
      <c r="A43" s="23">
        <v>71.2</v>
      </c>
      <c r="B43" s="23">
        <v>60.8</v>
      </c>
      <c r="C43" s="23">
        <v>65</v>
      </c>
      <c r="D43" s="23">
        <f t="shared" si="16"/>
        <v>65.050667441687153</v>
      </c>
      <c r="E43" s="23">
        <v>61.722838837929913</v>
      </c>
      <c r="F43" s="23">
        <f t="shared" si="17"/>
        <v>10.739785282180561</v>
      </c>
      <c r="J43" t="s">
        <v>455</v>
      </c>
      <c r="K43"/>
      <c r="L43"/>
      <c r="M43"/>
      <c r="N43"/>
      <c r="O43"/>
      <c r="P43"/>
      <c r="Q43"/>
      <c r="R43"/>
    </row>
    <row r="44" spans="1:18" ht="15.75" thickBot="1">
      <c r="A44" s="23">
        <v>71</v>
      </c>
      <c r="B44" s="23">
        <v>68</v>
      </c>
      <c r="C44" s="23">
        <v>69</v>
      </c>
      <c r="D44" s="23">
        <f t="shared" si="16"/>
        <v>69.087920439550317</v>
      </c>
      <c r="E44" s="23">
        <v>68.127969880774202</v>
      </c>
      <c r="F44" s="23">
        <f t="shared" si="17"/>
        <v>0.76043652883695911</v>
      </c>
      <c r="J44"/>
      <c r="K44"/>
      <c r="L44"/>
      <c r="M44"/>
      <c r="N44"/>
      <c r="O44"/>
      <c r="P44"/>
      <c r="Q44"/>
      <c r="R44"/>
    </row>
    <row r="45" spans="1:18">
      <c r="A45" s="23">
        <v>78</v>
      </c>
      <c r="B45" s="23">
        <v>71.599999999999994</v>
      </c>
      <c r="C45" s="23">
        <v>67</v>
      </c>
      <c r="D45" s="23">
        <f t="shared" si="16"/>
        <v>77.538268910820989</v>
      </c>
      <c r="E45" s="23">
        <v>75.490374385431934</v>
      </c>
      <c r="F45" s="23">
        <f t="shared" si="17"/>
        <v>72.086457204798705</v>
      </c>
      <c r="J45" s="52" t="s">
        <v>456</v>
      </c>
      <c r="K45" s="52"/>
      <c r="L45"/>
      <c r="M45"/>
      <c r="N45"/>
      <c r="O45"/>
      <c r="P45"/>
      <c r="Q45"/>
      <c r="R45"/>
    </row>
    <row r="46" spans="1:18">
      <c r="A46" s="23">
        <v>74.3</v>
      </c>
      <c r="B46" s="23">
        <v>66.2</v>
      </c>
      <c r="C46" s="23">
        <v>70</v>
      </c>
      <c r="D46" s="23">
        <f t="shared" si="16"/>
        <v>71.022705276014406</v>
      </c>
      <c r="E46" s="23">
        <v>68.430838767318846</v>
      </c>
      <c r="F46" s="23">
        <f t="shared" si="17"/>
        <v>2.4622669741494376</v>
      </c>
      <c r="J46" t="s">
        <v>453</v>
      </c>
      <c r="K46">
        <v>0.93819388499024758</v>
      </c>
      <c r="L46"/>
      <c r="M46"/>
      <c r="N46"/>
      <c r="O46"/>
      <c r="P46"/>
      <c r="Q46"/>
      <c r="R46"/>
    </row>
    <row r="47" spans="1:18">
      <c r="A47" s="23">
        <v>69.400000000000006</v>
      </c>
      <c r="B47" s="23">
        <v>60.8</v>
      </c>
      <c r="C47" s="23">
        <v>65</v>
      </c>
      <c r="D47" s="23">
        <f t="shared" si="16"/>
        <v>63.420090040249079</v>
      </c>
      <c r="E47" s="23">
        <v>60.668231771757505</v>
      </c>
      <c r="F47" s="23">
        <f t="shared" si="17"/>
        <v>18.764215983211127</v>
      </c>
      <c r="J47" t="s">
        <v>457</v>
      </c>
      <c r="K47">
        <v>0.8802077658330939</v>
      </c>
      <c r="L47"/>
      <c r="M47"/>
      <c r="N47"/>
      <c r="O47"/>
      <c r="P47"/>
      <c r="Q47"/>
      <c r="R47"/>
    </row>
    <row r="48" spans="1:18">
      <c r="A48" s="23">
        <v>62.5</v>
      </c>
      <c r="B48" s="23">
        <v>78.8</v>
      </c>
      <c r="C48" s="23">
        <v>81</v>
      </c>
      <c r="D48" s="23">
        <f t="shared" si="16"/>
        <v>67.715613996460462</v>
      </c>
      <c r="E48" s="23">
        <v>72.93134536581077</v>
      </c>
      <c r="F48" s="23">
        <f t="shared" si="17"/>
        <v>65.103187605823337</v>
      </c>
      <c r="J48" t="s">
        <v>458</v>
      </c>
      <c r="K48">
        <v>0.86523373656223068</v>
      </c>
      <c r="L48"/>
      <c r="M48"/>
      <c r="N48"/>
      <c r="O48"/>
      <c r="P48"/>
      <c r="Q48"/>
      <c r="R48"/>
    </row>
    <row r="49" spans="1:18">
      <c r="A49" s="23">
        <v>75.2</v>
      </c>
      <c r="B49" s="23">
        <v>78.8</v>
      </c>
      <c r="C49" s="23">
        <v>73</v>
      </c>
      <c r="D49" s="23">
        <f t="shared" si="16"/>
        <v>79.220243439940276</v>
      </c>
      <c r="E49" s="23">
        <v>80.372184110471636</v>
      </c>
      <c r="F49" s="23">
        <f t="shared" si="17"/>
        <v>54.349098558690471</v>
      </c>
      <c r="J49" t="s">
        <v>454</v>
      </c>
      <c r="K49">
        <v>4.8629140186427051</v>
      </c>
      <c r="L49"/>
      <c r="M49"/>
      <c r="N49"/>
      <c r="O49"/>
      <c r="P49"/>
      <c r="Q49"/>
      <c r="R49"/>
    </row>
    <row r="50" spans="1:18" ht="15.75" thickBot="1">
      <c r="A50" s="23">
        <v>70.3</v>
      </c>
      <c r="B50" s="23">
        <v>62.6</v>
      </c>
      <c r="C50" s="23">
        <v>64</v>
      </c>
      <c r="D50" s="23">
        <f t="shared" si="16"/>
        <v>65.289985807140511</v>
      </c>
      <c r="E50" s="23">
        <v>62.826112706281791</v>
      </c>
      <c r="F50" s="23">
        <f t="shared" si="17"/>
        <v>1.3780113783530616</v>
      </c>
      <c r="J50" s="50" t="s">
        <v>459</v>
      </c>
      <c r="K50" s="50">
        <v>19</v>
      </c>
      <c r="L50"/>
      <c r="M50"/>
      <c r="N50"/>
      <c r="O50"/>
      <c r="P50"/>
      <c r="Q50"/>
      <c r="R50"/>
    </row>
    <row r="51" spans="1:18">
      <c r="A51" s="23">
        <v>88.6</v>
      </c>
      <c r="B51" s="23">
        <v>75.2</v>
      </c>
      <c r="C51" s="23">
        <v>89</v>
      </c>
      <c r="D51" s="23">
        <f t="shared" si="16"/>
        <v>89.249772184967867</v>
      </c>
      <c r="E51" s="23">
        <v>84.961993022434484</v>
      </c>
      <c r="F51" s="23">
        <f t="shared" si="17"/>
        <v>16.305500350867792</v>
      </c>
      <c r="J51"/>
      <c r="K51"/>
      <c r="L51"/>
      <c r="M51"/>
      <c r="N51"/>
      <c r="O51"/>
      <c r="P51"/>
      <c r="Q51"/>
      <c r="R51"/>
    </row>
    <row r="52" spans="1:18" ht="15.75" thickBot="1">
      <c r="A52" s="23">
        <v>74.5</v>
      </c>
      <c r="B52" s="23">
        <v>75.2</v>
      </c>
      <c r="C52" s="23">
        <v>79</v>
      </c>
      <c r="D52" s="23">
        <f t="shared" si="16"/>
        <v>76.476915873702893</v>
      </c>
      <c r="E52" s="23">
        <v>76.700904337417313</v>
      </c>
      <c r="F52" s="23">
        <f t="shared" si="17"/>
        <v>5.2858408657065237</v>
      </c>
      <c r="J52" t="s">
        <v>460</v>
      </c>
      <c r="K52"/>
      <c r="L52"/>
      <c r="M52"/>
      <c r="N52"/>
      <c r="O52"/>
      <c r="P52"/>
      <c r="Q52"/>
      <c r="R52"/>
    </row>
    <row r="53" spans="1:18">
      <c r="A53" s="23">
        <v>71.099999999999994</v>
      </c>
      <c r="B53" s="23">
        <v>69.8</v>
      </c>
      <c r="C53" s="23">
        <v>66</v>
      </c>
      <c r="D53" s="23">
        <f t="shared" si="16"/>
        <v>70.233115139135947</v>
      </c>
      <c r="E53" s="23">
        <v>69.817136563666296</v>
      </c>
      <c r="F53" s="23">
        <f t="shared" si="17"/>
        <v>14.570531545678135</v>
      </c>
      <c r="J53" s="51"/>
      <c r="K53" s="51" t="s">
        <v>464</v>
      </c>
      <c r="L53" s="51" t="s">
        <v>465</v>
      </c>
      <c r="M53" s="51" t="s">
        <v>466</v>
      </c>
      <c r="N53" s="51" t="s">
        <v>467</v>
      </c>
      <c r="O53" s="51" t="s">
        <v>468</v>
      </c>
      <c r="P53"/>
      <c r="Q53"/>
      <c r="R53"/>
    </row>
    <row r="54" spans="1:18">
      <c r="A54" s="23">
        <v>52.1</v>
      </c>
      <c r="B54" s="23">
        <v>64.400000000000006</v>
      </c>
      <c r="C54" s="23">
        <v>53</v>
      </c>
      <c r="D54" s="23">
        <f t="shared" si="16"/>
        <v>49.85764359210566</v>
      </c>
      <c r="E54" s="23">
        <v>53.793440883087783</v>
      </c>
      <c r="F54" s="23">
        <f t="shared" si="17"/>
        <v>0.62954843495512069</v>
      </c>
      <c r="J54" t="s">
        <v>461</v>
      </c>
      <c r="K54">
        <v>2</v>
      </c>
      <c r="L54">
        <v>2780.1593917460855</v>
      </c>
      <c r="M54">
        <v>1390.0796958730427</v>
      </c>
      <c r="N54">
        <v>58.782292321667747</v>
      </c>
      <c r="O54">
        <v>4.2406196151681954E-8</v>
      </c>
      <c r="P54"/>
      <c r="Q54"/>
      <c r="R54"/>
    </row>
    <row r="55" spans="1:18">
      <c r="A55" s="23">
        <v>88.4</v>
      </c>
      <c r="B55" s="23">
        <v>71.599999999999994</v>
      </c>
      <c r="C55" s="23">
        <v>75</v>
      </c>
      <c r="D55" s="23">
        <f t="shared" si="16"/>
        <v>86.959382785796606</v>
      </c>
      <c r="E55" s="23">
        <v>81.583659656650269</v>
      </c>
      <c r="F55" s="23">
        <f t="shared" si="17"/>
        <v>43.344574474604343</v>
      </c>
      <c r="J55" t="s">
        <v>462</v>
      </c>
      <c r="K55">
        <v>16</v>
      </c>
      <c r="L55">
        <v>378.36692404338788</v>
      </c>
      <c r="M55">
        <v>23.647932752711743</v>
      </c>
      <c r="N55"/>
      <c r="O55"/>
      <c r="P55"/>
      <c r="Q55"/>
      <c r="R55"/>
    </row>
    <row r="56" spans="1:18" ht="15.75" thickBot="1">
      <c r="A56" s="23">
        <v>95.2</v>
      </c>
      <c r="B56" s="23">
        <v>86</v>
      </c>
      <c r="C56" s="23">
        <v>99</v>
      </c>
      <c r="D56" s="23">
        <f t="shared" si="16"/>
        <v>101.55619838727526</v>
      </c>
      <c r="E56" s="23">
        <v>98.612350007028454</v>
      </c>
      <c r="F56" s="23">
        <f t="shared" si="17"/>
        <v>0.15027251705084002</v>
      </c>
      <c r="J56" s="50" t="s">
        <v>98</v>
      </c>
      <c r="K56" s="50">
        <v>18</v>
      </c>
      <c r="L56" s="50">
        <v>3158.5263157894733</v>
      </c>
      <c r="M56" s="50"/>
      <c r="N56" s="50"/>
      <c r="O56" s="50"/>
      <c r="P56"/>
      <c r="Q56"/>
      <c r="R56"/>
    </row>
    <row r="57" spans="1:18" ht="15.75" thickBot="1">
      <c r="A57" s="23">
        <v>81.900000000000006</v>
      </c>
      <c r="B57" s="23">
        <v>78.8</v>
      </c>
      <c r="C57" s="23">
        <v>81</v>
      </c>
      <c r="D57" s="23">
        <f t="shared" si="16"/>
        <v>85.28961487862648</v>
      </c>
      <c r="E57" s="23">
        <v>84.297665967891135</v>
      </c>
      <c r="F57" s="23">
        <f t="shared" si="17"/>
        <v>10.874600835787374</v>
      </c>
      <c r="J57"/>
      <c r="K57"/>
      <c r="L57"/>
      <c r="M57"/>
      <c r="N57"/>
      <c r="O57"/>
      <c r="P57"/>
      <c r="Q57"/>
      <c r="R57"/>
    </row>
    <row r="58" spans="1:18">
      <c r="A58" s="23">
        <v>87.9</v>
      </c>
      <c r="B58" s="23">
        <v>77</v>
      </c>
      <c r="C58" s="23">
        <v>88</v>
      </c>
      <c r="D58" s="23">
        <f t="shared" si="16"/>
        <v>89.670265817247682</v>
      </c>
      <c r="E58" s="23">
        <v>86.182445453694413</v>
      </c>
      <c r="F58" s="23">
        <f t="shared" si="17"/>
        <v>3.3035045287961076</v>
      </c>
      <c r="J58" s="51"/>
      <c r="K58" s="51" t="s">
        <v>469</v>
      </c>
      <c r="L58" s="51" t="s">
        <v>454</v>
      </c>
      <c r="M58" s="51" t="s">
        <v>470</v>
      </c>
      <c r="N58" s="51" t="s">
        <v>471</v>
      </c>
      <c r="O58" s="51" t="s">
        <v>472</v>
      </c>
      <c r="P58" s="51" t="s">
        <v>473</v>
      </c>
      <c r="Q58" s="51" t="s">
        <v>474</v>
      </c>
      <c r="R58" s="51" t="s">
        <v>475</v>
      </c>
    </row>
    <row r="59" spans="1:18">
      <c r="F59" s="23">
        <f>SUM(F39:F58)</f>
        <v>378.53038957935462</v>
      </c>
      <c r="J59" t="s">
        <v>463</v>
      </c>
      <c r="K59">
        <v>-35.265946437109385</v>
      </c>
      <c r="L59">
        <v>11.054217382548071</v>
      </c>
      <c r="M59">
        <v>-3.1902707551948239</v>
      </c>
      <c r="N59">
        <v>5.6929060060408321E-3</v>
      </c>
      <c r="O59">
        <v>-58.699840445116749</v>
      </c>
      <c r="P59">
        <v>-11.832052429102017</v>
      </c>
      <c r="Q59">
        <v>-58.699840445116749</v>
      </c>
      <c r="R59">
        <v>-11.832052429102017</v>
      </c>
    </row>
    <row r="60" spans="1:18">
      <c r="A60" s="23" t="s">
        <v>578</v>
      </c>
      <c r="J60">
        <v>89.5</v>
      </c>
      <c r="K60">
        <v>0.58710057728348664</v>
      </c>
      <c r="L60">
        <v>0.13149912466954339</v>
      </c>
      <c r="M60">
        <v>4.4646728923775525</v>
      </c>
      <c r="N60">
        <v>3.911119100951173E-4</v>
      </c>
      <c r="O60">
        <v>0.30833488605356513</v>
      </c>
      <c r="P60">
        <v>0.8658662685134082</v>
      </c>
      <c r="Q60">
        <v>0.30833488605356513</v>
      </c>
      <c r="R60">
        <v>0.8658662685134082</v>
      </c>
    </row>
    <row r="61" spans="1:18" ht="15.75" thickBot="1">
      <c r="A61" s="23" t="s">
        <v>581</v>
      </c>
      <c r="J61" s="50">
        <v>80.599999999999994</v>
      </c>
      <c r="K61" s="50">
        <v>0.90756148620062693</v>
      </c>
      <c r="L61" s="50">
        <v>0.19967910476417122</v>
      </c>
      <c r="M61" s="50">
        <v>4.5450999355816037</v>
      </c>
      <c r="N61" s="50">
        <v>3.31200184866129E-4</v>
      </c>
      <c r="O61" s="50">
        <v>0.48426069386730419</v>
      </c>
      <c r="P61" s="50">
        <v>1.3308622785339497</v>
      </c>
      <c r="Q61" s="50">
        <v>0.48426069386730419</v>
      </c>
      <c r="R61" s="50">
        <v>1.3308622785339497</v>
      </c>
    </row>
    <row r="62" spans="1:18">
      <c r="J62"/>
      <c r="K62"/>
      <c r="L62"/>
      <c r="M62"/>
      <c r="N62"/>
      <c r="O62"/>
      <c r="P62"/>
      <c r="Q62"/>
      <c r="R62"/>
    </row>
    <row r="63" spans="1:18">
      <c r="J63"/>
      <c r="K63"/>
      <c r="L63"/>
      <c r="M63"/>
      <c r="N63"/>
      <c r="O63"/>
      <c r="P63"/>
      <c r="Q63"/>
      <c r="R63"/>
    </row>
    <row r="64" spans="1:18">
      <c r="J64"/>
      <c r="K64"/>
      <c r="L64"/>
      <c r="M64"/>
      <c r="N64"/>
      <c r="O64"/>
      <c r="P64"/>
      <c r="Q64"/>
      <c r="R64"/>
    </row>
    <row r="65" spans="1:17" ht="18.75">
      <c r="A65" s="23" t="s">
        <v>582</v>
      </c>
      <c r="C65" s="23" t="s">
        <v>483</v>
      </c>
      <c r="D65" s="23" t="s">
        <v>580</v>
      </c>
      <c r="E65" s="23" t="s">
        <v>485</v>
      </c>
      <c r="J65" s="161" t="s">
        <v>757</v>
      </c>
      <c r="K65" s="161"/>
    </row>
    <row r="66" spans="1:17">
      <c r="B66" s="23" t="s">
        <v>579</v>
      </c>
      <c r="C66" s="23" cm="1">
        <f t="array" ref="C66:E66">LINEST(C39:C58,A39:B58)</f>
        <v>0.90587633413226787</v>
      </c>
      <c r="D66" s="23">
        <v>0.5858928145402249</v>
      </c>
      <c r="E66" s="23">
        <v>-35.070010672575989</v>
      </c>
      <c r="K66" s="160" t="s">
        <v>768</v>
      </c>
      <c r="L66" s="160"/>
      <c r="M66" s="160"/>
    </row>
    <row r="67" spans="1:17">
      <c r="J67"/>
      <c r="K67" t="s">
        <v>762</v>
      </c>
      <c r="L67" t="s">
        <v>763</v>
      </c>
      <c r="M67" t="s">
        <v>761</v>
      </c>
    </row>
    <row r="68" spans="1:17">
      <c r="J68" t="s">
        <v>758</v>
      </c>
      <c r="K68">
        <v>6</v>
      </c>
      <c r="L68">
        <v>2</v>
      </c>
      <c r="M68">
        <v>8</v>
      </c>
    </row>
    <row r="69" spans="1:17">
      <c r="A69" s="23" t="s">
        <v>583</v>
      </c>
      <c r="J69" t="s">
        <v>759</v>
      </c>
      <c r="K69">
        <v>8</v>
      </c>
      <c r="L69">
        <v>4</v>
      </c>
      <c r="M69">
        <v>12</v>
      </c>
    </row>
    <row r="70" spans="1:17">
      <c r="C70" s="23" cm="1">
        <f t="array" ref="C70:E74">LINEST(C39:C58,A39:B58,,TRUE)</f>
        <v>0.90587633413226787</v>
      </c>
      <c r="D70" s="23">
        <v>0.5858928145402249</v>
      </c>
      <c r="E70" s="23">
        <v>-35.070010672575989</v>
      </c>
      <c r="J70" t="s">
        <v>760</v>
      </c>
      <c r="K70">
        <v>0</v>
      </c>
      <c r="L70">
        <v>8</v>
      </c>
      <c r="M70">
        <v>8</v>
      </c>
    </row>
    <row r="71" spans="1:17">
      <c r="C71" s="23">
        <v>0.19275825569309882</v>
      </c>
      <c r="D71" s="23">
        <v>0.12681946802416785</v>
      </c>
      <c r="E71" s="23">
        <v>10.479886000391261</v>
      </c>
      <c r="J71" t="s">
        <v>761</v>
      </c>
      <c r="K71">
        <f>SUM(K68:K70)</f>
        <v>14</v>
      </c>
      <c r="L71">
        <f t="shared" ref="L71:M71" si="18">SUM(L68:L70)</f>
        <v>14</v>
      </c>
      <c r="M71">
        <f t="shared" si="18"/>
        <v>28</v>
      </c>
    </row>
    <row r="72" spans="1:17">
      <c r="C72" s="23">
        <v>0.88668620748698435</v>
      </c>
      <c r="D72" s="23">
        <v>4.7187385501495944</v>
      </c>
      <c r="E72" s="23" t="e">
        <v>#N/A</v>
      </c>
      <c r="J72"/>
      <c r="K72"/>
      <c r="L72"/>
      <c r="M72"/>
    </row>
    <row r="73" spans="1:17">
      <c r="C73" s="23">
        <v>66.512933655218205</v>
      </c>
      <c r="D73" s="23">
        <v>17</v>
      </c>
      <c r="E73" s="23" t="e">
        <v>#N/A</v>
      </c>
      <c r="I73" s="23" t="s">
        <v>765</v>
      </c>
      <c r="J73" t="s">
        <v>764</v>
      </c>
      <c r="K73"/>
      <c r="L73"/>
      <c r="M73">
        <f>-((K71/M71)*LOG(K71/M71,2)+(L71/M71)*LOG(L71/M71,2))</f>
        <v>1</v>
      </c>
      <c r="O73" s="23" t="s">
        <v>772</v>
      </c>
      <c r="P73" s="23" t="s">
        <v>773</v>
      </c>
      <c r="Q73" s="23">
        <f>M73-L78</f>
        <v>0.37465089270260943</v>
      </c>
    </row>
    <row r="74" spans="1:17">
      <c r="C74" s="23">
        <v>2962.0196104206461</v>
      </c>
      <c r="D74" s="23">
        <v>378.53038957935428</v>
      </c>
      <c r="E74" s="23" t="e">
        <v>#N/A</v>
      </c>
      <c r="I74" s="23" t="s">
        <v>766</v>
      </c>
      <c r="J74" t="s">
        <v>767</v>
      </c>
      <c r="K74"/>
      <c r="L74"/>
      <c r="M74" s="86">
        <f>-((K68/M68)*LOG(K68/M68,2)+(L68/M68)*LOG(L68/M68,2))</f>
        <v>0.81127812445913283</v>
      </c>
    </row>
    <row r="75" spans="1:17">
      <c r="J75" t="s">
        <v>769</v>
      </c>
      <c r="K75"/>
      <c r="L75"/>
      <c r="M75" s="86">
        <f>-((K69/M69)*LOG(K69/M69,2)+(L69/M69)*LOG(L69/M69,2))</f>
        <v>0.91829583405448956</v>
      </c>
    </row>
    <row r="76" spans="1:17">
      <c r="J76" t="s">
        <v>770</v>
      </c>
      <c r="K76"/>
      <c r="L76"/>
      <c r="M76" t="e">
        <f>-((K70/M70)*LOG(K70/M70,2)+(L70/M70)*LOG(L70/M70,2))</f>
        <v>#NUM!</v>
      </c>
      <c r="N76" s="23">
        <v>0</v>
      </c>
    </row>
    <row r="77" spans="1:17">
      <c r="B77" s="23" t="s">
        <v>446</v>
      </c>
      <c r="C77" t="s">
        <v>602</v>
      </c>
      <c r="D77" s="23" t="s">
        <v>445</v>
      </c>
    </row>
    <row r="78" spans="1:17">
      <c r="B78" s="23">
        <v>80.599999999999994</v>
      </c>
      <c r="C78">
        <v>0</v>
      </c>
      <c r="D78" s="23">
        <v>90</v>
      </c>
      <c r="J78" s="23" t="s">
        <v>771</v>
      </c>
      <c r="L78" s="23">
        <f>(M68/M71)*M74+(M69/M71)*M75+(M70/M71)*N76</f>
        <v>0.62534910729739057</v>
      </c>
    </row>
    <row r="79" spans="1:17">
      <c r="B79" s="23">
        <v>75.2</v>
      </c>
      <c r="C79">
        <v>0</v>
      </c>
      <c r="D79" s="23">
        <v>85</v>
      </c>
      <c r="G79" s="23" t="s">
        <v>603</v>
      </c>
      <c r="H79" s="23" t="s">
        <v>602</v>
      </c>
      <c r="I79" s="23" t="s">
        <v>604</v>
      </c>
      <c r="J79" s="23" t="s">
        <v>605</v>
      </c>
      <c r="K79" s="23" t="s">
        <v>606</v>
      </c>
    </row>
    <row r="80" spans="1:17">
      <c r="B80" s="23">
        <v>86</v>
      </c>
      <c r="C80">
        <v>0</v>
      </c>
      <c r="D80" s="23">
        <v>107</v>
      </c>
      <c r="G80" s="23">
        <v>85.6</v>
      </c>
      <c r="H80" s="23">
        <v>1</v>
      </c>
      <c r="I80" s="23">
        <f t="array" ref="I80:I84">TREND(D78:D97,B78:C97,G80:H84)</f>
        <v>88.306812985825331</v>
      </c>
      <c r="J80" s="23">
        <f t="array" ref="J80:J84">_xlfn.FORECAST.LINEAR(G80:G84,D78:D97,B78:B97)</f>
        <v>95.625904593117696</v>
      </c>
    </row>
    <row r="81" spans="2:10">
      <c r="B81" s="23">
        <v>75.2</v>
      </c>
      <c r="C81">
        <v>1</v>
      </c>
      <c r="D81" s="23">
        <v>71</v>
      </c>
      <c r="G81" s="23">
        <v>75</v>
      </c>
      <c r="H81" s="23">
        <v>0</v>
      </c>
      <c r="I81" s="23">
        <v>85.303612254229535</v>
      </c>
      <c r="J81" s="23">
        <v>79.665632845960715</v>
      </c>
    </row>
    <row r="82" spans="2:10">
      <c r="B82" s="23">
        <v>60.8</v>
      </c>
      <c r="C82">
        <v>1</v>
      </c>
      <c r="D82" s="23">
        <v>65</v>
      </c>
      <c r="G82" s="23">
        <v>77</v>
      </c>
      <c r="H82" s="23">
        <v>1</v>
      </c>
      <c r="I82" s="23">
        <v>78.534979423868307</v>
      </c>
      <c r="J82" s="23">
        <v>82.67700487372619</v>
      </c>
    </row>
    <row r="83" spans="2:10">
      <c r="B83" s="23">
        <v>68</v>
      </c>
      <c r="C83">
        <v>1</v>
      </c>
      <c r="D83" s="23">
        <v>69</v>
      </c>
      <c r="G83" s="23">
        <v>85.1</v>
      </c>
      <c r="H83" s="23">
        <v>0</v>
      </c>
      <c r="I83" s="23">
        <v>96.779835390946502</v>
      </c>
      <c r="J83" s="23">
        <v>94.873061586176334</v>
      </c>
    </row>
    <row r="84" spans="2:10">
      <c r="B84" s="23">
        <v>71.599999999999994</v>
      </c>
      <c r="C84">
        <v>1</v>
      </c>
      <c r="D84" s="23">
        <v>67</v>
      </c>
      <c r="G84" s="23">
        <v>84.9</v>
      </c>
      <c r="H84" s="23">
        <v>0</v>
      </c>
      <c r="I84" s="23">
        <v>96.552583447645176</v>
      </c>
      <c r="J84" s="23">
        <v>94.571924383399818</v>
      </c>
    </row>
    <row r="85" spans="2:10">
      <c r="B85" s="23">
        <v>66.2</v>
      </c>
      <c r="C85">
        <v>1</v>
      </c>
      <c r="D85" s="23">
        <v>70</v>
      </c>
    </row>
    <row r="86" spans="2:10">
      <c r="B86" s="23">
        <v>60.8</v>
      </c>
      <c r="C86">
        <v>1</v>
      </c>
      <c r="D86" s="23">
        <v>65</v>
      </c>
      <c r="G86" s="23" t="s">
        <v>607</v>
      </c>
    </row>
    <row r="87" spans="2:10">
      <c r="B87" s="23">
        <v>78.8</v>
      </c>
      <c r="C87">
        <v>1</v>
      </c>
      <c r="D87" s="23">
        <v>81</v>
      </c>
    </row>
    <row r="88" spans="2:10">
      <c r="B88" s="23">
        <v>78.8</v>
      </c>
      <c r="C88">
        <v>1</v>
      </c>
      <c r="D88" s="23">
        <v>73</v>
      </c>
    </row>
    <row r="89" spans="2:10">
      <c r="B89" s="23">
        <v>62.6</v>
      </c>
      <c r="C89">
        <v>1</v>
      </c>
      <c r="D89" s="23">
        <v>64</v>
      </c>
    </row>
    <row r="90" spans="2:10">
      <c r="B90" s="23">
        <v>75.2</v>
      </c>
      <c r="C90">
        <v>1</v>
      </c>
      <c r="D90" s="23">
        <v>89</v>
      </c>
    </row>
    <row r="91" spans="2:10">
      <c r="B91" s="23">
        <v>75.2</v>
      </c>
      <c r="C91">
        <v>1</v>
      </c>
      <c r="D91" s="23">
        <v>79</v>
      </c>
    </row>
    <row r="92" spans="2:10">
      <c r="B92" s="23">
        <v>69.8</v>
      </c>
      <c r="C92">
        <v>1</v>
      </c>
      <c r="D92" s="23">
        <v>66</v>
      </c>
    </row>
    <row r="93" spans="2:10">
      <c r="B93" s="23">
        <v>64.400000000000006</v>
      </c>
      <c r="C93">
        <v>1</v>
      </c>
      <c r="D93" s="23">
        <v>53</v>
      </c>
    </row>
    <row r="94" spans="2:10">
      <c r="B94" s="23">
        <v>71.599999999999994</v>
      </c>
      <c r="C94">
        <v>1</v>
      </c>
      <c r="D94" s="23">
        <v>75</v>
      </c>
    </row>
    <row r="95" spans="2:10">
      <c r="B95" s="23">
        <v>86</v>
      </c>
      <c r="C95">
        <v>0</v>
      </c>
      <c r="D95" s="23">
        <v>99</v>
      </c>
    </row>
    <row r="96" spans="2:10">
      <c r="B96" s="23">
        <v>78.8</v>
      </c>
      <c r="C96">
        <v>0</v>
      </c>
      <c r="D96" s="23">
        <v>81</v>
      </c>
    </row>
    <row r="97" spans="2:4">
      <c r="B97" s="23">
        <v>77</v>
      </c>
      <c r="C97">
        <v>0</v>
      </c>
      <c r="D97" s="23">
        <v>88</v>
      </c>
    </row>
  </sheetData>
  <mergeCells count="4">
    <mergeCell ref="A1:C1"/>
    <mergeCell ref="A36:C36"/>
    <mergeCell ref="J65:K65"/>
    <mergeCell ref="K66:M66"/>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E0EBA-F8CD-40A3-AF2B-5F4385FB8E87}">
  <sheetPr codeName="Sheet8"/>
  <dimension ref="A1:R122"/>
  <sheetViews>
    <sheetView showGridLines="0" topLeftCell="A33" workbookViewId="0">
      <selection activeCell="F119" sqref="F119"/>
    </sheetView>
  </sheetViews>
  <sheetFormatPr defaultRowHeight="15"/>
  <cols>
    <col min="2" max="2" width="11.140625" customWidth="1"/>
    <col min="5" max="5" width="15.7109375" customWidth="1"/>
    <col min="6" max="6" width="14.7109375" bestFit="1" customWidth="1"/>
    <col min="8" max="8" width="16.7109375" customWidth="1"/>
  </cols>
  <sheetData>
    <row r="1" spans="1:5">
      <c r="A1" t="s">
        <v>690</v>
      </c>
    </row>
    <row r="3" spans="1:5">
      <c r="A3" t="s">
        <v>608</v>
      </c>
    </row>
    <row r="4" spans="1:5">
      <c r="A4" t="s">
        <v>609</v>
      </c>
    </row>
    <row r="5" spans="1:5">
      <c r="A5" t="s">
        <v>610</v>
      </c>
    </row>
    <row r="6" spans="1:5">
      <c r="A6" t="s">
        <v>611</v>
      </c>
      <c r="E6" t="s">
        <v>612</v>
      </c>
    </row>
    <row r="12" spans="1:5">
      <c r="A12" t="s">
        <v>613</v>
      </c>
    </row>
    <row r="14" spans="1:5">
      <c r="A14" t="s">
        <v>614</v>
      </c>
    </row>
    <row r="16" spans="1:5">
      <c r="A16" t="s">
        <v>615</v>
      </c>
    </row>
    <row r="17" spans="1:11">
      <c r="A17" t="s">
        <v>616</v>
      </c>
    </row>
    <row r="18" spans="1:11">
      <c r="A18" t="s">
        <v>617</v>
      </c>
    </row>
    <row r="20" spans="1:11">
      <c r="A20" t="s">
        <v>618</v>
      </c>
    </row>
    <row r="23" spans="1:11">
      <c r="A23" t="s">
        <v>619</v>
      </c>
    </row>
    <row r="24" spans="1:11">
      <c r="A24" t="s">
        <v>620</v>
      </c>
      <c r="D24" t="s">
        <v>621</v>
      </c>
      <c r="E24" t="s">
        <v>622</v>
      </c>
      <c r="F24" t="s">
        <v>623</v>
      </c>
      <c r="G24" t="s">
        <v>624</v>
      </c>
      <c r="H24" t="s">
        <v>625</v>
      </c>
      <c r="J24" t="s">
        <v>675</v>
      </c>
    </row>
    <row r="25" spans="1:11">
      <c r="D25">
        <v>1</v>
      </c>
      <c r="E25">
        <v>1.3</v>
      </c>
      <c r="F25">
        <v>110000</v>
      </c>
      <c r="G25" s="23">
        <f>(E25-$E$28)/$E$29</f>
        <v>7.3922127095458937E-2</v>
      </c>
      <c r="H25" s="23">
        <f>(F25-$F$28)/$F$29</f>
        <v>-0.24583850475514463</v>
      </c>
      <c r="J25">
        <f>STANDARDIZE(E25:E27,AVERAGE(E25:E27),_xlfn.STDEV.S(E25:E27))</f>
        <v>7.3922127095458937E-2</v>
      </c>
      <c r="K25">
        <f>STANDARDIZE(F25:F27,AVERAGE(F25:F27),_xlfn.STDEV.S(F25:F27))</f>
        <v>-0.24583850475514463</v>
      </c>
    </row>
    <row r="26" spans="1:11">
      <c r="D26">
        <v>2</v>
      </c>
      <c r="E26">
        <v>1.34</v>
      </c>
      <c r="F26">
        <v>98700</v>
      </c>
      <c r="G26" s="23">
        <f t="shared" ref="G26:G27" si="0">(E26-$E$28)/$E$29</f>
        <v>0.96098765224094651</v>
      </c>
      <c r="H26" s="23">
        <f t="shared" ref="H26:H27" si="1">(F26-$F$28)/$F$29</f>
        <v>-0.85415422090108573</v>
      </c>
      <c r="J26" s="23">
        <f t="shared" ref="J26:J27" si="2">STANDARDIZE(E26:E28,AVERAGE(E26:E28),_xlfn.STDEV.S(E26:E28))</f>
        <v>0.98742859722262544</v>
      </c>
      <c r="K26">
        <f t="shared" ref="K26:K27" si="3">STANDARDIZE(F26:F28,AVERAGE(F26:F28),_xlfn.STDEV.S(F26:F28))</f>
        <v>-0.95554831857231548</v>
      </c>
    </row>
    <row r="27" spans="1:11">
      <c r="D27">
        <v>3</v>
      </c>
      <c r="E27">
        <v>1.25</v>
      </c>
      <c r="F27">
        <v>135000</v>
      </c>
      <c r="G27" s="23">
        <f t="shared" si="0"/>
        <v>-1.0349097793364004</v>
      </c>
      <c r="H27" s="23">
        <f t="shared" si="1"/>
        <v>1.0999927256562296</v>
      </c>
      <c r="J27">
        <f t="shared" si="2"/>
        <v>0.54415138004435293</v>
      </c>
      <c r="K27">
        <f t="shared" si="3"/>
        <v>0.73384922165964728</v>
      </c>
    </row>
    <row r="28" spans="1:11">
      <c r="D28" t="s">
        <v>512</v>
      </c>
      <c r="E28" s="23">
        <f>AVERAGE(E25:E27)</f>
        <v>1.2966666666666666</v>
      </c>
      <c r="F28" s="23">
        <f>AVERAGE(F25:F27)</f>
        <v>114566.66666666667</v>
      </c>
      <c r="G28" s="23"/>
      <c r="H28" s="23"/>
    </row>
    <row r="29" spans="1:11">
      <c r="D29" t="s">
        <v>513</v>
      </c>
      <c r="E29" s="23">
        <f>_xlfn.STDEV.S(E25:E27)</f>
        <v>4.5092497528228977E-2</v>
      </c>
      <c r="F29" s="23">
        <f>_xlfn.STDEV.S(F25:F27)</f>
        <v>18575.880418793939</v>
      </c>
    </row>
    <row r="33" spans="1:10">
      <c r="A33" t="s">
        <v>626</v>
      </c>
    </row>
    <row r="34" spans="1:10">
      <c r="A34" s="66" t="s">
        <v>487</v>
      </c>
      <c r="B34" s="66" t="s">
        <v>103</v>
      </c>
      <c r="C34" s="66" t="s">
        <v>627</v>
      </c>
      <c r="D34" s="66" t="s">
        <v>628</v>
      </c>
      <c r="E34" s="66" t="s">
        <v>629</v>
      </c>
      <c r="F34" s="66" t="s">
        <v>630</v>
      </c>
      <c r="G34" s="66" t="s">
        <v>631</v>
      </c>
      <c r="H34" s="66" t="s">
        <v>189</v>
      </c>
      <c r="I34" s="66" t="s">
        <v>674</v>
      </c>
    </row>
    <row r="35" spans="1:10">
      <c r="A35" s="67" t="s">
        <v>632</v>
      </c>
      <c r="B35" s="67">
        <v>2012</v>
      </c>
      <c r="C35" s="67">
        <v>342358</v>
      </c>
      <c r="D35" s="67" t="s">
        <v>633</v>
      </c>
      <c r="E35" s="67" t="s">
        <v>634</v>
      </c>
      <c r="F35" s="67" t="s">
        <v>635</v>
      </c>
      <c r="G35" s="67" t="s">
        <v>636</v>
      </c>
      <c r="H35" s="23">
        <v>0.46549964401845401</v>
      </c>
      <c r="I35" t="str">
        <f>IF(H35&gt;0.8,"test","train")</f>
        <v>train</v>
      </c>
      <c r="J35" s="67"/>
    </row>
    <row r="36" spans="1:10">
      <c r="A36" s="67" t="s">
        <v>637</v>
      </c>
      <c r="B36" s="67">
        <v>2017</v>
      </c>
      <c r="C36" s="67">
        <v>130000</v>
      </c>
      <c r="D36" s="67" t="s">
        <v>638</v>
      </c>
      <c r="E36" s="67" t="s">
        <v>639</v>
      </c>
      <c r="F36" s="67" t="s">
        <v>640</v>
      </c>
      <c r="G36" s="67" t="s">
        <v>641</v>
      </c>
      <c r="H36" s="23">
        <v>4.3196523532142983E-2</v>
      </c>
      <c r="I36" t="str">
        <f t="shared" ref="I36:I52" si="4">IF(H36&gt;0.8,"test","train")</f>
        <v>train</v>
      </c>
      <c r="J36" s="67"/>
    </row>
    <row r="37" spans="1:10">
      <c r="A37" s="67" t="s">
        <v>642</v>
      </c>
      <c r="B37" s="67">
        <v>2020</v>
      </c>
      <c r="C37" s="67">
        <v>92450</v>
      </c>
      <c r="D37" s="67" t="s">
        <v>643</v>
      </c>
      <c r="E37" s="67" t="s">
        <v>634</v>
      </c>
      <c r="F37" s="67" t="s">
        <v>644</v>
      </c>
      <c r="G37" s="67" t="s">
        <v>645</v>
      </c>
      <c r="H37" s="23">
        <v>0.12892746444851311</v>
      </c>
      <c r="I37" t="str">
        <f t="shared" si="4"/>
        <v>train</v>
      </c>
    </row>
    <row r="38" spans="1:10">
      <c r="A38" s="67" t="s">
        <v>632</v>
      </c>
      <c r="B38" s="67">
        <v>2020</v>
      </c>
      <c r="C38" s="67">
        <v>76240</v>
      </c>
      <c r="D38" s="67" t="s">
        <v>633</v>
      </c>
      <c r="E38" s="67" t="s">
        <v>634</v>
      </c>
      <c r="F38" s="67" t="s">
        <v>640</v>
      </c>
      <c r="G38" s="67" t="s">
        <v>646</v>
      </c>
      <c r="H38" s="23">
        <v>5.2994460726033199E-2</v>
      </c>
      <c r="I38" t="str">
        <f t="shared" si="4"/>
        <v>train</v>
      </c>
    </row>
    <row r="39" spans="1:10">
      <c r="A39" s="67" t="s">
        <v>647</v>
      </c>
      <c r="B39" s="67">
        <v>2021</v>
      </c>
      <c r="C39" s="67">
        <v>17283</v>
      </c>
      <c r="D39" s="67" t="s">
        <v>633</v>
      </c>
      <c r="E39" s="67" t="s">
        <v>639</v>
      </c>
      <c r="F39" s="67" t="s">
        <v>635</v>
      </c>
      <c r="G39" s="67" t="s">
        <v>648</v>
      </c>
      <c r="H39" s="23">
        <v>0.91937730104720317</v>
      </c>
      <c r="I39" t="str">
        <f t="shared" si="4"/>
        <v>test</v>
      </c>
    </row>
    <row r="40" spans="1:10">
      <c r="A40" s="67" t="s">
        <v>649</v>
      </c>
      <c r="B40" s="67">
        <v>2020</v>
      </c>
      <c r="C40" s="67">
        <v>98312</v>
      </c>
      <c r="D40" s="67" t="s">
        <v>638</v>
      </c>
      <c r="E40" s="67" t="s">
        <v>634</v>
      </c>
      <c r="F40" s="67" t="s">
        <v>644</v>
      </c>
      <c r="G40" s="67" t="s">
        <v>650</v>
      </c>
      <c r="H40" s="23">
        <v>0.63258852593933845</v>
      </c>
      <c r="I40" t="str">
        <f t="shared" si="4"/>
        <v>train</v>
      </c>
    </row>
    <row r="41" spans="1:10">
      <c r="A41" s="67" t="s">
        <v>647</v>
      </c>
      <c r="B41" s="67">
        <v>2018</v>
      </c>
      <c r="C41" s="67">
        <v>156784</v>
      </c>
      <c r="D41" s="67" t="s">
        <v>651</v>
      </c>
      <c r="E41" s="67" t="s">
        <v>639</v>
      </c>
      <c r="F41" s="67" t="s">
        <v>644</v>
      </c>
      <c r="G41" s="67" t="s">
        <v>652</v>
      </c>
      <c r="H41" s="23">
        <v>0.19346076244015808</v>
      </c>
      <c r="I41" t="str">
        <f t="shared" si="4"/>
        <v>train</v>
      </c>
    </row>
    <row r="42" spans="1:10">
      <c r="A42" s="67" t="s">
        <v>632</v>
      </c>
      <c r="B42" s="67">
        <v>2019</v>
      </c>
      <c r="C42" s="67">
        <v>52034</v>
      </c>
      <c r="D42" s="67" t="s">
        <v>653</v>
      </c>
      <c r="E42" s="67" t="s">
        <v>634</v>
      </c>
      <c r="F42" s="67" t="s">
        <v>635</v>
      </c>
      <c r="G42" s="67" t="s">
        <v>654</v>
      </c>
      <c r="H42" s="23">
        <v>0.22390780228300355</v>
      </c>
      <c r="I42" t="str">
        <f t="shared" si="4"/>
        <v>train</v>
      </c>
    </row>
    <row r="43" spans="1:10">
      <c r="A43" s="67" t="s">
        <v>655</v>
      </c>
      <c r="B43" s="67">
        <v>2011</v>
      </c>
      <c r="C43" s="67">
        <v>205204</v>
      </c>
      <c r="D43" s="67" t="s">
        <v>638</v>
      </c>
      <c r="E43" s="67" t="s">
        <v>634</v>
      </c>
      <c r="F43" s="67" t="s">
        <v>640</v>
      </c>
      <c r="G43" s="67" t="s">
        <v>656</v>
      </c>
      <c r="H43" s="23">
        <v>0.2823425218472454</v>
      </c>
      <c r="I43" t="str">
        <f t="shared" si="4"/>
        <v>train</v>
      </c>
    </row>
    <row r="44" spans="1:10">
      <c r="A44" s="67" t="s">
        <v>642</v>
      </c>
      <c r="B44" s="67">
        <v>2014</v>
      </c>
      <c r="C44" s="67">
        <v>152985</v>
      </c>
      <c r="D44" s="67" t="s">
        <v>643</v>
      </c>
      <c r="E44" s="67" t="s">
        <v>634</v>
      </c>
      <c r="F44" s="67" t="s">
        <v>640</v>
      </c>
      <c r="G44" s="67" t="s">
        <v>657</v>
      </c>
      <c r="H44" s="23">
        <v>0.27851123026832436</v>
      </c>
      <c r="I44" t="str">
        <f t="shared" si="4"/>
        <v>train</v>
      </c>
    </row>
    <row r="45" spans="1:10">
      <c r="A45" s="67" t="s">
        <v>658</v>
      </c>
      <c r="B45" s="67">
        <v>2018</v>
      </c>
      <c r="C45" s="67">
        <v>76429</v>
      </c>
      <c r="D45" s="67" t="s">
        <v>659</v>
      </c>
      <c r="E45" s="67" t="s">
        <v>634</v>
      </c>
      <c r="F45" s="67" t="s">
        <v>635</v>
      </c>
      <c r="G45" s="67" t="s">
        <v>660</v>
      </c>
      <c r="H45" s="23">
        <v>0.4977356321273152</v>
      </c>
      <c r="I45" t="str">
        <f t="shared" si="4"/>
        <v>train</v>
      </c>
    </row>
    <row r="46" spans="1:10">
      <c r="A46" s="67" t="s">
        <v>661</v>
      </c>
      <c r="B46" s="67">
        <v>2013</v>
      </c>
      <c r="C46" s="67">
        <v>254028</v>
      </c>
      <c r="D46" s="67" t="s">
        <v>643</v>
      </c>
      <c r="E46" s="67" t="s">
        <v>639</v>
      </c>
      <c r="F46" s="67" t="s">
        <v>640</v>
      </c>
      <c r="G46" s="67" t="s">
        <v>662</v>
      </c>
      <c r="H46" s="23">
        <v>0.70531362934223429</v>
      </c>
      <c r="I46" t="str">
        <f t="shared" si="4"/>
        <v>train</v>
      </c>
    </row>
    <row r="47" spans="1:10">
      <c r="A47" s="67" t="s">
        <v>663</v>
      </c>
      <c r="B47" s="67">
        <v>2014</v>
      </c>
      <c r="C47" s="67">
        <v>45832</v>
      </c>
      <c r="D47" s="67" t="s">
        <v>633</v>
      </c>
      <c r="E47" s="67" t="s">
        <v>639</v>
      </c>
      <c r="F47" s="67" t="s">
        <v>635</v>
      </c>
      <c r="G47" s="67" t="s">
        <v>664</v>
      </c>
      <c r="H47" s="23">
        <v>0.56792619394881882</v>
      </c>
      <c r="I47" t="str">
        <f t="shared" si="4"/>
        <v>train</v>
      </c>
    </row>
    <row r="48" spans="1:10">
      <c r="A48" s="67" t="s">
        <v>665</v>
      </c>
      <c r="B48" s="67">
        <v>2018</v>
      </c>
      <c r="C48" s="67">
        <v>67591</v>
      </c>
      <c r="D48" s="67" t="s">
        <v>651</v>
      </c>
      <c r="E48" s="67" t="s">
        <v>634</v>
      </c>
      <c r="F48" s="67" t="s">
        <v>640</v>
      </c>
      <c r="G48" s="67" t="s">
        <v>666</v>
      </c>
      <c r="H48" s="23">
        <v>0.24341771027743853</v>
      </c>
      <c r="I48" t="str">
        <f t="shared" si="4"/>
        <v>train</v>
      </c>
    </row>
    <row r="49" spans="1:18">
      <c r="A49" s="67" t="s">
        <v>667</v>
      </c>
      <c r="B49" s="67">
        <v>2013</v>
      </c>
      <c r="C49" s="67">
        <v>85320</v>
      </c>
      <c r="D49" s="67" t="s">
        <v>633</v>
      </c>
      <c r="E49" s="67" t="s">
        <v>634</v>
      </c>
      <c r="F49" s="67" t="s">
        <v>640</v>
      </c>
      <c r="G49" s="67" t="s">
        <v>668</v>
      </c>
      <c r="H49" s="23">
        <v>0.73962636462712805</v>
      </c>
      <c r="I49" t="str">
        <f t="shared" si="4"/>
        <v>train</v>
      </c>
    </row>
    <row r="50" spans="1:18">
      <c r="A50" s="67" t="s">
        <v>649</v>
      </c>
      <c r="B50" s="67">
        <v>2016</v>
      </c>
      <c r="C50" s="67">
        <v>5000</v>
      </c>
      <c r="D50" s="67" t="s">
        <v>633</v>
      </c>
      <c r="E50" s="67" t="s">
        <v>634</v>
      </c>
      <c r="F50" s="67" t="s">
        <v>635</v>
      </c>
      <c r="G50" s="67" t="s">
        <v>669</v>
      </c>
      <c r="H50" s="23">
        <v>0.21648848678966659</v>
      </c>
      <c r="I50" t="str">
        <f t="shared" si="4"/>
        <v>train</v>
      </c>
    </row>
    <row r="51" spans="1:18">
      <c r="A51" s="67" t="s">
        <v>670</v>
      </c>
      <c r="B51" s="67">
        <v>2017</v>
      </c>
      <c r="C51" s="67">
        <v>92450</v>
      </c>
      <c r="D51" s="67" t="s">
        <v>638</v>
      </c>
      <c r="E51" s="67" t="s">
        <v>639</v>
      </c>
      <c r="F51" s="67" t="s">
        <v>640</v>
      </c>
      <c r="G51" s="67" t="s">
        <v>671</v>
      </c>
      <c r="H51" s="23">
        <v>0.85323956265366341</v>
      </c>
      <c r="I51" t="str">
        <f t="shared" si="4"/>
        <v>test</v>
      </c>
    </row>
    <row r="52" spans="1:18">
      <c r="A52" s="67" t="s">
        <v>649</v>
      </c>
      <c r="B52" s="67">
        <v>2015</v>
      </c>
      <c r="C52" s="67">
        <v>130000</v>
      </c>
      <c r="D52" s="67" t="s">
        <v>643</v>
      </c>
      <c r="E52" s="67" t="s">
        <v>634</v>
      </c>
      <c r="F52" s="67" t="s">
        <v>672</v>
      </c>
      <c r="G52" s="67" t="s">
        <v>673</v>
      </c>
      <c r="H52" s="23">
        <v>0.18835388986246404</v>
      </c>
      <c r="I52" t="str">
        <f t="shared" si="4"/>
        <v>train</v>
      </c>
    </row>
    <row r="56" spans="1:18">
      <c r="A56" s="147" t="s">
        <v>676</v>
      </c>
      <c r="B56" s="147"/>
    </row>
    <row r="57" spans="1:18">
      <c r="A57" t="s">
        <v>677</v>
      </c>
    </row>
    <row r="59" spans="1:18">
      <c r="R59" t="s">
        <v>683</v>
      </c>
    </row>
    <row r="64" spans="1:18">
      <c r="A64" t="s">
        <v>686</v>
      </c>
    </row>
    <row r="65" spans="1:8">
      <c r="A65" t="s">
        <v>678</v>
      </c>
      <c r="B65" t="s">
        <v>397</v>
      </c>
      <c r="C65" t="s">
        <v>679</v>
      </c>
      <c r="D65" t="s">
        <v>684</v>
      </c>
      <c r="E65" t="s">
        <v>685</v>
      </c>
    </row>
    <row r="66" spans="1:8">
      <c r="A66">
        <v>0.5</v>
      </c>
      <c r="B66">
        <v>0</v>
      </c>
      <c r="C66" s="68">
        <f>$B$89+SUMPRODUCT($B$90,A66)</f>
        <v>-3.3253907173577879</v>
      </c>
      <c r="D66">
        <f>EXP(C66)/(1+EXP(C66))</f>
        <v>3.4710335961573309E-2</v>
      </c>
      <c r="E66">
        <f>B66*LN(D66)+(1-B66)*LN(1-D66)</f>
        <v>-3.5327052697141814E-2</v>
      </c>
    </row>
    <row r="67" spans="1:8">
      <c r="A67">
        <v>0.75</v>
      </c>
      <c r="B67">
        <v>0</v>
      </c>
      <c r="C67" s="68">
        <f t="shared" ref="C67:C85" si="5">$B$89+SUMPRODUCT($B$90,A67)</f>
        <v>-2.9492293602770929</v>
      </c>
      <c r="D67">
        <f t="shared" ref="D67:D85" si="6">EXP(C67)/(1+EXP(C67))</f>
        <v>4.9772946783588123E-2</v>
      </c>
      <c r="E67">
        <f t="shared" ref="E67:E85" si="7">B67*LN(D67)+(1-B67)*LN(1-D67)</f>
        <v>-5.105431955861299E-2</v>
      </c>
      <c r="G67" t="s">
        <v>687</v>
      </c>
      <c r="H67">
        <f>SUM(E66:E85)</f>
        <v>-8.029878464344673</v>
      </c>
    </row>
    <row r="68" spans="1:8">
      <c r="A68">
        <v>1</v>
      </c>
      <c r="B68">
        <v>0</v>
      </c>
      <c r="C68" s="68">
        <f t="shared" si="5"/>
        <v>-2.5730680031963984</v>
      </c>
      <c r="D68">
        <f t="shared" si="6"/>
        <v>7.0891959867933632E-2</v>
      </c>
      <c r="E68">
        <f t="shared" si="7"/>
        <v>-7.3530249694489E-2</v>
      </c>
      <c r="G68" t="s">
        <v>688</v>
      </c>
    </row>
    <row r="69" spans="1:8">
      <c r="A69">
        <v>1.25</v>
      </c>
      <c r="B69">
        <v>0</v>
      </c>
      <c r="C69" s="68">
        <f t="shared" si="5"/>
        <v>-2.1969066461157039</v>
      </c>
      <c r="D69">
        <f t="shared" si="6"/>
        <v>0.10002861744895752</v>
      </c>
      <c r="E69">
        <f t="shared" si="7"/>
        <v>-0.10539231332887525</v>
      </c>
    </row>
    <row r="70" spans="1:8">
      <c r="A70">
        <v>1.5</v>
      </c>
      <c r="B70">
        <v>0</v>
      </c>
      <c r="C70" s="68">
        <f t="shared" si="5"/>
        <v>-1.8207452890350089</v>
      </c>
      <c r="D70">
        <f t="shared" si="6"/>
        <v>0.13934446821857302</v>
      </c>
      <c r="E70">
        <f t="shared" si="7"/>
        <v>-0.15006093383924668</v>
      </c>
      <c r="G70" t="s">
        <v>689</v>
      </c>
    </row>
    <row r="71" spans="1:8">
      <c r="A71">
        <v>1.75</v>
      </c>
      <c r="B71">
        <v>0</v>
      </c>
      <c r="C71" s="68">
        <f t="shared" si="5"/>
        <v>-1.4445839319543143</v>
      </c>
      <c r="D71">
        <f t="shared" si="6"/>
        <v>0.19083650394307441</v>
      </c>
      <c r="E71">
        <f t="shared" si="7"/>
        <v>-0.21175428585669617</v>
      </c>
    </row>
    <row r="72" spans="1:8">
      <c r="A72">
        <v>1.75</v>
      </c>
      <c r="B72">
        <v>1</v>
      </c>
      <c r="C72" s="68">
        <f t="shared" si="5"/>
        <v>-1.4445839319543143</v>
      </c>
      <c r="D72">
        <f t="shared" si="6"/>
        <v>0.19083650394307441</v>
      </c>
      <c r="E72">
        <f t="shared" si="7"/>
        <v>-1.6563382178110106</v>
      </c>
    </row>
    <row r="73" spans="1:8">
      <c r="A73">
        <v>2</v>
      </c>
      <c r="B73">
        <v>0</v>
      </c>
      <c r="C73" s="68">
        <f t="shared" si="5"/>
        <v>-1.0684225748736198</v>
      </c>
      <c r="D73">
        <f t="shared" si="6"/>
        <v>0.25570318253953533</v>
      </c>
      <c r="E73">
        <f t="shared" si="7"/>
        <v>-0.29531537550816961</v>
      </c>
    </row>
    <row r="74" spans="1:8">
      <c r="A74">
        <v>2.25</v>
      </c>
      <c r="B74">
        <v>1</v>
      </c>
      <c r="C74" s="68">
        <f t="shared" si="5"/>
        <v>-0.69226121779292527</v>
      </c>
      <c r="D74">
        <f t="shared" si="6"/>
        <v>0.3335302430111205</v>
      </c>
      <c r="E74">
        <f t="shared" si="7"/>
        <v>-1.0980217340464602</v>
      </c>
    </row>
    <row r="75" spans="1:8">
      <c r="A75">
        <v>2.5</v>
      </c>
      <c r="B75">
        <v>0</v>
      </c>
      <c r="C75" s="68">
        <f t="shared" si="5"/>
        <v>-0.31609986071223073</v>
      </c>
      <c r="D75">
        <f t="shared" si="6"/>
        <v>0.42162653462758137</v>
      </c>
      <c r="E75">
        <f t="shared" si="7"/>
        <v>-0.5475354851020533</v>
      </c>
    </row>
    <row r="76" spans="1:8">
      <c r="A76">
        <v>2.75</v>
      </c>
      <c r="B76">
        <v>1</v>
      </c>
      <c r="C76" s="68">
        <f t="shared" si="5"/>
        <v>6.0061496368463807E-2</v>
      </c>
      <c r="D76">
        <f t="shared" si="6"/>
        <v>0.51501086186897127</v>
      </c>
      <c r="E76">
        <f t="shared" si="7"/>
        <v>-0.6635672875331019</v>
      </c>
    </row>
    <row r="77" spans="1:8">
      <c r="A77">
        <v>3</v>
      </c>
      <c r="B77">
        <v>0</v>
      </c>
      <c r="C77" s="68">
        <f t="shared" si="5"/>
        <v>0.43622285344915923</v>
      </c>
      <c r="D77">
        <f t="shared" si="6"/>
        <v>0.60735864522700556</v>
      </c>
      <c r="E77">
        <f t="shared" si="7"/>
        <v>-0.93485866704532494</v>
      </c>
    </row>
    <row r="78" spans="1:8">
      <c r="A78">
        <v>3.25</v>
      </c>
      <c r="B78">
        <v>1</v>
      </c>
      <c r="C78" s="68">
        <f t="shared" si="5"/>
        <v>0.81238421052985377</v>
      </c>
      <c r="D78">
        <f t="shared" si="6"/>
        <v>0.69261733227271294</v>
      </c>
      <c r="E78">
        <f t="shared" si="7"/>
        <v>-0.36727762238798956</v>
      </c>
    </row>
    <row r="79" spans="1:8">
      <c r="A79">
        <v>3.5</v>
      </c>
      <c r="B79">
        <v>0</v>
      </c>
      <c r="C79" s="68">
        <f t="shared" si="5"/>
        <v>1.1885455676105483</v>
      </c>
      <c r="D79">
        <f t="shared" si="6"/>
        <v>0.7664808392422745</v>
      </c>
      <c r="E79">
        <f t="shared" si="7"/>
        <v>-1.4544911463202388</v>
      </c>
    </row>
    <row r="80" spans="1:8">
      <c r="A80">
        <v>4</v>
      </c>
      <c r="B80">
        <v>1</v>
      </c>
      <c r="C80" s="68">
        <f t="shared" si="5"/>
        <v>1.9408682817719374</v>
      </c>
      <c r="D80">
        <f t="shared" si="6"/>
        <v>0.87444750232879942</v>
      </c>
      <c r="E80">
        <f t="shared" si="7"/>
        <v>-0.134163017967762</v>
      </c>
    </row>
    <row r="81" spans="1:15">
      <c r="A81">
        <v>4.25</v>
      </c>
      <c r="B81">
        <v>1</v>
      </c>
      <c r="C81" s="68">
        <f t="shared" si="5"/>
        <v>2.3170296388526319</v>
      </c>
      <c r="D81">
        <f t="shared" si="6"/>
        <v>0.91027764002752121</v>
      </c>
      <c r="E81">
        <f t="shared" si="7"/>
        <v>-9.4005627073113718E-2</v>
      </c>
    </row>
    <row r="82" spans="1:15">
      <c r="A82">
        <v>4.5</v>
      </c>
      <c r="B82">
        <v>1</v>
      </c>
      <c r="C82" s="68">
        <f t="shared" si="5"/>
        <v>2.6931909959333264</v>
      </c>
      <c r="D82">
        <f t="shared" si="6"/>
        <v>0.93662366258752461</v>
      </c>
      <c r="E82">
        <f t="shared" si="7"/>
        <v>-6.547371820470109E-2</v>
      </c>
    </row>
    <row r="83" spans="1:15">
      <c r="A83">
        <v>4.75</v>
      </c>
      <c r="B83">
        <v>1</v>
      </c>
      <c r="C83" s="68">
        <f t="shared" si="5"/>
        <v>3.069352353014021</v>
      </c>
      <c r="D83">
        <f t="shared" si="6"/>
        <v>0.95561070805431259</v>
      </c>
      <c r="E83">
        <f t="shared" si="7"/>
        <v>-4.5404658011104139E-2</v>
      </c>
    </row>
    <row r="84" spans="1:15">
      <c r="A84">
        <v>5</v>
      </c>
      <c r="B84">
        <v>1</v>
      </c>
      <c r="C84" s="68">
        <f t="shared" si="5"/>
        <v>3.4455137100947155</v>
      </c>
      <c r="D84">
        <f t="shared" si="6"/>
        <v>0.96909706787960881</v>
      </c>
      <c r="E84">
        <f t="shared" si="7"/>
        <v>-3.1390498858005531E-2</v>
      </c>
    </row>
    <row r="85" spans="1:15">
      <c r="A85">
        <v>5.5</v>
      </c>
      <c r="B85">
        <v>1</v>
      </c>
      <c r="C85" s="68">
        <f t="shared" si="5"/>
        <v>4.1978364242561046</v>
      </c>
      <c r="D85">
        <f t="shared" si="6"/>
        <v>0.9851944427341699</v>
      </c>
      <c r="E85">
        <f t="shared" si="7"/>
        <v>-1.491625350057732E-2</v>
      </c>
    </row>
    <row r="87" spans="1:15">
      <c r="I87" t="s">
        <v>691</v>
      </c>
    </row>
    <row r="88" spans="1:15">
      <c r="A88" t="s">
        <v>682</v>
      </c>
      <c r="I88" s="130" t="s">
        <v>694</v>
      </c>
      <c r="J88" s="130"/>
      <c r="K88" s="130" t="s">
        <v>695</v>
      </c>
      <c r="L88" s="130"/>
    </row>
    <row r="89" spans="1:15">
      <c r="A89" t="s">
        <v>680</v>
      </c>
      <c r="B89">
        <v>-4.077713431519177</v>
      </c>
      <c r="I89" t="s">
        <v>692</v>
      </c>
      <c r="J89" t="s">
        <v>693</v>
      </c>
      <c r="K89" t="s">
        <v>692</v>
      </c>
      <c r="L89" t="s">
        <v>693</v>
      </c>
      <c r="M89" t="s">
        <v>696</v>
      </c>
      <c r="N89" t="s">
        <v>697</v>
      </c>
      <c r="O89" t="s">
        <v>698</v>
      </c>
    </row>
    <row r="90" spans="1:15">
      <c r="A90" t="s">
        <v>681</v>
      </c>
      <c r="B90">
        <v>1.5046454283227786</v>
      </c>
      <c r="K90">
        <f>SUM($I$90:I90)</f>
        <v>0</v>
      </c>
      <c r="L90">
        <f>SUM($J$90:J90)</f>
        <v>0</v>
      </c>
      <c r="M90">
        <f>1-K90/$K$110</f>
        <v>1</v>
      </c>
      <c r="N90">
        <f>1-L90/$L$110</f>
        <v>1</v>
      </c>
      <c r="O90">
        <f>(M90-M91)*N90</f>
        <v>0</v>
      </c>
    </row>
    <row r="91" spans="1:15">
      <c r="I91">
        <v>0</v>
      </c>
      <c r="J91">
        <v>1</v>
      </c>
      <c r="K91">
        <f>SUM($I$90:I91)</f>
        <v>0</v>
      </c>
      <c r="L91">
        <f>SUM($J$90:J91)</f>
        <v>1</v>
      </c>
      <c r="M91">
        <f t="shared" ref="M91:M110" si="8">1-K91/$K$110</f>
        <v>1</v>
      </c>
      <c r="N91">
        <f t="shared" ref="N91:N110" si="9">1-L91/$L$110</f>
        <v>0.9</v>
      </c>
      <c r="O91">
        <f t="shared" ref="O91:O110" si="10">(M91-M92)*N91</f>
        <v>0</v>
      </c>
    </row>
    <row r="92" spans="1:15">
      <c r="I92">
        <v>0</v>
      </c>
      <c r="J92">
        <v>1</v>
      </c>
      <c r="K92">
        <f>SUM($I$90:I92)</f>
        <v>0</v>
      </c>
      <c r="L92">
        <f>SUM($J$90:J92)</f>
        <v>2</v>
      </c>
      <c r="M92">
        <f t="shared" si="8"/>
        <v>1</v>
      </c>
      <c r="N92">
        <f t="shared" si="9"/>
        <v>0.8</v>
      </c>
      <c r="O92">
        <f t="shared" si="10"/>
        <v>0</v>
      </c>
    </row>
    <row r="93" spans="1:15">
      <c r="I93">
        <v>0</v>
      </c>
      <c r="J93">
        <v>1</v>
      </c>
      <c r="K93">
        <f>SUM($I$90:I93)</f>
        <v>0</v>
      </c>
      <c r="L93">
        <f>SUM($J$90:J93)</f>
        <v>3</v>
      </c>
      <c r="M93">
        <f t="shared" si="8"/>
        <v>1</v>
      </c>
      <c r="N93">
        <f t="shared" si="9"/>
        <v>0.7</v>
      </c>
      <c r="O93">
        <f t="shared" si="10"/>
        <v>0</v>
      </c>
    </row>
    <row r="94" spans="1:15">
      <c r="I94">
        <v>0</v>
      </c>
      <c r="J94">
        <v>1</v>
      </c>
      <c r="K94">
        <f>SUM($I$90:I94)</f>
        <v>0</v>
      </c>
      <c r="L94">
        <f>SUM($J$90:J94)</f>
        <v>4</v>
      </c>
      <c r="M94">
        <f t="shared" si="8"/>
        <v>1</v>
      </c>
      <c r="N94">
        <f t="shared" si="9"/>
        <v>0.6</v>
      </c>
      <c r="O94">
        <f t="shared" si="10"/>
        <v>0</v>
      </c>
    </row>
    <row r="95" spans="1:15">
      <c r="I95">
        <v>0</v>
      </c>
      <c r="J95">
        <v>1</v>
      </c>
      <c r="K95">
        <f>SUM($I$90:I95)</f>
        <v>0</v>
      </c>
      <c r="L95">
        <f>SUM($J$90:J95)</f>
        <v>5</v>
      </c>
      <c r="M95">
        <f t="shared" si="8"/>
        <v>1</v>
      </c>
      <c r="N95">
        <f t="shared" si="9"/>
        <v>0.5</v>
      </c>
      <c r="O95">
        <f t="shared" si="10"/>
        <v>0</v>
      </c>
    </row>
    <row r="96" spans="1:15">
      <c r="I96">
        <v>0</v>
      </c>
      <c r="J96">
        <v>1</v>
      </c>
      <c r="K96">
        <f>SUM($I$90:I96)</f>
        <v>0</v>
      </c>
      <c r="L96">
        <f>SUM($J$90:J96)</f>
        <v>6</v>
      </c>
      <c r="M96">
        <f t="shared" si="8"/>
        <v>1</v>
      </c>
      <c r="N96">
        <f t="shared" si="9"/>
        <v>0.4</v>
      </c>
      <c r="O96">
        <f t="shared" si="10"/>
        <v>3.9999999999999994E-2</v>
      </c>
    </row>
    <row r="97" spans="1:15">
      <c r="I97">
        <v>1</v>
      </c>
      <c r="J97">
        <v>0</v>
      </c>
      <c r="K97">
        <f>SUM($I$90:I97)</f>
        <v>1</v>
      </c>
      <c r="L97">
        <f>SUM($J$90:J97)</f>
        <v>6</v>
      </c>
      <c r="M97">
        <f t="shared" si="8"/>
        <v>0.9</v>
      </c>
      <c r="N97">
        <f t="shared" si="9"/>
        <v>0.4</v>
      </c>
      <c r="O97">
        <f t="shared" si="10"/>
        <v>0</v>
      </c>
    </row>
    <row r="98" spans="1:15">
      <c r="I98">
        <v>0</v>
      </c>
      <c r="J98">
        <v>1</v>
      </c>
      <c r="K98">
        <f>SUM($I$90:I98)</f>
        <v>1</v>
      </c>
      <c r="L98">
        <f>SUM($J$90:J98)</f>
        <v>7</v>
      </c>
      <c r="M98">
        <f t="shared" si="8"/>
        <v>0.9</v>
      </c>
      <c r="N98">
        <f t="shared" si="9"/>
        <v>0.30000000000000004</v>
      </c>
      <c r="O98">
        <f t="shared" si="10"/>
        <v>0.03</v>
      </c>
    </row>
    <row r="99" spans="1:15" ht="18.75">
      <c r="A99" s="33" t="s">
        <v>699</v>
      </c>
      <c r="B99" s="33"/>
      <c r="I99">
        <v>1</v>
      </c>
      <c r="J99">
        <v>0</v>
      </c>
      <c r="K99">
        <f>SUM($I$90:I99)</f>
        <v>2</v>
      </c>
      <c r="L99">
        <f>SUM($J$90:J99)</f>
        <v>7</v>
      </c>
      <c r="M99">
        <f t="shared" si="8"/>
        <v>0.8</v>
      </c>
      <c r="N99">
        <f t="shared" si="9"/>
        <v>0.30000000000000004</v>
      </c>
      <c r="O99">
        <f t="shared" si="10"/>
        <v>0</v>
      </c>
    </row>
    <row r="100" spans="1:15">
      <c r="A100" t="s">
        <v>700</v>
      </c>
      <c r="I100">
        <v>0</v>
      </c>
      <c r="J100">
        <v>1</v>
      </c>
      <c r="K100">
        <f>SUM($I$90:I100)</f>
        <v>2</v>
      </c>
      <c r="L100">
        <f>SUM($J$90:J100)</f>
        <v>8</v>
      </c>
      <c r="M100">
        <f t="shared" si="8"/>
        <v>0.8</v>
      </c>
      <c r="N100">
        <f t="shared" si="9"/>
        <v>0.19999999999999996</v>
      </c>
      <c r="O100">
        <f t="shared" si="10"/>
        <v>2.0000000000000014E-2</v>
      </c>
    </row>
    <row r="101" spans="1:15">
      <c r="I101">
        <v>1</v>
      </c>
      <c r="J101">
        <v>0</v>
      </c>
      <c r="K101">
        <f>SUM($I$90:I101)</f>
        <v>3</v>
      </c>
      <c r="L101">
        <f>SUM($J$90:J101)</f>
        <v>8</v>
      </c>
      <c r="M101">
        <f t="shared" si="8"/>
        <v>0.7</v>
      </c>
      <c r="N101">
        <f t="shared" si="9"/>
        <v>0.19999999999999996</v>
      </c>
      <c r="O101">
        <f t="shared" si="10"/>
        <v>0</v>
      </c>
    </row>
    <row r="102" spans="1:15">
      <c r="A102" t="s">
        <v>701</v>
      </c>
      <c r="I102">
        <v>0</v>
      </c>
      <c r="J102">
        <v>1</v>
      </c>
      <c r="K102">
        <f>SUM($I$90:I102)</f>
        <v>3</v>
      </c>
      <c r="L102">
        <f>SUM($J$90:J102)</f>
        <v>9</v>
      </c>
      <c r="M102">
        <f t="shared" si="8"/>
        <v>0.7</v>
      </c>
      <c r="N102">
        <f t="shared" si="9"/>
        <v>9.9999999999999978E-2</v>
      </c>
      <c r="O102">
        <f t="shared" si="10"/>
        <v>9.999999999999995E-3</v>
      </c>
    </row>
    <row r="103" spans="1:15">
      <c r="A103" t="s">
        <v>702</v>
      </c>
      <c r="I103">
        <v>1</v>
      </c>
      <c r="J103">
        <v>0</v>
      </c>
      <c r="K103">
        <f>SUM($I$90:I103)</f>
        <v>4</v>
      </c>
      <c r="L103">
        <f>SUM($J$90:J103)</f>
        <v>9</v>
      </c>
      <c r="M103">
        <f t="shared" si="8"/>
        <v>0.6</v>
      </c>
      <c r="N103">
        <f t="shared" si="9"/>
        <v>9.9999999999999978E-2</v>
      </c>
      <c r="O103">
        <f t="shared" si="10"/>
        <v>0</v>
      </c>
    </row>
    <row r="104" spans="1:15">
      <c r="I104">
        <v>0</v>
      </c>
      <c r="J104">
        <v>1</v>
      </c>
      <c r="K104">
        <f>SUM($I$90:I104)</f>
        <v>4</v>
      </c>
      <c r="L104">
        <f>SUM($J$90:J104)</f>
        <v>10</v>
      </c>
      <c r="M104">
        <f t="shared" si="8"/>
        <v>0.6</v>
      </c>
      <c r="N104">
        <f t="shared" si="9"/>
        <v>0</v>
      </c>
      <c r="O104">
        <f t="shared" si="10"/>
        <v>0</v>
      </c>
    </row>
    <row r="105" spans="1:15">
      <c r="A105" t="s">
        <v>885</v>
      </c>
      <c r="I105">
        <v>1</v>
      </c>
      <c r="J105">
        <v>0</v>
      </c>
      <c r="K105">
        <f>SUM($I$90:I105)</f>
        <v>5</v>
      </c>
      <c r="L105">
        <f>SUM($J$90:J105)</f>
        <v>10</v>
      </c>
      <c r="M105">
        <f t="shared" si="8"/>
        <v>0.5</v>
      </c>
      <c r="N105">
        <f t="shared" si="9"/>
        <v>0</v>
      </c>
      <c r="O105">
        <f t="shared" si="10"/>
        <v>0</v>
      </c>
    </row>
    <row r="106" spans="1:15">
      <c r="A106" t="s">
        <v>703</v>
      </c>
      <c r="I106">
        <v>1</v>
      </c>
      <c r="J106">
        <v>0</v>
      </c>
      <c r="K106">
        <f>SUM($I$90:I106)</f>
        <v>6</v>
      </c>
      <c r="L106">
        <f>SUM($J$90:J106)</f>
        <v>10</v>
      </c>
      <c r="M106">
        <f t="shared" si="8"/>
        <v>0.4</v>
      </c>
      <c r="N106">
        <f t="shared" si="9"/>
        <v>0</v>
      </c>
      <c r="O106">
        <f t="shared" si="10"/>
        <v>0</v>
      </c>
    </row>
    <row r="107" spans="1:15">
      <c r="A107" t="s">
        <v>704</v>
      </c>
      <c r="I107">
        <v>1</v>
      </c>
      <c r="J107">
        <v>0</v>
      </c>
      <c r="K107">
        <f>SUM($I$90:I107)</f>
        <v>7</v>
      </c>
      <c r="L107">
        <f>SUM($J$90:J107)</f>
        <v>10</v>
      </c>
      <c r="M107">
        <f t="shared" si="8"/>
        <v>0.30000000000000004</v>
      </c>
      <c r="N107">
        <f t="shared" si="9"/>
        <v>0</v>
      </c>
      <c r="O107">
        <f t="shared" si="10"/>
        <v>0</v>
      </c>
    </row>
    <row r="108" spans="1:15">
      <c r="I108">
        <v>1</v>
      </c>
      <c r="J108">
        <v>0</v>
      </c>
      <c r="K108">
        <f>SUM($I$90:I108)</f>
        <v>8</v>
      </c>
      <c r="L108">
        <f>SUM($J$90:J108)</f>
        <v>10</v>
      </c>
      <c r="M108">
        <f t="shared" si="8"/>
        <v>0.19999999999999996</v>
      </c>
      <c r="N108">
        <f t="shared" si="9"/>
        <v>0</v>
      </c>
      <c r="O108">
        <f t="shared" si="10"/>
        <v>0</v>
      </c>
    </row>
    <row r="109" spans="1:15">
      <c r="A109" t="s">
        <v>705</v>
      </c>
      <c r="I109">
        <v>1</v>
      </c>
      <c r="J109">
        <v>0</v>
      </c>
      <c r="K109">
        <f>SUM($I$90:I109)</f>
        <v>9</v>
      </c>
      <c r="L109">
        <f>SUM($J$90:J109)</f>
        <v>10</v>
      </c>
      <c r="M109">
        <f t="shared" si="8"/>
        <v>9.9999999999999978E-2</v>
      </c>
      <c r="N109">
        <f t="shared" si="9"/>
        <v>0</v>
      </c>
      <c r="O109">
        <f t="shared" si="10"/>
        <v>0</v>
      </c>
    </row>
    <row r="110" spans="1:15">
      <c r="A110" t="s">
        <v>706</v>
      </c>
      <c r="I110">
        <v>1</v>
      </c>
      <c r="J110">
        <v>0</v>
      </c>
      <c r="K110">
        <f>SUM($I$90:I110)</f>
        <v>10</v>
      </c>
      <c r="L110">
        <f>SUM($J$90:J110)</f>
        <v>10</v>
      </c>
      <c r="M110">
        <f t="shared" si="8"/>
        <v>0</v>
      </c>
      <c r="N110">
        <f t="shared" si="9"/>
        <v>0</v>
      </c>
      <c r="O110">
        <f t="shared" si="10"/>
        <v>0</v>
      </c>
    </row>
    <row r="111" spans="1:15">
      <c r="A111" t="s">
        <v>707</v>
      </c>
      <c r="O111">
        <f>SUM(O90:O110)</f>
        <v>0.1</v>
      </c>
    </row>
    <row r="113" spans="1:1">
      <c r="A113" t="s">
        <v>708</v>
      </c>
    </row>
    <row r="117" spans="1:1">
      <c r="A117" t="s">
        <v>709</v>
      </c>
    </row>
    <row r="118" spans="1:1">
      <c r="A118" t="s">
        <v>710</v>
      </c>
    </row>
    <row r="119" spans="1:1">
      <c r="A119" t="s">
        <v>711</v>
      </c>
    </row>
    <row r="120" spans="1:1">
      <c r="A120" t="s">
        <v>712</v>
      </c>
    </row>
    <row r="121" spans="1:1">
      <c r="A121" t="s">
        <v>713</v>
      </c>
    </row>
    <row r="122" spans="1:1">
      <c r="A122" t="s">
        <v>714</v>
      </c>
    </row>
  </sheetData>
  <mergeCells count="3">
    <mergeCell ref="A56:B56"/>
    <mergeCell ref="I88:J88"/>
    <mergeCell ref="K88:L88"/>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C96F-BF77-4240-A8AD-D303D9AD7FA2}">
  <sheetPr codeName="Sheet9"/>
  <dimension ref="A1:F101"/>
  <sheetViews>
    <sheetView topLeftCell="A54" workbookViewId="0">
      <selection activeCell="J106" sqref="J106"/>
    </sheetView>
  </sheetViews>
  <sheetFormatPr defaultRowHeight="15"/>
  <cols>
    <col min="4" max="4" width="11.140625" customWidth="1"/>
  </cols>
  <sheetData>
    <row r="1" spans="1:1">
      <c r="A1" s="15" t="s">
        <v>163</v>
      </c>
    </row>
    <row r="30" spans="2:4">
      <c r="B30" s="162" t="s">
        <v>429</v>
      </c>
      <c r="C30" s="162"/>
    </row>
    <row r="32" spans="2:4">
      <c r="B32" s="48" t="s">
        <v>430</v>
      </c>
      <c r="C32" s="48" t="s">
        <v>431</v>
      </c>
      <c r="D32" s="48" t="s">
        <v>432</v>
      </c>
    </row>
    <row r="33" spans="2:6">
      <c r="B33" s="7" t="s">
        <v>433</v>
      </c>
      <c r="C33" s="7">
        <v>12</v>
      </c>
      <c r="D33" s="7">
        <v>9</v>
      </c>
    </row>
    <row r="34" spans="2:6">
      <c r="B34" s="7" t="s">
        <v>434</v>
      </c>
      <c r="C34" s="7">
        <v>12</v>
      </c>
      <c r="D34" s="7">
        <v>8</v>
      </c>
    </row>
    <row r="35" spans="2:6">
      <c r="B35" s="7" t="s">
        <v>435</v>
      </c>
      <c r="C35" s="7">
        <v>30</v>
      </c>
      <c r="D35" s="7">
        <v>18</v>
      </c>
    </row>
    <row r="36" spans="2:6">
      <c r="B36" s="7" t="s">
        <v>436</v>
      </c>
      <c r="C36" s="7">
        <v>13</v>
      </c>
      <c r="D36" s="7">
        <v>10</v>
      </c>
    </row>
    <row r="37" spans="2:6">
      <c r="B37" t="s">
        <v>91</v>
      </c>
    </row>
    <row r="42" spans="2:6">
      <c r="C42" s="49">
        <v>2019</v>
      </c>
      <c r="D42" s="49">
        <v>2020</v>
      </c>
      <c r="E42" s="49">
        <v>2021</v>
      </c>
      <c r="F42" s="49">
        <v>2022</v>
      </c>
    </row>
    <row r="43" spans="2:6">
      <c r="B43" s="49" t="s">
        <v>437</v>
      </c>
      <c r="C43">
        <v>22</v>
      </c>
      <c r="D43">
        <v>16</v>
      </c>
      <c r="E43">
        <v>12</v>
      </c>
      <c r="F43">
        <v>15</v>
      </c>
    </row>
    <row r="44" spans="2:6">
      <c r="B44" s="49" t="s">
        <v>438</v>
      </c>
      <c r="C44">
        <v>35</v>
      </c>
      <c r="D44">
        <v>42</v>
      </c>
      <c r="E44">
        <v>36</v>
      </c>
      <c r="F44">
        <v>50</v>
      </c>
    </row>
    <row r="45" spans="2:6">
      <c r="B45" s="49" t="s">
        <v>439</v>
      </c>
      <c r="C45">
        <v>15</v>
      </c>
      <c r="D45">
        <v>15</v>
      </c>
      <c r="E45">
        <v>25</v>
      </c>
      <c r="F45">
        <v>28</v>
      </c>
    </row>
    <row r="46" spans="2:6">
      <c r="B46" s="49" t="s">
        <v>440</v>
      </c>
      <c r="C46">
        <v>80</v>
      </c>
      <c r="D46">
        <v>14</v>
      </c>
      <c r="E46">
        <v>85</v>
      </c>
      <c r="F46">
        <v>15</v>
      </c>
    </row>
    <row r="49" spans="2:3">
      <c r="B49" s="162" t="s">
        <v>441</v>
      </c>
      <c r="C49" s="162"/>
    </row>
    <row r="64" spans="2:3">
      <c r="B64" s="162" t="s">
        <v>442</v>
      </c>
      <c r="C64" s="162"/>
    </row>
    <row r="77" spans="2:3">
      <c r="B77" s="162" t="s">
        <v>443</v>
      </c>
      <c r="C77" s="162"/>
    </row>
    <row r="95" spans="1:1">
      <c r="A95" t="s">
        <v>486</v>
      </c>
    </row>
    <row r="97" spans="2:3">
      <c r="B97" t="s">
        <v>487</v>
      </c>
      <c r="C97" t="s">
        <v>488</v>
      </c>
    </row>
    <row r="98" spans="2:3">
      <c r="B98" t="s">
        <v>489</v>
      </c>
      <c r="C98">
        <v>124</v>
      </c>
    </row>
    <row r="99" spans="2:3">
      <c r="B99" t="s">
        <v>490</v>
      </c>
      <c r="C99">
        <v>96</v>
      </c>
    </row>
    <row r="100" spans="2:3">
      <c r="B100" t="s">
        <v>491</v>
      </c>
      <c r="C100">
        <v>115</v>
      </c>
    </row>
    <row r="101" spans="2:3">
      <c r="B101" t="s">
        <v>30</v>
      </c>
      <c r="C101">
        <f>SUM(C98:C100)</f>
        <v>335</v>
      </c>
    </row>
  </sheetData>
  <mergeCells count="4">
    <mergeCell ref="B30:C30"/>
    <mergeCell ref="B49:C49"/>
    <mergeCell ref="B64:C64"/>
    <mergeCell ref="B77:C77"/>
  </mergeCells>
  <hyperlinks>
    <hyperlink ref="A1" r:id="rId1" xr:uid="{3CAA2D3E-34D6-4551-B6A2-D31A3DDB55FF}"/>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5B3FC-DE42-4EC0-B0F0-083A44002BAA}">
  <sheetPr codeName="Sheet10"/>
  <dimension ref="A1:S139"/>
  <sheetViews>
    <sheetView topLeftCell="I1" workbookViewId="0">
      <selection activeCell="N53" sqref="N53"/>
    </sheetView>
  </sheetViews>
  <sheetFormatPr defaultRowHeight="15"/>
  <cols>
    <col min="1" max="1" width="11.42578125" customWidth="1"/>
    <col min="2" max="2" width="17.140625" customWidth="1"/>
    <col min="3" max="3" width="9.28515625" customWidth="1"/>
    <col min="4" max="4" width="17.28515625" customWidth="1"/>
    <col min="5" max="5" width="16.85546875" customWidth="1"/>
    <col min="6" max="6" width="16.7109375" customWidth="1"/>
    <col min="7" max="7" width="17.42578125" customWidth="1"/>
    <col min="8" max="8" width="15" customWidth="1"/>
    <col min="9" max="9" width="20.5703125" customWidth="1"/>
    <col min="10" max="10" width="10.85546875" customWidth="1"/>
    <col min="11" max="11" width="11.85546875" customWidth="1"/>
    <col min="14" max="14" width="16.42578125" bestFit="1" customWidth="1"/>
    <col min="15" max="15" width="21" bestFit="1" customWidth="1"/>
    <col min="16" max="16" width="16.28515625" bestFit="1" customWidth="1"/>
    <col min="17" max="17" width="19.85546875" bestFit="1" customWidth="1"/>
  </cols>
  <sheetData>
    <row r="1" spans="1:19" ht="18.75">
      <c r="B1" s="21" t="s">
        <v>161</v>
      </c>
      <c r="D1" t="s">
        <v>162</v>
      </c>
    </row>
    <row r="2" spans="1:19" ht="21" customHeight="1" thickBot="1">
      <c r="A2" s="16" t="s">
        <v>108</v>
      </c>
      <c r="B2" s="17" t="s">
        <v>109</v>
      </c>
      <c r="C2" s="16" t="s">
        <v>110</v>
      </c>
      <c r="D2" s="17" t="s">
        <v>111</v>
      </c>
      <c r="E2" s="17" t="s">
        <v>112</v>
      </c>
      <c r="F2" s="17" t="s">
        <v>113</v>
      </c>
      <c r="G2" s="17" t="s">
        <v>114</v>
      </c>
      <c r="H2" s="17" t="s">
        <v>115</v>
      </c>
      <c r="I2" s="17" t="s">
        <v>116</v>
      </c>
      <c r="J2" s="16" t="s">
        <v>117</v>
      </c>
      <c r="K2" s="16" t="s">
        <v>118</v>
      </c>
    </row>
    <row r="3" spans="1:19">
      <c r="A3" t="s">
        <v>119</v>
      </c>
      <c r="B3" t="s">
        <v>120</v>
      </c>
      <c r="C3" t="s">
        <v>121</v>
      </c>
      <c r="D3">
        <v>66030</v>
      </c>
      <c r="E3" s="1">
        <v>43983</v>
      </c>
      <c r="F3">
        <v>8010</v>
      </c>
      <c r="G3" t="s">
        <v>122</v>
      </c>
      <c r="H3">
        <v>103</v>
      </c>
      <c r="I3" t="s">
        <v>123</v>
      </c>
      <c r="J3">
        <v>120</v>
      </c>
      <c r="K3">
        <v>1440</v>
      </c>
      <c r="M3" s="163" t="s">
        <v>147</v>
      </c>
      <c r="N3" s="163"/>
    </row>
    <row r="4" spans="1:19">
      <c r="A4" t="s">
        <v>119</v>
      </c>
      <c r="B4" t="s">
        <v>120</v>
      </c>
      <c r="C4" t="s">
        <v>121</v>
      </c>
      <c r="D4">
        <v>66030</v>
      </c>
      <c r="E4" s="1">
        <v>43984</v>
      </c>
      <c r="F4">
        <v>8010</v>
      </c>
      <c r="G4" t="s">
        <v>122</v>
      </c>
      <c r="H4">
        <v>104</v>
      </c>
      <c r="I4" t="s">
        <v>124</v>
      </c>
      <c r="J4">
        <v>150</v>
      </c>
      <c r="K4">
        <v>1800</v>
      </c>
      <c r="M4" s="164" t="s">
        <v>148</v>
      </c>
      <c r="N4" s="164"/>
      <c r="O4" s="164"/>
    </row>
    <row r="5" spans="1:19">
      <c r="A5" t="s">
        <v>119</v>
      </c>
      <c r="B5" t="s">
        <v>120</v>
      </c>
      <c r="C5" t="s">
        <v>121</v>
      </c>
      <c r="D5">
        <v>66032</v>
      </c>
      <c r="E5" s="1">
        <v>43983</v>
      </c>
      <c r="F5">
        <v>8010</v>
      </c>
      <c r="G5" t="s">
        <v>122</v>
      </c>
      <c r="H5">
        <v>103</v>
      </c>
      <c r="I5" t="s">
        <v>123</v>
      </c>
      <c r="J5">
        <v>170</v>
      </c>
      <c r="K5">
        <v>2040</v>
      </c>
      <c r="M5" s="164" t="s">
        <v>149</v>
      </c>
      <c r="N5" s="164"/>
      <c r="O5" s="164"/>
    </row>
    <row r="6" spans="1:19">
      <c r="A6" t="s">
        <v>119</v>
      </c>
      <c r="B6" t="s">
        <v>120</v>
      </c>
      <c r="C6" t="s">
        <v>121</v>
      </c>
      <c r="D6">
        <v>66032</v>
      </c>
      <c r="E6" s="1">
        <v>43984</v>
      </c>
      <c r="F6">
        <v>8010</v>
      </c>
      <c r="G6" t="s">
        <v>122</v>
      </c>
      <c r="H6">
        <v>104</v>
      </c>
      <c r="I6" t="s">
        <v>124</v>
      </c>
      <c r="J6">
        <v>140</v>
      </c>
      <c r="K6">
        <v>1680</v>
      </c>
      <c r="M6" s="164" t="s">
        <v>150</v>
      </c>
      <c r="N6" s="164"/>
      <c r="O6" s="164"/>
    </row>
    <row r="7" spans="1:19">
      <c r="A7" t="s">
        <v>119</v>
      </c>
      <c r="B7" t="s">
        <v>120</v>
      </c>
      <c r="C7" t="s">
        <v>121</v>
      </c>
      <c r="D7">
        <v>66031</v>
      </c>
      <c r="E7" s="1">
        <v>43983</v>
      </c>
      <c r="F7">
        <v>8020</v>
      </c>
      <c r="G7" t="s">
        <v>125</v>
      </c>
      <c r="H7">
        <v>103</v>
      </c>
      <c r="I7" t="s">
        <v>123</v>
      </c>
      <c r="J7">
        <v>140</v>
      </c>
      <c r="K7">
        <v>1680</v>
      </c>
    </row>
    <row r="8" spans="1:19">
      <c r="A8" t="s">
        <v>119</v>
      </c>
      <c r="B8" t="s">
        <v>120</v>
      </c>
      <c r="C8" t="s">
        <v>121</v>
      </c>
      <c r="D8">
        <v>66031</v>
      </c>
      <c r="E8" s="1">
        <v>43984</v>
      </c>
      <c r="F8">
        <v>8020</v>
      </c>
      <c r="G8" t="s">
        <v>125</v>
      </c>
      <c r="H8">
        <v>104</v>
      </c>
      <c r="I8" t="s">
        <v>124</v>
      </c>
      <c r="J8">
        <v>150</v>
      </c>
      <c r="K8">
        <v>1800</v>
      </c>
      <c r="P8" t="s">
        <v>156</v>
      </c>
    </row>
    <row r="9" spans="1:19">
      <c r="A9" t="s">
        <v>119</v>
      </c>
      <c r="B9" t="s">
        <v>120</v>
      </c>
      <c r="C9" t="s">
        <v>121</v>
      </c>
      <c r="D9">
        <v>66031</v>
      </c>
      <c r="E9" s="1">
        <v>43989</v>
      </c>
      <c r="F9">
        <v>8020</v>
      </c>
      <c r="G9" t="s">
        <v>125</v>
      </c>
      <c r="H9">
        <v>105</v>
      </c>
      <c r="I9" t="s">
        <v>126</v>
      </c>
      <c r="J9">
        <v>100</v>
      </c>
      <c r="K9">
        <v>1000</v>
      </c>
      <c r="N9" s="18" t="s">
        <v>109</v>
      </c>
      <c r="O9" s="18" t="s">
        <v>116</v>
      </c>
      <c r="P9" t="s">
        <v>152</v>
      </c>
      <c r="Q9" t="s">
        <v>155</v>
      </c>
    </row>
    <row r="10" spans="1:19">
      <c r="A10" t="s">
        <v>119</v>
      </c>
      <c r="B10" t="s">
        <v>120</v>
      </c>
      <c r="C10" t="s">
        <v>121</v>
      </c>
      <c r="D10">
        <v>68112</v>
      </c>
      <c r="E10" s="1">
        <v>43990</v>
      </c>
      <c r="F10">
        <v>8010</v>
      </c>
      <c r="G10" t="s">
        <v>122</v>
      </c>
      <c r="H10">
        <v>104</v>
      </c>
      <c r="I10" t="s">
        <v>124</v>
      </c>
      <c r="J10">
        <v>180</v>
      </c>
      <c r="K10">
        <v>2160</v>
      </c>
      <c r="N10" t="s">
        <v>129</v>
      </c>
      <c r="P10">
        <v>19640</v>
      </c>
      <c r="Q10" s="20">
        <v>935.23809523809518</v>
      </c>
      <c r="S10" t="s">
        <v>157</v>
      </c>
    </row>
    <row r="11" spans="1:19">
      <c r="A11" t="s">
        <v>119</v>
      </c>
      <c r="B11" t="s">
        <v>120</v>
      </c>
      <c r="C11" t="s">
        <v>121</v>
      </c>
      <c r="D11">
        <v>68112</v>
      </c>
      <c r="E11" s="1">
        <v>43991</v>
      </c>
      <c r="F11">
        <v>8010</v>
      </c>
      <c r="G11" t="s">
        <v>122</v>
      </c>
      <c r="H11">
        <v>105</v>
      </c>
      <c r="I11" t="s">
        <v>126</v>
      </c>
      <c r="J11">
        <v>120</v>
      </c>
      <c r="K11">
        <v>1200</v>
      </c>
      <c r="N11" t="s">
        <v>120</v>
      </c>
      <c r="P11">
        <v>66100</v>
      </c>
      <c r="Q11" s="20">
        <v>1573.8095238095239</v>
      </c>
      <c r="S11" t="s">
        <v>160</v>
      </c>
    </row>
    <row r="12" spans="1:19">
      <c r="A12" t="s">
        <v>119</v>
      </c>
      <c r="B12" t="s">
        <v>120</v>
      </c>
      <c r="C12" t="s">
        <v>121</v>
      </c>
      <c r="D12">
        <v>68116</v>
      </c>
      <c r="E12" s="1">
        <v>43992</v>
      </c>
      <c r="F12">
        <v>8020</v>
      </c>
      <c r="G12" t="s">
        <v>125</v>
      </c>
      <c r="H12">
        <v>104</v>
      </c>
      <c r="I12" t="s">
        <v>124</v>
      </c>
      <c r="J12">
        <v>150</v>
      </c>
      <c r="K12">
        <v>1800</v>
      </c>
      <c r="N12" t="s">
        <v>151</v>
      </c>
      <c r="P12">
        <v>85740</v>
      </c>
      <c r="Q12" s="20">
        <v>1360.952380952381</v>
      </c>
    </row>
    <row r="13" spans="1:19">
      <c r="A13" t="s">
        <v>119</v>
      </c>
      <c r="B13" t="s">
        <v>120</v>
      </c>
      <c r="C13" t="s">
        <v>121</v>
      </c>
      <c r="D13">
        <v>68116</v>
      </c>
      <c r="E13" s="1">
        <v>43993</v>
      </c>
      <c r="F13">
        <v>8020</v>
      </c>
      <c r="G13" t="s">
        <v>125</v>
      </c>
      <c r="H13">
        <v>105</v>
      </c>
      <c r="I13" t="s">
        <v>126</v>
      </c>
      <c r="J13">
        <v>190</v>
      </c>
      <c r="K13">
        <v>1900</v>
      </c>
    </row>
    <row r="14" spans="1:19">
      <c r="A14" t="s">
        <v>119</v>
      </c>
      <c r="B14" t="s">
        <v>120</v>
      </c>
      <c r="C14" t="s">
        <v>121</v>
      </c>
      <c r="D14">
        <v>68116</v>
      </c>
      <c r="E14" s="1">
        <v>43994</v>
      </c>
      <c r="F14">
        <v>8020</v>
      </c>
      <c r="G14" t="s">
        <v>125</v>
      </c>
      <c r="H14">
        <v>107</v>
      </c>
      <c r="I14" t="s">
        <v>127</v>
      </c>
      <c r="J14">
        <v>160</v>
      </c>
      <c r="K14">
        <v>800</v>
      </c>
    </row>
    <row r="15" spans="1:19">
      <c r="A15" t="s">
        <v>119</v>
      </c>
      <c r="B15" t="s">
        <v>120</v>
      </c>
      <c r="C15" t="s">
        <v>121</v>
      </c>
      <c r="D15">
        <v>68116</v>
      </c>
      <c r="E15" s="1">
        <v>43995</v>
      </c>
      <c r="F15">
        <v>8010</v>
      </c>
      <c r="G15" t="s">
        <v>122</v>
      </c>
      <c r="H15">
        <v>104</v>
      </c>
      <c r="I15" t="s">
        <v>124</v>
      </c>
      <c r="J15">
        <v>160</v>
      </c>
      <c r="K15">
        <v>1920</v>
      </c>
    </row>
    <row r="16" spans="1:19">
      <c r="A16" t="s">
        <v>119</v>
      </c>
      <c r="B16" t="s">
        <v>120</v>
      </c>
      <c r="C16" t="s">
        <v>121</v>
      </c>
      <c r="D16">
        <v>68116</v>
      </c>
      <c r="E16" s="1">
        <v>43996</v>
      </c>
      <c r="F16">
        <v>8010</v>
      </c>
      <c r="G16" t="s">
        <v>122</v>
      </c>
      <c r="H16">
        <v>105</v>
      </c>
      <c r="I16" t="s">
        <v>126</v>
      </c>
      <c r="J16">
        <v>190</v>
      </c>
      <c r="K16">
        <v>1900</v>
      </c>
    </row>
    <row r="17" spans="1:15">
      <c r="A17" t="s">
        <v>119</v>
      </c>
      <c r="B17" t="s">
        <v>120</v>
      </c>
      <c r="C17" t="s">
        <v>121</v>
      </c>
      <c r="D17">
        <v>65662</v>
      </c>
      <c r="E17" s="1">
        <v>43997</v>
      </c>
      <c r="F17">
        <v>8020</v>
      </c>
      <c r="G17" t="s">
        <v>125</v>
      </c>
      <c r="H17">
        <v>103</v>
      </c>
      <c r="I17" t="s">
        <v>123</v>
      </c>
      <c r="J17">
        <v>120</v>
      </c>
      <c r="K17">
        <v>1440</v>
      </c>
    </row>
    <row r="18" spans="1:15">
      <c r="A18" t="s">
        <v>119</v>
      </c>
      <c r="B18" t="s">
        <v>120</v>
      </c>
      <c r="C18" t="s">
        <v>121</v>
      </c>
      <c r="D18">
        <v>65662</v>
      </c>
      <c r="E18" s="1">
        <v>43998</v>
      </c>
      <c r="F18">
        <v>8020</v>
      </c>
      <c r="G18" t="s">
        <v>125</v>
      </c>
      <c r="H18">
        <v>104</v>
      </c>
      <c r="I18" t="s">
        <v>124</v>
      </c>
      <c r="J18">
        <v>110</v>
      </c>
      <c r="K18">
        <v>1320</v>
      </c>
    </row>
    <row r="19" spans="1:15">
      <c r="A19" t="s">
        <v>119</v>
      </c>
      <c r="B19" t="s">
        <v>120</v>
      </c>
      <c r="C19" t="s">
        <v>121</v>
      </c>
      <c r="D19">
        <v>65666</v>
      </c>
      <c r="E19" s="1">
        <v>43984</v>
      </c>
      <c r="F19">
        <v>8010</v>
      </c>
      <c r="G19" t="s">
        <v>122</v>
      </c>
      <c r="H19">
        <v>103</v>
      </c>
      <c r="I19" t="s">
        <v>123</v>
      </c>
      <c r="J19">
        <v>120</v>
      </c>
      <c r="K19">
        <v>1440</v>
      </c>
    </row>
    <row r="20" spans="1:15">
      <c r="A20" t="s">
        <v>119</v>
      </c>
      <c r="B20" t="s">
        <v>120</v>
      </c>
      <c r="C20" t="s">
        <v>121</v>
      </c>
      <c r="D20">
        <v>65666</v>
      </c>
      <c r="E20" s="1">
        <v>43985</v>
      </c>
      <c r="F20">
        <v>8010</v>
      </c>
      <c r="G20" t="s">
        <v>122</v>
      </c>
      <c r="H20">
        <v>104</v>
      </c>
      <c r="I20" t="s">
        <v>124</v>
      </c>
      <c r="J20">
        <v>140</v>
      </c>
      <c r="K20">
        <v>1680</v>
      </c>
    </row>
    <row r="21" spans="1:15">
      <c r="A21" t="s">
        <v>119</v>
      </c>
      <c r="B21" t="s">
        <v>120</v>
      </c>
      <c r="C21" t="s">
        <v>121</v>
      </c>
      <c r="D21">
        <v>65666</v>
      </c>
      <c r="E21" s="1">
        <v>43986</v>
      </c>
      <c r="F21">
        <v>8010</v>
      </c>
      <c r="G21" t="s">
        <v>122</v>
      </c>
      <c r="H21">
        <v>105</v>
      </c>
      <c r="I21" t="s">
        <v>126</v>
      </c>
      <c r="J21">
        <v>160</v>
      </c>
      <c r="K21">
        <v>1600</v>
      </c>
    </row>
    <row r="22" spans="1:15">
      <c r="A22" t="s">
        <v>119</v>
      </c>
      <c r="B22" t="s">
        <v>120</v>
      </c>
      <c r="C22" t="s">
        <v>121</v>
      </c>
      <c r="D22">
        <v>65666</v>
      </c>
      <c r="E22" s="1">
        <v>43987</v>
      </c>
      <c r="F22">
        <v>8020</v>
      </c>
      <c r="G22" t="s">
        <v>125</v>
      </c>
      <c r="H22">
        <v>107</v>
      </c>
      <c r="I22" t="s">
        <v>127</v>
      </c>
      <c r="J22">
        <v>120</v>
      </c>
      <c r="K22">
        <v>600</v>
      </c>
      <c r="N22" s="18" t="s">
        <v>154</v>
      </c>
      <c r="O22" t="s">
        <v>158</v>
      </c>
    </row>
    <row r="23" spans="1:15">
      <c r="A23" t="s">
        <v>119</v>
      </c>
      <c r="B23" t="s">
        <v>120</v>
      </c>
      <c r="C23" t="s">
        <v>121</v>
      </c>
      <c r="D23">
        <v>65666</v>
      </c>
      <c r="E23" s="1">
        <v>43988</v>
      </c>
      <c r="F23">
        <v>8020</v>
      </c>
      <c r="G23" t="s">
        <v>125</v>
      </c>
      <c r="H23">
        <v>103</v>
      </c>
      <c r="I23" t="s">
        <v>123</v>
      </c>
      <c r="J23">
        <v>200</v>
      </c>
      <c r="K23">
        <v>2400</v>
      </c>
      <c r="N23" s="19" t="s">
        <v>151</v>
      </c>
      <c r="O23">
        <v>2489.0476190476193</v>
      </c>
    </row>
    <row r="24" spans="1:15">
      <c r="A24" t="s">
        <v>119</v>
      </c>
      <c r="B24" t="s">
        <v>120</v>
      </c>
      <c r="C24" t="s">
        <v>121</v>
      </c>
      <c r="D24">
        <v>66015</v>
      </c>
      <c r="E24" s="1">
        <v>43992</v>
      </c>
      <c r="F24">
        <v>8010</v>
      </c>
      <c r="G24" t="s">
        <v>122</v>
      </c>
      <c r="H24">
        <v>103</v>
      </c>
      <c r="I24" t="s">
        <v>123</v>
      </c>
      <c r="J24">
        <v>140</v>
      </c>
      <c r="K24">
        <v>1680</v>
      </c>
      <c r="N24" s="19" t="s">
        <v>140</v>
      </c>
      <c r="O24">
        <v>2052.5</v>
      </c>
    </row>
    <row r="25" spans="1:15">
      <c r="A25" t="s">
        <v>119</v>
      </c>
      <c r="B25" t="s">
        <v>120</v>
      </c>
      <c r="C25" t="s">
        <v>121</v>
      </c>
      <c r="D25">
        <v>66015</v>
      </c>
      <c r="E25" s="1">
        <v>43993</v>
      </c>
      <c r="F25">
        <v>8010</v>
      </c>
      <c r="G25" t="s">
        <v>122</v>
      </c>
      <c r="H25">
        <v>104</v>
      </c>
      <c r="I25" t="s">
        <v>124</v>
      </c>
      <c r="J25">
        <v>140</v>
      </c>
      <c r="K25">
        <v>1680</v>
      </c>
      <c r="N25" s="19" t="s">
        <v>153</v>
      </c>
      <c r="O25">
        <v>2489.0476190476193</v>
      </c>
    </row>
    <row r="26" spans="1:15">
      <c r="A26" t="s">
        <v>119</v>
      </c>
      <c r="B26" t="s">
        <v>120</v>
      </c>
      <c r="C26" t="s">
        <v>121</v>
      </c>
      <c r="D26">
        <v>66017</v>
      </c>
      <c r="E26" s="1">
        <v>43994</v>
      </c>
      <c r="F26">
        <v>8010</v>
      </c>
      <c r="G26" t="s">
        <v>122</v>
      </c>
      <c r="H26">
        <v>103</v>
      </c>
      <c r="I26" t="s">
        <v>123</v>
      </c>
      <c r="J26">
        <v>140</v>
      </c>
      <c r="K26">
        <v>1680</v>
      </c>
      <c r="N26" s="19" t="s">
        <v>159</v>
      </c>
      <c r="O26">
        <v>7734.125</v>
      </c>
    </row>
    <row r="27" spans="1:15">
      <c r="A27" t="s">
        <v>119</v>
      </c>
      <c r="B27" t="s">
        <v>120</v>
      </c>
      <c r="C27" t="s">
        <v>121</v>
      </c>
      <c r="D27">
        <v>66017</v>
      </c>
      <c r="E27" s="1">
        <v>43995</v>
      </c>
      <c r="F27">
        <v>8010</v>
      </c>
      <c r="G27" t="s">
        <v>122</v>
      </c>
      <c r="H27">
        <v>104</v>
      </c>
      <c r="I27" t="s">
        <v>124</v>
      </c>
      <c r="J27">
        <v>140</v>
      </c>
      <c r="K27">
        <v>1680</v>
      </c>
    </row>
    <row r="28" spans="1:15">
      <c r="A28" t="s">
        <v>119</v>
      </c>
      <c r="B28" t="s">
        <v>120</v>
      </c>
      <c r="C28" t="s">
        <v>121</v>
      </c>
      <c r="D28">
        <v>66016</v>
      </c>
      <c r="E28" s="1">
        <v>43996</v>
      </c>
      <c r="F28">
        <v>8020</v>
      </c>
      <c r="G28" t="s">
        <v>125</v>
      </c>
      <c r="H28">
        <v>103</v>
      </c>
      <c r="I28" t="s">
        <v>123</v>
      </c>
      <c r="J28">
        <v>120</v>
      </c>
      <c r="K28">
        <v>1440</v>
      </c>
    </row>
    <row r="29" spans="1:15">
      <c r="A29" t="s">
        <v>119</v>
      </c>
      <c r="B29" t="s">
        <v>120</v>
      </c>
      <c r="C29" t="s">
        <v>121</v>
      </c>
      <c r="D29">
        <v>66016</v>
      </c>
      <c r="E29" s="1">
        <v>43997</v>
      </c>
      <c r="F29">
        <v>8020</v>
      </c>
      <c r="G29" t="s">
        <v>125</v>
      </c>
      <c r="H29">
        <v>104</v>
      </c>
      <c r="I29" t="s">
        <v>124</v>
      </c>
      <c r="J29">
        <v>130</v>
      </c>
      <c r="K29">
        <v>1560</v>
      </c>
    </row>
    <row r="30" spans="1:15">
      <c r="A30" t="s">
        <v>119</v>
      </c>
      <c r="B30" t="s">
        <v>120</v>
      </c>
      <c r="C30" t="s">
        <v>121</v>
      </c>
      <c r="D30">
        <v>66016</v>
      </c>
      <c r="E30" s="1">
        <v>43998</v>
      </c>
      <c r="F30">
        <v>8020</v>
      </c>
      <c r="G30" t="s">
        <v>125</v>
      </c>
      <c r="H30">
        <v>105</v>
      </c>
      <c r="I30" t="s">
        <v>126</v>
      </c>
      <c r="J30">
        <v>120</v>
      </c>
      <c r="K30">
        <v>1200</v>
      </c>
    </row>
    <row r="31" spans="1:15">
      <c r="A31" t="s">
        <v>119</v>
      </c>
      <c r="B31" t="s">
        <v>120</v>
      </c>
      <c r="C31" t="s">
        <v>121</v>
      </c>
      <c r="D31">
        <v>68097</v>
      </c>
      <c r="E31" s="1">
        <v>43999</v>
      </c>
      <c r="F31">
        <v>8010</v>
      </c>
      <c r="G31" t="s">
        <v>122</v>
      </c>
      <c r="H31">
        <v>104</v>
      </c>
      <c r="I31" t="s">
        <v>124</v>
      </c>
      <c r="J31">
        <v>140</v>
      </c>
      <c r="K31">
        <v>1680</v>
      </c>
      <c r="N31" s="18" t="s">
        <v>154</v>
      </c>
      <c r="O31" t="s">
        <v>158</v>
      </c>
    </row>
    <row r="32" spans="1:15">
      <c r="A32" t="s">
        <v>119</v>
      </c>
      <c r="B32" t="s">
        <v>120</v>
      </c>
      <c r="C32" t="s">
        <v>121</v>
      </c>
      <c r="D32">
        <v>68097</v>
      </c>
      <c r="E32" s="1">
        <v>44000</v>
      </c>
      <c r="F32">
        <v>8010</v>
      </c>
      <c r="G32" t="s">
        <v>122</v>
      </c>
      <c r="H32">
        <v>105</v>
      </c>
      <c r="I32" t="s">
        <v>126</v>
      </c>
      <c r="J32">
        <v>130</v>
      </c>
      <c r="K32">
        <v>1300</v>
      </c>
      <c r="N32" s="19" t="s">
        <v>151</v>
      </c>
      <c r="O32">
        <v>2489.0476190476193</v>
      </c>
    </row>
    <row r="33" spans="1:15">
      <c r="A33" t="s">
        <v>119</v>
      </c>
      <c r="B33" t="s">
        <v>120</v>
      </c>
      <c r="C33" t="s">
        <v>121</v>
      </c>
      <c r="D33">
        <v>68099</v>
      </c>
      <c r="E33" s="1">
        <v>44001</v>
      </c>
      <c r="F33">
        <v>8020</v>
      </c>
      <c r="G33" t="s">
        <v>125</v>
      </c>
      <c r="H33">
        <v>104</v>
      </c>
      <c r="I33" t="s">
        <v>124</v>
      </c>
      <c r="J33">
        <v>120</v>
      </c>
      <c r="K33">
        <v>1440</v>
      </c>
      <c r="N33" s="19" t="s">
        <v>140</v>
      </c>
      <c r="O33">
        <v>2052.5</v>
      </c>
    </row>
    <row r="34" spans="1:15">
      <c r="A34" t="s">
        <v>119</v>
      </c>
      <c r="B34" t="s">
        <v>120</v>
      </c>
      <c r="C34" t="s">
        <v>121</v>
      </c>
      <c r="D34">
        <v>68099</v>
      </c>
      <c r="E34" s="1">
        <v>44002</v>
      </c>
      <c r="F34">
        <v>8020</v>
      </c>
      <c r="G34" t="s">
        <v>125</v>
      </c>
      <c r="H34">
        <v>105</v>
      </c>
      <c r="I34" t="s">
        <v>126</v>
      </c>
      <c r="J34">
        <v>140</v>
      </c>
      <c r="K34">
        <v>1400</v>
      </c>
      <c r="N34" s="19" t="s">
        <v>153</v>
      </c>
      <c r="O34">
        <v>2489.0476190476193</v>
      </c>
    </row>
    <row r="35" spans="1:15">
      <c r="A35" t="s">
        <v>119</v>
      </c>
      <c r="B35" t="s">
        <v>120</v>
      </c>
      <c r="C35" t="s">
        <v>121</v>
      </c>
      <c r="D35">
        <v>68099</v>
      </c>
      <c r="E35" s="1">
        <v>44003</v>
      </c>
      <c r="F35">
        <v>8020</v>
      </c>
      <c r="G35" t="s">
        <v>125</v>
      </c>
      <c r="H35">
        <v>107</v>
      </c>
      <c r="I35" t="s">
        <v>127</v>
      </c>
      <c r="J35">
        <v>170</v>
      </c>
      <c r="K35">
        <v>850</v>
      </c>
      <c r="N35" s="19" t="s">
        <v>159</v>
      </c>
      <c r="O35">
        <v>7734.125</v>
      </c>
    </row>
    <row r="36" spans="1:15">
      <c r="A36" t="s">
        <v>119</v>
      </c>
      <c r="B36" t="s">
        <v>120</v>
      </c>
      <c r="C36" t="s">
        <v>121</v>
      </c>
      <c r="D36">
        <v>68101</v>
      </c>
      <c r="E36" s="1">
        <v>43997</v>
      </c>
      <c r="F36">
        <v>8010</v>
      </c>
      <c r="G36" t="s">
        <v>122</v>
      </c>
      <c r="H36">
        <v>104</v>
      </c>
      <c r="I36" t="s">
        <v>124</v>
      </c>
      <c r="J36">
        <v>190</v>
      </c>
      <c r="K36">
        <v>2280</v>
      </c>
    </row>
    <row r="37" spans="1:15">
      <c r="A37" t="s">
        <v>119</v>
      </c>
      <c r="B37" t="s">
        <v>120</v>
      </c>
      <c r="C37" t="s">
        <v>121</v>
      </c>
      <c r="D37">
        <v>68101</v>
      </c>
      <c r="E37" s="1">
        <v>43998</v>
      </c>
      <c r="F37">
        <v>8010</v>
      </c>
      <c r="G37" t="s">
        <v>122</v>
      </c>
      <c r="H37">
        <v>105</v>
      </c>
      <c r="I37" t="s">
        <v>126</v>
      </c>
      <c r="J37">
        <v>140</v>
      </c>
      <c r="K37">
        <v>1400</v>
      </c>
    </row>
    <row r="38" spans="1:15">
      <c r="A38" t="s">
        <v>119</v>
      </c>
      <c r="B38" t="s">
        <v>120</v>
      </c>
      <c r="C38" t="s">
        <v>121</v>
      </c>
      <c r="D38">
        <v>65627</v>
      </c>
      <c r="E38" s="1">
        <v>43999</v>
      </c>
      <c r="F38">
        <v>8020</v>
      </c>
      <c r="G38" t="s">
        <v>125</v>
      </c>
      <c r="H38">
        <v>103</v>
      </c>
      <c r="I38" t="s">
        <v>123</v>
      </c>
      <c r="J38">
        <v>140</v>
      </c>
      <c r="K38">
        <v>1680</v>
      </c>
    </row>
    <row r="39" spans="1:15">
      <c r="A39" t="s">
        <v>119</v>
      </c>
      <c r="B39" t="s">
        <v>120</v>
      </c>
      <c r="C39" t="s">
        <v>121</v>
      </c>
      <c r="D39">
        <v>65627</v>
      </c>
      <c r="E39" s="1">
        <v>44000</v>
      </c>
      <c r="F39">
        <v>8020</v>
      </c>
      <c r="G39" t="s">
        <v>125</v>
      </c>
      <c r="H39">
        <v>104</v>
      </c>
      <c r="I39" t="s">
        <v>124</v>
      </c>
      <c r="J39">
        <v>160</v>
      </c>
      <c r="K39">
        <v>1920</v>
      </c>
    </row>
    <row r="40" spans="1:15">
      <c r="A40" t="s">
        <v>119</v>
      </c>
      <c r="B40" t="s">
        <v>120</v>
      </c>
      <c r="C40" t="s">
        <v>121</v>
      </c>
      <c r="D40">
        <v>65629</v>
      </c>
      <c r="E40" s="1">
        <v>44001</v>
      </c>
      <c r="F40">
        <v>8010</v>
      </c>
      <c r="G40" t="s">
        <v>122</v>
      </c>
      <c r="H40">
        <v>103</v>
      </c>
      <c r="I40" t="s">
        <v>123</v>
      </c>
      <c r="J40">
        <v>190</v>
      </c>
      <c r="K40">
        <v>2280</v>
      </c>
    </row>
    <row r="41" spans="1:15">
      <c r="A41" t="s">
        <v>119</v>
      </c>
      <c r="B41" t="s">
        <v>120</v>
      </c>
      <c r="C41" t="s">
        <v>121</v>
      </c>
      <c r="D41">
        <v>65629</v>
      </c>
      <c r="E41" s="1">
        <v>44002</v>
      </c>
      <c r="F41">
        <v>8010</v>
      </c>
      <c r="G41" t="s">
        <v>122</v>
      </c>
      <c r="H41">
        <v>104</v>
      </c>
      <c r="I41" t="s">
        <v>124</v>
      </c>
      <c r="J41">
        <v>130</v>
      </c>
      <c r="K41">
        <v>1560</v>
      </c>
    </row>
    <row r="42" spans="1:15">
      <c r="A42" t="s">
        <v>119</v>
      </c>
      <c r="B42" t="s">
        <v>120</v>
      </c>
      <c r="C42" t="s">
        <v>121</v>
      </c>
      <c r="D42">
        <v>65629</v>
      </c>
      <c r="E42" s="1">
        <v>44003</v>
      </c>
      <c r="F42">
        <v>8010</v>
      </c>
      <c r="G42" t="s">
        <v>122</v>
      </c>
      <c r="H42">
        <v>105</v>
      </c>
      <c r="I42" t="s">
        <v>126</v>
      </c>
      <c r="J42">
        <v>140</v>
      </c>
      <c r="K42">
        <v>1400</v>
      </c>
    </row>
    <row r="43" spans="1:15">
      <c r="A43" t="s">
        <v>119</v>
      </c>
      <c r="B43" t="s">
        <v>120</v>
      </c>
      <c r="C43" t="s">
        <v>121</v>
      </c>
      <c r="D43">
        <v>65631</v>
      </c>
      <c r="E43" s="1">
        <v>44004</v>
      </c>
      <c r="F43">
        <v>8020</v>
      </c>
      <c r="G43" t="s">
        <v>125</v>
      </c>
      <c r="H43">
        <v>107</v>
      </c>
      <c r="I43" t="s">
        <v>127</v>
      </c>
      <c r="J43">
        <v>190</v>
      </c>
      <c r="K43">
        <v>950</v>
      </c>
    </row>
    <row r="44" spans="1:15">
      <c r="A44" t="s">
        <v>119</v>
      </c>
      <c r="B44" t="s">
        <v>120</v>
      </c>
      <c r="C44" t="s">
        <v>121</v>
      </c>
      <c r="D44">
        <v>65631</v>
      </c>
      <c r="E44" s="1">
        <v>44005</v>
      </c>
      <c r="F44">
        <v>8020</v>
      </c>
      <c r="G44" t="s">
        <v>125</v>
      </c>
      <c r="H44">
        <v>103</v>
      </c>
      <c r="I44" t="s">
        <v>123</v>
      </c>
      <c r="J44">
        <v>120</v>
      </c>
      <c r="K44">
        <v>1440</v>
      </c>
    </row>
    <row r="45" spans="1:15">
      <c r="A45" t="s">
        <v>128</v>
      </c>
      <c r="B45" t="s">
        <v>129</v>
      </c>
      <c r="C45" t="s">
        <v>121</v>
      </c>
      <c r="D45">
        <v>24030</v>
      </c>
      <c r="E45" s="1">
        <v>43983</v>
      </c>
      <c r="F45">
        <v>8020</v>
      </c>
      <c r="G45" t="s">
        <v>125</v>
      </c>
      <c r="H45">
        <v>101</v>
      </c>
      <c r="I45" t="s">
        <v>130</v>
      </c>
      <c r="J45">
        <v>130</v>
      </c>
      <c r="K45">
        <v>1560</v>
      </c>
    </row>
    <row r="46" spans="1:15">
      <c r="A46" t="s">
        <v>128</v>
      </c>
      <c r="B46" t="s">
        <v>129</v>
      </c>
      <c r="C46" t="s">
        <v>121</v>
      </c>
      <c r="D46">
        <v>24030</v>
      </c>
      <c r="E46" s="1">
        <v>43984</v>
      </c>
      <c r="F46">
        <v>8020</v>
      </c>
      <c r="G46" t="s">
        <v>125</v>
      </c>
      <c r="H46">
        <v>102</v>
      </c>
      <c r="I46" t="s">
        <v>131</v>
      </c>
      <c r="J46">
        <v>30</v>
      </c>
      <c r="K46">
        <v>360</v>
      </c>
    </row>
    <row r="47" spans="1:15">
      <c r="A47" t="s">
        <v>128</v>
      </c>
      <c r="B47" t="s">
        <v>129</v>
      </c>
      <c r="C47" t="s">
        <v>121</v>
      </c>
      <c r="D47">
        <v>24030</v>
      </c>
      <c r="E47" s="1">
        <v>43985</v>
      </c>
      <c r="F47">
        <v>8020</v>
      </c>
      <c r="G47" t="s">
        <v>125</v>
      </c>
      <c r="H47">
        <v>106</v>
      </c>
      <c r="I47" t="s">
        <v>132</v>
      </c>
      <c r="J47">
        <v>60</v>
      </c>
      <c r="K47">
        <v>300</v>
      </c>
    </row>
    <row r="48" spans="1:15">
      <c r="A48" t="s">
        <v>128</v>
      </c>
      <c r="B48" t="s">
        <v>129</v>
      </c>
      <c r="C48" t="s">
        <v>121</v>
      </c>
      <c r="D48">
        <v>24030</v>
      </c>
      <c r="E48" s="1">
        <v>43986</v>
      </c>
      <c r="F48">
        <v>8020</v>
      </c>
      <c r="G48" t="s">
        <v>125</v>
      </c>
      <c r="H48">
        <v>108</v>
      </c>
      <c r="I48" t="s">
        <v>133</v>
      </c>
      <c r="J48">
        <v>80</v>
      </c>
      <c r="K48">
        <v>2240</v>
      </c>
    </row>
    <row r="49" spans="1:11">
      <c r="A49" t="s">
        <v>128</v>
      </c>
      <c r="B49" t="s">
        <v>129</v>
      </c>
      <c r="C49" t="s">
        <v>121</v>
      </c>
      <c r="D49">
        <v>24031</v>
      </c>
      <c r="E49" s="1">
        <v>43987</v>
      </c>
      <c r="F49">
        <v>8020</v>
      </c>
      <c r="G49" t="s">
        <v>125</v>
      </c>
      <c r="H49">
        <v>101</v>
      </c>
      <c r="I49" t="s">
        <v>130</v>
      </c>
      <c r="J49">
        <v>100</v>
      </c>
      <c r="K49">
        <v>1200</v>
      </c>
    </row>
    <row r="50" spans="1:11">
      <c r="A50" t="s">
        <v>128</v>
      </c>
      <c r="B50" t="s">
        <v>129</v>
      </c>
      <c r="C50" t="s">
        <v>121</v>
      </c>
      <c r="D50">
        <v>24031</v>
      </c>
      <c r="E50" s="1">
        <v>43988</v>
      </c>
      <c r="F50">
        <v>8020</v>
      </c>
      <c r="G50" t="s">
        <v>125</v>
      </c>
      <c r="H50">
        <v>108</v>
      </c>
      <c r="I50" t="s">
        <v>133</v>
      </c>
      <c r="J50">
        <v>20</v>
      </c>
      <c r="K50">
        <v>560</v>
      </c>
    </row>
    <row r="51" spans="1:11">
      <c r="A51" t="s">
        <v>128</v>
      </c>
      <c r="B51" t="s">
        <v>129</v>
      </c>
      <c r="C51" t="s">
        <v>121</v>
      </c>
      <c r="D51">
        <v>24031</v>
      </c>
      <c r="E51" s="1">
        <v>43989</v>
      </c>
      <c r="F51">
        <v>8020</v>
      </c>
      <c r="G51" t="s">
        <v>125</v>
      </c>
      <c r="H51">
        <v>113</v>
      </c>
      <c r="I51" t="s">
        <v>134</v>
      </c>
      <c r="J51">
        <v>100</v>
      </c>
      <c r="K51">
        <v>2500</v>
      </c>
    </row>
    <row r="52" spans="1:11">
      <c r="A52" t="s">
        <v>128</v>
      </c>
      <c r="B52" t="s">
        <v>129</v>
      </c>
      <c r="C52" t="s">
        <v>121</v>
      </c>
      <c r="D52">
        <v>28112</v>
      </c>
      <c r="E52" s="1">
        <v>43990</v>
      </c>
      <c r="F52">
        <v>8020</v>
      </c>
      <c r="G52" t="s">
        <v>125</v>
      </c>
      <c r="H52">
        <v>114</v>
      </c>
      <c r="I52" t="s">
        <v>135</v>
      </c>
      <c r="J52">
        <v>50</v>
      </c>
      <c r="K52">
        <v>1250</v>
      </c>
    </row>
    <row r="53" spans="1:11">
      <c r="A53" t="s">
        <v>128</v>
      </c>
      <c r="B53" t="s">
        <v>129</v>
      </c>
      <c r="C53" t="s">
        <v>121</v>
      </c>
      <c r="D53">
        <v>28112</v>
      </c>
      <c r="E53" s="1">
        <v>43991</v>
      </c>
      <c r="F53">
        <v>8020</v>
      </c>
      <c r="G53" t="s">
        <v>125</v>
      </c>
      <c r="H53">
        <v>101</v>
      </c>
      <c r="I53" t="s">
        <v>130</v>
      </c>
      <c r="J53">
        <v>40</v>
      </c>
      <c r="K53">
        <v>480</v>
      </c>
    </row>
    <row r="54" spans="1:11">
      <c r="A54" t="s">
        <v>128</v>
      </c>
      <c r="B54" t="s">
        <v>129</v>
      </c>
      <c r="C54" t="s">
        <v>121</v>
      </c>
      <c r="D54">
        <v>28112</v>
      </c>
      <c r="E54" s="1">
        <v>43992</v>
      </c>
      <c r="F54">
        <v>8020</v>
      </c>
      <c r="G54" t="s">
        <v>125</v>
      </c>
      <c r="H54">
        <v>102</v>
      </c>
      <c r="I54" t="s">
        <v>131</v>
      </c>
      <c r="J54">
        <v>70</v>
      </c>
      <c r="K54">
        <v>840</v>
      </c>
    </row>
    <row r="55" spans="1:11">
      <c r="A55" t="s">
        <v>128</v>
      </c>
      <c r="B55" t="s">
        <v>129</v>
      </c>
      <c r="C55" t="s">
        <v>121</v>
      </c>
      <c r="D55">
        <v>28112</v>
      </c>
      <c r="E55" s="1">
        <v>43993</v>
      </c>
      <c r="F55">
        <v>8020</v>
      </c>
      <c r="G55" t="s">
        <v>125</v>
      </c>
      <c r="H55">
        <v>106</v>
      </c>
      <c r="I55" t="s">
        <v>132</v>
      </c>
      <c r="J55">
        <v>70</v>
      </c>
      <c r="K55">
        <v>350</v>
      </c>
    </row>
    <row r="56" spans="1:11">
      <c r="A56" t="s">
        <v>128</v>
      </c>
      <c r="B56" t="s">
        <v>129</v>
      </c>
      <c r="C56" t="s">
        <v>121</v>
      </c>
      <c r="D56">
        <v>28112</v>
      </c>
      <c r="E56" s="1">
        <v>43994</v>
      </c>
      <c r="F56">
        <v>8020</v>
      </c>
      <c r="G56" t="s">
        <v>125</v>
      </c>
      <c r="H56">
        <v>108</v>
      </c>
      <c r="I56" t="s">
        <v>133</v>
      </c>
      <c r="J56">
        <v>10</v>
      </c>
      <c r="K56">
        <v>280</v>
      </c>
    </row>
    <row r="57" spans="1:11">
      <c r="A57" t="s">
        <v>128</v>
      </c>
      <c r="B57" t="s">
        <v>129</v>
      </c>
      <c r="C57" t="s">
        <v>121</v>
      </c>
      <c r="D57">
        <v>28112</v>
      </c>
      <c r="E57" s="1">
        <v>43995</v>
      </c>
      <c r="F57">
        <v>8020</v>
      </c>
      <c r="G57" t="s">
        <v>125</v>
      </c>
      <c r="H57">
        <v>117</v>
      </c>
      <c r="I57" t="s">
        <v>136</v>
      </c>
      <c r="J57">
        <v>80</v>
      </c>
      <c r="K57">
        <v>1440</v>
      </c>
    </row>
    <row r="58" spans="1:11">
      <c r="A58" t="s">
        <v>128</v>
      </c>
      <c r="B58" t="s">
        <v>129</v>
      </c>
      <c r="C58" t="s">
        <v>121</v>
      </c>
      <c r="D58">
        <v>28112</v>
      </c>
      <c r="E58" s="1">
        <v>43996</v>
      </c>
      <c r="F58">
        <v>8020</v>
      </c>
      <c r="G58" t="s">
        <v>125</v>
      </c>
      <c r="H58">
        <v>118</v>
      </c>
      <c r="I58" t="s">
        <v>137</v>
      </c>
      <c r="J58">
        <v>70</v>
      </c>
      <c r="K58">
        <v>1260</v>
      </c>
    </row>
    <row r="59" spans="1:11">
      <c r="A59" t="s">
        <v>128</v>
      </c>
      <c r="B59" t="s">
        <v>129</v>
      </c>
      <c r="C59" t="s">
        <v>121</v>
      </c>
      <c r="D59">
        <v>25442</v>
      </c>
      <c r="E59" s="1">
        <v>43997</v>
      </c>
      <c r="F59">
        <v>8010</v>
      </c>
      <c r="G59" t="s">
        <v>122</v>
      </c>
      <c r="H59">
        <v>118</v>
      </c>
      <c r="I59" t="s">
        <v>137</v>
      </c>
      <c r="J59">
        <v>70</v>
      </c>
      <c r="K59">
        <v>1260</v>
      </c>
    </row>
    <row r="60" spans="1:11">
      <c r="A60" t="s">
        <v>128</v>
      </c>
      <c r="B60" t="s">
        <v>129</v>
      </c>
      <c r="C60" t="s">
        <v>121</v>
      </c>
      <c r="D60">
        <v>25442</v>
      </c>
      <c r="E60" s="1">
        <v>43998</v>
      </c>
      <c r="F60">
        <v>8010</v>
      </c>
      <c r="G60" t="s">
        <v>122</v>
      </c>
      <c r="H60">
        <v>117</v>
      </c>
      <c r="I60" t="s">
        <v>136</v>
      </c>
      <c r="J60">
        <v>80</v>
      </c>
      <c r="K60">
        <v>1440</v>
      </c>
    </row>
    <row r="61" spans="1:11">
      <c r="A61" t="s">
        <v>128</v>
      </c>
      <c r="B61" t="s">
        <v>129</v>
      </c>
      <c r="C61" t="s">
        <v>121</v>
      </c>
      <c r="D61">
        <v>25442</v>
      </c>
      <c r="E61" s="1">
        <v>43999</v>
      </c>
      <c r="F61">
        <v>8010</v>
      </c>
      <c r="G61" t="s">
        <v>122</v>
      </c>
      <c r="H61">
        <v>118</v>
      </c>
      <c r="I61" t="s">
        <v>137</v>
      </c>
      <c r="J61">
        <v>70</v>
      </c>
      <c r="K61">
        <v>1260</v>
      </c>
    </row>
    <row r="62" spans="1:11">
      <c r="A62" t="s">
        <v>128</v>
      </c>
      <c r="B62" t="s">
        <v>129</v>
      </c>
      <c r="C62" t="s">
        <v>121</v>
      </c>
      <c r="D62">
        <v>25442</v>
      </c>
      <c r="E62" s="1">
        <v>44000</v>
      </c>
      <c r="F62">
        <v>8010</v>
      </c>
      <c r="G62" t="s">
        <v>122</v>
      </c>
      <c r="H62">
        <v>116</v>
      </c>
      <c r="I62" t="s">
        <v>138</v>
      </c>
      <c r="J62">
        <v>60</v>
      </c>
      <c r="K62">
        <v>360</v>
      </c>
    </row>
    <row r="63" spans="1:11">
      <c r="A63" t="s">
        <v>128</v>
      </c>
      <c r="B63" t="s">
        <v>129</v>
      </c>
      <c r="C63" t="s">
        <v>121</v>
      </c>
      <c r="D63">
        <v>25442</v>
      </c>
      <c r="E63" s="1">
        <v>44001</v>
      </c>
      <c r="F63">
        <v>8010</v>
      </c>
      <c r="G63" t="s">
        <v>122</v>
      </c>
      <c r="H63">
        <v>106</v>
      </c>
      <c r="I63" t="s">
        <v>132</v>
      </c>
      <c r="J63">
        <v>20</v>
      </c>
      <c r="K63">
        <v>100</v>
      </c>
    </row>
    <row r="64" spans="1:11">
      <c r="A64" t="s">
        <v>128</v>
      </c>
      <c r="B64" t="s">
        <v>129</v>
      </c>
      <c r="C64" t="s">
        <v>121</v>
      </c>
      <c r="D64">
        <v>25442</v>
      </c>
      <c r="E64" s="1">
        <v>44002</v>
      </c>
      <c r="F64">
        <v>8010</v>
      </c>
      <c r="G64" t="s">
        <v>122</v>
      </c>
      <c r="H64">
        <v>101</v>
      </c>
      <c r="I64" t="s">
        <v>130</v>
      </c>
      <c r="J64">
        <v>40</v>
      </c>
      <c r="K64">
        <v>480</v>
      </c>
    </row>
    <row r="65" spans="1:11">
      <c r="A65" t="s">
        <v>128</v>
      </c>
      <c r="B65" t="s">
        <v>129</v>
      </c>
      <c r="C65" t="s">
        <v>121</v>
      </c>
      <c r="D65">
        <v>25442</v>
      </c>
      <c r="E65" s="1">
        <v>44003</v>
      </c>
      <c r="F65">
        <v>8010</v>
      </c>
      <c r="G65" t="s">
        <v>122</v>
      </c>
      <c r="H65">
        <v>102</v>
      </c>
      <c r="I65" t="s">
        <v>131</v>
      </c>
      <c r="J65">
        <v>10</v>
      </c>
      <c r="K65">
        <v>120</v>
      </c>
    </row>
    <row r="66" spans="1:11">
      <c r="A66" t="s">
        <v>139</v>
      </c>
      <c r="B66" t="s">
        <v>140</v>
      </c>
      <c r="C66" t="s">
        <v>141</v>
      </c>
      <c r="D66">
        <v>44030</v>
      </c>
      <c r="E66" s="1">
        <v>43983</v>
      </c>
      <c r="F66">
        <v>8060</v>
      </c>
      <c r="G66" t="s">
        <v>142</v>
      </c>
      <c r="H66">
        <v>108</v>
      </c>
      <c r="I66" t="s">
        <v>133</v>
      </c>
      <c r="J66">
        <v>60</v>
      </c>
      <c r="K66">
        <v>1970</v>
      </c>
    </row>
    <row r="67" spans="1:11">
      <c r="A67" t="s">
        <v>139</v>
      </c>
      <c r="B67" t="s">
        <v>140</v>
      </c>
      <c r="C67" t="s">
        <v>141</v>
      </c>
      <c r="D67">
        <v>44030</v>
      </c>
      <c r="E67" s="1">
        <v>43984</v>
      </c>
      <c r="F67">
        <v>8060</v>
      </c>
      <c r="G67" t="s">
        <v>142</v>
      </c>
      <c r="H67">
        <v>109</v>
      </c>
      <c r="I67" t="s">
        <v>143</v>
      </c>
      <c r="J67">
        <v>60</v>
      </c>
      <c r="K67">
        <v>1970</v>
      </c>
    </row>
    <row r="68" spans="1:11">
      <c r="A68" t="s">
        <v>139</v>
      </c>
      <c r="B68" t="s">
        <v>140</v>
      </c>
      <c r="C68" t="s">
        <v>141</v>
      </c>
      <c r="D68">
        <v>44032</v>
      </c>
      <c r="E68" s="1">
        <v>43983</v>
      </c>
      <c r="F68">
        <v>8060</v>
      </c>
      <c r="G68" t="s">
        <v>142</v>
      </c>
      <c r="H68">
        <v>108</v>
      </c>
      <c r="I68" t="s">
        <v>133</v>
      </c>
      <c r="J68">
        <v>60</v>
      </c>
      <c r="K68">
        <v>1970</v>
      </c>
    </row>
    <row r="69" spans="1:11">
      <c r="A69" t="s">
        <v>139</v>
      </c>
      <c r="B69" t="s">
        <v>140</v>
      </c>
      <c r="C69" t="s">
        <v>141</v>
      </c>
      <c r="D69">
        <v>44032</v>
      </c>
      <c r="E69" s="1">
        <v>43984</v>
      </c>
      <c r="F69">
        <v>8060</v>
      </c>
      <c r="G69" t="s">
        <v>142</v>
      </c>
      <c r="H69">
        <v>109</v>
      </c>
      <c r="I69" t="s">
        <v>143</v>
      </c>
      <c r="J69">
        <v>70</v>
      </c>
      <c r="K69">
        <v>2300</v>
      </c>
    </row>
    <row r="70" spans="1:11">
      <c r="A70" t="s">
        <v>139</v>
      </c>
      <c r="B70" t="s">
        <v>140</v>
      </c>
      <c r="C70" t="s">
        <v>141</v>
      </c>
      <c r="D70">
        <v>44031</v>
      </c>
      <c r="E70" s="1">
        <v>43983</v>
      </c>
      <c r="F70">
        <v>8050</v>
      </c>
      <c r="G70" t="s">
        <v>144</v>
      </c>
      <c r="H70">
        <v>108</v>
      </c>
      <c r="I70" t="s">
        <v>133</v>
      </c>
      <c r="J70">
        <v>60</v>
      </c>
      <c r="K70">
        <v>1970</v>
      </c>
    </row>
    <row r="71" spans="1:11">
      <c r="A71" t="s">
        <v>139</v>
      </c>
      <c r="B71" t="s">
        <v>140</v>
      </c>
      <c r="C71" t="s">
        <v>141</v>
      </c>
      <c r="D71">
        <v>44031</v>
      </c>
      <c r="E71" s="1">
        <v>43984</v>
      </c>
      <c r="F71">
        <v>8050</v>
      </c>
      <c r="G71" t="s">
        <v>144</v>
      </c>
      <c r="H71">
        <v>109</v>
      </c>
      <c r="I71" t="s">
        <v>143</v>
      </c>
      <c r="J71">
        <v>50</v>
      </c>
      <c r="K71">
        <v>1640</v>
      </c>
    </row>
    <row r="72" spans="1:11">
      <c r="A72" t="s">
        <v>139</v>
      </c>
      <c r="B72" t="s">
        <v>140</v>
      </c>
      <c r="C72" t="s">
        <v>141</v>
      </c>
      <c r="D72">
        <v>44031</v>
      </c>
      <c r="E72" s="1">
        <v>43989</v>
      </c>
      <c r="F72">
        <v>8050</v>
      </c>
      <c r="G72" t="s">
        <v>144</v>
      </c>
      <c r="H72">
        <v>110</v>
      </c>
      <c r="I72" t="s">
        <v>145</v>
      </c>
      <c r="J72">
        <v>60</v>
      </c>
      <c r="K72">
        <v>4230</v>
      </c>
    </row>
    <row r="73" spans="1:11">
      <c r="A73" t="s">
        <v>139</v>
      </c>
      <c r="B73" t="s">
        <v>140</v>
      </c>
      <c r="C73" t="s">
        <v>141</v>
      </c>
      <c r="D73">
        <v>48112</v>
      </c>
      <c r="E73" s="1">
        <v>43990</v>
      </c>
      <c r="F73">
        <v>8060</v>
      </c>
      <c r="G73" t="s">
        <v>142</v>
      </c>
      <c r="H73">
        <v>109</v>
      </c>
      <c r="I73" t="s">
        <v>143</v>
      </c>
      <c r="J73">
        <v>60</v>
      </c>
      <c r="K73">
        <v>1970</v>
      </c>
    </row>
    <row r="74" spans="1:11">
      <c r="A74" t="s">
        <v>139</v>
      </c>
      <c r="B74" t="s">
        <v>140</v>
      </c>
      <c r="C74" t="s">
        <v>141</v>
      </c>
      <c r="D74">
        <v>48112</v>
      </c>
      <c r="E74" s="1">
        <v>43991</v>
      </c>
      <c r="F74">
        <v>8060</v>
      </c>
      <c r="G74" t="s">
        <v>142</v>
      </c>
      <c r="H74">
        <v>110</v>
      </c>
      <c r="I74" t="s">
        <v>145</v>
      </c>
      <c r="J74">
        <v>50</v>
      </c>
      <c r="K74">
        <v>3520</v>
      </c>
    </row>
    <row r="75" spans="1:11">
      <c r="A75" t="s">
        <v>139</v>
      </c>
      <c r="B75" t="s">
        <v>140</v>
      </c>
      <c r="C75" t="s">
        <v>141</v>
      </c>
      <c r="D75">
        <v>48114</v>
      </c>
      <c r="E75" s="1">
        <v>43990</v>
      </c>
      <c r="F75">
        <v>8050</v>
      </c>
      <c r="G75" t="s">
        <v>144</v>
      </c>
      <c r="H75">
        <v>109</v>
      </c>
      <c r="I75" t="s">
        <v>143</v>
      </c>
      <c r="J75">
        <v>60</v>
      </c>
      <c r="K75">
        <v>1970</v>
      </c>
    </row>
    <row r="76" spans="1:11">
      <c r="A76" t="s">
        <v>139</v>
      </c>
      <c r="B76" t="s">
        <v>140</v>
      </c>
      <c r="C76" t="s">
        <v>141</v>
      </c>
      <c r="D76">
        <v>48114</v>
      </c>
      <c r="E76" s="1">
        <v>43991</v>
      </c>
      <c r="F76">
        <v>8050</v>
      </c>
      <c r="G76" t="s">
        <v>144</v>
      </c>
      <c r="H76">
        <v>110</v>
      </c>
      <c r="I76" t="s">
        <v>145</v>
      </c>
      <c r="J76">
        <v>60</v>
      </c>
      <c r="K76">
        <v>4230</v>
      </c>
    </row>
    <row r="77" spans="1:11">
      <c r="A77" t="s">
        <v>139</v>
      </c>
      <c r="B77" t="s">
        <v>140</v>
      </c>
      <c r="C77" t="s">
        <v>141</v>
      </c>
      <c r="D77">
        <v>48114</v>
      </c>
      <c r="E77" s="1">
        <v>43994</v>
      </c>
      <c r="F77">
        <v>8050</v>
      </c>
      <c r="G77" t="s">
        <v>144</v>
      </c>
      <c r="H77">
        <v>111</v>
      </c>
      <c r="I77" t="s">
        <v>146</v>
      </c>
      <c r="J77">
        <v>80</v>
      </c>
      <c r="K77">
        <v>1880</v>
      </c>
    </row>
    <row r="78" spans="1:11">
      <c r="A78" t="s">
        <v>139</v>
      </c>
      <c r="B78" t="s">
        <v>140</v>
      </c>
      <c r="C78" t="s">
        <v>141</v>
      </c>
      <c r="D78">
        <v>48116</v>
      </c>
      <c r="E78" s="1">
        <v>43990</v>
      </c>
      <c r="F78">
        <v>8060</v>
      </c>
      <c r="G78" t="s">
        <v>142</v>
      </c>
      <c r="H78">
        <v>109</v>
      </c>
      <c r="I78" t="s">
        <v>143</v>
      </c>
      <c r="J78">
        <v>60</v>
      </c>
      <c r="K78">
        <v>1970</v>
      </c>
    </row>
    <row r="79" spans="1:11">
      <c r="A79" t="s">
        <v>139</v>
      </c>
      <c r="B79" t="s">
        <v>140</v>
      </c>
      <c r="C79" t="s">
        <v>141</v>
      </c>
      <c r="D79">
        <v>48116</v>
      </c>
      <c r="E79" s="1">
        <v>43991</v>
      </c>
      <c r="F79">
        <v>8060</v>
      </c>
      <c r="G79" t="s">
        <v>142</v>
      </c>
      <c r="H79">
        <v>110</v>
      </c>
      <c r="I79" t="s">
        <v>145</v>
      </c>
      <c r="J79">
        <v>60</v>
      </c>
      <c r="K79">
        <v>4230</v>
      </c>
    </row>
    <row r="80" spans="1:11">
      <c r="A80" t="s">
        <v>139</v>
      </c>
      <c r="B80" t="s">
        <v>140</v>
      </c>
      <c r="C80" t="s">
        <v>141</v>
      </c>
      <c r="D80">
        <v>45442</v>
      </c>
      <c r="E80" s="1">
        <v>43997</v>
      </c>
      <c r="F80">
        <v>8050</v>
      </c>
      <c r="G80" t="s">
        <v>144</v>
      </c>
      <c r="H80">
        <v>108</v>
      </c>
      <c r="I80" t="s">
        <v>133</v>
      </c>
      <c r="J80">
        <v>50</v>
      </c>
      <c r="K80">
        <v>1640</v>
      </c>
    </row>
    <row r="81" spans="1:11">
      <c r="A81" t="s">
        <v>139</v>
      </c>
      <c r="B81" t="s">
        <v>140</v>
      </c>
      <c r="C81" t="s">
        <v>141</v>
      </c>
      <c r="D81">
        <v>45442</v>
      </c>
      <c r="E81" s="1">
        <v>43998</v>
      </c>
      <c r="F81">
        <v>8050</v>
      </c>
      <c r="G81" t="s">
        <v>144</v>
      </c>
      <c r="H81">
        <v>109</v>
      </c>
      <c r="I81" t="s">
        <v>143</v>
      </c>
      <c r="J81">
        <v>60</v>
      </c>
      <c r="K81">
        <v>1970</v>
      </c>
    </row>
    <row r="82" spans="1:11">
      <c r="A82" t="s">
        <v>139</v>
      </c>
      <c r="B82" t="s">
        <v>140</v>
      </c>
      <c r="C82" t="s">
        <v>141</v>
      </c>
      <c r="D82">
        <v>45444</v>
      </c>
      <c r="E82" s="1">
        <v>43997</v>
      </c>
      <c r="F82">
        <v>8060</v>
      </c>
      <c r="G82" t="s">
        <v>142</v>
      </c>
      <c r="H82">
        <v>108</v>
      </c>
      <c r="I82" t="s">
        <v>133</v>
      </c>
      <c r="J82">
        <v>60</v>
      </c>
      <c r="K82">
        <v>1970</v>
      </c>
    </row>
    <row r="83" spans="1:11">
      <c r="A83" t="s">
        <v>139</v>
      </c>
      <c r="B83" t="s">
        <v>140</v>
      </c>
      <c r="C83" t="s">
        <v>141</v>
      </c>
      <c r="D83">
        <v>45444</v>
      </c>
      <c r="E83" s="1">
        <v>43998</v>
      </c>
      <c r="F83">
        <v>8060</v>
      </c>
      <c r="G83" t="s">
        <v>142</v>
      </c>
      <c r="H83">
        <v>109</v>
      </c>
      <c r="I83" t="s">
        <v>143</v>
      </c>
      <c r="J83">
        <v>70</v>
      </c>
      <c r="K83">
        <v>2300</v>
      </c>
    </row>
    <row r="84" spans="1:11">
      <c r="A84" t="s">
        <v>139</v>
      </c>
      <c r="B84" t="s">
        <v>140</v>
      </c>
      <c r="C84" t="s">
        <v>141</v>
      </c>
      <c r="D84">
        <v>45444</v>
      </c>
      <c r="E84" s="1">
        <v>44001</v>
      </c>
      <c r="F84">
        <v>8060</v>
      </c>
      <c r="G84" t="s">
        <v>142</v>
      </c>
      <c r="H84">
        <v>110</v>
      </c>
      <c r="I84" t="s">
        <v>145</v>
      </c>
      <c r="J84">
        <v>60</v>
      </c>
      <c r="K84">
        <v>4230</v>
      </c>
    </row>
    <row r="85" spans="1:11">
      <c r="A85" t="s">
        <v>139</v>
      </c>
      <c r="B85" t="s">
        <v>140</v>
      </c>
      <c r="C85" t="s">
        <v>141</v>
      </c>
      <c r="D85">
        <v>45446</v>
      </c>
      <c r="E85" s="1">
        <v>43997</v>
      </c>
      <c r="F85">
        <v>8050</v>
      </c>
      <c r="G85" t="s">
        <v>144</v>
      </c>
      <c r="H85">
        <v>111</v>
      </c>
      <c r="I85" t="s">
        <v>146</v>
      </c>
      <c r="J85">
        <v>80</v>
      </c>
      <c r="K85">
        <v>1880</v>
      </c>
    </row>
    <row r="86" spans="1:11">
      <c r="A86" t="s">
        <v>139</v>
      </c>
      <c r="B86" t="s">
        <v>140</v>
      </c>
      <c r="C86" t="s">
        <v>141</v>
      </c>
      <c r="D86">
        <v>45446</v>
      </c>
      <c r="E86" s="1">
        <v>43998</v>
      </c>
      <c r="F86">
        <v>8050</v>
      </c>
      <c r="G86" t="s">
        <v>144</v>
      </c>
      <c r="H86">
        <v>108</v>
      </c>
      <c r="I86" t="s">
        <v>133</v>
      </c>
      <c r="J86">
        <v>50</v>
      </c>
      <c r="K86">
        <v>1640</v>
      </c>
    </row>
    <row r="87" spans="1:11">
      <c r="A87" t="s">
        <v>139</v>
      </c>
      <c r="B87" t="s">
        <v>140</v>
      </c>
      <c r="C87" t="s">
        <v>141</v>
      </c>
      <c r="D87">
        <v>44015</v>
      </c>
      <c r="E87" s="1">
        <v>44000</v>
      </c>
      <c r="F87">
        <v>8060</v>
      </c>
      <c r="G87" t="s">
        <v>142</v>
      </c>
      <c r="H87">
        <v>108</v>
      </c>
      <c r="I87" t="s">
        <v>133</v>
      </c>
      <c r="J87">
        <v>60</v>
      </c>
      <c r="K87">
        <v>1970</v>
      </c>
    </row>
    <row r="88" spans="1:11">
      <c r="A88" t="s">
        <v>139</v>
      </c>
      <c r="B88" t="s">
        <v>140</v>
      </c>
      <c r="C88" t="s">
        <v>141</v>
      </c>
      <c r="D88">
        <v>44015</v>
      </c>
      <c r="E88" s="1">
        <v>44005</v>
      </c>
      <c r="F88">
        <v>8060</v>
      </c>
      <c r="G88" t="s">
        <v>142</v>
      </c>
      <c r="H88">
        <v>109</v>
      </c>
      <c r="I88" t="s">
        <v>143</v>
      </c>
      <c r="J88">
        <v>70</v>
      </c>
      <c r="K88">
        <v>2300</v>
      </c>
    </row>
    <row r="89" spans="1:11">
      <c r="A89" t="s">
        <v>139</v>
      </c>
      <c r="B89" t="s">
        <v>140</v>
      </c>
      <c r="C89" t="s">
        <v>141</v>
      </c>
      <c r="D89">
        <v>44017</v>
      </c>
      <c r="E89" s="1">
        <v>43998</v>
      </c>
      <c r="F89">
        <v>8060</v>
      </c>
      <c r="G89" t="s">
        <v>142</v>
      </c>
      <c r="H89">
        <v>108</v>
      </c>
      <c r="I89" t="s">
        <v>133</v>
      </c>
      <c r="J89">
        <v>70</v>
      </c>
      <c r="K89">
        <v>2300</v>
      </c>
    </row>
    <row r="90" spans="1:11">
      <c r="A90" t="s">
        <v>139</v>
      </c>
      <c r="B90" t="s">
        <v>140</v>
      </c>
      <c r="C90" t="s">
        <v>141</v>
      </c>
      <c r="D90">
        <v>44017</v>
      </c>
      <c r="E90" s="1">
        <v>44007</v>
      </c>
      <c r="F90">
        <v>8060</v>
      </c>
      <c r="G90" t="s">
        <v>142</v>
      </c>
      <c r="H90">
        <v>109</v>
      </c>
      <c r="I90" t="s">
        <v>143</v>
      </c>
      <c r="J90">
        <v>70</v>
      </c>
      <c r="K90">
        <v>2300</v>
      </c>
    </row>
    <row r="91" spans="1:11">
      <c r="A91" t="s">
        <v>139</v>
      </c>
      <c r="B91" t="s">
        <v>140</v>
      </c>
      <c r="C91" t="s">
        <v>141</v>
      </c>
      <c r="D91">
        <v>44016</v>
      </c>
      <c r="E91" s="1">
        <v>43998</v>
      </c>
      <c r="F91">
        <v>8050</v>
      </c>
      <c r="G91" t="s">
        <v>144</v>
      </c>
      <c r="H91">
        <v>108</v>
      </c>
      <c r="I91" t="s">
        <v>133</v>
      </c>
      <c r="J91">
        <v>70</v>
      </c>
      <c r="K91">
        <v>2300</v>
      </c>
    </row>
    <row r="92" spans="1:11">
      <c r="A92" t="s">
        <v>139</v>
      </c>
      <c r="B92" t="s">
        <v>140</v>
      </c>
      <c r="C92" t="s">
        <v>141</v>
      </c>
      <c r="D92">
        <v>44016</v>
      </c>
      <c r="E92" s="1">
        <v>44000</v>
      </c>
      <c r="F92">
        <v>8050</v>
      </c>
      <c r="G92" t="s">
        <v>144</v>
      </c>
      <c r="H92">
        <v>109</v>
      </c>
      <c r="I92" t="s">
        <v>143</v>
      </c>
      <c r="J92">
        <v>60</v>
      </c>
      <c r="K92">
        <v>1970</v>
      </c>
    </row>
    <row r="93" spans="1:11">
      <c r="A93" t="s">
        <v>139</v>
      </c>
      <c r="B93" t="s">
        <v>140</v>
      </c>
      <c r="C93" t="s">
        <v>141</v>
      </c>
      <c r="D93">
        <v>44016</v>
      </c>
      <c r="E93" s="1">
        <v>44005</v>
      </c>
      <c r="F93">
        <v>8050</v>
      </c>
      <c r="G93" t="s">
        <v>144</v>
      </c>
      <c r="H93">
        <v>110</v>
      </c>
      <c r="I93" t="s">
        <v>145</v>
      </c>
      <c r="J93">
        <v>50</v>
      </c>
      <c r="K93">
        <v>3520</v>
      </c>
    </row>
    <row r="94" spans="1:11">
      <c r="A94" t="s">
        <v>139</v>
      </c>
      <c r="B94" t="s">
        <v>140</v>
      </c>
      <c r="C94" t="s">
        <v>141</v>
      </c>
      <c r="D94">
        <v>48097</v>
      </c>
      <c r="E94" s="1">
        <v>44011</v>
      </c>
      <c r="F94">
        <v>8060</v>
      </c>
      <c r="G94" t="s">
        <v>142</v>
      </c>
      <c r="H94">
        <v>109</v>
      </c>
      <c r="I94" t="s">
        <v>143</v>
      </c>
      <c r="J94">
        <v>60</v>
      </c>
      <c r="K94">
        <v>1970</v>
      </c>
    </row>
    <row r="95" spans="1:11">
      <c r="A95" t="s">
        <v>139</v>
      </c>
      <c r="B95" t="s">
        <v>140</v>
      </c>
      <c r="C95" t="s">
        <v>141</v>
      </c>
      <c r="D95">
        <v>48097</v>
      </c>
      <c r="E95" s="1">
        <v>44012</v>
      </c>
      <c r="F95">
        <v>8060</v>
      </c>
      <c r="G95" t="s">
        <v>142</v>
      </c>
      <c r="H95">
        <v>110</v>
      </c>
      <c r="I95" t="s">
        <v>145</v>
      </c>
      <c r="J95">
        <v>70</v>
      </c>
      <c r="K95">
        <v>4930</v>
      </c>
    </row>
    <row r="96" spans="1:11">
      <c r="A96" t="s">
        <v>139</v>
      </c>
      <c r="B96" t="s">
        <v>140</v>
      </c>
      <c r="C96" t="s">
        <v>141</v>
      </c>
      <c r="D96">
        <v>48099</v>
      </c>
      <c r="E96" s="1">
        <v>43997</v>
      </c>
      <c r="F96">
        <v>8050</v>
      </c>
      <c r="G96" t="s">
        <v>144</v>
      </c>
      <c r="H96">
        <v>109</v>
      </c>
      <c r="I96" t="s">
        <v>143</v>
      </c>
      <c r="J96">
        <v>60</v>
      </c>
      <c r="K96">
        <v>1970</v>
      </c>
    </row>
    <row r="97" spans="1:11">
      <c r="A97" t="s">
        <v>139</v>
      </c>
      <c r="B97" t="s">
        <v>140</v>
      </c>
      <c r="C97" t="s">
        <v>141</v>
      </c>
      <c r="D97">
        <v>48099</v>
      </c>
      <c r="E97" s="1">
        <v>43998</v>
      </c>
      <c r="F97">
        <v>8050</v>
      </c>
      <c r="G97" t="s">
        <v>144</v>
      </c>
      <c r="H97">
        <v>110</v>
      </c>
      <c r="I97" t="s">
        <v>145</v>
      </c>
      <c r="J97">
        <v>60</v>
      </c>
      <c r="K97">
        <v>4230</v>
      </c>
    </row>
    <row r="98" spans="1:11">
      <c r="A98" t="s">
        <v>139</v>
      </c>
      <c r="B98" t="s">
        <v>140</v>
      </c>
      <c r="C98" t="s">
        <v>141</v>
      </c>
      <c r="D98">
        <v>48099</v>
      </c>
      <c r="E98" s="1">
        <v>43999</v>
      </c>
      <c r="F98">
        <v>8050</v>
      </c>
      <c r="G98" t="s">
        <v>144</v>
      </c>
      <c r="H98">
        <v>111</v>
      </c>
      <c r="I98" t="s">
        <v>146</v>
      </c>
      <c r="J98">
        <v>60</v>
      </c>
      <c r="K98">
        <v>1410</v>
      </c>
    </row>
    <row r="99" spans="1:11">
      <c r="A99" t="s">
        <v>139</v>
      </c>
      <c r="B99" t="s">
        <v>140</v>
      </c>
      <c r="C99" t="s">
        <v>141</v>
      </c>
      <c r="D99">
        <v>48101</v>
      </c>
      <c r="E99" s="1">
        <v>44000</v>
      </c>
      <c r="F99">
        <v>8060</v>
      </c>
      <c r="G99" t="s">
        <v>142</v>
      </c>
      <c r="H99">
        <v>109</v>
      </c>
      <c r="I99" t="s">
        <v>143</v>
      </c>
      <c r="J99">
        <v>60</v>
      </c>
      <c r="K99">
        <v>1970</v>
      </c>
    </row>
    <row r="100" spans="1:11">
      <c r="A100" t="s">
        <v>139</v>
      </c>
      <c r="B100" t="s">
        <v>140</v>
      </c>
      <c r="C100" t="s">
        <v>141</v>
      </c>
      <c r="D100">
        <v>48101</v>
      </c>
      <c r="E100" s="1">
        <v>44001</v>
      </c>
      <c r="F100">
        <v>8060</v>
      </c>
      <c r="G100" t="s">
        <v>142</v>
      </c>
      <c r="H100">
        <v>110</v>
      </c>
      <c r="I100" t="s">
        <v>145</v>
      </c>
      <c r="J100">
        <v>50</v>
      </c>
      <c r="K100">
        <v>3520</v>
      </c>
    </row>
    <row r="101" spans="1:11">
      <c r="A101" t="s">
        <v>139</v>
      </c>
      <c r="B101" t="s">
        <v>140</v>
      </c>
      <c r="C101" t="s">
        <v>141</v>
      </c>
      <c r="D101">
        <v>45427</v>
      </c>
      <c r="E101" s="1">
        <v>44002</v>
      </c>
      <c r="F101">
        <v>8050</v>
      </c>
      <c r="G101" t="s">
        <v>144</v>
      </c>
      <c r="H101">
        <v>108</v>
      </c>
      <c r="I101" t="s">
        <v>133</v>
      </c>
      <c r="J101">
        <v>70</v>
      </c>
      <c r="K101">
        <v>2300</v>
      </c>
    </row>
    <row r="102" spans="1:11">
      <c r="A102" t="s">
        <v>139</v>
      </c>
      <c r="B102" t="s">
        <v>140</v>
      </c>
      <c r="C102" t="s">
        <v>141</v>
      </c>
      <c r="D102">
        <v>45427</v>
      </c>
      <c r="E102" s="1">
        <v>44003</v>
      </c>
      <c r="F102">
        <v>8050</v>
      </c>
      <c r="G102" t="s">
        <v>144</v>
      </c>
      <c r="H102">
        <v>109</v>
      </c>
      <c r="I102" t="s">
        <v>143</v>
      </c>
      <c r="J102">
        <v>60</v>
      </c>
      <c r="K102">
        <v>1970</v>
      </c>
    </row>
    <row r="103" spans="1:11">
      <c r="A103" t="s">
        <v>139</v>
      </c>
      <c r="B103" t="s">
        <v>140</v>
      </c>
      <c r="C103" t="s">
        <v>141</v>
      </c>
      <c r="D103">
        <v>45429</v>
      </c>
      <c r="E103" s="1">
        <v>44004</v>
      </c>
      <c r="F103">
        <v>8060</v>
      </c>
      <c r="G103" t="s">
        <v>142</v>
      </c>
      <c r="H103">
        <v>108</v>
      </c>
      <c r="I103" t="s">
        <v>133</v>
      </c>
      <c r="J103">
        <v>80</v>
      </c>
      <c r="K103">
        <v>2630</v>
      </c>
    </row>
    <row r="104" spans="1:11">
      <c r="A104" t="s">
        <v>139</v>
      </c>
      <c r="B104" t="s">
        <v>140</v>
      </c>
      <c r="C104" t="s">
        <v>141</v>
      </c>
      <c r="D104">
        <v>45429</v>
      </c>
      <c r="E104" s="1">
        <v>44005</v>
      </c>
      <c r="F104">
        <v>8060</v>
      </c>
      <c r="G104" t="s">
        <v>142</v>
      </c>
      <c r="H104">
        <v>109</v>
      </c>
      <c r="I104" t="s">
        <v>143</v>
      </c>
      <c r="J104">
        <v>80</v>
      </c>
      <c r="K104">
        <v>2630</v>
      </c>
    </row>
    <row r="105" spans="1:11">
      <c r="A105" t="s">
        <v>139</v>
      </c>
      <c r="B105" t="s">
        <v>140</v>
      </c>
      <c r="C105" t="s">
        <v>141</v>
      </c>
      <c r="D105">
        <v>45429</v>
      </c>
      <c r="E105" s="1">
        <v>44006</v>
      </c>
      <c r="F105">
        <v>8060</v>
      </c>
      <c r="G105" t="s">
        <v>142</v>
      </c>
      <c r="H105">
        <v>110</v>
      </c>
      <c r="I105" t="s">
        <v>145</v>
      </c>
      <c r="J105">
        <v>50</v>
      </c>
      <c r="K105">
        <v>3520</v>
      </c>
    </row>
    <row r="106" spans="1:11">
      <c r="A106" t="s">
        <v>139</v>
      </c>
      <c r="B106" t="s">
        <v>140</v>
      </c>
      <c r="C106" t="s">
        <v>141</v>
      </c>
      <c r="D106">
        <v>45431</v>
      </c>
      <c r="E106" s="1">
        <v>44007</v>
      </c>
      <c r="F106">
        <v>8050</v>
      </c>
      <c r="G106" t="s">
        <v>144</v>
      </c>
      <c r="H106">
        <v>111</v>
      </c>
      <c r="I106" t="s">
        <v>146</v>
      </c>
      <c r="J106">
        <v>60</v>
      </c>
      <c r="K106">
        <v>1410</v>
      </c>
    </row>
    <row r="107" spans="1:11">
      <c r="A107" t="s">
        <v>139</v>
      </c>
      <c r="B107" t="s">
        <v>140</v>
      </c>
      <c r="C107" t="s">
        <v>141</v>
      </c>
      <c r="D107">
        <v>45431</v>
      </c>
      <c r="E107" s="1">
        <v>44008</v>
      </c>
      <c r="F107">
        <v>8050</v>
      </c>
      <c r="G107" t="s">
        <v>144</v>
      </c>
      <c r="H107">
        <v>108</v>
      </c>
      <c r="I107" t="s">
        <v>133</v>
      </c>
      <c r="J107">
        <v>60</v>
      </c>
      <c r="K107">
        <v>1970</v>
      </c>
    </row>
    <row r="135" spans="4:5">
      <c r="D135">
        <v>1</v>
      </c>
      <c r="E135">
        <v>1</v>
      </c>
    </row>
    <row r="136" spans="4:5">
      <c r="D136">
        <v>2</v>
      </c>
      <c r="E136">
        <v>1</v>
      </c>
    </row>
    <row r="137" spans="4:5">
      <c r="D137">
        <v>3</v>
      </c>
      <c r="E137">
        <v>1</v>
      </c>
    </row>
    <row r="138" spans="4:5">
      <c r="D138">
        <v>4</v>
      </c>
      <c r="E138">
        <v>1</v>
      </c>
    </row>
    <row r="139" spans="4:5">
      <c r="D139">
        <v>5</v>
      </c>
      <c r="E139">
        <v>1</v>
      </c>
    </row>
  </sheetData>
  <mergeCells count="4">
    <mergeCell ref="M3:N3"/>
    <mergeCell ref="M4:O4"/>
    <mergeCell ref="M5:O5"/>
    <mergeCell ref="M6:O6"/>
  </mergeCells>
  <pageMargins left="0.7" right="0.7" top="0.75" bottom="0.75" header="0.3" footer="0.3"/>
  <drawing r:id="rId4"/>
  <tableParts count="1">
    <tablePart r:id="rId5"/>
  </tableParts>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4B7B38-A42A-46F1-8C12-DA63FB169C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Sheet1</vt:lpstr>
      <vt:lpstr>Functions</vt:lpstr>
      <vt:lpstr>short cuts</vt:lpstr>
      <vt:lpstr>Macros</vt:lpstr>
      <vt:lpstr>Data Analyst</vt:lpstr>
      <vt:lpstr>LOOKUPS</vt:lpstr>
      <vt:lpstr>Statistics</vt:lpstr>
      <vt:lpstr>ML</vt:lpstr>
      <vt:lpstr>Housing</vt:lpstr>
      <vt:lpstr>Charts</vt:lpstr>
      <vt:lpstr>Pivot</vt:lpstr>
      <vt:lpstr>Sheet1!Extract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DurgaPrasad Attaluri</dc:creator>
  <cp:lastModifiedBy>DurgaPrasad Attaluri</cp:lastModifiedBy>
  <cp:lastPrinted>2023-10-31T11:48:04Z</cp:lastPrinted>
  <dcterms:created xsi:type="dcterms:W3CDTF">2023-09-19T12:45:24Z</dcterms:created>
  <dcterms:modified xsi:type="dcterms:W3CDTF">2023-12-14T16:14:03Z</dcterms:modified>
</cp:coreProperties>
</file>